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covoffice-my.sharepoint.com/personal/cggm2_vancouver_ca/Documents/ASHRAE/90.1-2019/"/>
    </mc:Choice>
  </mc:AlternateContent>
  <xr:revisionPtr revIDLastSave="0" documentId="8_{5FA88517-5D8B-4161-B1AB-B7E77A9859B6}" xr6:coauthVersionLast="47" xr6:coauthVersionMax="47" xr10:uidLastSave="{00000000-0000-0000-0000-000000000000}"/>
  <bookViews>
    <workbookView xWindow="-110" yWindow="-110" windowWidth="19420" windowHeight="10420" tabRatio="893" xr2:uid="{00000000-000D-0000-FFFF-FFFF00000000}"/>
  </bookViews>
  <sheets>
    <sheet name="Main Compliance Page" sheetId="5" r:id="rId1"/>
    <sheet name="SpxSp Compliance Details" sheetId="51" r:id="rId2"/>
    <sheet name="Exterior Compliance Details" sheetId="56" r:id="rId3"/>
    <sheet name="Luminaire Schedule" sheetId="27" r:id="rId4"/>
    <sheet name="Int Room Schedule" sheetId="28" r:id="rId5"/>
    <sheet name="Building Area Method" sheetId="33" r:id="rId6"/>
    <sheet name="SpxSp (step-a)" sheetId="32" r:id="rId7"/>
    <sheet name="RCR Calculator" sheetId="8" r:id="rId8"/>
    <sheet name="SpxSp (step-b)" sheetId="45" r:id="rId9"/>
    <sheet name="SpxSp (step-c)" sheetId="42" r:id="rId10"/>
    <sheet name="SpxSp (step-d)" sheetId="43" r:id="rId11"/>
    <sheet name="Ext Area Schedule" sheetId="34" r:id="rId12"/>
    <sheet name="Ext Tradable" sheetId="37" r:id="rId13"/>
    <sheet name="ExteriorTradableData" sheetId="53" state="hidden" r:id="rId14"/>
    <sheet name="Ext Nontradable" sheetId="54" r:id="rId15"/>
    <sheet name="ExteriorNontradableData" sheetId="55" state="hidden" r:id="rId16"/>
    <sheet name="9.3 Int Simplified" sheetId="58" r:id="rId17"/>
    <sheet name="9.3 Ext Simplified" sheetId="60" r:id="rId18"/>
    <sheet name="9.4.3 Tables" sheetId="29" r:id="rId19"/>
    <sheet name="9.5 Table" sheetId="30" r:id="rId20"/>
    <sheet name="9.6 Table" sheetId="35" r:id="rId21"/>
    <sheet name="9.6.2c" sheetId="24" r:id="rId22"/>
    <sheet name="9.6.3 Table" sheetId="52" r:id="rId23"/>
    <sheet name="Simplified Tables" sheetId="59" r:id="rId24"/>
    <sheet name="LISTS" sheetId="3" state="hidden" r:id="rId25"/>
  </sheets>
  <externalReferences>
    <externalReference r:id="rId26"/>
  </externalReferences>
  <definedNames>
    <definedName name="__2010_Space_List" localSheetId="17">_Table_9.6.1_2010[2010 Spaces]</definedName>
    <definedName name="__2010_Space_List" localSheetId="16">_Table_9.6.1_2010[2010 Spaces]</definedName>
    <definedName name="__2010_Space_List" localSheetId="2">_Table_9.6.1_2010[2010 Spaces]</definedName>
    <definedName name="__2010_Space_List">_Table_9.6.1_2010[2010 Spaces]</definedName>
    <definedName name="__2016_Space_List" localSheetId="17">Table_9.6.1_2016[2016 Spaces]</definedName>
    <definedName name="__2016_Space_List" localSheetId="16">Table_9.6.1_2016[2016 Spaces]</definedName>
    <definedName name="__2016_Space_List" localSheetId="2">Table_9.6.1_2016[2016 Spaces]</definedName>
    <definedName name="__2016_Space_List">Table_9.6.1_2016[2016 Spaces]</definedName>
    <definedName name="__2019_Space_List" localSheetId="17">Table_9.6.1_2019[2019 Spaces]</definedName>
    <definedName name="__2019_Space_List" localSheetId="16">Table_9.6.1_2019[2019 Spaces]</definedName>
    <definedName name="__2019_Space_List" localSheetId="2">Table_9.6.1_2019[2019 Spaces]</definedName>
    <definedName name="__2019_Space_List">Table_9.6.1_2019[2019 Spaces]</definedName>
    <definedName name="__Alteration_Example" localSheetId="17">#REF!</definedName>
    <definedName name="__Alteration_Example">#REF!</definedName>
    <definedName name="__Alteration_Step1" localSheetId="17">#REF!</definedName>
    <definedName name="__Alteration_Step1">#REF!</definedName>
    <definedName name="__Alteration_Step2" localSheetId="17">#REF!</definedName>
    <definedName name="__Alteration_Step2">#REF!</definedName>
    <definedName name="__Alteration_Step3" localSheetId="17">#REF!</definedName>
    <definedName name="__Alteration_Step3">#REF!</definedName>
    <definedName name="__Exterior_Alterations_Top" localSheetId="17">#REF!</definedName>
    <definedName name="__Exterior_Alterations_Top">#REF!</definedName>
    <definedName name="__Exterior_Area_Top" localSheetId="17">'Ext Area Schedule'!#REF!</definedName>
    <definedName name="__Exterior_Area_Top" localSheetId="16">'Ext Area Schedule'!#REF!</definedName>
    <definedName name="__Exterior_Area_Top" localSheetId="2">'Ext Area Schedule'!#REF!</definedName>
    <definedName name="__Exterior_Area_Top">'Ext Area Schedule'!#REF!</definedName>
    <definedName name="__Interior_Alterations_Top" localSheetId="17">#REF!</definedName>
    <definedName name="__Interior_Alterations_Top">#REF!</definedName>
    <definedName name="__Luminaires_Top">'Luminaire Schedule'!$G$16</definedName>
    <definedName name="_1_BAM_Top" localSheetId="17">'9.3 Ext Simplified'!A5</definedName>
    <definedName name="_1_BAM_Top" localSheetId="16">'9.3 Int Simplified'!A5</definedName>
    <definedName name="_1_BAM_Top">'Building Area Method'!A5</definedName>
    <definedName name="_1_Exterior_Top_NonTradable" localSheetId="14">'Ext Nontradable'!$G$25</definedName>
    <definedName name="_1_Exterior_Tradable_Top" localSheetId="12">'Ext Tradable'!$G$25</definedName>
    <definedName name="_1_Int_Room_Top">'Int Room Schedule'!$H$16</definedName>
    <definedName name="_1_Main_Compliance_Top">'Main Compliance Page'!$H$14</definedName>
    <definedName name="_1_Space_a_Top">'SpxSp (step-a)'!$G$21</definedName>
    <definedName name="_1_Space_b_Top">'SpxSp (step-b)'!$G$26:$G$26</definedName>
    <definedName name="_1_Space_c_Top">'SpxSp (step-c)'!$G$17</definedName>
    <definedName name="_1_Space_d_Top">'SpxSp (step-d)'!$H$17</definedName>
    <definedName name="_2010_Space_by_SpaceTypes">'9.6 Table'!$A$238:$A$332</definedName>
    <definedName name="_2010_Space_List" localSheetId="22">'9.6 Table'!$A$474:$A$571</definedName>
    <definedName name="_2016_Space_by_SpaceTypes">'9.6 Table'!$A$119:$A$223</definedName>
    <definedName name="_2016_Space_List" comment="6/2020 - Space by Space list of spaces for 2016" localSheetId="22">'9.6 Table'!$A$3:$A$105</definedName>
    <definedName name="_2019_Space_List" comment="6/2020 - Space by Space list of spaces for 2019" localSheetId="22">'9.6 Table'!$A$347:$A$458</definedName>
    <definedName name="_9.5_Building_Area_Method" localSheetId="17">'9.3 Ext Simplified'!$D$51:$D$56</definedName>
    <definedName name="_9.5_Building_Area_Method" localSheetId="16">'9.3 Int Simplified'!$D$51:$D$56</definedName>
    <definedName name="_9.5_Building_Area_Method" localSheetId="5">'Building Area Method'!$D$51:$D$56</definedName>
    <definedName name="_9.6.1_Control_Names">'9.6 Table'!$A$579:$R$581</definedName>
    <definedName name="_9_4_1_1_Automatic_Lighting_Shutoff" localSheetId="17">#REF!</definedName>
    <definedName name="_9_4_1_1_Automatic_Lighting_Shutoff">#REF!</definedName>
    <definedName name="_9_4_1_2_Space_Control" localSheetId="17">#REF!</definedName>
    <definedName name="_9_4_1_2_Space_Control">#REF!</definedName>
    <definedName name="_9_4_1_2_Space_Control_a" localSheetId="17">#REF!</definedName>
    <definedName name="_9_4_1_2_Space_Control_a">#REF!</definedName>
    <definedName name="_9_4_1_2_Space_Control_b" localSheetId="17">#REF!</definedName>
    <definedName name="_9_4_1_2_Space_Control_b">#REF!</definedName>
    <definedName name="_9_4_1_2_Space_Control_c" localSheetId="17">#REF!</definedName>
    <definedName name="_9_4_1_2_Space_Control_c">#REF!</definedName>
    <definedName name="_9_4_1_3_Parking_Garage" localSheetId="17">#REF!</definedName>
    <definedName name="_9_4_1_3_Parking_Garage">#REF!</definedName>
    <definedName name="_9_4_1_4_Sidelighted_Areas" localSheetId="17">#REF!</definedName>
    <definedName name="_9_4_1_4_Sidelighted_Areas">#REF!</definedName>
    <definedName name="_9_4_1_5_Toplighting_Areas" localSheetId="17">#REF!</definedName>
    <definedName name="_9_4_1_5_Toplighting_Areas">#REF!</definedName>
    <definedName name="_9_4_1_6_Additional_Control" localSheetId="17">#REF!</definedName>
    <definedName name="_9_4_1_6_Additional_Control">#REF!</definedName>
    <definedName name="_9_4_1_7_Exterior_Lighting_Control" localSheetId="17">#REF!</definedName>
    <definedName name="_9_4_1_7_Exterior_Lighting_Control">#REF!</definedName>
    <definedName name="_9_4_2_Exit_Signs" localSheetId="17">#REF!</definedName>
    <definedName name="_9_4_2_Exit_Signs">#REF!</definedName>
    <definedName name="_9_5_BuildingTypes">'9.5 Table'!$F$5:$F$37</definedName>
    <definedName name="_9_5_Table_2010">'9.5 Table'!$F$5:$G$37</definedName>
    <definedName name="_9_5_Table_2016">'9.5 Table'!$B$5:$C$37</definedName>
    <definedName name="_9_5_Table_Combined" comment="6/2020 - Used for 9.5 year choice. ">'9.5 Table'!$F$5:$J$37</definedName>
    <definedName name="_9_6_2_a" localSheetId="17">#REF!</definedName>
    <definedName name="_9_6_2_a">#REF!</definedName>
    <definedName name="_9_6_2_b" localSheetId="17">#REF!</definedName>
    <definedName name="_9_6_2_b">#REF!</definedName>
    <definedName name="_9_6_2c_Table" localSheetId="22">'9.6.3 Table'!$B$5:$I$9</definedName>
    <definedName name="_9_6_2c_Table">'9.6.2c'!$B$4:$I$15</definedName>
    <definedName name="_9_6_BuildingTypes">'9.5 Table'!$B$5:$B$37</definedName>
    <definedName name="_9_6_Table_2010">'9.6 Table'!$A$238:$R$332</definedName>
    <definedName name="_9_6_Table_2016">'9.6 Table'!$A$119:$R$223</definedName>
    <definedName name="_BAM_Allowance">'Int Room Schedule'!$N$13</definedName>
    <definedName name="_BAM_Area_List" localSheetId="17">'9.3 Ext Simplified'!#REF!</definedName>
    <definedName name="_BAM_Area_List" localSheetId="16">'9.3 Int Simplified'!#REF!</definedName>
    <definedName name="_BAM_Area_List">'Building Area Method'!$P$51:$P$56</definedName>
    <definedName name="_BAM_Areas">'Int Room Schedule'!$J$16:$L$16</definedName>
    <definedName name="_BAM_Compliant">'Main Compliance Page'!$J$37</definedName>
    <definedName name="_BAM_Control_1" localSheetId="17">'9.3 Ext Simplified'!$W$22:$W$46</definedName>
    <definedName name="_BAM_Control_1" localSheetId="16">'9.3 Int Simplified'!$U$22:$U$46</definedName>
    <definedName name="_BAM_Control_1">'Building Area Method'!$X$22:$X$46</definedName>
    <definedName name="_BAM_Control_10" localSheetId="17">'9.3 Ext Simplified'!#REF!</definedName>
    <definedName name="_BAM_Control_10" localSheetId="16">'9.3 Int Simplified'!#REF!</definedName>
    <definedName name="_BAM_Control_10">'Building Area Method'!$AP$22:$AP$46</definedName>
    <definedName name="_BAM_Control_2" localSheetId="17">'9.3 Ext Simplified'!$Y$22:$Y$46</definedName>
    <definedName name="_BAM_Control_2" localSheetId="16">'9.3 Int Simplified'!$W$22:$W$46</definedName>
    <definedName name="_BAM_Control_2">'Building Area Method'!$Z$22:$Z$46</definedName>
    <definedName name="_BAM_Control_3" localSheetId="17">'9.3 Ext Simplified'!$AA$22:$AA$46</definedName>
    <definedName name="_BAM_Control_3" localSheetId="16">'9.3 Int Simplified'!$Y$22:$Y$46</definedName>
    <definedName name="_BAM_Control_3">'Building Area Method'!$AB$22:$AB$46</definedName>
    <definedName name="_BAM_Control_4" localSheetId="17">'9.3 Ext Simplified'!#REF!</definedName>
    <definedName name="_BAM_Control_4" localSheetId="16">'9.3 Int Simplified'!$AA$22:$AA$46</definedName>
    <definedName name="_BAM_Control_4">'Building Area Method'!$AD$22:$AD$46</definedName>
    <definedName name="_BAM_Control_5" localSheetId="17">'9.3 Ext Simplified'!#REF!</definedName>
    <definedName name="_BAM_Control_5" localSheetId="16">'9.3 Int Simplified'!$AC$22:$AC$46</definedName>
    <definedName name="_BAM_Control_5">'Building Area Method'!$AF$22:$AF$46</definedName>
    <definedName name="_BAM_Control_6" localSheetId="17">'9.3 Ext Simplified'!#REF!</definedName>
    <definedName name="_BAM_Control_6" localSheetId="16">'9.3 Int Simplified'!$AE$22:$AE$46</definedName>
    <definedName name="_BAM_Control_6">'Building Area Method'!$AH$22:$AH$46</definedName>
    <definedName name="_BAM_Control_7" localSheetId="17">'9.3 Ext Simplified'!#REF!</definedName>
    <definedName name="_BAM_Control_7" localSheetId="16">'9.3 Int Simplified'!$AG$22:$AG$46</definedName>
    <definedName name="_BAM_Control_7">'Building Area Method'!$AJ$22:$AJ$46</definedName>
    <definedName name="_BAM_Control_8" localSheetId="17">'9.3 Ext Simplified'!#REF!</definedName>
    <definedName name="_BAM_Control_8" localSheetId="16">'9.3 Int Simplified'!$AI$22:$AI$46</definedName>
    <definedName name="_BAM_Control_8">'Building Area Method'!$AL$22:$AL$46</definedName>
    <definedName name="_BAM_Control_9" localSheetId="17">'9.3 Ext Simplified'!#REF!</definedName>
    <definedName name="_BAM_Control_9" localSheetId="16">'9.3 Int Simplified'!#REF!</definedName>
    <definedName name="_BAM_Control_9">'Building Area Method'!$AN$22:$AN$46</definedName>
    <definedName name="_BAM_Control_Types">LISTS!$AI$2:$AI$12</definedName>
    <definedName name="_BAM_Controls_Compliant" localSheetId="17">'9.3 Ext Simplified'!$AB$15</definedName>
    <definedName name="_BAM_Controls_Compliant" localSheetId="16">'9.3 Int Simplified'!$AJ$15</definedName>
    <definedName name="_BAM_Controls_Compliant">'Building Area Method'!$AQ$15</definedName>
    <definedName name="_BAM_Installed_Watts" localSheetId="17">'9.3 Ext Simplified'!$O$15</definedName>
    <definedName name="_BAM_Installed_Watts" localSheetId="16">'9.3 Int Simplified'!$N$15</definedName>
    <definedName name="_BAM_Installed_Watts">'Building Area Method'!$N$15</definedName>
    <definedName name="_BAM_or_Space">'Main Compliance Page'!$A$191</definedName>
    <definedName name="_BAM_sqft">'Int Room Schedule'!$L$13</definedName>
    <definedName name="_CombinedSpaceAreaList">'Ext Area Schedule'!$BJ$16:$BJ$106</definedName>
    <definedName name="_CombinedSpaceAreaTable">'Ext Area Schedule'!$BJ$16:$BL$106</definedName>
    <definedName name="_ControlFactor_SpaceLookup">LISTS!$N$27:$S$120</definedName>
    <definedName name="_ControlFactor_Spaces" localSheetId="22">'9.6.3 Table'!$C$19:$D$24</definedName>
    <definedName name="_ControlFactor_Spaces">'9.6.2c'!$C$26:$D$31</definedName>
    <definedName name="_ControlFactors_9_6_3" localSheetId="22">'9.6.3 Table'!$B$5:$B$9</definedName>
    <definedName name="_ControlFactors_9_6_3">'9.6.2c'!$B$4:$B$15</definedName>
    <definedName name="_Controls_Decorative_AutoShutoff" localSheetId="6">'SpxSp (step-c)'!$Q$18:$Q$67</definedName>
    <definedName name="_ControlTypes">LISTS!$AI$2:$AI$24</definedName>
    <definedName name="_Decorative" localSheetId="6">'SpxSp (step-c)'!$B$18:$J$67</definedName>
    <definedName name="_Decorative_List" comment="6/2020 - List of decorative spaces from (step-a)">OFFSET('SpxSp (step-a)'!$AZ$22:$AZ$71,0,0,'SpxSp (step-a)'!$AY$20,1)</definedName>
    <definedName name="_Exterior_Areas_NonTradable1" localSheetId="11">'Ext Area Schedule'!$O$16:$Q$16</definedName>
    <definedName name="_Exterior_Areas_Tradable" localSheetId="11">'Ext Area Schedule'!$I$16:$K$16</definedName>
    <definedName name="_Exterior_Base_Allowance">'Ext Area Schedule'!$K$9</definedName>
    <definedName name="_Exterior_Combined">OFFSET('Ext Area Schedule'!$AS$16:$AW$108,0,1,'Ext Area Schedule'!$AS$14,1)</definedName>
    <definedName name="_Exterior_Combined_List">'Ext Area Schedule'!$AT$16:$AT$115</definedName>
    <definedName name="_Exterior_Combined_Table">'Ext Area Schedule'!$AT$16:$AW$115</definedName>
    <definedName name="_Exterior_LZ">'Ext Area Schedule'!$K$7</definedName>
    <definedName name="_Exterior_NonTradable_Areas">OFFSET('Ext Area Schedule'!$AJ$16:$AN$65,0,1,'Ext Area Schedule'!$AJ$14,1)</definedName>
    <definedName name="_Exterior_NonTradable_List">'Ext Area Schedule'!$AK$16:$AK$65</definedName>
    <definedName name="_Exterior_NonTradable_Watts_Allowed">'Ext Area Schedule'!$R$13</definedName>
    <definedName name="_Exterior_SpaceList" localSheetId="11">OFFSET('Ext Area Schedule'!$X$16:$AB$65,0,1,'Ext Area Schedule'!$X$14,1)</definedName>
    <definedName name="_Exterior_Tradable" localSheetId="14">'Ext Nontradable'!$B$26:$F$45</definedName>
    <definedName name="_Exterior_Tradable">'Ext Tradable'!$B$26:$F$45</definedName>
    <definedName name="_Exterior_Tradable_Areas">OFFSET('Ext Area Schedule'!$X$16:$AB$65,0,1,'Ext Area Schedule'!$X$14,1)</definedName>
    <definedName name="_Exterior_Tradable_Compliant">'Ext Tradable'!$AB$13</definedName>
    <definedName name="_Exterior_Tradable_List">'Ext Area Schedule'!$Y$16:$AB$65</definedName>
    <definedName name="_Exterior_Tradable_Watts">'Ext Tradable'!$K$9</definedName>
    <definedName name="_Exterior_Tradable_Watts_Allowed">'Ext Area Schedule'!$L$13</definedName>
    <definedName name="_ExteriorLightingZones">'9.4.3 Tables'!$B$4:$B$8</definedName>
    <definedName name="_ExteriorLightingZoneTable">'9.4.3 Tables'!$B$4:$H$8</definedName>
    <definedName name="_ExteriorSpaces" localSheetId="11">'Ext Area Schedule'!$Y$16:$AB$65</definedName>
    <definedName name="_xlnm._FilterDatabase" localSheetId="3" hidden="1">'Luminaire Schedule'!$J$15:$L$15</definedName>
    <definedName name="_FixtureDropDownList">'Luminaire Schedule'!$AW$32:$AW$53</definedName>
    <definedName name="_FixtureList">OFFSET('Luminaire Schedule'!$AS$80:$AS$139,0,0,'Luminaire Schedule'!$AR$79,1)</definedName>
    <definedName name="_FixtureList2">OFFSET('Luminaire Schedule'!$AS$80:$AS$139,0,0,'Luminaire Schedule'!$AR$79,2)</definedName>
    <definedName name="_Hlk503783602" localSheetId="23">'Simplified Tables'!$D$49</definedName>
    <definedName name="_Installed_Lighting" localSheetId="6">'SpxSp (step-b)'!$B$24:$D$75</definedName>
    <definedName name="_InstalledDecorative" localSheetId="6">'SpxSp (step-a)'!$P$22:$Q$71</definedName>
    <definedName name="_InstalledGeneralLighting" localSheetId="6">'SpxSp (step-b)'!$B$26:$I$75</definedName>
    <definedName name="_InstalledRetail" localSheetId="6">'SpxSp (step-a)'!$S$22:$U$71</definedName>
    <definedName name="_InstalledTradableAreas" localSheetId="14">'Ext Nontradable'!$B$26:$I$45</definedName>
    <definedName name="_InstalledTradableAreas" localSheetId="12">'Ext Tradable'!$B$26:$I$45</definedName>
    <definedName name="_Interior_Final_Table">'Int Room Schedule'!$Z$16:$AD$65</definedName>
    <definedName name="_Interior_Table1">'Int Room Schedule'!$S$16:$U$65</definedName>
    <definedName name="_InteriorMandatory" localSheetId="6">'SpxSp (step-b)'!$N$26:$AR$75</definedName>
    <definedName name="_InteriorTable">'Int Room Schedule'!$Q$16:$T$65</definedName>
    <definedName name="_LightingControls" localSheetId="6">'SpxSp (step-b)'!$N$15:$N$75</definedName>
    <definedName name="_LightingZone">'Ext Area Schedule'!$F$54</definedName>
    <definedName name="_LS1">'Luminaire Schedule'!$J$16:$J$75</definedName>
    <definedName name="_LS2">'Luminaire Schedule'!$K$16:$K$75</definedName>
    <definedName name="_LS3">'Luminaire Schedule'!$L$16:$L$75</definedName>
    <definedName name="_LS4">'Luminaire Schedule'!$N$16:$N$75</definedName>
    <definedName name="_Luminaire_Exit_Compliant">'Luminaire Schedule'!$N$7</definedName>
    <definedName name="_Luminaire_ExitSign">'Luminaire Schedule'!$L$7</definedName>
    <definedName name="_Luminaire_List">'Luminaire Schedule'!$K$16:$N$75</definedName>
    <definedName name="_Luminaire_Schedule">'Luminaire Schedule'!$H$16:$P$75</definedName>
    <definedName name="_Luminaire_Schedule2">'Luminaire Schedule'!$AS$16:$AT$75</definedName>
    <definedName name="_Luminaires">'Luminaire Schedule'!$J$16:$L$75</definedName>
    <definedName name="_LuminaireSchedule">'Luminaire Schedule'!$J$16:$M$16</definedName>
    <definedName name="_LZs2">LISTS!$W$41:$W$45</definedName>
    <definedName name="_NonTradableAreas" localSheetId="11">OFFSET('Ext Area Schedule'!$AK$16:$AK$74,0,0,'Ext Area Schedule'!$AJ$14,1)</definedName>
    <definedName name="_NonTradableTable" localSheetId="11">'Ext Area Schedule'!$N$16:$Q$65</definedName>
    <definedName name="_NonTradableTableAllowed">'9.4.3 Tables'!$B$29:$H$37</definedName>
    <definedName name="_NonTradableTableFinal" localSheetId="11">'Ext Area Schedule'!$AK$16:$AP$65</definedName>
    <definedName name="_Retail" localSheetId="6">'SpxSp (step-d)'!$B$18:$K$67</definedName>
    <definedName name="_Retail_List" comment="6/2020 - List of spaces that Retail is selected on (step-a)">OFFSET('SpxSp (step-a)'!$BG$22:$BG$71,0,0,'SpxSp (step-a)'!$BF$20,1)</definedName>
    <definedName name="_RetailControls" localSheetId="6">'SpxSp (step-d)'!$T$18:$T$67</definedName>
    <definedName name="_Room_List">'Int Room Schedule'!$R$16:$V$65</definedName>
    <definedName name="_Room_Space_by_Space">'Int Room Schedule'!$R$16:$U$16</definedName>
    <definedName name="_Space_a_Actual_RCR">'SpxSp (step-a)'!$L$22:$L$71</definedName>
    <definedName name="_Space_by_Space_9_6_2_Additional_Interior_Lighting_Power">'9.6 Table'!$A$337:$E$341</definedName>
    <definedName name="_Space_by_Space_9_6_2a_Installed">'SpxSp (step-c)'!$B$18:$E$67</definedName>
    <definedName name="_Space_by_Space_9_6_2b_Installed">'SpxSp (step-d)'!$B$18:$E$67</definedName>
    <definedName name="_Space_by_Space_Allowed_Base_Wattage">'SpxSp (step-a)'!$V$18</definedName>
    <definedName name="_Space_by_Space_AllowedBase_wattage">'SpxSp (step-a)'!$O$18</definedName>
    <definedName name="_Space_by_Space_Control_1">'SpxSp (step-b)'!$Q$26:$Q$75</definedName>
    <definedName name="_Space_by_Space_Control_10">'SpxSp (step-b)'!$AI$26:$AI$75</definedName>
    <definedName name="_Space_by_Space_Control_2" localSheetId="6">'SpxSp (step-b)'!$S$26:$S$75</definedName>
    <definedName name="_Space_by_Space_Control_2">'SpxSp (step-b)'!$S$26:$S$75</definedName>
    <definedName name="_Space_by_Space_Control_3" localSheetId="6">'SpxSp (step-b)'!$U$26:$U$75</definedName>
    <definedName name="_Space_by_Space_Control_3">'SpxSp (step-b)'!$U$26:$U$75</definedName>
    <definedName name="_Space_by_Space_Control_4" localSheetId="6">'SpxSp (step-b)'!$W$26:$W$75</definedName>
    <definedName name="_Space_by_Space_Control_4">'SpxSp (step-b)'!$W$26:$W$75</definedName>
    <definedName name="_Space_by_Space_Control_5">'SpxSp (step-b)'!$Y$26:$Y$75</definedName>
    <definedName name="_Space_by_Space_Control_6">'SpxSp (step-b)'!$AA$26:$AA$75</definedName>
    <definedName name="_Space_by_Space_Control_7">'SpxSp (step-b)'!$AC$26:$AC$75</definedName>
    <definedName name="_Space_by_Space_Control_8">'SpxSp (step-b)'!$AE$26:$AE$75</definedName>
    <definedName name="_Space_by_Space_Control_9">'SpxSp (step-b)'!$AG$26:$AG$75</definedName>
    <definedName name="_Space_by_Space_ControlFactor_Wattage">'SpxSp (step-b)'!$AZ$76</definedName>
    <definedName name="_Space_by_Space_Controls_Compliant">'SpxSp (step-b)'!$AQ$13</definedName>
    <definedName name="_Space_by_Space_Decorative_Step_a">'SpxSp (step-a)'!$P$22:$P$71</definedName>
    <definedName name="_Space_by_Space_Decorative_Wattage_Compliant">'SpxSp (step-c)'!$N$14</definedName>
    <definedName name="_Space_by_Space_Installed_Decorative_Wattage">'SpxSp (step-c)'!$M$14</definedName>
    <definedName name="_Space_by_Space_Installed_Retail_Wattage">'SpxSp (step-d)'!$O$14</definedName>
    <definedName name="_Space_by_Space_Retail_Step_a">'SpxSp (step-a)'!$S$22:$S$71</definedName>
    <definedName name="_Space_by_Space_RetailAreas">'SpxSp (step-a)'!$S$1:$S$7</definedName>
    <definedName name="_Space_by_Space_Space_Types" localSheetId="17">Table_9.6.1_2016[2016 Spaces]</definedName>
    <definedName name="_Space_by_Space_Space_Types" localSheetId="16">Table_9.6.1_2016[2016 Spaces]</definedName>
    <definedName name="_Space_by_Space_Space_Types" localSheetId="22">Table_9.6.1_2016[2016 Spaces]</definedName>
    <definedName name="_Space_by_Space_Space_Types" localSheetId="14">Table_9.6.1_2016[2016 Spaces]</definedName>
    <definedName name="_Space_by_Space_Space_Types" localSheetId="2">Table_9.6.1_2016[2016 Spaces]</definedName>
    <definedName name="_Space_by_Space_Space_Types" localSheetId="15">Table_9.6.1_2016[2016 Spaces]</definedName>
    <definedName name="_Space_by_Space_Space_Types" localSheetId="13">Table_9.6.1_2016[2016 Spaces]</definedName>
    <definedName name="_Space_by_Space_Space_Types" localSheetId="8">Table_9.6.1_2016[2016 Spaces]</definedName>
    <definedName name="_Space_by_Space_Space_Types">Table_9.6.1_2016[2016 Spaces]</definedName>
    <definedName name="_Space_by_Space_sqft">'Int Room Schedule'!$T$13</definedName>
    <definedName name="_Space_by_Space_Types" localSheetId="17">Table_9.6.1_2016[2016 Spaces]</definedName>
    <definedName name="_Space_by_Space_Types" localSheetId="16">Table_9.6.1_2016[2016 Spaces]</definedName>
    <definedName name="_Space_by_Space_Types" localSheetId="22">Table_9.6.1_2016[2016 Spaces]</definedName>
    <definedName name="_Space_by_Space_Types" localSheetId="14">Table_9.6.1_2016[2016 Spaces]</definedName>
    <definedName name="_Space_by_Space_Types" localSheetId="2">Table_9.6.1_2016[2016 Spaces]</definedName>
    <definedName name="_Space_by_Space_Types" localSheetId="15">Table_9.6.1_2016[2016 Spaces]</definedName>
    <definedName name="_Space_by_Space_Types" localSheetId="13">Table_9.6.1_2016[2016 Spaces]</definedName>
    <definedName name="_Space_by_Space_Types" localSheetId="8">Table_9.6.1_2016[2016 Spaces]</definedName>
    <definedName name="_Space_by_Space_Types">Table_9.6.1_2016[2016 Spaces]</definedName>
    <definedName name="_Space_by_Space_Wattage_Compliant">'SpxSp (step-d)'!$Q$14</definedName>
    <definedName name="_Space_Compliant">'Main Compliance Page'!$J$39</definedName>
    <definedName name="_Space_Control1">'SpxSp (step-b)'!$P$26:$AR$26</definedName>
    <definedName name="_Space_Controls">'SpxSp (step-b)'!$AP$26</definedName>
    <definedName name="_Space_Decorative">'SpxSp (step-c)'!$B$18:$J$18</definedName>
    <definedName name="_Space_Decorative_Controls_Compliant">'SpxSp (step-c)'!$V$69</definedName>
    <definedName name="_Space_List">'Int Room Schedule'!$R$16:$R$65</definedName>
    <definedName name="_Space_Lookup" comment="6/2020 - Formula for Space lookup 2010, 2016, 2019">INDIRECT(VLOOKUP(Compliance_Version_Year,_Year_Space_List,2,FALSE))</definedName>
    <definedName name="_Space_LPA" comment="6/2020 - Formula for determing LPA" localSheetId="17">IFERROR(IF('Int Room Schedule'!XFA1="","",IF(Compliance_Version_Year=2010,VLOOKUP('Int Room Schedule'!XFA1,_Table_9.6.1_2010[],2,FALSE),IF(Compliance_Version_Year=2016,VLOOKUP('Int Room Schedule'!XFA1,Table_9.6.1_2016[],2,FALSE),IF(Compliance_Version_Year=2019,VLOOKUP('Int Room Schedule'!XFA1,Table_9.6.1_2019[],2,FALSE))))),"Re-Select")</definedName>
    <definedName name="_Space_LPA" comment="6/2020 - Formula for determing LPA" localSheetId="16">IFERROR(IF('Int Room Schedule'!XFA1="","",IF(Compliance_Version_Year=2010,VLOOKUP('Int Room Schedule'!XFA1,_Table_9.6.1_2010[],2,FALSE),IF(Compliance_Version_Year=2016,VLOOKUP('Int Room Schedule'!XFA1,Table_9.6.1_2016[],2,FALSE),IF(Compliance_Version_Year=2019,VLOOKUP('Int Room Schedule'!XFA1,Table_9.6.1_2019[],2,FALSE))))),"Re-Select")</definedName>
    <definedName name="_Space_LPA" comment="6/2020 - Formula for determing LPA" localSheetId="22">IFERROR(IF('Int Room Schedule'!XFA1="","",IF([0]!Compliance_Version_Year=2010,VLOOKUP('Int Room Schedule'!XFA1,_Table_9.6.1_2010[],2,FALSE),IF([0]!Compliance_Version_Year=2016,VLOOKUP('Int Room Schedule'!XFA1,Table_9.6.1_2016[],2,FALSE),IF([0]!Compliance_Version_Year=2019,VLOOKUP('Int Room Schedule'!XFA1,Table_9.6.1_2019[],2,FALSE))))),"Re-Select")</definedName>
    <definedName name="_Space_LPA" comment="6/2020 - Formula for determing LPA" localSheetId="14">IFERROR(IF('Int Room Schedule'!XFA1="","",IF(Compliance_Version_Year=2010,VLOOKUP('Int Room Schedule'!XFA1,_Table_9.6.1_2010[],2,FALSE),IF(Compliance_Version_Year=2016,VLOOKUP('Int Room Schedule'!XFA1,Table_9.6.1_2016[],2,FALSE),IF(Compliance_Version_Year=2019,VLOOKUP('Int Room Schedule'!XFA1,Table_9.6.1_2019[],2,FALSE))))),"Re-Select")</definedName>
    <definedName name="_Space_LPA" comment="6/2020 - Formula for determing LPA" localSheetId="2">IFERROR(IF('Int Room Schedule'!XFA1="","",IF(Compliance_Version_Year=2010,VLOOKUP('Int Room Schedule'!XFA1,_Table_9.6.1_2010[],2,FALSE),IF(Compliance_Version_Year=2016,VLOOKUP('Int Room Schedule'!XFA1,Table_9.6.1_2016[],2,FALSE),IF(Compliance_Version_Year=2019,VLOOKUP('Int Room Schedule'!XFA1,Table_9.6.1_2019[],2,FALSE))))),"Re-Select")</definedName>
    <definedName name="_Space_LPA" comment="6/2020 - Formula for determing LPA" localSheetId="15">IFERROR(IF('Int Room Schedule'!XFA1="","",IF(Compliance_Version_Year=2010,VLOOKUP('Int Room Schedule'!XFA1,_Table_9.6.1_2010[],2,FALSE),IF(Compliance_Version_Year=2016,VLOOKUP('Int Room Schedule'!XFA1,Table_9.6.1_2016[],2,FALSE),IF(Compliance_Version_Year=2019,VLOOKUP('Int Room Schedule'!XFA1,Table_9.6.1_2019[],2,FALSE))))),"Re-Select")</definedName>
    <definedName name="_Space_LPA" comment="6/2020 - Formula for determing LPA" localSheetId="13">IFERROR(IF('Int Room Schedule'!XFA1="","",IF(Compliance_Version_Year=2010,VLOOKUP('Int Room Schedule'!XFA1,_Table_9.6.1_2010[],2,FALSE),IF(Compliance_Version_Year=2016,VLOOKUP('Int Room Schedule'!XFA1,Table_9.6.1_2016[],2,FALSE),IF(Compliance_Version_Year=2019,VLOOKUP('Int Room Schedule'!XFA1,Table_9.6.1_2019[],2,FALSE))))),"Re-Select")</definedName>
    <definedName name="_Space_LPA" comment="6/2020 - Formula for determing LPA">IFERROR(IF('Int Room Schedule'!XFA1="","",IF(Compliance_Version_Year=2010,VLOOKUP('Int Room Schedule'!XFA1,_Table_9.6.1_2010[],2,FALSE),IF(Compliance_Version_Year=2016,VLOOKUP('Int Room Schedule'!XFA1,Table_9.6.1_2016[],2,FALSE),IF(Compliance_Version_Year=2019,VLOOKUP('Int Room Schedule'!XFA1,Table_9.6.1_2019[],2,FALSE))))),"Re-Select")</definedName>
    <definedName name="_Space_Retail">'SpxSp (step-d)'!$B$18:$K$18</definedName>
    <definedName name="_Space_Retail_Controls_Compliant">'SpxSp (step-d)'!$AR$69</definedName>
    <definedName name="_Space_Sqft">'Int Room Schedule'!$T$16:$T$65</definedName>
    <definedName name="_Space_X_Space_List">'9.6 Table'!$O$334:$O$335</definedName>
    <definedName name="_SpaceAreaList">OFFSET('Ext Area Schedule'!$BI$16:$BI$106,0,1,'Ext Area Schedule'!$BI$14,1)</definedName>
    <definedName name="_SpaceBySpaceMethod" localSheetId="6">'SpxSp (step-a)'!$B$22:$I$71</definedName>
    <definedName name="_SpaceDefinition">'Int Room Schedule'!$Z$16:$Z$65</definedName>
    <definedName name="_SpaceDefinition2">'Int Room Schedule'!$Z$16:$AC$65</definedName>
    <definedName name="_SpaceID" localSheetId="6">'SpxSp (step-a)'!$AN$22:$AN$71</definedName>
    <definedName name="_SpaceList" comment="6/2020 - List of spaces entered on Interior Room Schedule">OFFSET('Int Room Schedule'!$Y$16:$AB$65,0,1,'Int Room Schedule'!$Y$14,1)</definedName>
    <definedName name="_SpaceList_BAM">OFFSET('Int Room Schedule'!$AH$16:$AL$21,0,1,'Int Room Schedule'!$AH$14,1)</definedName>
    <definedName name="_SpaceList1">LISTS!$N$27:$R$120</definedName>
    <definedName name="_SpaceList2">OFFSET('Int Room Schedule'!$Y$16:$AB$65,0,2,'Int Room Schedule'!$Y$14,1)</definedName>
    <definedName name="_Step1_ProjectName">'Main Compliance Page'!$M$3</definedName>
    <definedName name="_Step2_AlterationsYesNo">'Main Compliance Page'!$J$19</definedName>
    <definedName name="_Track">'Luminaire Schedule'!$AW$56:$AW$59</definedName>
    <definedName name="_Track_Table">'Luminaire Schedule'!$AW$56:$AY$59</definedName>
    <definedName name="_TradableAreas" localSheetId="17">OFFSET('Int Room Schedule'!#REF!,0,0,'Int Room Schedule'!#REF!,1)</definedName>
    <definedName name="_TradableAreas" localSheetId="16">OFFSET('Int Room Schedule'!#REF!,0,0,'Int Room Schedule'!#REF!,1)</definedName>
    <definedName name="_TradableAreas" localSheetId="20">OFFSET('[1]Room Schedule'!$AI$8:$AI$66,0,0,'[1]Room Schedule'!$AH$7,1)</definedName>
    <definedName name="_TradableAreas" localSheetId="22">OFFSET('Int Room Schedule'!#REF!,0,0,'Int Room Schedule'!#REF!,1)</definedName>
    <definedName name="_TradableAreas" localSheetId="11">OFFSET('Ext Area Schedule'!$Y$16:$Y$74,0,0,'Ext Area Schedule'!$X$14,1)</definedName>
    <definedName name="_TradableAreas" localSheetId="14">OFFSET('Int Room Schedule'!#REF!,0,0,'Int Room Schedule'!#REF!,1)</definedName>
    <definedName name="_TradableAreas" localSheetId="12">OFFSET('Int Room Schedule'!#REF!,0,0,'Int Room Schedule'!#REF!,1)</definedName>
    <definedName name="_TradableAreas" localSheetId="2">OFFSET('Int Room Schedule'!#REF!,0,0,'Int Room Schedule'!#REF!,1)</definedName>
    <definedName name="_TradableAreas" localSheetId="15">OFFSET('Int Room Schedule'!#REF!,0,0,'Int Room Schedule'!#REF!,1)</definedName>
    <definedName name="_TradableAreas" localSheetId="13">OFFSET('Int Room Schedule'!#REF!,0,0,'Int Room Schedule'!#REF!,1)</definedName>
    <definedName name="_TradableAreas" localSheetId="8">OFFSET('Int Room Schedule'!#REF!,0,0,'Int Room Schedule'!#REF!,1)</definedName>
    <definedName name="_TradableAreas">OFFSET('Int Room Schedule'!#REF!,0,0,'Int Room Schedule'!#REF!,1)</definedName>
    <definedName name="_TradableTable" localSheetId="11">'Ext Area Schedule'!$H$16:$L$65</definedName>
    <definedName name="_TradableTableAllowed">'9.4.3 Tables'!$B$15:$H$27</definedName>
    <definedName name="_UserSpaces" localSheetId="6">'SpxSp (step-a)'!$AN$22:$AQ$71</definedName>
    <definedName name="_Year_Space_List" comment="6/2020 - Array of 2010, 2016, 2019 and _2010_Space_List... used for two level lookup in _Space_List">'9.6 Table'!$N$334:$P$336</definedName>
    <definedName name="_YesNoExemptNA">LISTS!$J$3:$J$6</definedName>
    <definedName name="Alteration_Options" localSheetId="17">#REF!</definedName>
    <definedName name="Alteration_Options">#REF!</definedName>
    <definedName name="Alterations_Detail" localSheetId="17">#REF!</definedName>
    <definedName name="Alterations_Detail">#REF!</definedName>
    <definedName name="Alterations_Space_List" localSheetId="17">OFFSET(#REF!,0,1,#REF!,1)</definedName>
    <definedName name="Alterations_Space_List">OFFSET(#REF!,0,1,#REF!,1)</definedName>
    <definedName name="Alterations_Step2" localSheetId="17">#REF!</definedName>
    <definedName name="Alterations_Step2">#REF!</definedName>
    <definedName name="Alterations_Top" localSheetId="17">#REF!</definedName>
    <definedName name="Alterations_Top">#REF!</definedName>
    <definedName name="BuildingType">LISTS!$E$2:$E$35</definedName>
    <definedName name="CMs">LISTS!$A$38:$A$49</definedName>
    <definedName name="ComCodes">LISTS!$A$2:$A$6</definedName>
    <definedName name="Compliance_Space_by_Space">'Main Compliance Page'!$AD$1</definedName>
    <definedName name="Compliance_Version">'Main Compliance Page'!$B$158:$B$159</definedName>
    <definedName name="Compliance_Version_Choice">'Main Compliance Page'!$AC$1</definedName>
    <definedName name="Compliance_Version_Year">'Main Compliance Page'!$AB$1</definedName>
    <definedName name="CSTs">LISTS!$C$38:$C$51</definedName>
    <definedName name="Exception" localSheetId="17">#REF!</definedName>
    <definedName name="Exception">#REF!</definedName>
    <definedName name="Exception_List" localSheetId="17">#REF!</definedName>
    <definedName name="Exception_List">#REF!</definedName>
    <definedName name="Ext_Nontradable_Areas_2010">'9.4.3 Tables'!$B$71:$B$79</definedName>
    <definedName name="Ext_Nontradable_Areas_2016">'9.4.3 Tables'!$B$115:$B$123</definedName>
    <definedName name="Ext_Nontradable_Areas_2019">'9.4.3 Tables'!$B$156:$B$164</definedName>
    <definedName name="Ext_Tradable_Areas_2010">'9.4.3 Tables'!$B$57:$B$69</definedName>
    <definedName name="Ext_Tradable_Areas_2016">'9.4.3 Tables'!$B$101:$B$113</definedName>
    <definedName name="Ext_Tradable_Areas_2019">'9.4.3 Tables'!$B$142:$B$154</definedName>
    <definedName name="Exterior_Tradable_Areas">OFFSET('Ext Area Schedule'!$X$16:$AB$65,0,1,'Ext Area Schedule'!$X$14,1)</definedName>
    <definedName name="Exterior_Tradable_Installed" localSheetId="14">'Ext Nontradable'!$B$26:$I$26</definedName>
    <definedName name="Exterior_Tradable_Installed">'Ext Tradable'!$B$26:$I$26</definedName>
    <definedName name="ExternalData_1" localSheetId="11" hidden="1">'Ext Area Schedule'!#REF!</definedName>
    <definedName name="ExternalData_1" localSheetId="4" hidden="1">'Int Room Schedule'!#REF!</definedName>
    <definedName name="FixtureTypes" localSheetId="17">#REF!</definedName>
    <definedName name="FixtureTypes">#REF!</definedName>
    <definedName name="FQUnits">LISTS!$A$9:$A$10</definedName>
    <definedName name="LZs">LISTS!$A$55:$F$59</definedName>
    <definedName name="NO1_E" localSheetId="17">#REF!</definedName>
    <definedName name="NO1_E">#REF!</definedName>
    <definedName name="NO1_N" localSheetId="17">#REF!</definedName>
    <definedName name="NO1_N">#REF!</definedName>
    <definedName name="NO2_E" localSheetId="17">#REF!</definedName>
    <definedName name="NO2_E">#REF!</definedName>
    <definedName name="NO2_N" localSheetId="17">#REF!</definedName>
    <definedName name="NO2_N">#REF!</definedName>
    <definedName name="None_E" localSheetId="17">#REF!</definedName>
    <definedName name="None_E">#REF!</definedName>
    <definedName name="None_N" localSheetId="17">#REF!</definedName>
    <definedName name="None_N">#REF!</definedName>
    <definedName name="nontradable">LISTS!$W$17:$W$25</definedName>
    <definedName name="Nontradableunits">LISTS!$X$17:$X$25</definedName>
    <definedName name="_xlnm.Print_Area" localSheetId="17">'9.3 Ext Simplified'!$A$1:$AB$48</definedName>
    <definedName name="_xlnm.Print_Area" localSheetId="16">'9.3 Int Simplified'!$A$1:$AJ$48</definedName>
    <definedName name="_xlnm.Print_Area" localSheetId="5">'Building Area Method'!$A$1:$AR$48</definedName>
    <definedName name="_xlnm.Print_Area" localSheetId="11">'Ext Area Schedule'!$G$1:$R$66</definedName>
    <definedName name="_xlnm.Print_Area" localSheetId="14">'Ext Nontradable'!$I$1:$Y$14</definedName>
    <definedName name="_xlnm.Print_Area" localSheetId="12">'Ext Tradable'!$I$1:$S$14</definedName>
    <definedName name="_xlnm.Print_Area" localSheetId="4">'Int Room Schedule'!$G$1:$V$65</definedName>
    <definedName name="_xlnm.Print_Area" localSheetId="3">'Luminaire Schedule'!$G$1:$AB$81</definedName>
    <definedName name="_xlnm.Print_Area" localSheetId="0">'Main Compliance Page'!$I$1:$Z$126</definedName>
    <definedName name="RetailType">LISTS!$A$32:$A$35</definedName>
    <definedName name="SBuildingType">LISTS!$H$2:$H$22</definedName>
    <definedName name="SourceType">LISTS!$K$27:$K$36</definedName>
    <definedName name="SSpaceType">LISTS!$N$26:$N$102</definedName>
    <definedName name="SSpaceType2">LISTS!$N$26:$N$120</definedName>
    <definedName name="SSpaceType3">LISTS!$N$27:$N$120</definedName>
    <definedName name="STEP2" localSheetId="17">'9.3 Ext Simplified'!$C$49:$AA$58</definedName>
    <definedName name="STEP2" localSheetId="16">'9.3 Int Simplified'!$C$49:$AI$58</definedName>
    <definedName name="STEP2" localSheetId="5">'Building Area Method'!$C$49:$AO$58</definedName>
    <definedName name="STEP2B" localSheetId="6">'SpxSp (step-a)'!$B$15:$W$74</definedName>
    <definedName name="STEP4A" localSheetId="6">'SpxSp (step-b)'!$B$15:$AE$77</definedName>
    <definedName name="STEP4B" localSheetId="14">'Ext Nontradable'!$B$15:$AE$47</definedName>
    <definedName name="STEP4B" localSheetId="12">'Ext Tradable'!$B$15:$Y$47</definedName>
    <definedName name="STEP5">'Main Compliance Page'!$B$149:$AD$173</definedName>
    <definedName name="Tradable">'9.4.3 Tables'!$B$15:$B$27</definedName>
    <definedName name="YesNo">LISTS!$A$13:$A$14</definedName>
    <definedName name="YesNoNA">LISTS!$A$17:$A$20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28" l="1"/>
  <c r="M20" i="28"/>
  <c r="M19" i="28"/>
  <c r="M16" i="28"/>
  <c r="M17" i="8" l="1"/>
  <c r="R19" i="42" l="1"/>
  <c r="R20" i="42"/>
  <c r="R21" i="42"/>
  <c r="R22" i="42"/>
  <c r="R23" i="42"/>
  <c r="R24" i="42"/>
  <c r="R25" i="42"/>
  <c r="R26" i="42"/>
  <c r="R27" i="42"/>
  <c r="R28" i="42"/>
  <c r="R29" i="42"/>
  <c r="R30" i="42"/>
  <c r="R31" i="42"/>
  <c r="R32" i="42"/>
  <c r="R33" i="42"/>
  <c r="R34" i="42"/>
  <c r="R35" i="42"/>
  <c r="R36" i="42"/>
  <c r="R37" i="42"/>
  <c r="R38" i="42"/>
  <c r="R39" i="42"/>
  <c r="R40" i="42"/>
  <c r="R41" i="42"/>
  <c r="R42" i="42"/>
  <c r="R43" i="42"/>
  <c r="R44" i="42"/>
  <c r="R45" i="42"/>
  <c r="R46" i="42"/>
  <c r="R47" i="42"/>
  <c r="R48" i="42"/>
  <c r="R49" i="42"/>
  <c r="R50" i="42"/>
  <c r="R51" i="42"/>
  <c r="R52" i="42"/>
  <c r="R53" i="42"/>
  <c r="R54" i="42"/>
  <c r="R55" i="42"/>
  <c r="R56" i="42"/>
  <c r="R57" i="42"/>
  <c r="R58" i="42"/>
  <c r="R59" i="42"/>
  <c r="R60" i="42"/>
  <c r="R61" i="42"/>
  <c r="R62" i="42"/>
  <c r="R63" i="42"/>
  <c r="R64" i="42"/>
  <c r="R65" i="42"/>
  <c r="R66" i="42"/>
  <c r="R67" i="42"/>
  <c r="R17" i="42"/>
  <c r="AM30" i="60" l="1"/>
  <c r="AN30" i="60"/>
  <c r="AQ30" i="60" s="1"/>
  <c r="AT30" i="60"/>
  <c r="AM31" i="60"/>
  <c r="AN31" i="60"/>
  <c r="AQ31" i="60" s="1"/>
  <c r="AT31" i="60"/>
  <c r="AM32" i="60"/>
  <c r="AN32" i="60"/>
  <c r="AQ32" i="60" s="1"/>
  <c r="AT32" i="60"/>
  <c r="AM33" i="60"/>
  <c r="AN33" i="60"/>
  <c r="AQ33" i="60" s="1"/>
  <c r="AT33" i="60"/>
  <c r="AM34" i="60"/>
  <c r="AN34" i="60"/>
  <c r="AQ34" i="60" s="1"/>
  <c r="AT34" i="60"/>
  <c r="AM35" i="60"/>
  <c r="AN35" i="60"/>
  <c r="AQ35" i="60"/>
  <c r="AT35" i="60"/>
  <c r="AM36" i="60"/>
  <c r="AN36" i="60"/>
  <c r="AQ36" i="60" s="1"/>
  <c r="AT36" i="60"/>
  <c r="AM37" i="60"/>
  <c r="AN37" i="60"/>
  <c r="AQ37" i="60" s="1"/>
  <c r="AT37" i="60"/>
  <c r="AM38" i="60"/>
  <c r="AN38" i="60"/>
  <c r="AQ38" i="60" s="1"/>
  <c r="AT38" i="60"/>
  <c r="AM39" i="60"/>
  <c r="AN39" i="60"/>
  <c r="AQ39" i="60" s="1"/>
  <c r="AT39" i="60"/>
  <c r="AM40" i="60"/>
  <c r="AN40" i="60"/>
  <c r="AQ40" i="60" s="1"/>
  <c r="AT40" i="60"/>
  <c r="AM41" i="60"/>
  <c r="AN41" i="60"/>
  <c r="AQ41" i="60" s="1"/>
  <c r="AT41" i="60"/>
  <c r="AM42" i="60"/>
  <c r="AN42" i="60"/>
  <c r="AQ42" i="60" s="1"/>
  <c r="AT42" i="60"/>
  <c r="AM43" i="60"/>
  <c r="AN43" i="60"/>
  <c r="AQ43" i="60" s="1"/>
  <c r="AT43" i="60"/>
  <c r="AM44" i="60"/>
  <c r="AN44" i="60"/>
  <c r="AQ44" i="60" s="1"/>
  <c r="AT44" i="60"/>
  <c r="AM45" i="60"/>
  <c r="AN45" i="60"/>
  <c r="AQ45" i="60" s="1"/>
  <c r="AT45" i="60"/>
  <c r="AM46" i="60"/>
  <c r="AN46" i="60"/>
  <c r="AQ46" i="60" s="1"/>
  <c r="AT46" i="60"/>
  <c r="AN23" i="60"/>
  <c r="AN24" i="60"/>
  <c r="AN25" i="60"/>
  <c r="AQ25" i="60" s="1"/>
  <c r="AN26" i="60"/>
  <c r="AQ26" i="60" s="1"/>
  <c r="AN27" i="60"/>
  <c r="AN28" i="60"/>
  <c r="AQ28" i="60" s="1"/>
  <c r="AN29" i="60"/>
  <c r="AQ29" i="60" s="1"/>
  <c r="AN22" i="60"/>
  <c r="AM23" i="60"/>
  <c r="AM24" i="60"/>
  <c r="AM25" i="60"/>
  <c r="AM26" i="60"/>
  <c r="AM27" i="60"/>
  <c r="AM28" i="60"/>
  <c r="AM29" i="60"/>
  <c r="AM22" i="60"/>
  <c r="AT29" i="60"/>
  <c r="AT28" i="60"/>
  <c r="AT27" i="60"/>
  <c r="AQ27" i="60"/>
  <c r="AT26" i="60"/>
  <c r="AT25" i="60"/>
  <c r="AZ33" i="58"/>
  <c r="BA33" i="58"/>
  <c r="BD33" i="58" s="1"/>
  <c r="BG33" i="58"/>
  <c r="AZ34" i="58"/>
  <c r="BA34" i="58"/>
  <c r="BD34" i="58" s="1"/>
  <c r="BG34" i="58"/>
  <c r="AZ35" i="58"/>
  <c r="BA35" i="58"/>
  <c r="BD35" i="58" s="1"/>
  <c r="BG35" i="58"/>
  <c r="AZ36" i="58"/>
  <c r="BA36" i="58"/>
  <c r="BD36" i="58"/>
  <c r="BG36" i="58"/>
  <c r="AZ37" i="58"/>
  <c r="BA37" i="58"/>
  <c r="BD37" i="58" s="1"/>
  <c r="BG37" i="58"/>
  <c r="AZ38" i="58"/>
  <c r="BA38" i="58"/>
  <c r="BD38" i="58"/>
  <c r="BG38" i="58"/>
  <c r="AZ39" i="58"/>
  <c r="BA39" i="58"/>
  <c r="BD39" i="58" s="1"/>
  <c r="BG39" i="58"/>
  <c r="AZ40" i="58"/>
  <c r="BA40" i="58"/>
  <c r="BD40" i="58" s="1"/>
  <c r="BG40" i="58"/>
  <c r="AZ41" i="58"/>
  <c r="BA41" i="58"/>
  <c r="BD41" i="58" s="1"/>
  <c r="BG41" i="58"/>
  <c r="AZ42" i="58"/>
  <c r="BA42" i="58"/>
  <c r="BD42" i="58" s="1"/>
  <c r="BG42" i="58"/>
  <c r="AZ43" i="58"/>
  <c r="BA43" i="58"/>
  <c r="BD43" i="58" s="1"/>
  <c r="BG43" i="58"/>
  <c r="AZ44" i="58"/>
  <c r="BA44" i="58"/>
  <c r="BD44" i="58"/>
  <c r="BG44" i="58"/>
  <c r="AZ45" i="58"/>
  <c r="BA45" i="58"/>
  <c r="BD45" i="58" s="1"/>
  <c r="BG45" i="58"/>
  <c r="AZ46" i="58"/>
  <c r="BA46" i="58"/>
  <c r="BD46" i="58" s="1"/>
  <c r="BG46" i="58"/>
  <c r="S11" i="60"/>
  <c r="T28" i="60" s="1"/>
  <c r="R21" i="58"/>
  <c r="BG28" i="58"/>
  <c r="BG30" i="58"/>
  <c r="BG31" i="58"/>
  <c r="BG32" i="58"/>
  <c r="AZ30" i="58"/>
  <c r="AZ31" i="58"/>
  <c r="AZ32" i="58"/>
  <c r="AZ22" i="58"/>
  <c r="AZ23" i="58"/>
  <c r="AZ24" i="58"/>
  <c r="AZ25" i="58"/>
  <c r="AZ26" i="58"/>
  <c r="AZ27" i="58"/>
  <c r="AZ28" i="58"/>
  <c r="AZ29" i="58"/>
  <c r="BA23" i="58"/>
  <c r="BA24" i="58"/>
  <c r="BA25" i="58"/>
  <c r="BA26" i="58"/>
  <c r="BA27" i="58"/>
  <c r="BA28" i="58"/>
  <c r="BD28" i="58" s="1"/>
  <c r="BA29" i="58"/>
  <c r="BA30" i="58"/>
  <c r="BD30" i="58" s="1"/>
  <c r="BA31" i="58"/>
  <c r="BD31" i="58" s="1"/>
  <c r="BA32" i="58"/>
  <c r="BD32" i="58" s="1"/>
  <c r="BA22" i="58"/>
  <c r="Q9" i="58"/>
  <c r="Q18" i="58" s="1"/>
  <c r="R44" i="58" l="1"/>
  <c r="R40" i="58"/>
  <c r="R36" i="58"/>
  <c r="R32" i="58"/>
  <c r="R43" i="58"/>
  <c r="R39" i="58"/>
  <c r="R35" i="58"/>
  <c r="R31" i="58"/>
  <c r="R46" i="58"/>
  <c r="R42" i="58"/>
  <c r="R38" i="58"/>
  <c r="R34" i="58"/>
  <c r="R30" i="58"/>
  <c r="R45" i="58"/>
  <c r="R41" i="58"/>
  <c r="R37" i="58"/>
  <c r="R33" i="58"/>
  <c r="R28" i="58"/>
  <c r="S17" i="60"/>
  <c r="T46" i="60"/>
  <c r="T38" i="60"/>
  <c r="T30" i="60"/>
  <c r="T39" i="60"/>
  <c r="S18" i="60"/>
  <c r="T43" i="60"/>
  <c r="T35" i="60"/>
  <c r="T27" i="60"/>
  <c r="T31" i="60"/>
  <c r="T42" i="60"/>
  <c r="T34" i="60"/>
  <c r="T26" i="60"/>
  <c r="T45" i="60"/>
  <c r="T41" i="60"/>
  <c r="T37" i="60"/>
  <c r="T33" i="60"/>
  <c r="T29" i="60"/>
  <c r="T25" i="60"/>
  <c r="T44" i="60"/>
  <c r="T40" i="60"/>
  <c r="T36" i="60"/>
  <c r="T32" i="60"/>
  <c r="J18" i="58"/>
  <c r="Q17" i="58"/>
  <c r="K91" i="5"/>
  <c r="J95" i="5"/>
  <c r="J99" i="5"/>
  <c r="J97" i="5"/>
  <c r="P46" i="60"/>
  <c r="P45" i="60"/>
  <c r="AE45" i="60" s="1"/>
  <c r="P44" i="60"/>
  <c r="Q44" i="60" s="1"/>
  <c r="P43" i="60"/>
  <c r="AE43" i="60" s="1"/>
  <c r="P42" i="60"/>
  <c r="Q42" i="60" s="1"/>
  <c r="P41" i="60"/>
  <c r="AE41" i="60" s="1"/>
  <c r="P40" i="60"/>
  <c r="AE40" i="60" s="1"/>
  <c r="P39" i="60"/>
  <c r="AE39" i="60" s="1"/>
  <c r="P38" i="60"/>
  <c r="AE38" i="60" s="1"/>
  <c r="P37" i="60"/>
  <c r="Q37" i="60" s="1"/>
  <c r="P36" i="60"/>
  <c r="AE36" i="60" s="1"/>
  <c r="P35" i="60"/>
  <c r="AE35" i="60" s="1"/>
  <c r="P34" i="60"/>
  <c r="Q34" i="60" s="1"/>
  <c r="P33" i="60"/>
  <c r="Q33" i="60" s="1"/>
  <c r="P32" i="60"/>
  <c r="AE32" i="60" s="1"/>
  <c r="P31" i="60"/>
  <c r="AE31" i="60" s="1"/>
  <c r="P30" i="60"/>
  <c r="AE30" i="60" s="1"/>
  <c r="P29" i="60"/>
  <c r="Q29" i="60" s="1"/>
  <c r="P28" i="60"/>
  <c r="AE28" i="60" s="1"/>
  <c r="P27" i="60"/>
  <c r="AE27" i="60" s="1"/>
  <c r="P26" i="60"/>
  <c r="AE26" i="60" s="1"/>
  <c r="P25" i="60"/>
  <c r="Q25" i="60" s="1"/>
  <c r="E85" i="59"/>
  <c r="E92" i="59" s="1"/>
  <c r="Z17" i="60"/>
  <c r="AH11" i="60" s="1"/>
  <c r="X17" i="60"/>
  <c r="AG11" i="60" s="1"/>
  <c r="V17" i="60"/>
  <c r="AF11" i="60" s="1"/>
  <c r="AE46" i="60"/>
  <c r="N46" i="58"/>
  <c r="BE46" i="58" s="1"/>
  <c r="N45" i="58"/>
  <c r="BE45" i="58" s="1"/>
  <c r="N44" i="58"/>
  <c r="BE44" i="58" s="1"/>
  <c r="N43" i="58"/>
  <c r="BE43" i="58" s="1"/>
  <c r="N42" i="58"/>
  <c r="BE42" i="58" s="1"/>
  <c r="N41" i="58"/>
  <c r="BE41" i="58" s="1"/>
  <c r="N40" i="58"/>
  <c r="BE40" i="58" s="1"/>
  <c r="N39" i="58"/>
  <c r="BE39" i="58" s="1"/>
  <c r="N38" i="58"/>
  <c r="BE38" i="58" s="1"/>
  <c r="N37" i="58"/>
  <c r="BE37" i="58" s="1"/>
  <c r="N36" i="58"/>
  <c r="BE36" i="58" s="1"/>
  <c r="N35" i="58"/>
  <c r="BE35" i="58" s="1"/>
  <c r="N34" i="58"/>
  <c r="BE34" i="58" s="1"/>
  <c r="N33" i="58"/>
  <c r="BE33" i="58" s="1"/>
  <c r="N32" i="58"/>
  <c r="BE32" i="58" s="1"/>
  <c r="N31" i="58"/>
  <c r="BE31" i="58" s="1"/>
  <c r="N28" i="58"/>
  <c r="BE28" i="58" s="1"/>
  <c r="O46" i="60"/>
  <c r="AR46" i="60" s="1"/>
  <c r="O45" i="60"/>
  <c r="AR45" i="60" s="1"/>
  <c r="O44" i="60"/>
  <c r="AR44" i="60" s="1"/>
  <c r="O43" i="60"/>
  <c r="AR43" i="60" s="1"/>
  <c r="O42" i="60"/>
  <c r="AR42" i="60" s="1"/>
  <c r="O41" i="60"/>
  <c r="AR41" i="60" s="1"/>
  <c r="O40" i="60"/>
  <c r="AR40" i="60" s="1"/>
  <c r="O39" i="60"/>
  <c r="AR39" i="60" s="1"/>
  <c r="O38" i="60"/>
  <c r="AR38" i="60" s="1"/>
  <c r="O37" i="60"/>
  <c r="AR37" i="60" s="1"/>
  <c r="O36" i="60"/>
  <c r="AR36" i="60" s="1"/>
  <c r="O35" i="60"/>
  <c r="AR35" i="60" s="1"/>
  <c r="O34" i="60"/>
  <c r="AR34" i="60" s="1"/>
  <c r="O33" i="60"/>
  <c r="AR33" i="60" s="1"/>
  <c r="O32" i="60"/>
  <c r="AR32" i="60" s="1"/>
  <c r="O31" i="60"/>
  <c r="AR31" i="60" s="1"/>
  <c r="O30" i="60"/>
  <c r="AR30" i="60" s="1"/>
  <c r="O29" i="60"/>
  <c r="AR29" i="60" s="1"/>
  <c r="O28" i="60"/>
  <c r="AR28" i="60" s="1"/>
  <c r="O27" i="60"/>
  <c r="AR27" i="60" s="1"/>
  <c r="O26" i="60"/>
  <c r="AR26" i="60" s="1"/>
  <c r="O25" i="60"/>
  <c r="AR25" i="60" s="1"/>
  <c r="C56" i="60"/>
  <c r="C55" i="60"/>
  <c r="L55" i="60" s="1"/>
  <c r="C54" i="60"/>
  <c r="C53" i="60"/>
  <c r="L53" i="60" s="1"/>
  <c r="C52" i="60"/>
  <c r="L52" i="60" s="1"/>
  <c r="C51" i="60"/>
  <c r="L51" i="60" s="1"/>
  <c r="C46" i="60"/>
  <c r="C45" i="60"/>
  <c r="C44" i="60"/>
  <c r="C43" i="60"/>
  <c r="C42" i="60"/>
  <c r="C41" i="60"/>
  <c r="C40" i="60"/>
  <c r="C39" i="60"/>
  <c r="C38" i="60"/>
  <c r="C37" i="60"/>
  <c r="C36" i="60"/>
  <c r="C35" i="60"/>
  <c r="C34" i="60"/>
  <c r="C33" i="60"/>
  <c r="C32" i="60"/>
  <c r="C31" i="60"/>
  <c r="C30" i="60"/>
  <c r="C29" i="60"/>
  <c r="C28" i="60"/>
  <c r="C27" i="60"/>
  <c r="C26" i="60"/>
  <c r="C25" i="60"/>
  <c r="C24" i="60"/>
  <c r="C23" i="60"/>
  <c r="X23" i="60" s="1"/>
  <c r="C22" i="60"/>
  <c r="X22" i="60" s="1"/>
  <c r="V3" i="60"/>
  <c r="V5" i="60" s="1"/>
  <c r="AJ30" i="60" l="1"/>
  <c r="AB30" i="60" s="1"/>
  <c r="AP30" i="60"/>
  <c r="AO30" i="60"/>
  <c r="AS30" i="60" s="1"/>
  <c r="AJ38" i="60"/>
  <c r="AB38" i="60" s="1"/>
  <c r="AP38" i="60"/>
  <c r="AO38" i="60"/>
  <c r="AS38" i="60" s="1"/>
  <c r="AJ46" i="60"/>
  <c r="AB46" i="60" s="1"/>
  <c r="AO46" i="60"/>
  <c r="AS46" i="60" s="1"/>
  <c r="AP46" i="60"/>
  <c r="V27" i="60"/>
  <c r="AP27" i="60"/>
  <c r="AO27" i="60"/>
  <c r="AS27" i="60" s="1"/>
  <c r="AJ31" i="60"/>
  <c r="AB31" i="60" s="1"/>
  <c r="AO31" i="60"/>
  <c r="AS31" i="60" s="1"/>
  <c r="AP31" i="60"/>
  <c r="AJ39" i="60"/>
  <c r="AB39" i="60" s="1"/>
  <c r="AO39" i="60"/>
  <c r="AS39" i="60" s="1"/>
  <c r="AP39" i="60"/>
  <c r="AP28" i="60"/>
  <c r="AO28" i="60"/>
  <c r="AS28" i="60" s="1"/>
  <c r="AO32" i="60"/>
  <c r="AS32" i="60" s="1"/>
  <c r="AP32" i="60"/>
  <c r="Z36" i="60"/>
  <c r="AO36" i="60"/>
  <c r="AS36" i="60" s="1"/>
  <c r="AP36" i="60"/>
  <c r="AP40" i="60"/>
  <c r="AO40" i="60"/>
  <c r="AS40" i="60" s="1"/>
  <c r="Z44" i="60"/>
  <c r="AO44" i="60"/>
  <c r="AS44" i="60" s="1"/>
  <c r="AP44" i="60"/>
  <c r="AJ26" i="60"/>
  <c r="AP26" i="60"/>
  <c r="AO26" i="60"/>
  <c r="AS26" i="60" s="1"/>
  <c r="AJ34" i="60"/>
  <c r="AB34" i="60" s="1"/>
  <c r="AO34" i="60"/>
  <c r="AS34" i="60" s="1"/>
  <c r="AP34" i="60"/>
  <c r="AJ42" i="60"/>
  <c r="AP42" i="60"/>
  <c r="AO42" i="60"/>
  <c r="AS42" i="60" s="1"/>
  <c r="AJ35" i="60"/>
  <c r="AB35" i="60" s="1"/>
  <c r="AO35" i="60"/>
  <c r="AS35" i="60" s="1"/>
  <c r="AP35" i="60"/>
  <c r="AJ43" i="60"/>
  <c r="AB43" i="60" s="1"/>
  <c r="AO43" i="60"/>
  <c r="AS43" i="60" s="1"/>
  <c r="AP43" i="60"/>
  <c r="Z25" i="60"/>
  <c r="AP25" i="60"/>
  <c r="AO25" i="60"/>
  <c r="AS25" i="60" s="1"/>
  <c r="Z29" i="60"/>
  <c r="AP29" i="60"/>
  <c r="AO29" i="60"/>
  <c r="AS29" i="60" s="1"/>
  <c r="AJ33" i="60"/>
  <c r="AB33" i="60" s="1"/>
  <c r="AP33" i="60"/>
  <c r="AO33" i="60"/>
  <c r="AS33" i="60" s="1"/>
  <c r="AJ37" i="60"/>
  <c r="AB37" i="60" s="1"/>
  <c r="AP37" i="60"/>
  <c r="AO37" i="60"/>
  <c r="AS37" i="60" s="1"/>
  <c r="AJ41" i="60"/>
  <c r="AP41" i="60"/>
  <c r="AO41" i="60"/>
  <c r="AS41" i="60" s="1"/>
  <c r="AJ45" i="60"/>
  <c r="AO45" i="60"/>
  <c r="AS45" i="60" s="1"/>
  <c r="AP45" i="60"/>
  <c r="AJ29" i="60"/>
  <c r="AJ25" i="60"/>
  <c r="AJ44" i="60"/>
  <c r="AB44" i="60" s="1"/>
  <c r="AJ40" i="60"/>
  <c r="AB40" i="60" s="1"/>
  <c r="AJ36" i="60"/>
  <c r="AB36" i="60" s="1"/>
  <c r="AJ32" i="60"/>
  <c r="AB32" i="60" s="1"/>
  <c r="AJ28" i="60"/>
  <c r="AB28" i="60" s="1"/>
  <c r="AJ27" i="60"/>
  <c r="V23" i="60"/>
  <c r="AF23" i="60" s="1"/>
  <c r="X31" i="60"/>
  <c r="Z31" i="60"/>
  <c r="V44" i="60"/>
  <c r="X35" i="60"/>
  <c r="Z35" i="60"/>
  <c r="X39" i="60"/>
  <c r="Z39" i="60"/>
  <c r="M41" i="60"/>
  <c r="X27" i="60"/>
  <c r="Z27" i="60"/>
  <c r="E96" i="59"/>
  <c r="P24" i="60" s="1"/>
  <c r="AE24" i="60" s="1"/>
  <c r="E91" i="59"/>
  <c r="E89" i="59"/>
  <c r="E93" i="59" s="1"/>
  <c r="E97" i="59" s="1"/>
  <c r="E90" i="59"/>
  <c r="P22" i="60" s="1"/>
  <c r="Q22" i="60" s="1"/>
  <c r="M13" i="60" s="1"/>
  <c r="AE37" i="60"/>
  <c r="AE29" i="60"/>
  <c r="AE34" i="60"/>
  <c r="Q46" i="60"/>
  <c r="Q38" i="60"/>
  <c r="Q30" i="60"/>
  <c r="AE42" i="60"/>
  <c r="Q26" i="60"/>
  <c r="Q43" i="60"/>
  <c r="Q35" i="60"/>
  <c r="Q27" i="60"/>
  <c r="Q39" i="60"/>
  <c r="Q31" i="60"/>
  <c r="AE44" i="60"/>
  <c r="AE25" i="60"/>
  <c r="AE33" i="60"/>
  <c r="Q24" i="60"/>
  <c r="Q45" i="60"/>
  <c r="Q41" i="60"/>
  <c r="Q40" i="60"/>
  <c r="Q36" i="60"/>
  <c r="Q32" i="60"/>
  <c r="Q28" i="60"/>
  <c r="V28" i="60"/>
  <c r="V32" i="60"/>
  <c r="V36" i="60"/>
  <c r="V40" i="60"/>
  <c r="X43" i="60"/>
  <c r="Z22" i="60"/>
  <c r="Z43" i="60"/>
  <c r="V25" i="60"/>
  <c r="V29" i="60"/>
  <c r="V33" i="60"/>
  <c r="V37" i="60"/>
  <c r="V41" i="60"/>
  <c r="V45" i="60"/>
  <c r="X24" i="60"/>
  <c r="AG24" i="60" s="1"/>
  <c r="X28" i="60"/>
  <c r="X32" i="60"/>
  <c r="X36" i="60"/>
  <c r="X40" i="60"/>
  <c r="X44" i="60"/>
  <c r="Z23" i="60"/>
  <c r="AH23" i="60" s="1"/>
  <c r="Z28" i="60"/>
  <c r="Z32" i="60"/>
  <c r="Z40" i="60"/>
  <c r="V26" i="60"/>
  <c r="V30" i="60"/>
  <c r="V34" i="60"/>
  <c r="V38" i="60"/>
  <c r="V42" i="60"/>
  <c r="V46" i="60"/>
  <c r="X25" i="60"/>
  <c r="X29" i="60"/>
  <c r="X33" i="60"/>
  <c r="X37" i="60"/>
  <c r="X41" i="60"/>
  <c r="X45" i="60"/>
  <c r="Z33" i="60"/>
  <c r="Z37" i="60"/>
  <c r="Z41" i="60"/>
  <c r="Z45" i="60"/>
  <c r="V22" i="60"/>
  <c r="V31" i="60"/>
  <c r="V35" i="60"/>
  <c r="V39" i="60"/>
  <c r="V43" i="60"/>
  <c r="X26" i="60"/>
  <c r="X30" i="60"/>
  <c r="X34" i="60"/>
  <c r="X38" i="60"/>
  <c r="X42" i="60"/>
  <c r="X46" i="60"/>
  <c r="Z26" i="60"/>
  <c r="Z30" i="60"/>
  <c r="Z34" i="60"/>
  <c r="Z38" i="60"/>
  <c r="Z42" i="60"/>
  <c r="Z46" i="60"/>
  <c r="Z24" i="60"/>
  <c r="AH24" i="60" s="1"/>
  <c r="V24" i="60"/>
  <c r="AF24" i="60" s="1"/>
  <c r="M35" i="60"/>
  <c r="N34" i="60"/>
  <c r="AG34" i="60"/>
  <c r="N28" i="60"/>
  <c r="N37" i="60"/>
  <c r="M39" i="60"/>
  <c r="N43" i="60"/>
  <c r="AH32" i="60"/>
  <c r="AH35" i="60"/>
  <c r="AH37" i="60"/>
  <c r="N39" i="60"/>
  <c r="AH41" i="60"/>
  <c r="AG43" i="60"/>
  <c r="AH39" i="60"/>
  <c r="AF44" i="60"/>
  <c r="AD23" i="60"/>
  <c r="N30" i="60"/>
  <c r="N35" i="60"/>
  <c r="AG35" i="60"/>
  <c r="AD37" i="60"/>
  <c r="AD39" i="60"/>
  <c r="N41" i="60"/>
  <c r="AG41" i="60"/>
  <c r="M42" i="60"/>
  <c r="AG42" i="60"/>
  <c r="AB42" i="60"/>
  <c r="AH43" i="60"/>
  <c r="M45" i="60"/>
  <c r="AG45" i="60"/>
  <c r="AD30" i="60"/>
  <c r="AF36" i="60"/>
  <c r="AH30" i="60"/>
  <c r="AD32" i="60"/>
  <c r="AD43" i="60"/>
  <c r="N45" i="60"/>
  <c r="AH45" i="60"/>
  <c r="AH28" i="60"/>
  <c r="N32" i="60"/>
  <c r="AF33" i="60"/>
  <c r="AD35" i="60"/>
  <c r="M37" i="60"/>
  <c r="AG37" i="60"/>
  <c r="AG39" i="60"/>
  <c r="AD41" i="60"/>
  <c r="AB41" i="60"/>
  <c r="M43" i="60"/>
  <c r="AD45" i="60"/>
  <c r="AB45" i="60"/>
  <c r="AD26" i="60"/>
  <c r="AD22" i="60"/>
  <c r="AH26" i="60"/>
  <c r="N26" i="60"/>
  <c r="AD28" i="60"/>
  <c r="M25" i="60"/>
  <c r="AG25" i="60"/>
  <c r="AH27" i="60"/>
  <c r="AD27" i="60"/>
  <c r="N27" i="60"/>
  <c r="AF27" i="60"/>
  <c r="AH29" i="60"/>
  <c r="AD29" i="60"/>
  <c r="N29" i="60"/>
  <c r="AF29" i="60"/>
  <c r="AH31" i="60"/>
  <c r="AD31" i="60"/>
  <c r="N31" i="60"/>
  <c r="AG31" i="60"/>
  <c r="M31" i="60"/>
  <c r="AF25" i="60"/>
  <c r="AG23" i="60"/>
  <c r="N25" i="60"/>
  <c r="AH25" i="60"/>
  <c r="M27" i="60"/>
  <c r="AG27" i="60"/>
  <c r="M29" i="60"/>
  <c r="AG29" i="60"/>
  <c r="AF31" i="60"/>
  <c r="AH36" i="60"/>
  <c r="AD36" i="60"/>
  <c r="N36" i="60"/>
  <c r="AG36" i="60"/>
  <c r="M36" i="60"/>
  <c r="AD24" i="60"/>
  <c r="AD25" i="60"/>
  <c r="AH33" i="60"/>
  <c r="AD33" i="60"/>
  <c r="N33" i="60"/>
  <c r="AG33" i="60"/>
  <c r="M33" i="60"/>
  <c r="AH44" i="60"/>
  <c r="AD44" i="60"/>
  <c r="N44" i="60"/>
  <c r="AG44" i="60"/>
  <c r="M44" i="60"/>
  <c r="AH38" i="60"/>
  <c r="AD38" i="60"/>
  <c r="N38" i="60"/>
  <c r="AF38" i="60"/>
  <c r="AH46" i="60"/>
  <c r="AD46" i="60"/>
  <c r="N46" i="60"/>
  <c r="AF46" i="60"/>
  <c r="AF26" i="60"/>
  <c r="AF28" i="60"/>
  <c r="AF30" i="60"/>
  <c r="AF32" i="60"/>
  <c r="AH34" i="60"/>
  <c r="AD34" i="60"/>
  <c r="M38" i="60"/>
  <c r="AG38" i="60"/>
  <c r="AH40" i="60"/>
  <c r="AD40" i="60"/>
  <c r="N40" i="60"/>
  <c r="AF40" i="60"/>
  <c r="M46" i="60"/>
  <c r="AG46" i="60"/>
  <c r="L54" i="60"/>
  <c r="L56" i="60"/>
  <c r="M26" i="60"/>
  <c r="AG26" i="60"/>
  <c r="M28" i="60"/>
  <c r="AG28" i="60"/>
  <c r="M30" i="60"/>
  <c r="AG30" i="60"/>
  <c r="M32" i="60"/>
  <c r="AG32" i="60"/>
  <c r="M34" i="60"/>
  <c r="AF34" i="60"/>
  <c r="M40" i="60"/>
  <c r="AG40" i="60"/>
  <c r="AH42" i="60"/>
  <c r="AD42" i="60"/>
  <c r="N42" i="60"/>
  <c r="AF42" i="60"/>
  <c r="AF35" i="60"/>
  <c r="AF37" i="60"/>
  <c r="AF39" i="60"/>
  <c r="AF41" i="60"/>
  <c r="AF43" i="60"/>
  <c r="AF45" i="60"/>
  <c r="K83" i="5"/>
  <c r="K81" i="5"/>
  <c r="K79" i="5"/>
  <c r="P45" i="54"/>
  <c r="P44" i="54"/>
  <c r="P43" i="54"/>
  <c r="P42" i="54"/>
  <c r="P41" i="54"/>
  <c r="P40" i="54"/>
  <c r="P39" i="54"/>
  <c r="P38" i="54"/>
  <c r="P37" i="54"/>
  <c r="P36" i="54"/>
  <c r="P35" i="54"/>
  <c r="P34" i="54"/>
  <c r="P33" i="54"/>
  <c r="P32" i="54"/>
  <c r="P31" i="54"/>
  <c r="P30" i="54"/>
  <c r="N45" i="54"/>
  <c r="N44" i="54"/>
  <c r="N43" i="54"/>
  <c r="N42" i="54"/>
  <c r="N41" i="54"/>
  <c r="N40" i="54"/>
  <c r="N39" i="54"/>
  <c r="N38" i="54"/>
  <c r="N37" i="54"/>
  <c r="N36" i="54"/>
  <c r="N35" i="54"/>
  <c r="N34" i="54"/>
  <c r="N33" i="54"/>
  <c r="N32" i="54"/>
  <c r="N31" i="54"/>
  <c r="N30" i="54"/>
  <c r="AI42" i="60" l="1"/>
  <c r="AI23" i="60"/>
  <c r="AJ23" i="60" s="1"/>
  <c r="AI44" i="60"/>
  <c r="AI41" i="60"/>
  <c r="AI26" i="60"/>
  <c r="AI24" i="60"/>
  <c r="AJ24" i="60" s="1"/>
  <c r="AI40" i="60"/>
  <c r="AI32" i="60"/>
  <c r="AI38" i="60"/>
  <c r="AI29" i="60"/>
  <c r="AI33" i="60"/>
  <c r="AI45" i="60"/>
  <c r="AI34" i="60"/>
  <c r="AI30" i="60"/>
  <c r="AI31" i="60"/>
  <c r="AI25" i="60"/>
  <c r="AI36" i="60"/>
  <c r="AI39" i="60"/>
  <c r="AI46" i="60"/>
  <c r="AI27" i="60"/>
  <c r="AI37" i="60"/>
  <c r="AI43" i="60"/>
  <c r="AI35" i="60"/>
  <c r="AI28" i="60"/>
  <c r="E95" i="59"/>
  <c r="J13" i="60"/>
  <c r="E94" i="59"/>
  <c r="P23" i="60" s="1"/>
  <c r="AE23" i="60" s="1"/>
  <c r="AD47" i="60"/>
  <c r="AE47" i="60" s="1"/>
  <c r="AB25" i="60"/>
  <c r="AB26" i="60"/>
  <c r="AB29" i="60"/>
  <c r="AB27" i="60"/>
  <c r="AH17" i="58"/>
  <c r="AF17" i="58"/>
  <c r="AD17" i="58"/>
  <c r="AB17" i="58"/>
  <c r="Z17" i="58"/>
  <c r="X17" i="58"/>
  <c r="V17" i="58"/>
  <c r="T17" i="58"/>
  <c r="O28" i="58"/>
  <c r="O31" i="58"/>
  <c r="O32" i="58"/>
  <c r="O33" i="58"/>
  <c r="O34" i="58"/>
  <c r="O35" i="58"/>
  <c r="O36" i="58"/>
  <c r="O37" i="58"/>
  <c r="O38" i="58"/>
  <c r="O39" i="58"/>
  <c r="O40" i="58"/>
  <c r="O41" i="58"/>
  <c r="O42" i="58"/>
  <c r="O43" i="58"/>
  <c r="O44" i="58"/>
  <c r="O45" i="58"/>
  <c r="O46" i="58"/>
  <c r="C30" i="58"/>
  <c r="C31" i="58"/>
  <c r="C32" i="58"/>
  <c r="C33" i="58"/>
  <c r="C34" i="58"/>
  <c r="C35" i="58"/>
  <c r="C36" i="58"/>
  <c r="C37" i="58"/>
  <c r="C38" i="58"/>
  <c r="C39" i="58"/>
  <c r="C40" i="58"/>
  <c r="C41" i="58"/>
  <c r="C42" i="58"/>
  <c r="C43" i="58"/>
  <c r="C44" i="58"/>
  <c r="C45" i="58"/>
  <c r="C46" i="58"/>
  <c r="C2" i="59"/>
  <c r="G9" i="59" s="1"/>
  <c r="C29" i="58"/>
  <c r="C28" i="58"/>
  <c r="C27" i="58"/>
  <c r="C26" i="58"/>
  <c r="C25" i="58"/>
  <c r="C24" i="58"/>
  <c r="C23" i="58"/>
  <c r="C22" i="58"/>
  <c r="AW45" i="58" l="1"/>
  <c r="BC45" i="58"/>
  <c r="BB45" i="58"/>
  <c r="BF45" i="58" s="1"/>
  <c r="AD41" i="58"/>
  <c r="BC41" i="58"/>
  <c r="BB41" i="58"/>
  <c r="BF41" i="58" s="1"/>
  <c r="AW37" i="58"/>
  <c r="BC37" i="58"/>
  <c r="BB37" i="58"/>
  <c r="BF37" i="58" s="1"/>
  <c r="AW33" i="58"/>
  <c r="BC33" i="58"/>
  <c r="BB33" i="58"/>
  <c r="BF33" i="58" s="1"/>
  <c r="AF44" i="58"/>
  <c r="BC44" i="58"/>
  <c r="BB44" i="58"/>
  <c r="BF44" i="58" s="1"/>
  <c r="AW40" i="58"/>
  <c r="BC40" i="58"/>
  <c r="BB40" i="58"/>
  <c r="BF40" i="58" s="1"/>
  <c r="V36" i="58"/>
  <c r="BB36" i="58"/>
  <c r="BF36" i="58" s="1"/>
  <c r="BC36" i="58"/>
  <c r="AD43" i="58"/>
  <c r="BC43" i="58"/>
  <c r="BB43" i="58"/>
  <c r="BF43" i="58" s="1"/>
  <c r="AD39" i="58"/>
  <c r="BC39" i="58"/>
  <c r="BB39" i="58"/>
  <c r="BF39" i="58" s="1"/>
  <c r="AD35" i="58"/>
  <c r="BC35" i="58"/>
  <c r="BB35" i="58"/>
  <c r="BF35" i="58" s="1"/>
  <c r="AB46" i="58"/>
  <c r="BC46" i="58"/>
  <c r="BB46" i="58"/>
  <c r="BF46" i="58" s="1"/>
  <c r="AW42" i="58"/>
  <c r="BC42" i="58"/>
  <c r="BB42" i="58"/>
  <c r="BF42" i="58" s="1"/>
  <c r="T38" i="58"/>
  <c r="BC38" i="58"/>
  <c r="BB38" i="58"/>
  <c r="BF38" i="58" s="1"/>
  <c r="AW34" i="58"/>
  <c r="AJ34" i="58" s="1"/>
  <c r="BB34" i="58"/>
  <c r="BF34" i="58" s="1"/>
  <c r="BC34" i="58"/>
  <c r="V28" i="58"/>
  <c r="BC28" i="58"/>
  <c r="BB28" i="58"/>
  <c r="BF28" i="58" s="1"/>
  <c r="AD31" i="58"/>
  <c r="BC31" i="58"/>
  <c r="BB31" i="58"/>
  <c r="BF31" i="58" s="1"/>
  <c r="AW32" i="58"/>
  <c r="AJ32" i="58" s="1"/>
  <c r="BB32" i="58"/>
  <c r="BF32" i="58" s="1"/>
  <c r="BC32" i="58"/>
  <c r="BC30" i="58"/>
  <c r="BB30" i="58"/>
  <c r="BF30" i="58" s="1"/>
  <c r="T31" i="58"/>
  <c r="Q23" i="60"/>
  <c r="Q60" i="60" s="1"/>
  <c r="M11" i="60" s="1"/>
  <c r="X43" i="58"/>
  <c r="AH35" i="58"/>
  <c r="AW38" i="58"/>
  <c r="AJ38" i="58" s="1"/>
  <c r="T46" i="58"/>
  <c r="V39" i="58"/>
  <c r="Z31" i="58"/>
  <c r="AB39" i="58"/>
  <c r="AH39" i="58"/>
  <c r="AB38" i="58"/>
  <c r="T43" i="58"/>
  <c r="V35" i="58"/>
  <c r="Z43" i="58"/>
  <c r="AF35" i="58"/>
  <c r="AW46" i="58"/>
  <c r="AJ46" i="58" s="1"/>
  <c r="T35" i="58"/>
  <c r="X31" i="58"/>
  <c r="AF39" i="58"/>
  <c r="AD33" i="58"/>
  <c r="T39" i="58"/>
  <c r="V31" i="58"/>
  <c r="X35" i="58"/>
  <c r="Z35" i="58"/>
  <c r="AB31" i="58"/>
  <c r="AB43" i="58"/>
  <c r="AF28" i="58"/>
  <c r="AF43" i="58"/>
  <c r="AH43" i="58"/>
  <c r="AW44" i="58"/>
  <c r="AJ44" i="58" s="1"/>
  <c r="AW36" i="58"/>
  <c r="AJ36" i="58" s="1"/>
  <c r="AW28" i="58"/>
  <c r="X28" i="58"/>
  <c r="AD37" i="58"/>
  <c r="AW41" i="58"/>
  <c r="AJ41" i="58" s="1"/>
  <c r="V43" i="58"/>
  <c r="X39" i="58"/>
  <c r="Z39" i="58"/>
  <c r="AB35" i="58"/>
  <c r="AF31" i="58"/>
  <c r="AH31" i="58"/>
  <c r="AW43" i="58"/>
  <c r="AJ43" i="58" s="1"/>
  <c r="AW39" i="58"/>
  <c r="AJ39" i="58" s="1"/>
  <c r="AW35" i="58"/>
  <c r="AJ35" i="58" s="1"/>
  <c r="AW31" i="58"/>
  <c r="AJ31" i="58" s="1"/>
  <c r="AD40" i="58"/>
  <c r="T40" i="58"/>
  <c r="AB40" i="58"/>
  <c r="AH40" i="58"/>
  <c r="Z40" i="58"/>
  <c r="AD32" i="58"/>
  <c r="T32" i="58"/>
  <c r="AB32" i="58"/>
  <c r="AH32" i="58"/>
  <c r="Z32" i="58"/>
  <c r="X44" i="58"/>
  <c r="V44" i="58"/>
  <c r="X32" i="58"/>
  <c r="X40" i="58"/>
  <c r="AD44" i="58"/>
  <c r="T44" i="58"/>
  <c r="AB44" i="58"/>
  <c r="AH44" i="58"/>
  <c r="Z44" i="58"/>
  <c r="AD36" i="58"/>
  <c r="T36" i="58"/>
  <c r="AB36" i="58"/>
  <c r="AH36" i="58"/>
  <c r="Z36" i="58"/>
  <c r="X36" i="58"/>
  <c r="AF36" i="58"/>
  <c r="AH46" i="58"/>
  <c r="Z46" i="58"/>
  <c r="AF46" i="58"/>
  <c r="X46" i="58"/>
  <c r="V46" i="58"/>
  <c r="AD46" i="58"/>
  <c r="AH42" i="58"/>
  <c r="Z42" i="58"/>
  <c r="AF42" i="58"/>
  <c r="X42" i="58"/>
  <c r="V42" i="58"/>
  <c r="AD42" i="58"/>
  <c r="AH38" i="58"/>
  <c r="Z38" i="58"/>
  <c r="AF38" i="58"/>
  <c r="X38" i="58"/>
  <c r="V38" i="58"/>
  <c r="AD38" i="58"/>
  <c r="AH34" i="58"/>
  <c r="Z34" i="58"/>
  <c r="AF34" i="58"/>
  <c r="X34" i="58"/>
  <c r="V34" i="58"/>
  <c r="AD34" i="58"/>
  <c r="T42" i="58"/>
  <c r="T34" i="58"/>
  <c r="AD28" i="58"/>
  <c r="T28" i="58"/>
  <c r="AB28" i="58"/>
  <c r="AH28" i="58"/>
  <c r="Z28" i="58"/>
  <c r="AB45" i="58"/>
  <c r="V45" i="58"/>
  <c r="AH45" i="58"/>
  <c r="Z45" i="58"/>
  <c r="T45" i="58"/>
  <c r="AF45" i="58"/>
  <c r="X45" i="58"/>
  <c r="AB41" i="58"/>
  <c r="V41" i="58"/>
  <c r="AH41" i="58"/>
  <c r="Z41" i="58"/>
  <c r="T41" i="58"/>
  <c r="AF41" i="58"/>
  <c r="X41" i="58"/>
  <c r="AB37" i="58"/>
  <c r="V37" i="58"/>
  <c r="AH37" i="58"/>
  <c r="Z37" i="58"/>
  <c r="T37" i="58"/>
  <c r="AF37" i="58"/>
  <c r="X37" i="58"/>
  <c r="AB33" i="58"/>
  <c r="V33" i="58"/>
  <c r="AH33" i="58"/>
  <c r="Z33" i="58"/>
  <c r="T33" i="58"/>
  <c r="AF33" i="58"/>
  <c r="X33" i="58"/>
  <c r="V40" i="58"/>
  <c r="V32" i="58"/>
  <c r="AB34" i="58"/>
  <c r="AB42" i="58"/>
  <c r="AD45" i="58"/>
  <c r="AF32" i="58"/>
  <c r="AF40" i="58"/>
  <c r="C13" i="59"/>
  <c r="J17" i="59"/>
  <c r="J15" i="59"/>
  <c r="C9" i="59"/>
  <c r="F17" i="59"/>
  <c r="F15" i="59"/>
  <c r="D14" i="59"/>
  <c r="J16" i="59"/>
  <c r="J14" i="59"/>
  <c r="C17" i="59"/>
  <c r="D10" i="59"/>
  <c r="F16" i="59"/>
  <c r="F14" i="59"/>
  <c r="J13" i="59"/>
  <c r="F13" i="59"/>
  <c r="J12" i="59"/>
  <c r="F12" i="59"/>
  <c r="J11" i="59"/>
  <c r="F11" i="59"/>
  <c r="J10" i="59"/>
  <c r="F10" i="59"/>
  <c r="J9" i="59"/>
  <c r="F9" i="59"/>
  <c r="C16" i="59"/>
  <c r="C12" i="59"/>
  <c r="D17" i="59"/>
  <c r="D13" i="59"/>
  <c r="D9" i="59"/>
  <c r="I17" i="59"/>
  <c r="E17" i="59"/>
  <c r="I16" i="59"/>
  <c r="E16" i="59"/>
  <c r="I15" i="59"/>
  <c r="E15" i="59"/>
  <c r="I14" i="59"/>
  <c r="E14" i="59"/>
  <c r="I13" i="59"/>
  <c r="E13" i="59"/>
  <c r="I12" i="59"/>
  <c r="E12" i="59"/>
  <c r="I11" i="59"/>
  <c r="E11" i="59"/>
  <c r="I10" i="59"/>
  <c r="E10" i="59"/>
  <c r="I9" i="59"/>
  <c r="E9" i="59"/>
  <c r="C15" i="59"/>
  <c r="C11" i="59"/>
  <c r="D16" i="59"/>
  <c r="D12" i="59"/>
  <c r="L17" i="59"/>
  <c r="H17" i="59"/>
  <c r="L16" i="59"/>
  <c r="H16" i="59"/>
  <c r="L15" i="59"/>
  <c r="H15" i="59"/>
  <c r="L14" i="59"/>
  <c r="H14" i="59"/>
  <c r="L13" i="59"/>
  <c r="H13" i="59"/>
  <c r="L12" i="59"/>
  <c r="H12" i="59"/>
  <c r="L11" i="59"/>
  <c r="H11" i="59"/>
  <c r="L10" i="59"/>
  <c r="H10" i="59"/>
  <c r="L9" i="59"/>
  <c r="H9" i="59"/>
  <c r="C14" i="59"/>
  <c r="C10" i="59"/>
  <c r="D15" i="59"/>
  <c r="D11" i="59"/>
  <c r="K17" i="59"/>
  <c r="G17" i="59"/>
  <c r="K16" i="59"/>
  <c r="G16" i="59"/>
  <c r="K15" i="59"/>
  <c r="G15" i="59"/>
  <c r="K14" i="59"/>
  <c r="G14" i="59"/>
  <c r="K13" i="59"/>
  <c r="G13" i="59"/>
  <c r="K12" i="59"/>
  <c r="G12" i="59"/>
  <c r="K11" i="59"/>
  <c r="G11" i="59"/>
  <c r="K10" i="59"/>
  <c r="G10" i="59"/>
  <c r="K9" i="59"/>
  <c r="D8" i="59"/>
  <c r="C6" i="59"/>
  <c r="E8" i="59"/>
  <c r="I8" i="59"/>
  <c r="J8" i="59"/>
  <c r="L8" i="59"/>
  <c r="H8" i="59"/>
  <c r="F8" i="59"/>
  <c r="C8" i="59"/>
  <c r="K8" i="59"/>
  <c r="G8" i="59"/>
  <c r="AN75" i="45"/>
  <c r="AN74" i="45"/>
  <c r="AN73" i="45"/>
  <c r="AN72" i="45"/>
  <c r="AN71" i="45"/>
  <c r="AN70" i="45"/>
  <c r="AN69" i="45"/>
  <c r="AN68" i="45"/>
  <c r="AN67" i="45"/>
  <c r="AN66" i="45"/>
  <c r="AN65" i="45"/>
  <c r="AN64" i="45"/>
  <c r="AN63" i="45"/>
  <c r="AN62" i="45"/>
  <c r="AN61" i="45"/>
  <c r="AN60" i="45"/>
  <c r="AN59" i="45"/>
  <c r="AN58" i="45"/>
  <c r="AN57" i="45"/>
  <c r="AN56" i="45"/>
  <c r="AN55" i="45"/>
  <c r="AN54" i="45"/>
  <c r="AN53" i="45"/>
  <c r="AN52" i="45"/>
  <c r="AN51" i="45"/>
  <c r="AN50" i="45"/>
  <c r="AN49" i="45"/>
  <c r="AN48" i="45"/>
  <c r="AN47" i="45"/>
  <c r="AN46" i="45"/>
  <c r="AN45" i="45"/>
  <c r="AN44" i="45"/>
  <c r="AN43" i="45"/>
  <c r="AN39" i="45"/>
  <c r="AN37" i="45"/>
  <c r="AN30" i="45"/>
  <c r="AN28" i="45"/>
  <c r="C56" i="58"/>
  <c r="K56" i="58" s="1"/>
  <c r="C55" i="58"/>
  <c r="C54" i="58"/>
  <c r="M54" i="58" s="1"/>
  <c r="N54" i="58" s="1"/>
  <c r="C53" i="58"/>
  <c r="C52" i="58"/>
  <c r="C51" i="58"/>
  <c r="AU46" i="58"/>
  <c r="AT46" i="58"/>
  <c r="AS46" i="58"/>
  <c r="AR46" i="58"/>
  <c r="AQ46" i="58"/>
  <c r="AP46" i="58"/>
  <c r="AO46" i="58"/>
  <c r="AN46" i="58"/>
  <c r="AM46" i="58"/>
  <c r="AL46" i="58"/>
  <c r="M46" i="58"/>
  <c r="L46" i="58"/>
  <c r="AJ45" i="58"/>
  <c r="AU45" i="58"/>
  <c r="AT45" i="58"/>
  <c r="AS45" i="58"/>
  <c r="AR45" i="58"/>
  <c r="AQ45" i="58"/>
  <c r="AP45" i="58"/>
  <c r="AO45" i="58"/>
  <c r="AN45" i="58"/>
  <c r="AM45" i="58"/>
  <c r="AL45" i="58"/>
  <c r="M45" i="58"/>
  <c r="L45" i="58"/>
  <c r="AU44" i="58"/>
  <c r="AT44" i="58"/>
  <c r="AS44" i="58"/>
  <c r="AR44" i="58"/>
  <c r="AQ44" i="58"/>
  <c r="AP44" i="58"/>
  <c r="AO44" i="58"/>
  <c r="AN44" i="58"/>
  <c r="AM44" i="58"/>
  <c r="AL44" i="58"/>
  <c r="M44" i="58"/>
  <c r="L44" i="58"/>
  <c r="AU43" i="58"/>
  <c r="AT43" i="58"/>
  <c r="AS43" i="58"/>
  <c r="AR43" i="58"/>
  <c r="AQ43" i="58"/>
  <c r="AP43" i="58"/>
  <c r="AO43" i="58"/>
  <c r="AN43" i="58"/>
  <c r="AM43" i="58"/>
  <c r="AL43" i="58"/>
  <c r="M43" i="58"/>
  <c r="L43" i="58"/>
  <c r="AJ42" i="58"/>
  <c r="AU42" i="58"/>
  <c r="AT42" i="58"/>
  <c r="AS42" i="58"/>
  <c r="AR42" i="58"/>
  <c r="AQ42" i="58"/>
  <c r="AP42" i="58"/>
  <c r="AO42" i="58"/>
  <c r="AN42" i="58"/>
  <c r="AM42" i="58"/>
  <c r="AL42" i="58"/>
  <c r="M42" i="58"/>
  <c r="L42" i="58"/>
  <c r="AU41" i="58"/>
  <c r="AT41" i="58"/>
  <c r="AS41" i="58"/>
  <c r="AR41" i="58"/>
  <c r="AQ41" i="58"/>
  <c r="AP41" i="58"/>
  <c r="AO41" i="58"/>
  <c r="AN41" i="58"/>
  <c r="AM41" i="58"/>
  <c r="AL41" i="58"/>
  <c r="M41" i="58"/>
  <c r="L41" i="58"/>
  <c r="AJ40" i="58"/>
  <c r="AU40" i="58"/>
  <c r="AT40" i="58"/>
  <c r="AS40" i="58"/>
  <c r="AR40" i="58"/>
  <c r="AQ40" i="58"/>
  <c r="AP40" i="58"/>
  <c r="AO40" i="58"/>
  <c r="AN40" i="58"/>
  <c r="AM40" i="58"/>
  <c r="AL40" i="58"/>
  <c r="M40" i="58"/>
  <c r="L40" i="58"/>
  <c r="AU39" i="58"/>
  <c r="AT39" i="58"/>
  <c r="AS39" i="58"/>
  <c r="AR39" i="58"/>
  <c r="AQ39" i="58"/>
  <c r="AP39" i="58"/>
  <c r="AO39" i="58"/>
  <c r="AN39" i="58"/>
  <c r="AM39" i="58"/>
  <c r="AL39" i="58"/>
  <c r="M39" i="58"/>
  <c r="L39" i="58"/>
  <c r="AU38" i="58"/>
  <c r="AT38" i="58"/>
  <c r="AS38" i="58"/>
  <c r="AR38" i="58"/>
  <c r="AQ38" i="58"/>
  <c r="AP38" i="58"/>
  <c r="AO38" i="58"/>
  <c r="AN38" i="58"/>
  <c r="AM38" i="58"/>
  <c r="AL38" i="58"/>
  <c r="M38" i="58"/>
  <c r="L38" i="58"/>
  <c r="AJ37" i="58"/>
  <c r="AU37" i="58"/>
  <c r="AT37" i="58"/>
  <c r="AS37" i="58"/>
  <c r="AR37" i="58"/>
  <c r="AQ37" i="58"/>
  <c r="AP37" i="58"/>
  <c r="AO37" i="58"/>
  <c r="AN37" i="58"/>
  <c r="AM37" i="58"/>
  <c r="AL37" i="58"/>
  <c r="M37" i="58"/>
  <c r="L37" i="58"/>
  <c r="AU36" i="58"/>
  <c r="AT36" i="58"/>
  <c r="AS36" i="58"/>
  <c r="AR36" i="58"/>
  <c r="AQ36" i="58"/>
  <c r="AP36" i="58"/>
  <c r="AO36" i="58"/>
  <c r="AN36" i="58"/>
  <c r="AM36" i="58"/>
  <c r="AL36" i="58"/>
  <c r="M36" i="58"/>
  <c r="L36" i="58"/>
  <c r="AU35" i="58"/>
  <c r="AT35" i="58"/>
  <c r="AS35" i="58"/>
  <c r="AR35" i="58"/>
  <c r="AQ35" i="58"/>
  <c r="AP35" i="58"/>
  <c r="AO35" i="58"/>
  <c r="AN35" i="58"/>
  <c r="AM35" i="58"/>
  <c r="AL35" i="58"/>
  <c r="M35" i="58"/>
  <c r="L35" i="58"/>
  <c r="AU34" i="58"/>
  <c r="AT34" i="58"/>
  <c r="AS34" i="58"/>
  <c r="AR34" i="58"/>
  <c r="AQ34" i="58"/>
  <c r="AP34" i="58"/>
  <c r="AO34" i="58"/>
  <c r="AN34" i="58"/>
  <c r="AM34" i="58"/>
  <c r="AL34" i="58"/>
  <c r="M34" i="58"/>
  <c r="L34" i="58"/>
  <c r="AJ33" i="58"/>
  <c r="AU33" i="58"/>
  <c r="AT33" i="58"/>
  <c r="AS33" i="58"/>
  <c r="AR33" i="58"/>
  <c r="AQ33" i="58"/>
  <c r="AP33" i="58"/>
  <c r="AO33" i="58"/>
  <c r="AN33" i="58"/>
  <c r="AM33" i="58"/>
  <c r="AL33" i="58"/>
  <c r="M33" i="58"/>
  <c r="L33" i="58"/>
  <c r="AU32" i="58"/>
  <c r="AT32" i="58"/>
  <c r="AS32" i="58"/>
  <c r="AR32" i="58"/>
  <c r="AQ32" i="58"/>
  <c r="AP32" i="58"/>
  <c r="AO32" i="58"/>
  <c r="AN32" i="58"/>
  <c r="AM32" i="58"/>
  <c r="AL32" i="58"/>
  <c r="M32" i="58"/>
  <c r="L32" i="58"/>
  <c r="AU31" i="58"/>
  <c r="AT31" i="58"/>
  <c r="AS31" i="58"/>
  <c r="AR31" i="58"/>
  <c r="AQ31" i="58"/>
  <c r="AP31" i="58"/>
  <c r="AO31" i="58"/>
  <c r="AN31" i="58"/>
  <c r="AM31" i="58"/>
  <c r="AL31" i="58"/>
  <c r="M31" i="58"/>
  <c r="L31" i="58"/>
  <c r="AL30" i="58"/>
  <c r="M30" i="58"/>
  <c r="N30" i="58" s="1"/>
  <c r="BE30" i="58" s="1"/>
  <c r="L30" i="58"/>
  <c r="AL29" i="58"/>
  <c r="AM28" i="58"/>
  <c r="AL28" i="58"/>
  <c r="M28" i="58"/>
  <c r="L28" i="58"/>
  <c r="AL27" i="58"/>
  <c r="AL26" i="58"/>
  <c r="AL25" i="58"/>
  <c r="AL24" i="58"/>
  <c r="AL23" i="58"/>
  <c r="AL22" i="58"/>
  <c r="T3" i="58"/>
  <c r="O30" i="58" l="1"/>
  <c r="AM30" i="58" s="1"/>
  <c r="Z30" i="58"/>
  <c r="AQ30" i="58" s="1"/>
  <c r="AH30" i="58"/>
  <c r="AU30" i="58" s="1"/>
  <c r="X30" i="58"/>
  <c r="AP30" i="58" s="1"/>
  <c r="AD30" i="58"/>
  <c r="AS30" i="58" s="1"/>
  <c r="V30" i="58"/>
  <c r="AO30" i="58" s="1"/>
  <c r="AF30" i="58"/>
  <c r="AT30" i="58" s="1"/>
  <c r="AB30" i="58"/>
  <c r="AR30" i="58" s="1"/>
  <c r="T30" i="58"/>
  <c r="AN30" i="58" s="1"/>
  <c r="AB23" i="60"/>
  <c r="AB24" i="60"/>
  <c r="AE22" i="60"/>
  <c r="AG22" i="60"/>
  <c r="AG47" i="60" s="1"/>
  <c r="X15" i="60" s="1"/>
  <c r="AH22" i="60"/>
  <c r="AH47" i="60" s="1"/>
  <c r="Z15" i="60" s="1"/>
  <c r="AF22" i="60"/>
  <c r="M9" i="58"/>
  <c r="M11" i="58"/>
  <c r="O11" i="58" s="1"/>
  <c r="Z27" i="58"/>
  <c r="X23" i="58"/>
  <c r="AD25" i="58"/>
  <c r="AF26" i="58"/>
  <c r="X24" i="58"/>
  <c r="T24" i="58"/>
  <c r="AB23" i="58"/>
  <c r="Z25" i="58"/>
  <c r="AF29" i="58"/>
  <c r="V29" i="58"/>
  <c r="Z26" i="58"/>
  <c r="Z22" i="58"/>
  <c r="AD26" i="58"/>
  <c r="AD22" i="58"/>
  <c r="AB22" i="58"/>
  <c r="T22" i="58"/>
  <c r="Z23" i="58"/>
  <c r="T26" i="58"/>
  <c r="T27" i="58"/>
  <c r="AF24" i="58"/>
  <c r="AB26" i="58"/>
  <c r="V22" i="58"/>
  <c r="X26" i="58"/>
  <c r="AH24" i="58"/>
  <c r="V27" i="58"/>
  <c r="AF27" i="58"/>
  <c r="AF25" i="58"/>
  <c r="V25" i="58"/>
  <c r="Z29" i="58"/>
  <c r="X22" i="58"/>
  <c r="T23" i="58"/>
  <c r="AB24" i="58"/>
  <c r="AB27" i="58"/>
  <c r="V23" i="58"/>
  <c r="AF23" i="58"/>
  <c r="T25" i="58"/>
  <c r="AB25" i="58"/>
  <c r="AH22" i="58"/>
  <c r="X29" i="58"/>
  <c r="AH29" i="58"/>
  <c r="V24" i="58"/>
  <c r="V26" i="58"/>
  <c r="AD27" i="58"/>
  <c r="AF22" i="58"/>
  <c r="AH27" i="58"/>
  <c r="AD29" i="58"/>
  <c r="Z24" i="58"/>
  <c r="AD24" i="58"/>
  <c r="X27" i="58"/>
  <c r="AD23" i="58"/>
  <c r="AH26" i="58"/>
  <c r="X25" i="58"/>
  <c r="AH25" i="58"/>
  <c r="T29" i="58"/>
  <c r="AB29" i="58"/>
  <c r="AH23" i="58"/>
  <c r="O26" i="58"/>
  <c r="O29" i="58"/>
  <c r="O24" i="58"/>
  <c r="O27" i="58"/>
  <c r="O22" i="58"/>
  <c r="AM22" i="58" s="1"/>
  <c r="O23" i="58"/>
  <c r="O25" i="58"/>
  <c r="AV36" i="58"/>
  <c r="AV44" i="58"/>
  <c r="K54" i="58"/>
  <c r="AV40" i="58"/>
  <c r="K51" i="58"/>
  <c r="K55" i="58"/>
  <c r="AV34" i="58"/>
  <c r="AV39" i="58"/>
  <c r="AV43" i="58"/>
  <c r="AV33" i="58"/>
  <c r="AV38" i="58"/>
  <c r="AV42" i="58"/>
  <c r="AV46" i="58"/>
  <c r="AV32" i="58"/>
  <c r="AV37" i="58"/>
  <c r="AV41" i="58"/>
  <c r="AV45" i="58"/>
  <c r="AN28" i="58"/>
  <c r="AP28" i="58"/>
  <c r="AT28" i="58"/>
  <c r="AR28" i="58"/>
  <c r="AO28" i="58"/>
  <c r="AS28" i="58"/>
  <c r="AQ28" i="58"/>
  <c r="AU28" i="58"/>
  <c r="M53" i="58"/>
  <c r="AL47" i="58"/>
  <c r="T5" i="58"/>
  <c r="K52" i="58"/>
  <c r="AV31" i="58"/>
  <c r="AV35" i="58"/>
  <c r="M56" i="58"/>
  <c r="N56" i="58" s="1"/>
  <c r="M51" i="58"/>
  <c r="N51" i="58" s="1"/>
  <c r="M55" i="58"/>
  <c r="N55" i="58" s="1"/>
  <c r="K53" i="58"/>
  <c r="S45" i="54"/>
  <c r="AJ45" i="54" s="1"/>
  <c r="S44" i="54"/>
  <c r="AJ44" i="54" s="1"/>
  <c r="S43" i="54"/>
  <c r="AJ43" i="54" s="1"/>
  <c r="S42" i="54"/>
  <c r="AJ42" i="54" s="1"/>
  <c r="S41" i="54"/>
  <c r="AJ41" i="54" s="1"/>
  <c r="S40" i="54"/>
  <c r="AJ40" i="54" s="1"/>
  <c r="S39" i="54"/>
  <c r="AJ39" i="54" s="1"/>
  <c r="S38" i="54"/>
  <c r="AJ38" i="54" s="1"/>
  <c r="S37" i="54"/>
  <c r="AJ37" i="54" s="1"/>
  <c r="S36" i="54"/>
  <c r="AJ36" i="54" s="1"/>
  <c r="S35" i="54"/>
  <c r="AJ35" i="54" s="1"/>
  <c r="S34" i="54"/>
  <c r="AJ34" i="54" s="1"/>
  <c r="S33" i="54"/>
  <c r="AJ33" i="54" s="1"/>
  <c r="S32" i="54"/>
  <c r="AJ32" i="54" s="1"/>
  <c r="S31" i="54"/>
  <c r="AJ31" i="54" s="1"/>
  <c r="S30" i="54"/>
  <c r="AJ30" i="54" s="1"/>
  <c r="L45" i="54"/>
  <c r="L44" i="54"/>
  <c r="L43" i="54"/>
  <c r="L42" i="54"/>
  <c r="L41" i="54"/>
  <c r="L40" i="54"/>
  <c r="L39" i="54"/>
  <c r="L38" i="54"/>
  <c r="L37" i="54"/>
  <c r="L36" i="54"/>
  <c r="L35" i="54"/>
  <c r="L34" i="54"/>
  <c r="L33" i="54"/>
  <c r="L32" i="54"/>
  <c r="L31" i="54"/>
  <c r="L30" i="54"/>
  <c r="J45" i="54"/>
  <c r="J44" i="54"/>
  <c r="J43" i="54"/>
  <c r="J42" i="54"/>
  <c r="J41" i="54"/>
  <c r="J40" i="54"/>
  <c r="J39" i="54"/>
  <c r="J38" i="54"/>
  <c r="J37" i="54"/>
  <c r="J36" i="54"/>
  <c r="J35" i="54"/>
  <c r="J34" i="54"/>
  <c r="J33" i="54"/>
  <c r="J32" i="54"/>
  <c r="J31" i="54"/>
  <c r="J30" i="54"/>
  <c r="Q20" i="43"/>
  <c r="AS20" i="43" s="1"/>
  <c r="Q21" i="43"/>
  <c r="AS21" i="43" s="1"/>
  <c r="Q22" i="43"/>
  <c r="AS22" i="43" s="1"/>
  <c r="Q23" i="43"/>
  <c r="AS23" i="43" s="1"/>
  <c r="Q24" i="43"/>
  <c r="AS24" i="43" s="1"/>
  <c r="Q25" i="43"/>
  <c r="AS25" i="43" s="1"/>
  <c r="Q26" i="43"/>
  <c r="AS26" i="43" s="1"/>
  <c r="Q27" i="43"/>
  <c r="AS27" i="43" s="1"/>
  <c r="Q28" i="43"/>
  <c r="AS28" i="43" s="1"/>
  <c r="Q29" i="43"/>
  <c r="AS29" i="43" s="1"/>
  <c r="Q30" i="43"/>
  <c r="AS30" i="43" s="1"/>
  <c r="Q31" i="43"/>
  <c r="AS31" i="43" s="1"/>
  <c r="Q32" i="43"/>
  <c r="AS32" i="43" s="1"/>
  <c r="Q33" i="43"/>
  <c r="AS33" i="43" s="1"/>
  <c r="Q34" i="43"/>
  <c r="AS34" i="43" s="1"/>
  <c r="Q35" i="43"/>
  <c r="AS35" i="43" s="1"/>
  <c r="Q36" i="43"/>
  <c r="AS36" i="43" s="1"/>
  <c r="Q37" i="43"/>
  <c r="AS37" i="43" s="1"/>
  <c r="Q38" i="43"/>
  <c r="AS38" i="43" s="1"/>
  <c r="Q39" i="43"/>
  <c r="AS39" i="43" s="1"/>
  <c r="Q40" i="43"/>
  <c r="AS40" i="43" s="1"/>
  <c r="Q41" i="43"/>
  <c r="AS41" i="43" s="1"/>
  <c r="Q42" i="43"/>
  <c r="AS42" i="43" s="1"/>
  <c r="Q43" i="43"/>
  <c r="AS43" i="43" s="1"/>
  <c r="Q44" i="43"/>
  <c r="AS44" i="43" s="1"/>
  <c r="Q45" i="43"/>
  <c r="AS45" i="43" s="1"/>
  <c r="Q46" i="43"/>
  <c r="AS46" i="43" s="1"/>
  <c r="Q47" i="43"/>
  <c r="AS47" i="43" s="1"/>
  <c r="Q48" i="43"/>
  <c r="AS48" i="43" s="1"/>
  <c r="Q49" i="43"/>
  <c r="AS49" i="43" s="1"/>
  <c r="Q50" i="43"/>
  <c r="AS50" i="43" s="1"/>
  <c r="Q51" i="43"/>
  <c r="AS51" i="43" s="1"/>
  <c r="Q52" i="43"/>
  <c r="AS52" i="43" s="1"/>
  <c r="Q53" i="43"/>
  <c r="AS53" i="43" s="1"/>
  <c r="Q54" i="43"/>
  <c r="AS54" i="43" s="1"/>
  <c r="Q55" i="43"/>
  <c r="AS55" i="43" s="1"/>
  <c r="Q56" i="43"/>
  <c r="AS56" i="43" s="1"/>
  <c r="Q57" i="43"/>
  <c r="AS57" i="43" s="1"/>
  <c r="Q58" i="43"/>
  <c r="AS58" i="43" s="1"/>
  <c r="Q59" i="43"/>
  <c r="AS59" i="43" s="1"/>
  <c r="Q60" i="43"/>
  <c r="AS60" i="43" s="1"/>
  <c r="Q61" i="43"/>
  <c r="AS61" i="43" s="1"/>
  <c r="Q62" i="43"/>
  <c r="AS62" i="43" s="1"/>
  <c r="Q63" i="43"/>
  <c r="AS63" i="43" s="1"/>
  <c r="Q64" i="43"/>
  <c r="AS64" i="43" s="1"/>
  <c r="Q65" i="43"/>
  <c r="AS65" i="43" s="1"/>
  <c r="Q66" i="43"/>
  <c r="AS66" i="43" s="1"/>
  <c r="Q67" i="43"/>
  <c r="AS67" i="43" s="1"/>
  <c r="N19" i="42"/>
  <c r="W19" i="42" s="1"/>
  <c r="N21" i="42"/>
  <c r="W21" i="42" s="1"/>
  <c r="N22" i="42"/>
  <c r="W22" i="42" s="1"/>
  <c r="G19" i="42"/>
  <c r="G21" i="42"/>
  <c r="G22" i="42"/>
  <c r="G23" i="42"/>
  <c r="G24" i="42"/>
  <c r="G25" i="42"/>
  <c r="G26" i="42"/>
  <c r="G27" i="42"/>
  <c r="G28" i="42"/>
  <c r="G29" i="42"/>
  <c r="G30" i="42"/>
  <c r="G31" i="42"/>
  <c r="G32" i="42"/>
  <c r="G33" i="42"/>
  <c r="G34" i="42"/>
  <c r="G35" i="42"/>
  <c r="G36" i="42"/>
  <c r="G37" i="42"/>
  <c r="G38" i="42"/>
  <c r="G39" i="42"/>
  <c r="G40" i="42"/>
  <c r="G41" i="42"/>
  <c r="G42" i="42"/>
  <c r="G43" i="42"/>
  <c r="G44" i="42"/>
  <c r="G45" i="42"/>
  <c r="G46" i="42"/>
  <c r="G47" i="42"/>
  <c r="G48" i="42"/>
  <c r="G49" i="42"/>
  <c r="G50" i="42"/>
  <c r="G51" i="42"/>
  <c r="G52" i="42"/>
  <c r="G53" i="42"/>
  <c r="G54" i="42"/>
  <c r="G55" i="42"/>
  <c r="G56" i="42"/>
  <c r="G57" i="42"/>
  <c r="G58" i="42"/>
  <c r="G59" i="42"/>
  <c r="G60" i="42"/>
  <c r="G61" i="42"/>
  <c r="G62" i="42"/>
  <c r="G63" i="42"/>
  <c r="G64" i="42"/>
  <c r="G65" i="42"/>
  <c r="G66" i="42"/>
  <c r="G67" i="42"/>
  <c r="O15" i="58" l="1"/>
  <c r="O9" i="58"/>
  <c r="AI22" i="60"/>
  <c r="AJ22" i="60" s="1"/>
  <c r="AV30" i="58"/>
  <c r="AW30" i="58" s="1"/>
  <c r="AJ30" i="58" s="1"/>
  <c r="AA48" i="60"/>
  <c r="AA20" i="60"/>
  <c r="Z48" i="60"/>
  <c r="AB22" i="60"/>
  <c r="AF47" i="60"/>
  <c r="V15" i="60" s="1"/>
  <c r="AB15" i="60" s="1"/>
  <c r="X48" i="60"/>
  <c r="Y20" i="60"/>
  <c r="Y48" i="60"/>
  <c r="AM27" i="58"/>
  <c r="AM25" i="58"/>
  <c r="AM24" i="58"/>
  <c r="AM23" i="58"/>
  <c r="AM29" i="58"/>
  <c r="AM26" i="58"/>
  <c r="AS29" i="58"/>
  <c r="AO29" i="58"/>
  <c r="AT27" i="58"/>
  <c r="AP27" i="58"/>
  <c r="AS26" i="58"/>
  <c r="AO26" i="58"/>
  <c r="AR25" i="58"/>
  <c r="AN25" i="58"/>
  <c r="AP29" i="58"/>
  <c r="AP26" i="58"/>
  <c r="AS25" i="58"/>
  <c r="AR29" i="58"/>
  <c r="AN29" i="58"/>
  <c r="AS27" i="58"/>
  <c r="AO27" i="58"/>
  <c r="AR26" i="58"/>
  <c r="AN26" i="58"/>
  <c r="AU25" i="58"/>
  <c r="AQ25" i="58"/>
  <c r="AQ27" i="58"/>
  <c r="AT26" i="58"/>
  <c r="AO25" i="58"/>
  <c r="AU29" i="58"/>
  <c r="AQ29" i="58"/>
  <c r="AR27" i="58"/>
  <c r="AN27" i="58"/>
  <c r="AU26" i="58"/>
  <c r="AQ26" i="58"/>
  <c r="AT25" i="58"/>
  <c r="AP25" i="58"/>
  <c r="AT29" i="58"/>
  <c r="AU27" i="58"/>
  <c r="AV28" i="58"/>
  <c r="AJ28" i="58" s="1"/>
  <c r="AM47" i="58"/>
  <c r="B16" i="51"/>
  <c r="AD22" i="43"/>
  <c r="AD23" i="43"/>
  <c r="AD24" i="43"/>
  <c r="AD25" i="43"/>
  <c r="AD26" i="43"/>
  <c r="AD27" i="43"/>
  <c r="AD28" i="43"/>
  <c r="AD29" i="43"/>
  <c r="AD30" i="43"/>
  <c r="AD31" i="43"/>
  <c r="AD32" i="43"/>
  <c r="AD33" i="43"/>
  <c r="AD34" i="43"/>
  <c r="AD35" i="43"/>
  <c r="AD36" i="43"/>
  <c r="AD37" i="43"/>
  <c r="AD38" i="43"/>
  <c r="AD39" i="43"/>
  <c r="AD40" i="43"/>
  <c r="AD41" i="43"/>
  <c r="AD42" i="43"/>
  <c r="AD43" i="43"/>
  <c r="AD44" i="43"/>
  <c r="AD45" i="43"/>
  <c r="AD46" i="43"/>
  <c r="AD47" i="43"/>
  <c r="AD48" i="43"/>
  <c r="AD49" i="43"/>
  <c r="AD50" i="43"/>
  <c r="AD51" i="43"/>
  <c r="AD52" i="43"/>
  <c r="AD53" i="43"/>
  <c r="AD54" i="43"/>
  <c r="AD55" i="43"/>
  <c r="AD56" i="43"/>
  <c r="AD57" i="43"/>
  <c r="AD58" i="43"/>
  <c r="AD59" i="43"/>
  <c r="AD60" i="43"/>
  <c r="AD61" i="43"/>
  <c r="AD62" i="43"/>
  <c r="AD63" i="43"/>
  <c r="AD64" i="43"/>
  <c r="AD65" i="43"/>
  <c r="AD66" i="43"/>
  <c r="AD67" i="43"/>
  <c r="AD20" i="43"/>
  <c r="AD21" i="43"/>
  <c r="AI94" i="43"/>
  <c r="AI93" i="43"/>
  <c r="AI92" i="43"/>
  <c r="AI91" i="43"/>
  <c r="AI90" i="43"/>
  <c r="AI89" i="43"/>
  <c r="AI88" i="43"/>
  <c r="AI87" i="43"/>
  <c r="AI86" i="43"/>
  <c r="AI85" i="43"/>
  <c r="AI84" i="43"/>
  <c r="AI83" i="43"/>
  <c r="AI82" i="43"/>
  <c r="AI81" i="43"/>
  <c r="AI80" i="43"/>
  <c r="AI79" i="43"/>
  <c r="AI78" i="43"/>
  <c r="AI77" i="43"/>
  <c r="AI76" i="43"/>
  <c r="AI75" i="43"/>
  <c r="AI74" i="43"/>
  <c r="AI73" i="43"/>
  <c r="AI72" i="43"/>
  <c r="AI71" i="43"/>
  <c r="AI70" i="43"/>
  <c r="AI69" i="43"/>
  <c r="AI68" i="43"/>
  <c r="AI67" i="43"/>
  <c r="AC67" i="43"/>
  <c r="AJ66" i="43"/>
  <c r="AI66" i="43"/>
  <c r="AC66" i="43"/>
  <c r="AJ65" i="43"/>
  <c r="AI65" i="43"/>
  <c r="AC65" i="43"/>
  <c r="AJ64" i="43"/>
  <c r="AI64" i="43"/>
  <c r="AC64" i="43"/>
  <c r="AJ63" i="43"/>
  <c r="AI63" i="43"/>
  <c r="AC63" i="43"/>
  <c r="AJ62" i="43"/>
  <c r="AI62" i="43"/>
  <c r="AC62" i="43"/>
  <c r="AJ61" i="43"/>
  <c r="AI61" i="43"/>
  <c r="AC61" i="43"/>
  <c r="AJ60" i="43"/>
  <c r="AI60" i="43"/>
  <c r="AC60" i="43"/>
  <c r="AJ59" i="43"/>
  <c r="AI59" i="43"/>
  <c r="AC59" i="43"/>
  <c r="AJ58" i="43"/>
  <c r="AI58" i="43"/>
  <c r="AC58" i="43"/>
  <c r="AJ57" i="43"/>
  <c r="AI57" i="43"/>
  <c r="AC57" i="43"/>
  <c r="AJ56" i="43"/>
  <c r="AI56" i="43"/>
  <c r="AC56" i="43"/>
  <c r="AJ55" i="43"/>
  <c r="AI55" i="43"/>
  <c r="AC55" i="43"/>
  <c r="AJ54" i="43"/>
  <c r="AI54" i="43"/>
  <c r="AC54" i="43"/>
  <c r="AJ53" i="43"/>
  <c r="AI53" i="43"/>
  <c r="AC53" i="43"/>
  <c r="AJ52" i="43"/>
  <c r="AI52" i="43"/>
  <c r="AC52" i="43"/>
  <c r="AJ51" i="43"/>
  <c r="AI51" i="43"/>
  <c r="AC51" i="43"/>
  <c r="AJ50" i="43"/>
  <c r="AI50" i="43"/>
  <c r="AC50" i="43"/>
  <c r="AJ49" i="43"/>
  <c r="AI49" i="43"/>
  <c r="AC49" i="43"/>
  <c r="AJ48" i="43"/>
  <c r="AI48" i="43"/>
  <c r="AC48" i="43"/>
  <c r="AJ47" i="43"/>
  <c r="AI47" i="43"/>
  <c r="AC47" i="43"/>
  <c r="AJ46" i="43"/>
  <c r="AI46" i="43"/>
  <c r="AC46" i="43"/>
  <c r="AJ45" i="43"/>
  <c r="AI45" i="43"/>
  <c r="AD16" i="43" s="1"/>
  <c r="AC45" i="43"/>
  <c r="AJ44" i="43"/>
  <c r="AI44" i="43"/>
  <c r="AC44" i="43"/>
  <c r="AJ43" i="43"/>
  <c r="AI43" i="43"/>
  <c r="AC43" i="43"/>
  <c r="AJ42" i="43"/>
  <c r="AC42" i="43"/>
  <c r="AJ41" i="43"/>
  <c r="AC41" i="43"/>
  <c r="AJ40" i="43"/>
  <c r="AC40" i="43"/>
  <c r="AJ39" i="43"/>
  <c r="AC39" i="43"/>
  <c r="AJ38" i="43"/>
  <c r="AC38" i="43"/>
  <c r="AJ37" i="43"/>
  <c r="AC37" i="43"/>
  <c r="AJ36" i="43"/>
  <c r="AC36" i="43"/>
  <c r="AJ35" i="43"/>
  <c r="AC35" i="43"/>
  <c r="AJ34" i="43"/>
  <c r="AC34" i="43"/>
  <c r="AJ33" i="43"/>
  <c r="AC33" i="43"/>
  <c r="AJ32" i="43"/>
  <c r="AC32" i="43"/>
  <c r="AJ31" i="43"/>
  <c r="AC31" i="43"/>
  <c r="AJ30" i="43"/>
  <c r="AC30" i="43"/>
  <c r="AJ29" i="43"/>
  <c r="AC29" i="43"/>
  <c r="AJ28" i="43"/>
  <c r="AC28" i="43"/>
  <c r="AJ27" i="43"/>
  <c r="AC27" i="43"/>
  <c r="AJ26" i="43"/>
  <c r="AC26" i="43"/>
  <c r="AJ25" i="43"/>
  <c r="AC25" i="43"/>
  <c r="AJ24" i="43"/>
  <c r="AC24" i="43"/>
  <c r="AJ23" i="43"/>
  <c r="AC23" i="43"/>
  <c r="AJ22" i="43"/>
  <c r="AC22" i="43"/>
  <c r="AJ21" i="43"/>
  <c r="AC21" i="43"/>
  <c r="AJ20" i="43"/>
  <c r="AC20" i="43"/>
  <c r="AJ19" i="43"/>
  <c r="AC19" i="43"/>
  <c r="AJ18" i="43"/>
  <c r="AC18" i="43"/>
  <c r="AJ17" i="43"/>
  <c r="AB32" i="42"/>
  <c r="AC32" i="42"/>
  <c r="AB33" i="42"/>
  <c r="AC33" i="42"/>
  <c r="AB34" i="42"/>
  <c r="AC34" i="42"/>
  <c r="AB35" i="42"/>
  <c r="AC35" i="42"/>
  <c r="AB36" i="42"/>
  <c r="AC36" i="42"/>
  <c r="AB37" i="42"/>
  <c r="AC37" i="42"/>
  <c r="AB38" i="42"/>
  <c r="AC38" i="42"/>
  <c r="AB39" i="42"/>
  <c r="AC39" i="42"/>
  <c r="AB40" i="42"/>
  <c r="AC40" i="42"/>
  <c r="AB41" i="42"/>
  <c r="AC41" i="42"/>
  <c r="AB42" i="42"/>
  <c r="AC42" i="42"/>
  <c r="AB43" i="42"/>
  <c r="AC43" i="42"/>
  <c r="AB44" i="42"/>
  <c r="AC44" i="42"/>
  <c r="AB45" i="42"/>
  <c r="AC45" i="42"/>
  <c r="AB46" i="42"/>
  <c r="AC46" i="42"/>
  <c r="AB47" i="42"/>
  <c r="AC47" i="42"/>
  <c r="AB48" i="42"/>
  <c r="AC48" i="42"/>
  <c r="AB49" i="42"/>
  <c r="AC49" i="42"/>
  <c r="AB50" i="42"/>
  <c r="AC50" i="42"/>
  <c r="AB51" i="42"/>
  <c r="AC51" i="42"/>
  <c r="AB52" i="42"/>
  <c r="AC52" i="42"/>
  <c r="AB53" i="42"/>
  <c r="AC53" i="42"/>
  <c r="AB54" i="42"/>
  <c r="AC54" i="42"/>
  <c r="AB55" i="42"/>
  <c r="AC55" i="42"/>
  <c r="AB56" i="42"/>
  <c r="AC56" i="42"/>
  <c r="AB57" i="42"/>
  <c r="AC57" i="42"/>
  <c r="AB58" i="42"/>
  <c r="AC58" i="42"/>
  <c r="AB59" i="42"/>
  <c r="AC59" i="42"/>
  <c r="AB60" i="42"/>
  <c r="AC60" i="42"/>
  <c r="AB61" i="42"/>
  <c r="AC61" i="42"/>
  <c r="AB62" i="42"/>
  <c r="AC62" i="42"/>
  <c r="AB63" i="42"/>
  <c r="AC63" i="42"/>
  <c r="AB64" i="42"/>
  <c r="AC64" i="42"/>
  <c r="AB65" i="42"/>
  <c r="AC65" i="42"/>
  <c r="AB66" i="42"/>
  <c r="AC66" i="42"/>
  <c r="AB67" i="42"/>
  <c r="AC67" i="42"/>
  <c r="AH94" i="42"/>
  <c r="AH93" i="42"/>
  <c r="AH92" i="42"/>
  <c r="AH91" i="42"/>
  <c r="AH90" i="42"/>
  <c r="AH89" i="42"/>
  <c r="AH88" i="42"/>
  <c r="AH87" i="42"/>
  <c r="AH86" i="42"/>
  <c r="AH85" i="42"/>
  <c r="AH84" i="42"/>
  <c r="AH83" i="42"/>
  <c r="AH82" i="42"/>
  <c r="AH81" i="42"/>
  <c r="AH80" i="42"/>
  <c r="AH79" i="42"/>
  <c r="AH78" i="42"/>
  <c r="AH77" i="42"/>
  <c r="AH76" i="42"/>
  <c r="AH75" i="42"/>
  <c r="AH74" i="42"/>
  <c r="AH73" i="42"/>
  <c r="AH72" i="42"/>
  <c r="AH71" i="42"/>
  <c r="AH70" i="42"/>
  <c r="AH69" i="42"/>
  <c r="AH68" i="42"/>
  <c r="AH67" i="42"/>
  <c r="AI66" i="42"/>
  <c r="AH66" i="42"/>
  <c r="AI65" i="42"/>
  <c r="AH65" i="42"/>
  <c r="AI64" i="42"/>
  <c r="AH64" i="42"/>
  <c r="AI63" i="42"/>
  <c r="AH63" i="42"/>
  <c r="AI62" i="42"/>
  <c r="AH62" i="42"/>
  <c r="AI61" i="42"/>
  <c r="AH61" i="42"/>
  <c r="AI60" i="42"/>
  <c r="AH60" i="42"/>
  <c r="AI59" i="42"/>
  <c r="AH59" i="42"/>
  <c r="AI58" i="42"/>
  <c r="AH58" i="42"/>
  <c r="AI57" i="42"/>
  <c r="AH57" i="42"/>
  <c r="AI56" i="42"/>
  <c r="AH56" i="42"/>
  <c r="AI55" i="42"/>
  <c r="AH55" i="42"/>
  <c r="AI54" i="42"/>
  <c r="AH54" i="42"/>
  <c r="AI53" i="42"/>
  <c r="AH53" i="42"/>
  <c r="AI52" i="42"/>
  <c r="AH52" i="42"/>
  <c r="AI51" i="42"/>
  <c r="AH51" i="42"/>
  <c r="AI50" i="42"/>
  <c r="AH50" i="42"/>
  <c r="AI49" i="42"/>
  <c r="AH49" i="42"/>
  <c r="AI48" i="42"/>
  <c r="AH48" i="42"/>
  <c r="AI47" i="42"/>
  <c r="AH47" i="42"/>
  <c r="AI46" i="42"/>
  <c r="AH46" i="42"/>
  <c r="AI45" i="42"/>
  <c r="AH45" i="42"/>
  <c r="AC16" i="42" s="1"/>
  <c r="AI44" i="42"/>
  <c r="AH44" i="42"/>
  <c r="AI43" i="42"/>
  <c r="AH43" i="42"/>
  <c r="AI42" i="42"/>
  <c r="AI41" i="42"/>
  <c r="AI40" i="42"/>
  <c r="AI39" i="42"/>
  <c r="AI38" i="42"/>
  <c r="AI37" i="42"/>
  <c r="AI36" i="42"/>
  <c r="AI35" i="42"/>
  <c r="AI34" i="42"/>
  <c r="AI33" i="42"/>
  <c r="AI32" i="42"/>
  <c r="AI31" i="42"/>
  <c r="AI30" i="42"/>
  <c r="AI29" i="42"/>
  <c r="AI28" i="42"/>
  <c r="AI27" i="42"/>
  <c r="AI26" i="42"/>
  <c r="AI25" i="42"/>
  <c r="AI24" i="42"/>
  <c r="AI23" i="42"/>
  <c r="AI22" i="42"/>
  <c r="AI21" i="42"/>
  <c r="AI20" i="42"/>
  <c r="AI19" i="42"/>
  <c r="AI18" i="42"/>
  <c r="AI17" i="42"/>
  <c r="AC19" i="42"/>
  <c r="AC21" i="42"/>
  <c r="AC22" i="42"/>
  <c r="AC23" i="42"/>
  <c r="AC24" i="42"/>
  <c r="AC25" i="42"/>
  <c r="AC26" i="42"/>
  <c r="AC27" i="42"/>
  <c r="AC28" i="42"/>
  <c r="AC29" i="42"/>
  <c r="AC30" i="42"/>
  <c r="AC31" i="42"/>
  <c r="AB18" i="42"/>
  <c r="AB19" i="42"/>
  <c r="AB20" i="42"/>
  <c r="AB21" i="42"/>
  <c r="AB22" i="42"/>
  <c r="AB23" i="42"/>
  <c r="AB24" i="42"/>
  <c r="AB25" i="42"/>
  <c r="AB26" i="42"/>
  <c r="AB27" i="42"/>
  <c r="AB28" i="42"/>
  <c r="AB29" i="42"/>
  <c r="AB30" i="42"/>
  <c r="AB31" i="42"/>
  <c r="U16" i="51"/>
  <c r="T16" i="51"/>
  <c r="I16" i="51"/>
  <c r="W20" i="60" l="1"/>
  <c r="W48" i="60"/>
  <c r="AB48" i="60"/>
  <c r="V48" i="60"/>
  <c r="AV25" i="58"/>
  <c r="AV26" i="58"/>
  <c r="AV27" i="58"/>
  <c r="AV29" i="58"/>
  <c r="P20" i="43"/>
  <c r="P21" i="43"/>
  <c r="P22" i="43"/>
  <c r="P23" i="43"/>
  <c r="P24" i="43"/>
  <c r="P25" i="43"/>
  <c r="P26" i="43"/>
  <c r="P27" i="43"/>
  <c r="P28" i="43"/>
  <c r="P29" i="43"/>
  <c r="P30" i="43"/>
  <c r="P31" i="43"/>
  <c r="P32" i="43"/>
  <c r="P33" i="43"/>
  <c r="P34" i="43"/>
  <c r="P35" i="43"/>
  <c r="P36" i="43"/>
  <c r="P37" i="43"/>
  <c r="P38" i="43"/>
  <c r="P39" i="43"/>
  <c r="P40" i="43"/>
  <c r="P41" i="43"/>
  <c r="P42" i="43"/>
  <c r="P43" i="43"/>
  <c r="P44" i="43"/>
  <c r="P45" i="43"/>
  <c r="P46" i="43"/>
  <c r="P47" i="43"/>
  <c r="P48" i="43"/>
  <c r="P49" i="43"/>
  <c r="P50" i="43"/>
  <c r="P51" i="43"/>
  <c r="P52" i="43"/>
  <c r="P53" i="43"/>
  <c r="P54" i="43"/>
  <c r="P55" i="43"/>
  <c r="P56" i="43"/>
  <c r="P57" i="43"/>
  <c r="P58" i="43"/>
  <c r="P59" i="43"/>
  <c r="P60" i="43"/>
  <c r="P61" i="43"/>
  <c r="P62" i="43"/>
  <c r="P63" i="43"/>
  <c r="P64" i="43"/>
  <c r="P65" i="43"/>
  <c r="P66" i="43"/>
  <c r="P67" i="43"/>
  <c r="AW29" i="58" l="1"/>
  <c r="AJ29" i="58" s="1"/>
  <c r="AW26" i="58"/>
  <c r="AJ26" i="58" s="1"/>
  <c r="AW27" i="58"/>
  <c r="AJ27" i="58" s="1"/>
  <c r="AW25" i="58"/>
  <c r="AJ25" i="58" s="1"/>
  <c r="U20" i="43"/>
  <c r="U21" i="43"/>
  <c r="U22" i="43"/>
  <c r="U23" i="43"/>
  <c r="U24" i="43"/>
  <c r="U25" i="43"/>
  <c r="U26" i="43"/>
  <c r="U27" i="43"/>
  <c r="U28" i="43"/>
  <c r="U29" i="43"/>
  <c r="U30" i="43"/>
  <c r="U31" i="43"/>
  <c r="U32" i="43"/>
  <c r="U33" i="43"/>
  <c r="U34" i="43"/>
  <c r="U35" i="43"/>
  <c r="U36" i="43"/>
  <c r="U37" i="43"/>
  <c r="U38" i="43"/>
  <c r="U39" i="43"/>
  <c r="U40" i="43"/>
  <c r="U41" i="43"/>
  <c r="U42" i="43"/>
  <c r="U43" i="43"/>
  <c r="U44" i="43"/>
  <c r="U45" i="43"/>
  <c r="U46" i="43"/>
  <c r="U47" i="43"/>
  <c r="U48" i="43"/>
  <c r="U49" i="43"/>
  <c r="U50" i="43"/>
  <c r="U51" i="43"/>
  <c r="U52" i="43"/>
  <c r="U53" i="43"/>
  <c r="U54" i="43"/>
  <c r="U55" i="43"/>
  <c r="U56" i="43"/>
  <c r="U57" i="43"/>
  <c r="U58" i="43"/>
  <c r="U59" i="43"/>
  <c r="U60" i="43"/>
  <c r="U61" i="43"/>
  <c r="U62" i="43"/>
  <c r="U63" i="43"/>
  <c r="U64" i="43"/>
  <c r="U65" i="43"/>
  <c r="U66" i="43"/>
  <c r="U67" i="43"/>
  <c r="N23" i="42"/>
  <c r="W23" i="42" s="1"/>
  <c r="N24" i="42"/>
  <c r="W24" i="42" s="1"/>
  <c r="N25" i="42"/>
  <c r="W25" i="42" s="1"/>
  <c r="N26" i="42"/>
  <c r="W26" i="42" s="1"/>
  <c r="N27" i="42"/>
  <c r="W27" i="42" s="1"/>
  <c r="N28" i="42"/>
  <c r="W28" i="42" s="1"/>
  <c r="N29" i="42"/>
  <c r="W29" i="42" s="1"/>
  <c r="N30" i="42"/>
  <c r="W30" i="42" s="1"/>
  <c r="N31" i="42"/>
  <c r="W31" i="42" s="1"/>
  <c r="N32" i="42"/>
  <c r="W32" i="42" s="1"/>
  <c r="N33" i="42"/>
  <c r="W33" i="42" s="1"/>
  <c r="N34" i="42"/>
  <c r="W34" i="42" s="1"/>
  <c r="N35" i="42"/>
  <c r="W35" i="42" s="1"/>
  <c r="N36" i="42"/>
  <c r="W36" i="42" s="1"/>
  <c r="N37" i="42"/>
  <c r="W37" i="42" s="1"/>
  <c r="N38" i="42"/>
  <c r="W38" i="42" s="1"/>
  <c r="N39" i="42"/>
  <c r="W39" i="42" s="1"/>
  <c r="N40" i="42"/>
  <c r="W40" i="42" s="1"/>
  <c r="N41" i="42"/>
  <c r="W41" i="42" s="1"/>
  <c r="N42" i="42"/>
  <c r="W42" i="42" s="1"/>
  <c r="N43" i="42"/>
  <c r="W43" i="42" s="1"/>
  <c r="N44" i="42"/>
  <c r="W44" i="42" s="1"/>
  <c r="N45" i="42"/>
  <c r="W45" i="42" s="1"/>
  <c r="N46" i="42"/>
  <c r="W46" i="42" s="1"/>
  <c r="N47" i="42"/>
  <c r="W47" i="42" s="1"/>
  <c r="N48" i="42"/>
  <c r="W48" i="42" s="1"/>
  <c r="N49" i="42"/>
  <c r="W49" i="42" s="1"/>
  <c r="N50" i="42"/>
  <c r="W50" i="42" s="1"/>
  <c r="N51" i="42"/>
  <c r="W51" i="42" s="1"/>
  <c r="N52" i="42"/>
  <c r="W52" i="42" s="1"/>
  <c r="N53" i="42"/>
  <c r="W53" i="42" s="1"/>
  <c r="N54" i="42"/>
  <c r="W54" i="42" s="1"/>
  <c r="N55" i="42"/>
  <c r="W55" i="42" s="1"/>
  <c r="N56" i="42"/>
  <c r="W56" i="42" s="1"/>
  <c r="N57" i="42"/>
  <c r="W57" i="42" s="1"/>
  <c r="N58" i="42"/>
  <c r="W58" i="42" s="1"/>
  <c r="N59" i="42"/>
  <c r="W59" i="42" s="1"/>
  <c r="N60" i="42"/>
  <c r="W60" i="42" s="1"/>
  <c r="N61" i="42"/>
  <c r="W61" i="42" s="1"/>
  <c r="N62" i="42"/>
  <c r="W62" i="42" s="1"/>
  <c r="N63" i="42"/>
  <c r="W63" i="42" s="1"/>
  <c r="N64" i="42"/>
  <c r="W64" i="42" s="1"/>
  <c r="N65" i="42"/>
  <c r="W65" i="42" s="1"/>
  <c r="N66" i="42"/>
  <c r="W66" i="42" s="1"/>
  <c r="N67" i="42"/>
  <c r="W67" i="42" s="1"/>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AL28" i="45" l="1"/>
  <c r="AL30" i="45"/>
  <c r="AL37" i="45"/>
  <c r="AL39" i="45"/>
  <c r="AL43" i="45"/>
  <c r="AL44" i="45"/>
  <c r="AL45" i="45"/>
  <c r="AL46" i="45"/>
  <c r="AL47" i="45"/>
  <c r="AL48" i="45"/>
  <c r="AL49" i="45"/>
  <c r="AL50" i="45"/>
  <c r="AL51" i="45"/>
  <c r="AL52" i="45"/>
  <c r="AL53" i="45"/>
  <c r="AL54" i="45"/>
  <c r="AL55" i="45"/>
  <c r="AL56" i="45"/>
  <c r="AL57" i="45"/>
  <c r="AL58" i="45"/>
  <c r="AL59" i="45"/>
  <c r="AL60" i="45"/>
  <c r="AL61" i="45"/>
  <c r="AL62" i="45"/>
  <c r="AL63" i="45"/>
  <c r="AL64" i="45"/>
  <c r="AL65" i="45"/>
  <c r="AL66" i="45"/>
  <c r="AL67" i="45"/>
  <c r="AL68" i="45"/>
  <c r="AL69" i="45"/>
  <c r="AL70" i="45"/>
  <c r="AL71" i="45"/>
  <c r="AL72" i="45"/>
  <c r="AL73" i="45"/>
  <c r="AL74" i="45"/>
  <c r="AL75" i="45"/>
  <c r="AJ28" i="45"/>
  <c r="AJ30" i="45"/>
  <c r="AJ37" i="45"/>
  <c r="AJ39" i="45"/>
  <c r="AJ43" i="45"/>
  <c r="AJ44" i="45"/>
  <c r="AJ45" i="45"/>
  <c r="AJ46" i="45"/>
  <c r="AJ47" i="45"/>
  <c r="AJ48" i="45"/>
  <c r="AJ49" i="45"/>
  <c r="AJ50" i="45"/>
  <c r="AJ51" i="45"/>
  <c r="AJ52" i="45"/>
  <c r="AJ53" i="45"/>
  <c r="AJ54" i="45"/>
  <c r="AJ55" i="45"/>
  <c r="AJ56" i="45"/>
  <c r="AJ57" i="45"/>
  <c r="AJ58" i="45"/>
  <c r="AJ59" i="45"/>
  <c r="AJ60" i="45"/>
  <c r="AJ61" i="45"/>
  <c r="AJ62" i="45"/>
  <c r="AJ63" i="45"/>
  <c r="AJ64" i="45"/>
  <c r="AJ65" i="45"/>
  <c r="AJ66" i="45"/>
  <c r="AJ67" i="45"/>
  <c r="AJ68" i="45"/>
  <c r="AJ69" i="45"/>
  <c r="AJ70" i="45"/>
  <c r="AJ71" i="45"/>
  <c r="AJ72" i="45"/>
  <c r="AJ73" i="45"/>
  <c r="AJ74" i="45"/>
  <c r="AJ75" i="45"/>
  <c r="AH28" i="45"/>
  <c r="AH30" i="45"/>
  <c r="AH37" i="45"/>
  <c r="AH39" i="45"/>
  <c r="AH43" i="45"/>
  <c r="AH44" i="45"/>
  <c r="AH45" i="45"/>
  <c r="AH46" i="45"/>
  <c r="AH47" i="45"/>
  <c r="AH48" i="45"/>
  <c r="AH49" i="45"/>
  <c r="AH50" i="45"/>
  <c r="AH51" i="45"/>
  <c r="AH52" i="45"/>
  <c r="AH53" i="45"/>
  <c r="AH54" i="45"/>
  <c r="AH55" i="45"/>
  <c r="AH56" i="45"/>
  <c r="AH57" i="45"/>
  <c r="AH58" i="45"/>
  <c r="AH59" i="45"/>
  <c r="AH60" i="45"/>
  <c r="AH61" i="45"/>
  <c r="AH62" i="45"/>
  <c r="AH63" i="45"/>
  <c r="AH64" i="45"/>
  <c r="AH65" i="45"/>
  <c r="AH66" i="45"/>
  <c r="AH67" i="45"/>
  <c r="AH68" i="45"/>
  <c r="AH69" i="45"/>
  <c r="AH70" i="45"/>
  <c r="AH71" i="45"/>
  <c r="AH72" i="45"/>
  <c r="AH73" i="45"/>
  <c r="AH74" i="45"/>
  <c r="AH75" i="45"/>
  <c r="AF28" i="45"/>
  <c r="AF30" i="45"/>
  <c r="AF37" i="45"/>
  <c r="AF39" i="45"/>
  <c r="AF43" i="45"/>
  <c r="AF44" i="45"/>
  <c r="AF45" i="45"/>
  <c r="AF46" i="45"/>
  <c r="AF47" i="45"/>
  <c r="AF48" i="45"/>
  <c r="AF49" i="45"/>
  <c r="AF50" i="45"/>
  <c r="AF51" i="45"/>
  <c r="AF52" i="45"/>
  <c r="AF53" i="45"/>
  <c r="AF54" i="45"/>
  <c r="AF55" i="45"/>
  <c r="AF56" i="45"/>
  <c r="AF57" i="45"/>
  <c r="AF58" i="45"/>
  <c r="AF59" i="45"/>
  <c r="AF60" i="45"/>
  <c r="AF61" i="45"/>
  <c r="AF62" i="45"/>
  <c r="AF63" i="45"/>
  <c r="AF64" i="45"/>
  <c r="AF65" i="45"/>
  <c r="AF66" i="45"/>
  <c r="AF67" i="45"/>
  <c r="AF68" i="45"/>
  <c r="AF69" i="45"/>
  <c r="AF70" i="45"/>
  <c r="AF71" i="45"/>
  <c r="AF72" i="45"/>
  <c r="AF73" i="45"/>
  <c r="AF74" i="45"/>
  <c r="AF75" i="45"/>
  <c r="AD28" i="45"/>
  <c r="AD30" i="45"/>
  <c r="AD37" i="45"/>
  <c r="AD39" i="45"/>
  <c r="AD43" i="45"/>
  <c r="AD44" i="45"/>
  <c r="AD45" i="45"/>
  <c r="AD46" i="45"/>
  <c r="AD47" i="45"/>
  <c r="AD48" i="45"/>
  <c r="AD49" i="45"/>
  <c r="AD50" i="45"/>
  <c r="AD51" i="45"/>
  <c r="AD52" i="45"/>
  <c r="AD53" i="45"/>
  <c r="AD54" i="45"/>
  <c r="AD55" i="45"/>
  <c r="AD56" i="45"/>
  <c r="AD57" i="45"/>
  <c r="AD58" i="45"/>
  <c r="AD59" i="45"/>
  <c r="AD60" i="45"/>
  <c r="AD61" i="45"/>
  <c r="AD62" i="45"/>
  <c r="AD63" i="45"/>
  <c r="AD64" i="45"/>
  <c r="AD65" i="45"/>
  <c r="AD66" i="45"/>
  <c r="AD67" i="45"/>
  <c r="AD68" i="45"/>
  <c r="AD69" i="45"/>
  <c r="AD70" i="45"/>
  <c r="AD71" i="45"/>
  <c r="AD72" i="45"/>
  <c r="AD73" i="45"/>
  <c r="AD74" i="45"/>
  <c r="AD75" i="45"/>
  <c r="AB28" i="45"/>
  <c r="AB30" i="45"/>
  <c r="AB37" i="45"/>
  <c r="AB39" i="45"/>
  <c r="AB43" i="45"/>
  <c r="AB44" i="45"/>
  <c r="AB45" i="45"/>
  <c r="AB46" i="45"/>
  <c r="AB47" i="45"/>
  <c r="AB48" i="45"/>
  <c r="AB49" i="45"/>
  <c r="AB50" i="45"/>
  <c r="AB51" i="45"/>
  <c r="AB52" i="45"/>
  <c r="AB53" i="45"/>
  <c r="AB54" i="45"/>
  <c r="AB55" i="45"/>
  <c r="AB56" i="45"/>
  <c r="AB57" i="45"/>
  <c r="AB58" i="45"/>
  <c r="AB59" i="45"/>
  <c r="AB60" i="45"/>
  <c r="AB61" i="45"/>
  <c r="AB62" i="45"/>
  <c r="AB63" i="45"/>
  <c r="AB64" i="45"/>
  <c r="AB65" i="45"/>
  <c r="AB66" i="45"/>
  <c r="AB67" i="45"/>
  <c r="AB68" i="45"/>
  <c r="AB69" i="45"/>
  <c r="AB70" i="45"/>
  <c r="AB71" i="45"/>
  <c r="AB72" i="45"/>
  <c r="AB73" i="45"/>
  <c r="AB74" i="45"/>
  <c r="AB75" i="45"/>
  <c r="Z28" i="45"/>
  <c r="Z30" i="45"/>
  <c r="Z37" i="45"/>
  <c r="Z39" i="45"/>
  <c r="Z43" i="45"/>
  <c r="Z44" i="45"/>
  <c r="Z45" i="45"/>
  <c r="Z46" i="45"/>
  <c r="Z47" i="45"/>
  <c r="Z48" i="45"/>
  <c r="Z49" i="45"/>
  <c r="Z50" i="45"/>
  <c r="Z51" i="45"/>
  <c r="Z52" i="45"/>
  <c r="Z53" i="45"/>
  <c r="Z54" i="45"/>
  <c r="Z55" i="45"/>
  <c r="Z56" i="45"/>
  <c r="Z57" i="45"/>
  <c r="Z58" i="45"/>
  <c r="Z59" i="45"/>
  <c r="Z60" i="45"/>
  <c r="Z61" i="45"/>
  <c r="Z62" i="45"/>
  <c r="Z63" i="45"/>
  <c r="Z64" i="45"/>
  <c r="Z65" i="45"/>
  <c r="Z66" i="45"/>
  <c r="Z67" i="45"/>
  <c r="Z68" i="45"/>
  <c r="Z69" i="45"/>
  <c r="Z70" i="45"/>
  <c r="Z71" i="45"/>
  <c r="Z72" i="45"/>
  <c r="Z73" i="45"/>
  <c r="Z74" i="45"/>
  <c r="Z75" i="45"/>
  <c r="X28" i="45"/>
  <c r="X30" i="45"/>
  <c r="X37" i="45"/>
  <c r="X39" i="45"/>
  <c r="X43" i="45"/>
  <c r="X44" i="45"/>
  <c r="X45" i="45"/>
  <c r="X46" i="45"/>
  <c r="X47" i="45"/>
  <c r="X48" i="45"/>
  <c r="X49" i="45"/>
  <c r="X50" i="45"/>
  <c r="X51" i="45"/>
  <c r="X52" i="45"/>
  <c r="X53" i="45"/>
  <c r="X54" i="45"/>
  <c r="X55" i="45"/>
  <c r="X56" i="45"/>
  <c r="X57" i="45"/>
  <c r="X58" i="45"/>
  <c r="X59" i="45"/>
  <c r="X60" i="45"/>
  <c r="X61" i="45"/>
  <c r="X62" i="45"/>
  <c r="X63" i="45"/>
  <c r="X64" i="45"/>
  <c r="X65" i="45"/>
  <c r="X66" i="45"/>
  <c r="X67" i="45"/>
  <c r="X68" i="45"/>
  <c r="X69" i="45"/>
  <c r="X70" i="45"/>
  <c r="X71" i="45"/>
  <c r="X72" i="45"/>
  <c r="X73" i="45"/>
  <c r="X74" i="45"/>
  <c r="X75" i="45"/>
  <c r="V28" i="45"/>
  <c r="V30" i="45"/>
  <c r="V37" i="45"/>
  <c r="V39" i="45"/>
  <c r="V43" i="45"/>
  <c r="V44" i="45"/>
  <c r="V45" i="45"/>
  <c r="V46" i="45"/>
  <c r="V47" i="45"/>
  <c r="V48" i="45"/>
  <c r="V49" i="45"/>
  <c r="V50" i="45"/>
  <c r="V51" i="45"/>
  <c r="V52" i="45"/>
  <c r="V53" i="45"/>
  <c r="V54" i="45"/>
  <c r="V55" i="45"/>
  <c r="V56" i="45"/>
  <c r="V57" i="45"/>
  <c r="V58" i="45"/>
  <c r="V59" i="45"/>
  <c r="V60" i="45"/>
  <c r="V61" i="45"/>
  <c r="V62" i="45"/>
  <c r="V63" i="45"/>
  <c r="V64" i="45"/>
  <c r="V65" i="45"/>
  <c r="V66" i="45"/>
  <c r="V67" i="45"/>
  <c r="V68" i="45"/>
  <c r="V69" i="45"/>
  <c r="V70" i="45"/>
  <c r="V71" i="45"/>
  <c r="V72" i="45"/>
  <c r="V73" i="45"/>
  <c r="V74" i="45"/>
  <c r="V75" i="45"/>
  <c r="T28" i="45"/>
  <c r="T30" i="45"/>
  <c r="T37" i="45"/>
  <c r="T39" i="45"/>
  <c r="T43" i="45"/>
  <c r="T44" i="45"/>
  <c r="T45" i="45"/>
  <c r="T46" i="45"/>
  <c r="T47" i="45"/>
  <c r="T48" i="45"/>
  <c r="T49" i="45"/>
  <c r="T50" i="45"/>
  <c r="T51" i="45"/>
  <c r="T52" i="45"/>
  <c r="T53" i="45"/>
  <c r="T54" i="45"/>
  <c r="T55" i="45"/>
  <c r="T56" i="45"/>
  <c r="T57" i="45"/>
  <c r="T58" i="45"/>
  <c r="T59" i="45"/>
  <c r="T60" i="45"/>
  <c r="T61" i="45"/>
  <c r="T62" i="45"/>
  <c r="T63" i="45"/>
  <c r="T64" i="45"/>
  <c r="T65" i="45"/>
  <c r="T66" i="45"/>
  <c r="T67" i="45"/>
  <c r="T68" i="45"/>
  <c r="T69" i="45"/>
  <c r="T70" i="45"/>
  <c r="T71" i="45"/>
  <c r="T72" i="45"/>
  <c r="T73" i="45"/>
  <c r="T74" i="45"/>
  <c r="T75" i="45"/>
  <c r="R28" i="45"/>
  <c r="R30" i="45"/>
  <c r="R37" i="45"/>
  <c r="R39" i="45"/>
  <c r="R43" i="45"/>
  <c r="R44" i="45"/>
  <c r="R45" i="45"/>
  <c r="R46" i="45"/>
  <c r="R47" i="45"/>
  <c r="R48" i="45"/>
  <c r="R49" i="45"/>
  <c r="R50" i="45"/>
  <c r="R51" i="45"/>
  <c r="R52" i="45"/>
  <c r="R53" i="45"/>
  <c r="R54" i="45"/>
  <c r="R55" i="45"/>
  <c r="R56" i="45"/>
  <c r="R57" i="45"/>
  <c r="R58" i="45"/>
  <c r="R59" i="45"/>
  <c r="R60" i="45"/>
  <c r="R61" i="45"/>
  <c r="R62" i="45"/>
  <c r="R63" i="45"/>
  <c r="R64" i="45"/>
  <c r="R65" i="45"/>
  <c r="R66" i="45"/>
  <c r="R67" i="45"/>
  <c r="R68" i="45"/>
  <c r="R69" i="45"/>
  <c r="R70" i="45"/>
  <c r="R71" i="45"/>
  <c r="R72" i="45"/>
  <c r="R73" i="45"/>
  <c r="R74" i="45"/>
  <c r="R75" i="45"/>
  <c r="P28" i="45"/>
  <c r="P30" i="45"/>
  <c r="P37" i="45"/>
  <c r="P39" i="45"/>
  <c r="P43" i="45"/>
  <c r="P44" i="45"/>
  <c r="P45" i="45"/>
  <c r="P46" i="45"/>
  <c r="P47" i="45"/>
  <c r="P48" i="45"/>
  <c r="P49" i="45"/>
  <c r="P50" i="45"/>
  <c r="P51" i="45"/>
  <c r="P52" i="45"/>
  <c r="P53" i="45"/>
  <c r="P54" i="45"/>
  <c r="P55" i="45"/>
  <c r="P56" i="45"/>
  <c r="P57" i="45"/>
  <c r="P58" i="45"/>
  <c r="P59" i="45"/>
  <c r="P60" i="45"/>
  <c r="P61" i="45"/>
  <c r="P62" i="45"/>
  <c r="P63" i="45"/>
  <c r="P64" i="45"/>
  <c r="P65" i="45"/>
  <c r="P66" i="45"/>
  <c r="P67" i="45"/>
  <c r="P68" i="45"/>
  <c r="P69" i="45"/>
  <c r="P70" i="45"/>
  <c r="P71" i="45"/>
  <c r="P72" i="45"/>
  <c r="P73" i="45"/>
  <c r="P74" i="45"/>
  <c r="P75" i="45"/>
  <c r="S474" i="35"/>
  <c r="AE435" i="35"/>
  <c r="AD435" i="35"/>
  <c r="AC435" i="35"/>
  <c r="AB435" i="35"/>
  <c r="AA435" i="35"/>
  <c r="Z435" i="35"/>
  <c r="Y435" i="35"/>
  <c r="V435" i="35"/>
  <c r="U435" i="35"/>
  <c r="T435" i="35"/>
  <c r="S435" i="35"/>
  <c r="AE431" i="35"/>
  <c r="AD431" i="35"/>
  <c r="AC431" i="35"/>
  <c r="AB431" i="35"/>
  <c r="AA431" i="35"/>
  <c r="Z431" i="35"/>
  <c r="Y431" i="35"/>
  <c r="V431" i="35"/>
  <c r="U431" i="35"/>
  <c r="T431" i="35"/>
  <c r="S431" i="35"/>
  <c r="AE429" i="35"/>
  <c r="AD429" i="35"/>
  <c r="AC429" i="35"/>
  <c r="AB429" i="35"/>
  <c r="AA429" i="35"/>
  <c r="Z429" i="35"/>
  <c r="Y429" i="35"/>
  <c r="V429" i="35"/>
  <c r="U429" i="35"/>
  <c r="T429" i="35"/>
  <c r="S429" i="35"/>
  <c r="AE428" i="35"/>
  <c r="AD428" i="35"/>
  <c r="AC428" i="35"/>
  <c r="AB428" i="35"/>
  <c r="AA428" i="35"/>
  <c r="Z428" i="35"/>
  <c r="Y428" i="35"/>
  <c r="V428" i="35"/>
  <c r="U428" i="35"/>
  <c r="T428" i="35"/>
  <c r="S428" i="35"/>
  <c r="AE426" i="35"/>
  <c r="AD426" i="35"/>
  <c r="AC426" i="35"/>
  <c r="AB426" i="35"/>
  <c r="AA426" i="35"/>
  <c r="Z426" i="35"/>
  <c r="Y426" i="35"/>
  <c r="V426" i="35"/>
  <c r="U426" i="35"/>
  <c r="T426" i="35"/>
  <c r="S426" i="35"/>
  <c r="AE419" i="35"/>
  <c r="AD419" i="35"/>
  <c r="AC419" i="35"/>
  <c r="AB419" i="35"/>
  <c r="AA419" i="35"/>
  <c r="Z419" i="35"/>
  <c r="Y419" i="35"/>
  <c r="V419" i="35"/>
  <c r="U419" i="35"/>
  <c r="T419" i="35"/>
  <c r="S419" i="35"/>
  <c r="AE418" i="35"/>
  <c r="AD418" i="35"/>
  <c r="AC418" i="35"/>
  <c r="AB418" i="35"/>
  <c r="AA418" i="35"/>
  <c r="Z418" i="35"/>
  <c r="Y418" i="35"/>
  <c r="V418" i="35"/>
  <c r="U418" i="35"/>
  <c r="T418" i="35"/>
  <c r="S418" i="35"/>
  <c r="AE389" i="35"/>
  <c r="AD389" i="35"/>
  <c r="AC389" i="35"/>
  <c r="AB389" i="35"/>
  <c r="AA389" i="35"/>
  <c r="Z389" i="35"/>
  <c r="Y389" i="35"/>
  <c r="V389" i="35"/>
  <c r="U389" i="35"/>
  <c r="T389" i="35"/>
  <c r="S389" i="35"/>
  <c r="AE386" i="35"/>
  <c r="AD386" i="35"/>
  <c r="AC386" i="35"/>
  <c r="AB386" i="35"/>
  <c r="AA386" i="35"/>
  <c r="Z386" i="35"/>
  <c r="Y386" i="35"/>
  <c r="V386" i="35"/>
  <c r="U386" i="35"/>
  <c r="T386" i="35"/>
  <c r="S386" i="35"/>
  <c r="AO25" i="33"/>
  <c r="AO26" i="33"/>
  <c r="AO27" i="33"/>
  <c r="AO28" i="33"/>
  <c r="AO30" i="33"/>
  <c r="AO31" i="33"/>
  <c r="AO32" i="33"/>
  <c r="AO33" i="33"/>
  <c r="AO34" i="33"/>
  <c r="AO35" i="33"/>
  <c r="AO36" i="33"/>
  <c r="AO37" i="33"/>
  <c r="AO38" i="33"/>
  <c r="AO39" i="33"/>
  <c r="AO40" i="33"/>
  <c r="AO41" i="33"/>
  <c r="AO42" i="33"/>
  <c r="AO43" i="33"/>
  <c r="AO44" i="33"/>
  <c r="AO45" i="33"/>
  <c r="AO46" i="33"/>
  <c r="AM25" i="33"/>
  <c r="AM26" i="33"/>
  <c r="AM27" i="33"/>
  <c r="AM28" i="33"/>
  <c r="AM29" i="33"/>
  <c r="AM30" i="33"/>
  <c r="AM31" i="33"/>
  <c r="AM32" i="33"/>
  <c r="AM33" i="33"/>
  <c r="AM34" i="33"/>
  <c r="AM35" i="33"/>
  <c r="AM36" i="33"/>
  <c r="AM37" i="33"/>
  <c r="AM38" i="33"/>
  <c r="AM39" i="33"/>
  <c r="AM40" i="33"/>
  <c r="AM41" i="33"/>
  <c r="AM42" i="33"/>
  <c r="AM43" i="33"/>
  <c r="AM44" i="33"/>
  <c r="AM45" i="33"/>
  <c r="AM46" i="33"/>
  <c r="AK25" i="33"/>
  <c r="AK26" i="33"/>
  <c r="AK27" i="33"/>
  <c r="AK28" i="33"/>
  <c r="AK29" i="33"/>
  <c r="AK30" i="33"/>
  <c r="AK31" i="33"/>
  <c r="AK32" i="33"/>
  <c r="AK33" i="33"/>
  <c r="AK34" i="33"/>
  <c r="AK35" i="33"/>
  <c r="AK36" i="33"/>
  <c r="AK37" i="33"/>
  <c r="AK38" i="33"/>
  <c r="AK39" i="33"/>
  <c r="AK40" i="33"/>
  <c r="AK41" i="33"/>
  <c r="AK42" i="33"/>
  <c r="AK43" i="33"/>
  <c r="AK44" i="33"/>
  <c r="AK45" i="33"/>
  <c r="AI25" i="33"/>
  <c r="AI26" i="33"/>
  <c r="AI27" i="33"/>
  <c r="AI28" i="33"/>
  <c r="AI29" i="33"/>
  <c r="AI30" i="33"/>
  <c r="AI31" i="33"/>
  <c r="AI32" i="33"/>
  <c r="AI33" i="33"/>
  <c r="AI34" i="33"/>
  <c r="AI35" i="33"/>
  <c r="AI36" i="33"/>
  <c r="AI37" i="33"/>
  <c r="AI38" i="33"/>
  <c r="AI39" i="33"/>
  <c r="AI40" i="33"/>
  <c r="AI41" i="33"/>
  <c r="AI42" i="33"/>
  <c r="AI43" i="33"/>
  <c r="AI44" i="33"/>
  <c r="AI45" i="33"/>
  <c r="AI46" i="33"/>
  <c r="AG25" i="33"/>
  <c r="AG26" i="33"/>
  <c r="AG27" i="33"/>
  <c r="AG28" i="33"/>
  <c r="AG29" i="33"/>
  <c r="AG30" i="33"/>
  <c r="AG31" i="33"/>
  <c r="AG32" i="33"/>
  <c r="AG33" i="33"/>
  <c r="AG34" i="33"/>
  <c r="AG35" i="33"/>
  <c r="AG36" i="33"/>
  <c r="AG37" i="33"/>
  <c r="AG38" i="33"/>
  <c r="AG39" i="33"/>
  <c r="AG40" i="33"/>
  <c r="AG41" i="33"/>
  <c r="AG42" i="33"/>
  <c r="AG43" i="33"/>
  <c r="AG44" i="33"/>
  <c r="AG45" i="33"/>
  <c r="AG46" i="33"/>
  <c r="AE25" i="33"/>
  <c r="AE26" i="33"/>
  <c r="AE27" i="33"/>
  <c r="AE28" i="33"/>
  <c r="AE29" i="33"/>
  <c r="AE30" i="33"/>
  <c r="AE31" i="33"/>
  <c r="AE32" i="33"/>
  <c r="AE33" i="33"/>
  <c r="AE34" i="33"/>
  <c r="AE35" i="33"/>
  <c r="AE36" i="33"/>
  <c r="AE37" i="33"/>
  <c r="AE38" i="33"/>
  <c r="AE39" i="33"/>
  <c r="AE40" i="33"/>
  <c r="AE41" i="33"/>
  <c r="AE42" i="33"/>
  <c r="AE43" i="33"/>
  <c r="AE44" i="33"/>
  <c r="AE45" i="33"/>
  <c r="AE46" i="33"/>
  <c r="AC25" i="33"/>
  <c r="AC26" i="33"/>
  <c r="AC27" i="33"/>
  <c r="AC28" i="33"/>
  <c r="AC29" i="33"/>
  <c r="AC30" i="33"/>
  <c r="AC31" i="33"/>
  <c r="AC32" i="33"/>
  <c r="AC33" i="33"/>
  <c r="AC34" i="33"/>
  <c r="AC35" i="33"/>
  <c r="AC36" i="33"/>
  <c r="AC37" i="33"/>
  <c r="AC38" i="33"/>
  <c r="AC39" i="33"/>
  <c r="AC40" i="33"/>
  <c r="AC41" i="33"/>
  <c r="AC42" i="33"/>
  <c r="AC43" i="33"/>
  <c r="AC44" i="33"/>
  <c r="AC45" i="33"/>
  <c r="AC46" i="33"/>
  <c r="AA25" i="33"/>
  <c r="AA26" i="33"/>
  <c r="AA27" i="33"/>
  <c r="AA28" i="33"/>
  <c r="AA29" i="33"/>
  <c r="AA30" i="33"/>
  <c r="AA31" i="33"/>
  <c r="AA32" i="33"/>
  <c r="AA33" i="33"/>
  <c r="AA34" i="33"/>
  <c r="AA35" i="33"/>
  <c r="AA36" i="33"/>
  <c r="AA37" i="33"/>
  <c r="AA38" i="33"/>
  <c r="AA39" i="33"/>
  <c r="AA40" i="33"/>
  <c r="AA41" i="33"/>
  <c r="AA42" i="33"/>
  <c r="AA43" i="33"/>
  <c r="AA44" i="33"/>
  <c r="AA45" i="33"/>
  <c r="AA46" i="33"/>
  <c r="Y25" i="33"/>
  <c r="Y26" i="33"/>
  <c r="Y27" i="33"/>
  <c r="Y28" i="33"/>
  <c r="Y29" i="33"/>
  <c r="Y30" i="33"/>
  <c r="Y31" i="33"/>
  <c r="Y32" i="33"/>
  <c r="Y33" i="33"/>
  <c r="Y34" i="33"/>
  <c r="Y35" i="33"/>
  <c r="Y36" i="33"/>
  <c r="Y37" i="33"/>
  <c r="Y38" i="33"/>
  <c r="Y39" i="33"/>
  <c r="Y40" i="33"/>
  <c r="Y41" i="33"/>
  <c r="Y42" i="33"/>
  <c r="Y43" i="33"/>
  <c r="Y44" i="33"/>
  <c r="Y45" i="33"/>
  <c r="Y46" i="33"/>
  <c r="W25" i="33"/>
  <c r="W26" i="33"/>
  <c r="W27" i="33"/>
  <c r="W28" i="33"/>
  <c r="W29" i="33"/>
  <c r="W30" i="33"/>
  <c r="W31" i="33"/>
  <c r="W32" i="33"/>
  <c r="W33" i="33"/>
  <c r="W34" i="33"/>
  <c r="W35" i="33"/>
  <c r="W36" i="33"/>
  <c r="W37" i="33"/>
  <c r="W38" i="33"/>
  <c r="W39" i="33"/>
  <c r="W40" i="33"/>
  <c r="W41" i="33"/>
  <c r="W42" i="33"/>
  <c r="W43" i="33"/>
  <c r="W44" i="33"/>
  <c r="W45" i="33"/>
  <c r="W46" i="33"/>
  <c r="K11" i="28" l="1"/>
  <c r="J11" i="28"/>
  <c r="AR32" i="28" l="1"/>
  <c r="AR33" i="28"/>
  <c r="AR34" i="28"/>
  <c r="AR35" i="28"/>
  <c r="AR36" i="28"/>
  <c r="AR37" i="28"/>
  <c r="AR38" i="28"/>
  <c r="AR39" i="28"/>
  <c r="AR40" i="28"/>
  <c r="AR41" i="28"/>
  <c r="AR42" i="28"/>
  <c r="AR43" i="28"/>
  <c r="AR44" i="28"/>
  <c r="AR45" i="28"/>
  <c r="AR46" i="28"/>
  <c r="AR47" i="28"/>
  <c r="AR48" i="28"/>
  <c r="AR49" i="28"/>
  <c r="AR50" i="28"/>
  <c r="AR51" i="28"/>
  <c r="AR52" i="28"/>
  <c r="AR53" i="28"/>
  <c r="AR54" i="28"/>
  <c r="AR55" i="28"/>
  <c r="AR56" i="28"/>
  <c r="AR57" i="28"/>
  <c r="AR58" i="28"/>
  <c r="AR59" i="28"/>
  <c r="AR60" i="28"/>
  <c r="AR61" i="28"/>
  <c r="AR62" i="28"/>
  <c r="AR63" i="28"/>
  <c r="AR64" i="28"/>
  <c r="AR65" i="28"/>
  <c r="AR16" i="28"/>
  <c r="AR17" i="28"/>
  <c r="AR18" i="28"/>
  <c r="AR19" i="28"/>
  <c r="AR20" i="28"/>
  <c r="AR21" i="28"/>
  <c r="AR22" i="28"/>
  <c r="AR23" i="28"/>
  <c r="AR24" i="28"/>
  <c r="AR25" i="28"/>
  <c r="AR26" i="28"/>
  <c r="AR27" i="28"/>
  <c r="AR28" i="28"/>
  <c r="AR29" i="28"/>
  <c r="AR30" i="28"/>
  <c r="AR31" i="28"/>
  <c r="W32" i="28"/>
  <c r="W33" i="28"/>
  <c r="W34" i="28"/>
  <c r="W35" i="28"/>
  <c r="W36" i="28"/>
  <c r="W37" i="28"/>
  <c r="W38" i="28"/>
  <c r="W39" i="28"/>
  <c r="W40" i="28"/>
  <c r="W41" i="28"/>
  <c r="W42" i="28"/>
  <c r="W43" i="28"/>
  <c r="W44" i="28"/>
  <c r="W45" i="28"/>
  <c r="W46" i="28"/>
  <c r="W47" i="28"/>
  <c r="W48" i="28"/>
  <c r="W49" i="28"/>
  <c r="W50" i="28"/>
  <c r="W51" i="28"/>
  <c r="W52" i="28"/>
  <c r="W53" i="28"/>
  <c r="W54" i="28"/>
  <c r="W55" i="28"/>
  <c r="W56" i="28"/>
  <c r="W57" i="28"/>
  <c r="W58" i="28"/>
  <c r="W59" i="28"/>
  <c r="W60" i="28"/>
  <c r="W61" i="28"/>
  <c r="W62" i="28"/>
  <c r="W63" i="28"/>
  <c r="W64" i="28"/>
  <c r="W65" i="28"/>
  <c r="W21" i="28"/>
  <c r="W22" i="28"/>
  <c r="W24" i="28"/>
  <c r="W26" i="28"/>
  <c r="W28" i="28"/>
  <c r="W30" i="28"/>
  <c r="AQ32" i="28"/>
  <c r="AS32" i="28"/>
  <c r="AQ33" i="28"/>
  <c r="AS33" i="28"/>
  <c r="AQ34" i="28"/>
  <c r="AS34" i="28"/>
  <c r="AQ35" i="28"/>
  <c r="AS35" i="28"/>
  <c r="AQ36" i="28"/>
  <c r="AS36" i="28"/>
  <c r="AQ37" i="28"/>
  <c r="AS37" i="28"/>
  <c r="AQ38" i="28"/>
  <c r="AS38" i="28"/>
  <c r="AQ39" i="28"/>
  <c r="AS39" i="28"/>
  <c r="AQ40" i="28"/>
  <c r="AS40" i="28"/>
  <c r="AQ41" i="28"/>
  <c r="AS41" i="28"/>
  <c r="AQ42" i="28"/>
  <c r="AS42" i="28"/>
  <c r="AQ43" i="28"/>
  <c r="AS43" i="28"/>
  <c r="AQ44" i="28"/>
  <c r="AS44" i="28"/>
  <c r="AQ45" i="28"/>
  <c r="AS45" i="28"/>
  <c r="AQ46" i="28"/>
  <c r="AS46" i="28"/>
  <c r="AQ47" i="28"/>
  <c r="AS47" i="28"/>
  <c r="AQ48" i="28"/>
  <c r="AS48" i="28"/>
  <c r="AQ49" i="28"/>
  <c r="AS49" i="28"/>
  <c r="AQ50" i="28"/>
  <c r="AS50" i="28"/>
  <c r="AQ51" i="28"/>
  <c r="AS51" i="28"/>
  <c r="AQ52" i="28"/>
  <c r="AS52" i="28"/>
  <c r="AQ53" i="28"/>
  <c r="AS53" i="28"/>
  <c r="AQ54" i="28"/>
  <c r="AS54" i="28"/>
  <c r="AQ55" i="28"/>
  <c r="AS55" i="28"/>
  <c r="AQ56" i="28"/>
  <c r="AS56" i="28"/>
  <c r="AQ57" i="28"/>
  <c r="AS57" i="28"/>
  <c r="AQ58" i="28"/>
  <c r="AS58" i="28"/>
  <c r="AQ59" i="28"/>
  <c r="AS59" i="28"/>
  <c r="AQ60" i="28"/>
  <c r="AS60" i="28"/>
  <c r="AQ61" i="28"/>
  <c r="AS61" i="28"/>
  <c r="AQ62" i="28"/>
  <c r="AS62" i="28"/>
  <c r="AQ63" i="28"/>
  <c r="AS63" i="28"/>
  <c r="AQ64" i="28"/>
  <c r="AS64" i="28"/>
  <c r="AQ65" i="28"/>
  <c r="AS65" i="28"/>
  <c r="V32" i="28"/>
  <c r="V33" i="28"/>
  <c r="V34" i="28"/>
  <c r="V35" i="28"/>
  <c r="V36" i="28"/>
  <c r="V37" i="28"/>
  <c r="V38" i="28"/>
  <c r="V39" i="28"/>
  <c r="V40" i="28"/>
  <c r="V41" i="28"/>
  <c r="V42" i="28"/>
  <c r="V43" i="28"/>
  <c r="V44" i="28"/>
  <c r="V45" i="28"/>
  <c r="V46" i="28"/>
  <c r="V47" i="28"/>
  <c r="V48" i="28"/>
  <c r="V49" i="28"/>
  <c r="V50" i="28"/>
  <c r="V51" i="28"/>
  <c r="V52" i="28"/>
  <c r="V53" i="28"/>
  <c r="V54" i="28"/>
  <c r="V55" i="28"/>
  <c r="V56" i="28"/>
  <c r="V57" i="28"/>
  <c r="V58" i="28"/>
  <c r="V59" i="28"/>
  <c r="V60" i="28"/>
  <c r="V61" i="28"/>
  <c r="V62" i="28"/>
  <c r="V63" i="28"/>
  <c r="V64" i="28"/>
  <c r="V65" i="28"/>
  <c r="V21" i="28"/>
  <c r="V22" i="28"/>
  <c r="V24" i="28"/>
  <c r="V26" i="28"/>
  <c r="V28" i="28"/>
  <c r="V30" i="28"/>
  <c r="AQ16" i="28"/>
  <c r="AQ17" i="28"/>
  <c r="AQ18" i="28"/>
  <c r="AQ19" i="28"/>
  <c r="AQ20" i="28"/>
  <c r="AQ21" i="28"/>
  <c r="AQ22" i="28"/>
  <c r="AQ23" i="28"/>
  <c r="AQ24" i="28"/>
  <c r="AQ25" i="28"/>
  <c r="AQ26" i="28"/>
  <c r="AQ27" i="28"/>
  <c r="AQ28" i="28"/>
  <c r="AQ29" i="28"/>
  <c r="AQ30" i="28"/>
  <c r="AS16" i="28"/>
  <c r="AS17" i="28"/>
  <c r="AS18" i="28"/>
  <c r="AS19" i="28"/>
  <c r="AS20" i="28"/>
  <c r="AS21" i="28"/>
  <c r="AS22" i="28"/>
  <c r="AS23" i="28"/>
  <c r="AS24" i="28"/>
  <c r="AS25" i="28"/>
  <c r="AS26" i="28"/>
  <c r="AS27" i="28"/>
  <c r="AS28" i="28"/>
  <c r="AS29" i="28"/>
  <c r="AS30" i="28"/>
  <c r="AS31" i="28"/>
  <c r="AQ31" i="28"/>
  <c r="D474" i="35" l="1"/>
  <c r="AK46" i="33"/>
  <c r="P25" i="54" l="1"/>
  <c r="AT30" i="54"/>
  <c r="AT31" i="54"/>
  <c r="AT32" i="54"/>
  <c r="AT33" i="54"/>
  <c r="AT34" i="54"/>
  <c r="AT35" i="54"/>
  <c r="AT36" i="54"/>
  <c r="AT37" i="54"/>
  <c r="AT38" i="54"/>
  <c r="AT39" i="54"/>
  <c r="AT40" i="54"/>
  <c r="AT41" i="54"/>
  <c r="AT42" i="54"/>
  <c r="AT43" i="54"/>
  <c r="AT44" i="54"/>
  <c r="AT45" i="54"/>
  <c r="AS30" i="54"/>
  <c r="AS31" i="54"/>
  <c r="AS32" i="54"/>
  <c r="AS33" i="54"/>
  <c r="AS34" i="54"/>
  <c r="AS35" i="54"/>
  <c r="AS36" i="54"/>
  <c r="AS37" i="54"/>
  <c r="AS38" i="54"/>
  <c r="AS39" i="54"/>
  <c r="AS40" i="54"/>
  <c r="AS41" i="54"/>
  <c r="AS42" i="54"/>
  <c r="AS43" i="54"/>
  <c r="AS44" i="54"/>
  <c r="AS45" i="54"/>
  <c r="AR30" i="54"/>
  <c r="AR31" i="54"/>
  <c r="AR32" i="54"/>
  <c r="AR33" i="54"/>
  <c r="AR34" i="54"/>
  <c r="AR35" i="54"/>
  <c r="AR36" i="54"/>
  <c r="AR37" i="54"/>
  <c r="AR38" i="54"/>
  <c r="AR39" i="54"/>
  <c r="AR40" i="54"/>
  <c r="AR41" i="54"/>
  <c r="AR42" i="54"/>
  <c r="AR43" i="54"/>
  <c r="AR44" i="54"/>
  <c r="AR45" i="54"/>
  <c r="AQ30" i="54"/>
  <c r="AQ31" i="54"/>
  <c r="AQ32" i="54"/>
  <c r="AQ33" i="54"/>
  <c r="AQ34" i="54"/>
  <c r="AQ35" i="54"/>
  <c r="AQ36" i="54"/>
  <c r="AQ37" i="54"/>
  <c r="AQ38" i="54"/>
  <c r="AQ39" i="54"/>
  <c r="AQ40" i="54"/>
  <c r="AQ41" i="54"/>
  <c r="AQ42" i="54"/>
  <c r="AQ43" i="54"/>
  <c r="AQ44" i="54"/>
  <c r="AQ45" i="54"/>
  <c r="AP30" i="54"/>
  <c r="AP31" i="54"/>
  <c r="AP32" i="54"/>
  <c r="AP33" i="54"/>
  <c r="AP34" i="54"/>
  <c r="AP35" i="54"/>
  <c r="AP36" i="54"/>
  <c r="AP37" i="54"/>
  <c r="AP38" i="54"/>
  <c r="AP39" i="54"/>
  <c r="AP40" i="54"/>
  <c r="AP41" i="54"/>
  <c r="AP42" i="54"/>
  <c r="AP43" i="54"/>
  <c r="AP44" i="54"/>
  <c r="AP45" i="54"/>
  <c r="AI28" i="37"/>
  <c r="AJ28" i="37"/>
  <c r="AK28" i="37"/>
  <c r="AL28" i="37"/>
  <c r="AM28" i="37"/>
  <c r="AI30" i="37"/>
  <c r="AJ30" i="37"/>
  <c r="AK30" i="37"/>
  <c r="AL30" i="37"/>
  <c r="AM30" i="37"/>
  <c r="AI31" i="37"/>
  <c r="AJ31" i="37"/>
  <c r="AK31" i="37"/>
  <c r="AL31" i="37"/>
  <c r="AM31" i="37"/>
  <c r="AI32" i="37"/>
  <c r="AJ32" i="37"/>
  <c r="AK32" i="37"/>
  <c r="AL32" i="37"/>
  <c r="AM32" i="37"/>
  <c r="AI33" i="37"/>
  <c r="AJ33" i="37"/>
  <c r="AK33" i="37"/>
  <c r="AL33" i="37"/>
  <c r="AM33" i="37"/>
  <c r="AI34" i="37"/>
  <c r="AJ34" i="37"/>
  <c r="AK34" i="37"/>
  <c r="AL34" i="37"/>
  <c r="AM34" i="37"/>
  <c r="AI37" i="37"/>
  <c r="AJ37" i="37"/>
  <c r="AK37" i="37"/>
  <c r="AL37" i="37"/>
  <c r="AM37" i="37"/>
  <c r="AI38" i="37"/>
  <c r="AJ38" i="37"/>
  <c r="AK38" i="37"/>
  <c r="AL38" i="37"/>
  <c r="AM38" i="37"/>
  <c r="AI39" i="37"/>
  <c r="AJ39" i="37"/>
  <c r="AK39" i="37"/>
  <c r="AL39" i="37"/>
  <c r="AM39" i="37"/>
  <c r="AI40" i="37"/>
  <c r="AJ40" i="37"/>
  <c r="AK40" i="37"/>
  <c r="AL40" i="37"/>
  <c r="AM40" i="37"/>
  <c r="AI41" i="37"/>
  <c r="AJ41" i="37"/>
  <c r="AK41" i="37"/>
  <c r="AL41" i="37"/>
  <c r="AM41" i="37"/>
  <c r="AI42" i="37"/>
  <c r="AJ42" i="37"/>
  <c r="AK42" i="37"/>
  <c r="AL42" i="37"/>
  <c r="AM42" i="37"/>
  <c r="AI43" i="37"/>
  <c r="AJ43" i="37"/>
  <c r="AK43" i="37"/>
  <c r="AL43" i="37"/>
  <c r="AM43" i="37"/>
  <c r="AI44" i="37"/>
  <c r="AJ44" i="37"/>
  <c r="AK44" i="37"/>
  <c r="AL44" i="37"/>
  <c r="AM44" i="37"/>
  <c r="AI45" i="37"/>
  <c r="AJ45" i="37"/>
  <c r="AK45" i="37"/>
  <c r="AL45" i="37"/>
  <c r="AM45" i="37"/>
  <c r="M67" i="5" l="1"/>
  <c r="M11" i="56" s="1"/>
  <c r="M30" i="54"/>
  <c r="AK30" i="54" s="1"/>
  <c r="M31" i="54"/>
  <c r="M32" i="54"/>
  <c r="M33" i="54"/>
  <c r="M34" i="54"/>
  <c r="M35" i="54"/>
  <c r="M36" i="54"/>
  <c r="M37" i="54"/>
  <c r="M38" i="54"/>
  <c r="M39" i="54"/>
  <c r="M40" i="54"/>
  <c r="M41" i="54"/>
  <c r="M42" i="54"/>
  <c r="M43" i="54"/>
  <c r="M44" i="54"/>
  <c r="M45" i="54"/>
  <c r="AZ30" i="54"/>
  <c r="AZ31" i="54"/>
  <c r="AZ32" i="54"/>
  <c r="AZ33" i="54"/>
  <c r="AZ34" i="54"/>
  <c r="AZ35" i="54"/>
  <c r="AZ36" i="54"/>
  <c r="AZ37" i="54"/>
  <c r="AZ38" i="54"/>
  <c r="AZ39" i="54"/>
  <c r="AZ40" i="54"/>
  <c r="AZ41" i="54"/>
  <c r="AZ42" i="54"/>
  <c r="AZ43" i="54"/>
  <c r="AZ44" i="54"/>
  <c r="AZ45" i="54"/>
  <c r="AX27" i="54"/>
  <c r="AX28" i="54"/>
  <c r="AX29" i="54"/>
  <c r="AX30" i="54"/>
  <c r="AX31" i="54"/>
  <c r="AX32" i="54"/>
  <c r="AX33" i="54"/>
  <c r="AX34" i="54"/>
  <c r="AX35" i="54"/>
  <c r="AX36" i="54"/>
  <c r="AX37" i="54"/>
  <c r="AX38" i="54"/>
  <c r="AX39" i="54"/>
  <c r="AX40" i="54"/>
  <c r="AX41" i="54"/>
  <c r="AX42" i="54"/>
  <c r="AX43" i="54"/>
  <c r="AX44" i="54"/>
  <c r="AX45" i="54"/>
  <c r="AX26" i="54"/>
  <c r="AY27" i="54"/>
  <c r="AY28" i="54"/>
  <c r="AY29" i="54"/>
  <c r="AY30" i="54"/>
  <c r="AY31" i="54"/>
  <c r="AY32" i="54"/>
  <c r="AY33" i="54"/>
  <c r="AY34" i="54"/>
  <c r="AY35" i="54"/>
  <c r="AY36" i="54"/>
  <c r="AY37" i="54"/>
  <c r="AY38" i="54"/>
  <c r="AY39" i="54"/>
  <c r="AY40" i="54"/>
  <c r="AY41" i="54"/>
  <c r="AY42" i="54"/>
  <c r="AY43" i="54"/>
  <c r="AY44" i="54"/>
  <c r="AY45" i="54"/>
  <c r="AY26" i="54"/>
  <c r="BC103" i="54"/>
  <c r="BC102" i="54"/>
  <c r="BC101" i="54"/>
  <c r="BC100" i="54"/>
  <c r="BC99" i="54"/>
  <c r="BC98" i="54"/>
  <c r="BC97" i="54"/>
  <c r="BC96" i="54"/>
  <c r="BC95" i="54"/>
  <c r="BC94" i="54"/>
  <c r="BC93" i="54"/>
  <c r="BC92" i="54"/>
  <c r="BC91" i="54"/>
  <c r="BC90" i="54"/>
  <c r="BC89" i="54"/>
  <c r="BC88" i="54"/>
  <c r="BC87" i="54"/>
  <c r="BC86" i="54"/>
  <c r="BC85" i="54"/>
  <c r="BC84" i="54"/>
  <c r="BC83" i="54"/>
  <c r="BC82" i="54"/>
  <c r="BC81" i="54"/>
  <c r="BC80" i="54"/>
  <c r="BC79" i="54"/>
  <c r="BC78" i="54"/>
  <c r="BC77" i="54"/>
  <c r="AZ23" i="54" s="1"/>
  <c r="BC76" i="54"/>
  <c r="BC75" i="54"/>
  <c r="BC74" i="54"/>
  <c r="BC73" i="54"/>
  <c r="BC72" i="54"/>
  <c r="BC71" i="54"/>
  <c r="BC70" i="54"/>
  <c r="BC69" i="54"/>
  <c r="BC68" i="54"/>
  <c r="BC67" i="54"/>
  <c r="BC66" i="54"/>
  <c r="BC65" i="54"/>
  <c r="BC64" i="54"/>
  <c r="BC63" i="54"/>
  <c r="BC62" i="54"/>
  <c r="BC61" i="54"/>
  <c r="BC60" i="54"/>
  <c r="BC59" i="54"/>
  <c r="BC58" i="54"/>
  <c r="BC57" i="54"/>
  <c r="BC56" i="54"/>
  <c r="BC55" i="54"/>
  <c r="BC54" i="54"/>
  <c r="BC53" i="54"/>
  <c r="BC52" i="54"/>
  <c r="AV103" i="37"/>
  <c r="AV102" i="37"/>
  <c r="AV101" i="37"/>
  <c r="AV100" i="37"/>
  <c r="AV99" i="37"/>
  <c r="AV98" i="37"/>
  <c r="AV97" i="37"/>
  <c r="AV96" i="37"/>
  <c r="AV95" i="37"/>
  <c r="AV94" i="37"/>
  <c r="AV93" i="37"/>
  <c r="AV92" i="37"/>
  <c r="AV91" i="37"/>
  <c r="AV90" i="37"/>
  <c r="AV89" i="37"/>
  <c r="AV88" i="37"/>
  <c r="AV87" i="37"/>
  <c r="AV86" i="37"/>
  <c r="AV85" i="37"/>
  <c r="AV84" i="37"/>
  <c r="AV83" i="37"/>
  <c r="AV82" i="37"/>
  <c r="AV81" i="37"/>
  <c r="AV80" i="37"/>
  <c r="AV79" i="37"/>
  <c r="AV78" i="37"/>
  <c r="AV77" i="37"/>
  <c r="AV76" i="37"/>
  <c r="AV75" i="37"/>
  <c r="AV74" i="37"/>
  <c r="AV73" i="37"/>
  <c r="AV72" i="37"/>
  <c r="AV71" i="37"/>
  <c r="AV70" i="37"/>
  <c r="AS23" i="37" s="1"/>
  <c r="AV69" i="37"/>
  <c r="AV68" i="37"/>
  <c r="AV67" i="37"/>
  <c r="AV66" i="37"/>
  <c r="AV65" i="37"/>
  <c r="AV64" i="37"/>
  <c r="AV63" i="37"/>
  <c r="AV62" i="37"/>
  <c r="AV61" i="37"/>
  <c r="AV60" i="37"/>
  <c r="AV59" i="37"/>
  <c r="AV58" i="37"/>
  <c r="AV57" i="37"/>
  <c r="AV56" i="37"/>
  <c r="AV55" i="37"/>
  <c r="AV54" i="37"/>
  <c r="AV53" i="37"/>
  <c r="AV52" i="37"/>
  <c r="AS30" i="37"/>
  <c r="AS31" i="37"/>
  <c r="AS32" i="37"/>
  <c r="AS33" i="37"/>
  <c r="AS34" i="37"/>
  <c r="AS37" i="37"/>
  <c r="AS38" i="37"/>
  <c r="AS39" i="37"/>
  <c r="AS40" i="37"/>
  <c r="AS41" i="37"/>
  <c r="AS42" i="37"/>
  <c r="AS43" i="37"/>
  <c r="AS44" i="37"/>
  <c r="AS45" i="37"/>
  <c r="AQ26" i="37"/>
  <c r="AQ27" i="37"/>
  <c r="AQ28" i="37"/>
  <c r="AQ30" i="37"/>
  <c r="AQ31" i="37"/>
  <c r="AQ32" i="37"/>
  <c r="AQ33" i="37"/>
  <c r="AQ34" i="37"/>
  <c r="AQ35" i="37"/>
  <c r="AQ36" i="37"/>
  <c r="AQ37" i="37"/>
  <c r="AQ38" i="37"/>
  <c r="AQ39" i="37"/>
  <c r="AQ40" i="37"/>
  <c r="AQ41" i="37"/>
  <c r="AQ42" i="37"/>
  <c r="AQ43" i="37"/>
  <c r="AQ44" i="37"/>
  <c r="AQ45" i="37"/>
  <c r="AQ29" i="37"/>
  <c r="AR27" i="37"/>
  <c r="AR28" i="37"/>
  <c r="AR29" i="37"/>
  <c r="AR30" i="37"/>
  <c r="AR31" i="37"/>
  <c r="AR32" i="37"/>
  <c r="AR33" i="37"/>
  <c r="AR34" i="37"/>
  <c r="AR35" i="37"/>
  <c r="AR36" i="37"/>
  <c r="AR37" i="37"/>
  <c r="AR38" i="37"/>
  <c r="AR39" i="37"/>
  <c r="AR40" i="37"/>
  <c r="AR41" i="37"/>
  <c r="AR42" i="37"/>
  <c r="AR43" i="37"/>
  <c r="AR44" i="37"/>
  <c r="AR45" i="37"/>
  <c r="AR26" i="37"/>
  <c r="AA6" i="55"/>
  <c r="AT2" i="55"/>
  <c r="AN45" i="54"/>
  <c r="AH45" i="54"/>
  <c r="AN44" i="54"/>
  <c r="AN43" i="54"/>
  <c r="AH43" i="54"/>
  <c r="AN42" i="54"/>
  <c r="AH42" i="54"/>
  <c r="AN41" i="54"/>
  <c r="AH41" i="54"/>
  <c r="AN40" i="54"/>
  <c r="AH40" i="54"/>
  <c r="AN39" i="54"/>
  <c r="AH39" i="54"/>
  <c r="AN38" i="54"/>
  <c r="AH38" i="54"/>
  <c r="AN37" i="54"/>
  <c r="AH37" i="54"/>
  <c r="AN36" i="54"/>
  <c r="AH36" i="54"/>
  <c r="AN35" i="54"/>
  <c r="AH35" i="54"/>
  <c r="AN34" i="54"/>
  <c r="AH34" i="54"/>
  <c r="AN33" i="54"/>
  <c r="AH33" i="54"/>
  <c r="AN32" i="54"/>
  <c r="AH32" i="54"/>
  <c r="AN31" i="54"/>
  <c r="AH31" i="54"/>
  <c r="AN30" i="54"/>
  <c r="AH30" i="54"/>
  <c r="AN29" i="54"/>
  <c r="AN28" i="54"/>
  <c r="AN27" i="54"/>
  <c r="AN26" i="54"/>
  <c r="U13" i="54"/>
  <c r="U15" i="54" s="1"/>
  <c r="AC40" i="54" l="1"/>
  <c r="AE40" i="54"/>
  <c r="AA40" i="54"/>
  <c r="Y40" i="54"/>
  <c r="AC32" i="54"/>
  <c r="AE32" i="54"/>
  <c r="AA32" i="54"/>
  <c r="Y32" i="54"/>
  <c r="AC39" i="54"/>
  <c r="Y39" i="54"/>
  <c r="AE39" i="54"/>
  <c r="AA39" i="54"/>
  <c r="AC35" i="54"/>
  <c r="Y35" i="54"/>
  <c r="AA35" i="54"/>
  <c r="AE35" i="54"/>
  <c r="AE42" i="54"/>
  <c r="AA42" i="54"/>
  <c r="AC42" i="54"/>
  <c r="Y42" i="54"/>
  <c r="AC38" i="54"/>
  <c r="Y38" i="54"/>
  <c r="AE38" i="54"/>
  <c r="AA38" i="54"/>
  <c r="AA34" i="54"/>
  <c r="AC34" i="54"/>
  <c r="Y34" i="54"/>
  <c r="AE34" i="54"/>
  <c r="AE30" i="54"/>
  <c r="AC30" i="54"/>
  <c r="Y30" i="54"/>
  <c r="AA30" i="54"/>
  <c r="Y44" i="54"/>
  <c r="AE44" i="54"/>
  <c r="AA44" i="54"/>
  <c r="AC44" i="54"/>
  <c r="Y36" i="54"/>
  <c r="AE36" i="54"/>
  <c r="AA36" i="54"/>
  <c r="AC36" i="54"/>
  <c r="AC43" i="54"/>
  <c r="Y43" i="54"/>
  <c r="AE43" i="54"/>
  <c r="AA43" i="54"/>
  <c r="AC31" i="54"/>
  <c r="Y31" i="54"/>
  <c r="AE31" i="54"/>
  <c r="AA31" i="54"/>
  <c r="AE45" i="54"/>
  <c r="AA45" i="54"/>
  <c r="Y45" i="54"/>
  <c r="AC45" i="54"/>
  <c r="AE41" i="54"/>
  <c r="AA41" i="54"/>
  <c r="AC41" i="54"/>
  <c r="Y41" i="54"/>
  <c r="AE37" i="54"/>
  <c r="AA37" i="54"/>
  <c r="Y37" i="54"/>
  <c r="AC37" i="54"/>
  <c r="AE33" i="54"/>
  <c r="AA33" i="54"/>
  <c r="AC33" i="54"/>
  <c r="Y33" i="54"/>
  <c r="W36" i="54"/>
  <c r="W43" i="54"/>
  <c r="W39" i="54"/>
  <c r="W35" i="54"/>
  <c r="W31" i="54"/>
  <c r="W40" i="54"/>
  <c r="W42" i="54"/>
  <c r="W38" i="54"/>
  <c r="W34" i="54"/>
  <c r="W30" i="54"/>
  <c r="W44" i="54"/>
  <c r="W32" i="54"/>
  <c r="W45" i="54"/>
  <c r="W41" i="54"/>
  <c r="W37" i="54"/>
  <c r="W33" i="54"/>
  <c r="O33" i="54"/>
  <c r="O37" i="54"/>
  <c r="O41" i="54"/>
  <c r="O45" i="54"/>
  <c r="O36" i="54"/>
  <c r="O44" i="54"/>
  <c r="O30" i="54"/>
  <c r="O34" i="54"/>
  <c r="O38" i="54"/>
  <c r="O42" i="54"/>
  <c r="O31" i="54"/>
  <c r="O35" i="54"/>
  <c r="O39" i="54"/>
  <c r="O43" i="54"/>
  <c r="O32" i="54"/>
  <c r="O40" i="54"/>
  <c r="AL35" i="54"/>
  <c r="AL39" i="54"/>
  <c r="AK41" i="54"/>
  <c r="AK34" i="54"/>
  <c r="AK38" i="54"/>
  <c r="AK32" i="54"/>
  <c r="AK36" i="54"/>
  <c r="AK40" i="54"/>
  <c r="AK45" i="54"/>
  <c r="AK44" i="54"/>
  <c r="AK35" i="54"/>
  <c r="AK39" i="54"/>
  <c r="AL44" i="54"/>
  <c r="AL45" i="54"/>
  <c r="AL42" i="54"/>
  <c r="AL40" i="54"/>
  <c r="AL36" i="54"/>
  <c r="AL32" i="54"/>
  <c r="AL37" i="54"/>
  <c r="AL33" i="54"/>
  <c r="AL41" i="54"/>
  <c r="AL38" i="54"/>
  <c r="AL34" i="54"/>
  <c r="AL30" i="54"/>
  <c r="AK31" i="54"/>
  <c r="AL31" i="54"/>
  <c r="AL43" i="54"/>
  <c r="U17" i="54"/>
  <c r="AN46" i="54"/>
  <c r="AK33" i="54"/>
  <c r="AK37" i="54"/>
  <c r="AK42" i="54"/>
  <c r="AK43" i="54"/>
  <c r="Z6" i="53"/>
  <c r="AS2" i="53"/>
  <c r="CB34" i="45"/>
  <c r="CB35" i="45"/>
  <c r="CB36" i="45"/>
  <c r="CB37" i="45"/>
  <c r="CB38" i="45"/>
  <c r="CB39" i="45"/>
  <c r="CB40" i="45"/>
  <c r="CB41" i="45"/>
  <c r="CB42" i="45"/>
  <c r="CB43" i="45"/>
  <c r="CB44" i="45"/>
  <c r="CB45" i="45"/>
  <c r="CB46" i="45"/>
  <c r="CB47" i="45"/>
  <c r="CB48" i="45"/>
  <c r="CB49" i="45"/>
  <c r="CB50" i="45"/>
  <c r="CB51" i="45"/>
  <c r="CB52" i="45"/>
  <c r="CB53" i="45"/>
  <c r="CB54" i="45"/>
  <c r="CB55" i="45"/>
  <c r="CB56" i="45"/>
  <c r="CB57" i="45"/>
  <c r="CB58" i="45"/>
  <c r="CB59" i="45"/>
  <c r="CB60" i="45"/>
  <c r="CB61" i="45"/>
  <c r="CB62" i="45"/>
  <c r="CB63" i="45"/>
  <c r="CB64" i="45"/>
  <c r="CB65" i="45"/>
  <c r="CB66" i="45"/>
  <c r="CB67" i="45"/>
  <c r="CB68" i="45"/>
  <c r="CB69" i="45"/>
  <c r="CB70" i="45"/>
  <c r="CB71" i="45"/>
  <c r="CB72" i="45"/>
  <c r="CB73" i="45"/>
  <c r="CB74" i="45"/>
  <c r="CB75" i="45"/>
  <c r="CB27" i="45"/>
  <c r="CB28" i="45"/>
  <c r="CB29" i="45"/>
  <c r="CB30" i="45"/>
  <c r="CB31" i="45"/>
  <c r="CB32" i="45"/>
  <c r="CB33" i="45"/>
  <c r="CB26" i="45"/>
  <c r="AT9" i="55" s="1"/>
  <c r="AU9" i="55" s="1"/>
  <c r="BB29" i="45"/>
  <c r="BB30" i="45"/>
  <c r="BB31" i="45"/>
  <c r="BB32" i="45"/>
  <c r="BB33" i="45"/>
  <c r="BB34" i="45"/>
  <c r="BB35" i="45"/>
  <c r="BB36" i="45"/>
  <c r="BB37" i="45"/>
  <c r="BB38" i="45"/>
  <c r="BB39" i="45"/>
  <c r="BB40" i="45"/>
  <c r="BB41" i="45"/>
  <c r="BB42" i="45"/>
  <c r="BB43" i="45"/>
  <c r="BB44" i="45"/>
  <c r="BB45" i="45"/>
  <c r="BB46" i="45"/>
  <c r="BB47" i="45"/>
  <c r="BB48" i="45"/>
  <c r="BB49" i="45"/>
  <c r="BB50" i="45"/>
  <c r="BB51" i="45"/>
  <c r="BB52" i="45"/>
  <c r="BB53" i="45"/>
  <c r="BB54" i="45"/>
  <c r="BB55" i="45"/>
  <c r="BB56" i="45"/>
  <c r="BB57" i="45"/>
  <c r="BB58" i="45"/>
  <c r="BB59" i="45"/>
  <c r="BB60" i="45"/>
  <c r="BB61" i="45"/>
  <c r="BB62" i="45"/>
  <c r="BB63" i="45"/>
  <c r="BB64" i="45"/>
  <c r="BB65" i="45"/>
  <c r="BB66" i="45"/>
  <c r="BB67" i="45"/>
  <c r="BB68" i="45"/>
  <c r="BB69" i="45"/>
  <c r="BB70" i="45"/>
  <c r="BB71" i="45"/>
  <c r="BB72" i="45"/>
  <c r="BB73" i="45"/>
  <c r="BB74" i="45"/>
  <c r="BB75" i="45"/>
  <c r="BB26" i="45"/>
  <c r="BB27" i="45"/>
  <c r="BB28" i="45"/>
  <c r="AS9" i="53" l="1"/>
  <c r="AT9" i="53" s="1"/>
  <c r="BP16" i="51"/>
  <c r="AV9" i="55"/>
  <c r="AV30" i="54"/>
  <c r="AV36" i="54"/>
  <c r="AV38" i="54"/>
  <c r="AV40" i="54"/>
  <c r="AV34" i="54"/>
  <c r="AV32" i="54"/>
  <c r="AV43" i="54"/>
  <c r="AV33" i="54"/>
  <c r="AV45" i="54"/>
  <c r="AV31" i="54"/>
  <c r="AV39" i="54"/>
  <c r="AV41" i="54"/>
  <c r="AV35" i="54"/>
  <c r="AV37" i="54"/>
  <c r="AV42" i="54"/>
  <c r="AU9" i="53"/>
  <c r="M29" i="37"/>
  <c r="M30" i="37"/>
  <c r="M31" i="37"/>
  <c r="M32" i="37"/>
  <c r="M33" i="37"/>
  <c r="M34" i="37"/>
  <c r="M35" i="37"/>
  <c r="M37" i="37"/>
  <c r="M38" i="37"/>
  <c r="M39" i="37"/>
  <c r="M40" i="37"/>
  <c r="M41" i="37"/>
  <c r="M42" i="37"/>
  <c r="M43" i="37"/>
  <c r="M44" i="37"/>
  <c r="M45" i="37"/>
  <c r="W38" i="37" l="1"/>
  <c r="S38" i="37"/>
  <c r="Y38" i="37"/>
  <c r="U38" i="37"/>
  <c r="Q38" i="37"/>
  <c r="Y33" i="37"/>
  <c r="U33" i="37"/>
  <c r="Q33" i="37"/>
  <c r="W33" i="37"/>
  <c r="S33" i="37"/>
  <c r="Y41" i="37"/>
  <c r="U41" i="37"/>
  <c r="Q41" i="37"/>
  <c r="W41" i="37"/>
  <c r="S41" i="37"/>
  <c r="Y32" i="37"/>
  <c r="U32" i="37"/>
  <c r="Q32" i="37"/>
  <c r="W32" i="37"/>
  <c r="S32" i="37"/>
  <c r="W31" i="37"/>
  <c r="Y31" i="37"/>
  <c r="U31" i="37"/>
  <c r="Q31" i="37"/>
  <c r="S31" i="37"/>
  <c r="Y42" i="37"/>
  <c r="U42" i="37"/>
  <c r="W42" i="37"/>
  <c r="S42" i="37"/>
  <c r="Q42" i="37"/>
  <c r="W29" i="37"/>
  <c r="S29" i="37"/>
  <c r="Y29" i="37"/>
  <c r="U29" i="37"/>
  <c r="Q29" i="37"/>
  <c r="Y45" i="37"/>
  <c r="U45" i="37"/>
  <c r="Q45" i="37"/>
  <c r="W45" i="37"/>
  <c r="S45" i="37"/>
  <c r="Y37" i="37"/>
  <c r="U37" i="37"/>
  <c r="Q37" i="37"/>
  <c r="S37" i="37"/>
  <c r="W37" i="37"/>
  <c r="W44" i="37"/>
  <c r="S44" i="37"/>
  <c r="Y44" i="37"/>
  <c r="U44" i="37"/>
  <c r="Q44" i="37"/>
  <c r="Y40" i="37"/>
  <c r="U40" i="37"/>
  <c r="Q40" i="37"/>
  <c r="W40" i="37"/>
  <c r="S40" i="37"/>
  <c r="S35" i="37"/>
  <c r="Y35" i="37"/>
  <c r="U35" i="37"/>
  <c r="Q35" i="37"/>
  <c r="W35" i="37"/>
  <c r="W43" i="37"/>
  <c r="S43" i="37"/>
  <c r="Y43" i="37"/>
  <c r="U43" i="37"/>
  <c r="Q43" i="37"/>
  <c r="W39" i="37"/>
  <c r="S39" i="37"/>
  <c r="Q39" i="37"/>
  <c r="Y39" i="37"/>
  <c r="U39" i="37"/>
  <c r="W34" i="37"/>
  <c r="S34" i="37"/>
  <c r="Y34" i="37"/>
  <c r="U34" i="37"/>
  <c r="Q34" i="37"/>
  <c r="W30" i="37"/>
  <c r="S30" i="37"/>
  <c r="Q30" i="37"/>
  <c r="Y30" i="37"/>
  <c r="U30" i="37"/>
  <c r="BQ16" i="51"/>
  <c r="AW9" i="55"/>
  <c r="AD45" i="37"/>
  <c r="AD37" i="37"/>
  <c r="AD33" i="37"/>
  <c r="AD32" i="37"/>
  <c r="AD30" i="37"/>
  <c r="AD41" i="37"/>
  <c r="AD44" i="37"/>
  <c r="AD40" i="37"/>
  <c r="AD43" i="37"/>
  <c r="AD39" i="37"/>
  <c r="AD35" i="37"/>
  <c r="AD31" i="37"/>
  <c r="AV9" i="53"/>
  <c r="AD42" i="37"/>
  <c r="AD34" i="37"/>
  <c r="AD29" i="37"/>
  <c r="AD38" i="37"/>
  <c r="AB30" i="37"/>
  <c r="AB31" i="37"/>
  <c r="AB32" i="37"/>
  <c r="AB33" i="37"/>
  <c r="AB34" i="37"/>
  <c r="AB37" i="37"/>
  <c r="AB38" i="37"/>
  <c r="AB39" i="37"/>
  <c r="AB40" i="37"/>
  <c r="AB41" i="37"/>
  <c r="AB42" i="37"/>
  <c r="AB43" i="37"/>
  <c r="AB44" i="37"/>
  <c r="AB45" i="37"/>
  <c r="O13" i="37"/>
  <c r="AM29" i="37" s="1"/>
  <c r="AG27" i="37"/>
  <c r="AG28" i="37"/>
  <c r="AG29" i="37"/>
  <c r="AG30" i="37"/>
  <c r="AG31" i="37"/>
  <c r="AG32" i="37"/>
  <c r="AG33" i="37"/>
  <c r="AG34" i="37"/>
  <c r="AG35" i="37"/>
  <c r="AG36" i="37"/>
  <c r="AG37" i="37"/>
  <c r="AG38" i="37"/>
  <c r="AG39" i="37"/>
  <c r="AG40" i="37"/>
  <c r="AG41" i="37"/>
  <c r="AG42" i="37"/>
  <c r="AG43" i="37"/>
  <c r="AG44" i="37"/>
  <c r="AG45" i="37"/>
  <c r="AG26" i="3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16" i="27"/>
  <c r="H17" i="27"/>
  <c r="H18" i="27"/>
  <c r="H19" i="27"/>
  <c r="H20" i="27"/>
  <c r="H21" i="27"/>
  <c r="H22" i="27"/>
  <c r="H23" i="27"/>
  <c r="H24" i="27"/>
  <c r="H25" i="27"/>
  <c r="H26" i="27"/>
  <c r="H27" i="27"/>
  <c r="H28" i="27"/>
  <c r="H29" i="27"/>
  <c r="H30" i="27"/>
  <c r="H31" i="27"/>
  <c r="H32" i="27"/>
  <c r="L30" i="37"/>
  <c r="L31" i="37"/>
  <c r="L32" i="37"/>
  <c r="L33" i="37"/>
  <c r="L34" i="37"/>
  <c r="L37" i="37"/>
  <c r="L38" i="37"/>
  <c r="L39" i="37"/>
  <c r="L40" i="37"/>
  <c r="L41" i="37"/>
  <c r="L42" i="37"/>
  <c r="L43" i="37"/>
  <c r="L44" i="37"/>
  <c r="L45" i="37"/>
  <c r="J28" i="37"/>
  <c r="J29" i="37"/>
  <c r="J30" i="37"/>
  <c r="J31" i="37"/>
  <c r="J32" i="37"/>
  <c r="J33" i="37"/>
  <c r="J34" i="37"/>
  <c r="J35" i="37"/>
  <c r="J37" i="37"/>
  <c r="J38" i="37"/>
  <c r="J39" i="37"/>
  <c r="J40" i="37"/>
  <c r="J41" i="37"/>
  <c r="J42" i="37"/>
  <c r="J43" i="37"/>
  <c r="J44" i="37"/>
  <c r="J45" i="37"/>
  <c r="AS16" i="27" l="1"/>
  <c r="AO23" i="60"/>
  <c r="AS23" i="60" s="1"/>
  <c r="M23" i="60"/>
  <c r="AO24" i="60"/>
  <c r="AS24" i="60" s="1"/>
  <c r="M24" i="60"/>
  <c r="M22" i="60"/>
  <c r="AO22" i="60"/>
  <c r="AS22" i="60" s="1"/>
  <c r="BB24" i="58"/>
  <c r="BF24" i="58" s="1"/>
  <c r="BB29" i="58"/>
  <c r="BF29" i="58" s="1"/>
  <c r="BB26" i="58"/>
  <c r="BF26" i="58" s="1"/>
  <c r="L25" i="58"/>
  <c r="BB22" i="58"/>
  <c r="BF22" i="58" s="1"/>
  <c r="L26" i="58"/>
  <c r="L22" i="58"/>
  <c r="L27" i="58"/>
  <c r="L23" i="58"/>
  <c r="L29" i="58"/>
  <c r="L24" i="58"/>
  <c r="BB25" i="58"/>
  <c r="BF25" i="58" s="1"/>
  <c r="BB23" i="58"/>
  <c r="BF23" i="58" s="1"/>
  <c r="BB27" i="58"/>
  <c r="BF27" i="58" s="1"/>
  <c r="J27" i="54"/>
  <c r="J29" i="54"/>
  <c r="J28" i="54"/>
  <c r="J26" i="54"/>
  <c r="J36" i="37"/>
  <c r="BR16" i="51"/>
  <c r="AM35" i="37"/>
  <c r="AS28" i="37"/>
  <c r="M28" i="37"/>
  <c r="AX9" i="55"/>
  <c r="AE32" i="37"/>
  <c r="AE40" i="37"/>
  <c r="AE44" i="37"/>
  <c r="AE31" i="37"/>
  <c r="AE43" i="37"/>
  <c r="AE29" i="37"/>
  <c r="AE33" i="37"/>
  <c r="AE37" i="37"/>
  <c r="AE41" i="37"/>
  <c r="AE45" i="37"/>
  <c r="AE35" i="37"/>
  <c r="AE30" i="37"/>
  <c r="AE34" i="37"/>
  <c r="AE38" i="37"/>
  <c r="AE42" i="37"/>
  <c r="AE39" i="37"/>
  <c r="AW9" i="53"/>
  <c r="O15" i="37"/>
  <c r="O19" i="37"/>
  <c r="AG46" i="37"/>
  <c r="AY28" i="45"/>
  <c r="AY29" i="45"/>
  <c r="AY30" i="45"/>
  <c r="AY31" i="45"/>
  <c r="AY32" i="45"/>
  <c r="AY33" i="45"/>
  <c r="AY34" i="45"/>
  <c r="AY35" i="45"/>
  <c r="AY36" i="45"/>
  <c r="AY37" i="45"/>
  <c r="AY38" i="45"/>
  <c r="AY39" i="45"/>
  <c r="AY40" i="45"/>
  <c r="AY41" i="45"/>
  <c r="AY42" i="45"/>
  <c r="AY43" i="45"/>
  <c r="AY44" i="45"/>
  <c r="AY45" i="45"/>
  <c r="AY46" i="45"/>
  <c r="AY47" i="45"/>
  <c r="AY48" i="45"/>
  <c r="AY49" i="45"/>
  <c r="AY50" i="45"/>
  <c r="AY51" i="45"/>
  <c r="AY52" i="45"/>
  <c r="AY53" i="45"/>
  <c r="AY54" i="45"/>
  <c r="AY55" i="45"/>
  <c r="AY56" i="45"/>
  <c r="AY57" i="45"/>
  <c r="AY58" i="45"/>
  <c r="AY59" i="45"/>
  <c r="AY60" i="45"/>
  <c r="AY61" i="45"/>
  <c r="AY62" i="45"/>
  <c r="AY63" i="45"/>
  <c r="AY64" i="45"/>
  <c r="AY65" i="45"/>
  <c r="AY66" i="45"/>
  <c r="AY67" i="45"/>
  <c r="AY68" i="45"/>
  <c r="AY69" i="45"/>
  <c r="AY70" i="45"/>
  <c r="AY71" i="45"/>
  <c r="AY72" i="45"/>
  <c r="AY73" i="45"/>
  <c r="AY74" i="45"/>
  <c r="AY75" i="45"/>
  <c r="AY27" i="45"/>
  <c r="AE28" i="37" l="1"/>
  <c r="Y28" i="37"/>
  <c r="U28" i="37"/>
  <c r="Q28" i="37"/>
  <c r="S28" i="37"/>
  <c r="W28" i="37"/>
  <c r="BS16" i="51"/>
  <c r="AD28" i="37"/>
  <c r="AY9" i="55"/>
  <c r="AX9" i="53"/>
  <c r="W39" i="3"/>
  <c r="CA79" i="45"/>
  <c r="CA80" i="45"/>
  <c r="CA81" i="45"/>
  <c r="CA82" i="45"/>
  <c r="CA83" i="45"/>
  <c r="CA84" i="45"/>
  <c r="CA85" i="45"/>
  <c r="CA86" i="45"/>
  <c r="CA87" i="45"/>
  <c r="CA88" i="45"/>
  <c r="CA89" i="45"/>
  <c r="CA90" i="45"/>
  <c r="CA91" i="45"/>
  <c r="CA92" i="45"/>
  <c r="CA93" i="45"/>
  <c r="CA94" i="45"/>
  <c r="CA95" i="45"/>
  <c r="CA96" i="45"/>
  <c r="CA97" i="45"/>
  <c r="CA98" i="45"/>
  <c r="CA99" i="45"/>
  <c r="CA100" i="45"/>
  <c r="CA101" i="45"/>
  <c r="CA102" i="45"/>
  <c r="CA103" i="45"/>
  <c r="CA78" i="45"/>
  <c r="CA53" i="45"/>
  <c r="CA54" i="45"/>
  <c r="CA55" i="45"/>
  <c r="CA56" i="45"/>
  <c r="CA57" i="45"/>
  <c r="CA58" i="45"/>
  <c r="CA59" i="45"/>
  <c r="CA60" i="45"/>
  <c r="CA61" i="45"/>
  <c r="CA62" i="45"/>
  <c r="CA63" i="45"/>
  <c r="CA64" i="45"/>
  <c r="CA65" i="45"/>
  <c r="CA66" i="45"/>
  <c r="CA67" i="45"/>
  <c r="CA68" i="45"/>
  <c r="CA69" i="45"/>
  <c r="CA70" i="45"/>
  <c r="CA71" i="45"/>
  <c r="CA72" i="45"/>
  <c r="CA73" i="45"/>
  <c r="CA74" i="45"/>
  <c r="CA75" i="45"/>
  <c r="CA76" i="45"/>
  <c r="CA77" i="45"/>
  <c r="CA52" i="45"/>
  <c r="AT43" i="45"/>
  <c r="AT44" i="45"/>
  <c r="AT45" i="45"/>
  <c r="AT46" i="45"/>
  <c r="AT47" i="45"/>
  <c r="AT48" i="45"/>
  <c r="AT49" i="45"/>
  <c r="AT50" i="45"/>
  <c r="AT51" i="45"/>
  <c r="AT52" i="45"/>
  <c r="AT53" i="45"/>
  <c r="AT54" i="45"/>
  <c r="AT55" i="45"/>
  <c r="AT56" i="45"/>
  <c r="AT57" i="45"/>
  <c r="AT58" i="45"/>
  <c r="AT59" i="45"/>
  <c r="AT60" i="45"/>
  <c r="AT61" i="45"/>
  <c r="AT62" i="45"/>
  <c r="AT63" i="45"/>
  <c r="AT64" i="45"/>
  <c r="AT65" i="45"/>
  <c r="AT66" i="45"/>
  <c r="AT67" i="45"/>
  <c r="AT68" i="45"/>
  <c r="AT69" i="45"/>
  <c r="AT70" i="45"/>
  <c r="AT71" i="45"/>
  <c r="AT72" i="45"/>
  <c r="AT73" i="45"/>
  <c r="AT74" i="45"/>
  <c r="AT75" i="45"/>
  <c r="AT27" i="45"/>
  <c r="AT28" i="45"/>
  <c r="AT29" i="45"/>
  <c r="AT30" i="45"/>
  <c r="AT31" i="45"/>
  <c r="AT32" i="45"/>
  <c r="AT33" i="45"/>
  <c r="AT34" i="45"/>
  <c r="AT35" i="45"/>
  <c r="AT36" i="45"/>
  <c r="AT37" i="45"/>
  <c r="AT38" i="45"/>
  <c r="AT39" i="45"/>
  <c r="AT40" i="45"/>
  <c r="AT41" i="45"/>
  <c r="AT42" i="45"/>
  <c r="AT26" i="45"/>
  <c r="BC23" i="45" l="1"/>
  <c r="BT16" i="51"/>
  <c r="AZ9" i="55"/>
  <c r="AY9" i="53"/>
  <c r="AW11" i="51"/>
  <c r="K25" i="5"/>
  <c r="BU16" i="51" l="1"/>
  <c r="BA9" i="55"/>
  <c r="AZ9" i="53"/>
  <c r="BV16" i="51" l="1"/>
  <c r="BB9" i="55"/>
  <c r="BA9" i="53"/>
  <c r="BP3" i="51"/>
  <c r="BW16" i="51" l="1"/>
  <c r="BC9" i="55"/>
  <c r="BB9" i="53"/>
  <c r="BX16" i="51" l="1"/>
  <c r="BD9" i="55"/>
  <c r="BC9" i="53"/>
  <c r="BY16" i="51" l="1"/>
  <c r="BE9" i="55"/>
  <c r="BD9" i="53"/>
  <c r="D386" i="35"/>
  <c r="E386" i="35"/>
  <c r="F386" i="35"/>
  <c r="G386" i="35"/>
  <c r="H386" i="35"/>
  <c r="I386" i="35"/>
  <c r="J386" i="35"/>
  <c r="K386" i="35"/>
  <c r="L386" i="35"/>
  <c r="M386" i="35"/>
  <c r="N386" i="35"/>
  <c r="O386" i="35"/>
  <c r="P386" i="35"/>
  <c r="C386" i="35"/>
  <c r="D435" i="35"/>
  <c r="E435" i="35"/>
  <c r="F435" i="35"/>
  <c r="G435" i="35"/>
  <c r="H435" i="35"/>
  <c r="I435" i="35"/>
  <c r="J435" i="35"/>
  <c r="K435" i="35"/>
  <c r="L435" i="35"/>
  <c r="M435" i="35"/>
  <c r="N435" i="35"/>
  <c r="O435" i="35"/>
  <c r="P435" i="35"/>
  <c r="Q435" i="35"/>
  <c r="C435" i="35"/>
  <c r="D418" i="35"/>
  <c r="E418" i="35"/>
  <c r="F418" i="35"/>
  <c r="G418" i="35"/>
  <c r="H418" i="35"/>
  <c r="I418" i="35"/>
  <c r="J418" i="35"/>
  <c r="K418" i="35"/>
  <c r="L418" i="35"/>
  <c r="M418" i="35"/>
  <c r="N418" i="35"/>
  <c r="O418" i="35"/>
  <c r="P418" i="35"/>
  <c r="Q418" i="35"/>
  <c r="C418" i="35"/>
  <c r="D426" i="35"/>
  <c r="E426" i="35"/>
  <c r="F426" i="35"/>
  <c r="G426" i="35"/>
  <c r="H426" i="35"/>
  <c r="I426" i="35"/>
  <c r="J426" i="35"/>
  <c r="K426" i="35"/>
  <c r="L426" i="35"/>
  <c r="M426" i="35"/>
  <c r="N426" i="35"/>
  <c r="O426" i="35"/>
  <c r="P426" i="35"/>
  <c r="Q426" i="35"/>
  <c r="C426" i="35"/>
  <c r="D429" i="35"/>
  <c r="E429" i="35"/>
  <c r="F429" i="35"/>
  <c r="G429" i="35"/>
  <c r="H429" i="35"/>
  <c r="I429" i="35"/>
  <c r="J429" i="35"/>
  <c r="K429" i="35"/>
  <c r="L429" i="35"/>
  <c r="M429" i="35"/>
  <c r="N429" i="35"/>
  <c r="O429" i="35"/>
  <c r="P429" i="35"/>
  <c r="Q429" i="35"/>
  <c r="C429" i="35"/>
  <c r="D428" i="35"/>
  <c r="E428" i="35"/>
  <c r="F428" i="35"/>
  <c r="G428" i="35"/>
  <c r="H428" i="35"/>
  <c r="I428" i="35"/>
  <c r="J428" i="35"/>
  <c r="K428" i="35"/>
  <c r="L428" i="35"/>
  <c r="M428" i="35"/>
  <c r="N428" i="35"/>
  <c r="O428" i="35"/>
  <c r="P428" i="35"/>
  <c r="C428" i="35"/>
  <c r="D431" i="35"/>
  <c r="E431" i="35"/>
  <c r="F431" i="35"/>
  <c r="G431" i="35"/>
  <c r="H431" i="35"/>
  <c r="I431" i="35"/>
  <c r="J431" i="35"/>
  <c r="K431" i="35"/>
  <c r="L431" i="35"/>
  <c r="M431" i="35"/>
  <c r="N431" i="35"/>
  <c r="O431" i="35"/>
  <c r="P431" i="35"/>
  <c r="D419" i="35"/>
  <c r="E419" i="35"/>
  <c r="F419" i="35"/>
  <c r="G419" i="35"/>
  <c r="H419" i="35"/>
  <c r="I419" i="35"/>
  <c r="J419" i="35"/>
  <c r="K419" i="35"/>
  <c r="L419" i="35"/>
  <c r="M419" i="35"/>
  <c r="N419" i="35"/>
  <c r="O419" i="35"/>
  <c r="P419" i="35"/>
  <c r="C419" i="35"/>
  <c r="C431" i="35"/>
  <c r="D389" i="35"/>
  <c r="E389" i="35"/>
  <c r="F389" i="35"/>
  <c r="G389" i="35"/>
  <c r="H389" i="35"/>
  <c r="I389" i="35"/>
  <c r="J389" i="35"/>
  <c r="K389" i="35"/>
  <c r="L389" i="35"/>
  <c r="M389" i="35"/>
  <c r="N389" i="35"/>
  <c r="O389" i="35"/>
  <c r="P389" i="35"/>
  <c r="B389" i="35"/>
  <c r="C389" i="35"/>
  <c r="BZ16" i="51" l="1"/>
  <c r="BF9" i="55"/>
  <c r="BE9" i="53"/>
  <c r="C135" i="29"/>
  <c r="C134" i="29"/>
  <c r="C133" i="29"/>
  <c r="C132" i="29"/>
  <c r="C131" i="29"/>
  <c r="CA16" i="51" l="1"/>
  <c r="BG9" i="55"/>
  <c r="BF9" i="53"/>
  <c r="S133" i="5"/>
  <c r="U133" i="5"/>
  <c r="W133" i="5"/>
  <c r="Y133" i="5"/>
  <c r="L133" i="5"/>
  <c r="I133" i="5"/>
  <c r="CB16" i="51" l="1"/>
  <c r="BH9" i="55"/>
  <c r="BG9" i="53"/>
  <c r="CC16" i="51" l="1"/>
  <c r="BI9" i="55"/>
  <c r="BH9" i="53"/>
  <c r="BS28" i="45"/>
  <c r="BT28" i="45"/>
  <c r="BU28" i="45"/>
  <c r="BV28" i="45"/>
  <c r="BS39" i="45"/>
  <c r="BT39" i="45"/>
  <c r="BU39" i="45"/>
  <c r="BV39" i="45"/>
  <c r="BS43" i="45"/>
  <c r="BT43" i="45"/>
  <c r="BU43" i="45"/>
  <c r="BV43" i="45"/>
  <c r="BS45" i="45"/>
  <c r="BT45" i="45"/>
  <c r="BU45" i="45"/>
  <c r="BV45" i="45"/>
  <c r="BS46" i="45"/>
  <c r="BT46" i="45"/>
  <c r="BU46" i="45"/>
  <c r="BV46" i="45"/>
  <c r="BS47" i="45"/>
  <c r="BT47" i="45"/>
  <c r="BU47" i="45"/>
  <c r="BV47" i="45"/>
  <c r="BS48" i="45"/>
  <c r="BT48" i="45"/>
  <c r="BU48" i="45"/>
  <c r="BV48" i="45"/>
  <c r="BS49" i="45"/>
  <c r="BT49" i="45"/>
  <c r="BU49" i="45"/>
  <c r="BV49" i="45"/>
  <c r="BS50" i="45"/>
  <c r="BT50" i="45"/>
  <c r="BU50" i="45"/>
  <c r="BV50" i="45"/>
  <c r="BS51" i="45"/>
  <c r="BT51" i="45"/>
  <c r="BU51" i="45"/>
  <c r="BV51" i="45"/>
  <c r="BS52" i="45"/>
  <c r="BT52" i="45"/>
  <c r="BU52" i="45"/>
  <c r="BV52" i="45"/>
  <c r="BS53" i="45"/>
  <c r="BT53" i="45"/>
  <c r="BU53" i="45"/>
  <c r="BV53" i="45"/>
  <c r="BS54" i="45"/>
  <c r="BT54" i="45"/>
  <c r="BU54" i="45"/>
  <c r="BV54" i="45"/>
  <c r="BS55" i="45"/>
  <c r="BT55" i="45"/>
  <c r="BU55" i="45"/>
  <c r="BV55" i="45"/>
  <c r="BS56" i="45"/>
  <c r="BT56" i="45"/>
  <c r="BU56" i="45"/>
  <c r="BV56" i="45"/>
  <c r="BS57" i="45"/>
  <c r="BT57" i="45"/>
  <c r="BU57" i="45"/>
  <c r="BV57" i="45"/>
  <c r="BS58" i="45"/>
  <c r="BT58" i="45"/>
  <c r="BU58" i="45"/>
  <c r="BV58" i="45"/>
  <c r="BS59" i="45"/>
  <c r="BT59" i="45"/>
  <c r="BU59" i="45"/>
  <c r="BV59" i="45"/>
  <c r="BS60" i="45"/>
  <c r="BT60" i="45"/>
  <c r="BU60" i="45"/>
  <c r="BV60" i="45"/>
  <c r="BS61" i="45"/>
  <c r="BT61" i="45"/>
  <c r="BU61" i="45"/>
  <c r="BV61" i="45"/>
  <c r="BS62" i="45"/>
  <c r="BT62" i="45"/>
  <c r="BU62" i="45"/>
  <c r="BV62" i="45"/>
  <c r="BS63" i="45"/>
  <c r="BT63" i="45"/>
  <c r="BU63" i="45"/>
  <c r="BV63" i="45"/>
  <c r="BS64" i="45"/>
  <c r="BT64" i="45"/>
  <c r="BU64" i="45"/>
  <c r="BV64" i="45"/>
  <c r="BS65" i="45"/>
  <c r="BT65" i="45"/>
  <c r="BU65" i="45"/>
  <c r="BV65" i="45"/>
  <c r="BS66" i="45"/>
  <c r="BT66" i="45"/>
  <c r="BU66" i="45"/>
  <c r="BV66" i="45"/>
  <c r="BS67" i="45"/>
  <c r="BT67" i="45"/>
  <c r="BU67" i="45"/>
  <c r="BV67" i="45"/>
  <c r="BS68" i="45"/>
  <c r="BT68" i="45"/>
  <c r="BU68" i="45"/>
  <c r="BV68" i="45"/>
  <c r="BS69" i="45"/>
  <c r="BT69" i="45"/>
  <c r="BU69" i="45"/>
  <c r="BV69" i="45"/>
  <c r="BS70" i="45"/>
  <c r="BT70" i="45"/>
  <c r="BU70" i="45"/>
  <c r="BV70" i="45"/>
  <c r="BS71" i="45"/>
  <c r="BT71" i="45"/>
  <c r="BU71" i="45"/>
  <c r="BV71" i="45"/>
  <c r="BS72" i="45"/>
  <c r="BT72" i="45"/>
  <c r="BU72" i="45"/>
  <c r="BV72" i="45"/>
  <c r="BS73" i="45"/>
  <c r="BT73" i="45"/>
  <c r="BU73" i="45"/>
  <c r="BV73" i="45"/>
  <c r="BS74" i="45"/>
  <c r="BT74" i="45"/>
  <c r="BU74" i="45"/>
  <c r="BV74" i="45"/>
  <c r="BS75" i="45"/>
  <c r="BT75" i="45"/>
  <c r="BU75" i="45"/>
  <c r="BV75" i="45"/>
  <c r="AQ39" i="45"/>
  <c r="AQ43" i="45"/>
  <c r="AQ45" i="45"/>
  <c r="AQ46" i="45"/>
  <c r="AQ47" i="45"/>
  <c r="AQ48" i="45"/>
  <c r="AQ49" i="45"/>
  <c r="AQ50" i="45"/>
  <c r="AQ51" i="45"/>
  <c r="AQ52" i="45"/>
  <c r="AQ53" i="45"/>
  <c r="AQ54" i="45"/>
  <c r="AQ55" i="45"/>
  <c r="AQ56" i="45"/>
  <c r="AQ57" i="45"/>
  <c r="AQ58" i="45"/>
  <c r="AQ59" i="45"/>
  <c r="AQ60" i="45"/>
  <c r="AQ61" i="45"/>
  <c r="AQ62" i="45"/>
  <c r="AQ63" i="45"/>
  <c r="AQ64" i="45"/>
  <c r="AQ65" i="45"/>
  <c r="AQ66" i="45"/>
  <c r="AQ67" i="45"/>
  <c r="AQ68" i="45"/>
  <c r="AQ69" i="45"/>
  <c r="AQ70" i="45"/>
  <c r="AQ71" i="45"/>
  <c r="AQ72" i="45"/>
  <c r="AQ73" i="45"/>
  <c r="AQ74" i="45"/>
  <c r="AQ75" i="45"/>
  <c r="AQ28" i="45"/>
  <c r="BJ43" i="45"/>
  <c r="BK43" i="45"/>
  <c r="BL43" i="45"/>
  <c r="BM43" i="45"/>
  <c r="BN43" i="45"/>
  <c r="BO43" i="45"/>
  <c r="BP43" i="45"/>
  <c r="BQ43" i="45"/>
  <c r="BR43" i="45"/>
  <c r="BJ45" i="45"/>
  <c r="BK45" i="45"/>
  <c r="BL45" i="45"/>
  <c r="BM45" i="45"/>
  <c r="BN45" i="45"/>
  <c r="BO45" i="45"/>
  <c r="BP45" i="45"/>
  <c r="BQ45" i="45"/>
  <c r="BR45" i="45"/>
  <c r="BJ46" i="45"/>
  <c r="BK46" i="45"/>
  <c r="BL46" i="45"/>
  <c r="BM46" i="45"/>
  <c r="BN46" i="45"/>
  <c r="BO46" i="45"/>
  <c r="BP46" i="45"/>
  <c r="BQ46" i="45"/>
  <c r="BR46" i="45"/>
  <c r="BJ47" i="45"/>
  <c r="BK47" i="45"/>
  <c r="BL47" i="45"/>
  <c r="BM47" i="45"/>
  <c r="BN47" i="45"/>
  <c r="BO47" i="45"/>
  <c r="BP47" i="45"/>
  <c r="BQ47" i="45"/>
  <c r="BR47" i="45"/>
  <c r="BJ48" i="45"/>
  <c r="BK48" i="45"/>
  <c r="BL48" i="45"/>
  <c r="BM48" i="45"/>
  <c r="BN48" i="45"/>
  <c r="BO48" i="45"/>
  <c r="BP48" i="45"/>
  <c r="BQ48" i="45"/>
  <c r="BR48" i="45"/>
  <c r="BJ49" i="45"/>
  <c r="BK49" i="45"/>
  <c r="BL49" i="45"/>
  <c r="BM49" i="45"/>
  <c r="BN49" i="45"/>
  <c r="BO49" i="45"/>
  <c r="BP49" i="45"/>
  <c r="BQ49" i="45"/>
  <c r="BR49" i="45"/>
  <c r="BJ50" i="45"/>
  <c r="BK50" i="45"/>
  <c r="BL50" i="45"/>
  <c r="BM50" i="45"/>
  <c r="BN50" i="45"/>
  <c r="BO50" i="45"/>
  <c r="BP50" i="45"/>
  <c r="BQ50" i="45"/>
  <c r="BR50" i="45"/>
  <c r="BJ51" i="45"/>
  <c r="BK51" i="45"/>
  <c r="BL51" i="45"/>
  <c r="BM51" i="45"/>
  <c r="BN51" i="45"/>
  <c r="BO51" i="45"/>
  <c r="BP51" i="45"/>
  <c r="BQ51" i="45"/>
  <c r="BR51" i="45"/>
  <c r="BJ52" i="45"/>
  <c r="BK52" i="45"/>
  <c r="BL52" i="45"/>
  <c r="BM52" i="45"/>
  <c r="BN52" i="45"/>
  <c r="BO52" i="45"/>
  <c r="BP52" i="45"/>
  <c r="BQ52" i="45"/>
  <c r="BR52" i="45"/>
  <c r="BJ53" i="45"/>
  <c r="BK53" i="45"/>
  <c r="BL53" i="45"/>
  <c r="BM53" i="45"/>
  <c r="BN53" i="45"/>
  <c r="BO53" i="45"/>
  <c r="BP53" i="45"/>
  <c r="BQ53" i="45"/>
  <c r="BR53" i="45"/>
  <c r="BJ54" i="45"/>
  <c r="BK54" i="45"/>
  <c r="BL54" i="45"/>
  <c r="BM54" i="45"/>
  <c r="BN54" i="45"/>
  <c r="BO54" i="45"/>
  <c r="BP54" i="45"/>
  <c r="BQ54" i="45"/>
  <c r="BR54" i="45"/>
  <c r="BJ55" i="45"/>
  <c r="BK55" i="45"/>
  <c r="BL55" i="45"/>
  <c r="BM55" i="45"/>
  <c r="BN55" i="45"/>
  <c r="BO55" i="45"/>
  <c r="BP55" i="45"/>
  <c r="BQ55" i="45"/>
  <c r="BR55" i="45"/>
  <c r="BJ56" i="45"/>
  <c r="BK56" i="45"/>
  <c r="BL56" i="45"/>
  <c r="BM56" i="45"/>
  <c r="BN56" i="45"/>
  <c r="BO56" i="45"/>
  <c r="BP56" i="45"/>
  <c r="BQ56" i="45"/>
  <c r="BR56" i="45"/>
  <c r="BJ57" i="45"/>
  <c r="BK57" i="45"/>
  <c r="BL57" i="45"/>
  <c r="BM57" i="45"/>
  <c r="BN57" i="45"/>
  <c r="BO57" i="45"/>
  <c r="BP57" i="45"/>
  <c r="BQ57" i="45"/>
  <c r="BR57" i="45"/>
  <c r="BJ58" i="45"/>
  <c r="BK58" i="45"/>
  <c r="BL58" i="45"/>
  <c r="BM58" i="45"/>
  <c r="BN58" i="45"/>
  <c r="BO58" i="45"/>
  <c r="BP58" i="45"/>
  <c r="BQ58" i="45"/>
  <c r="BR58" i="45"/>
  <c r="BJ59" i="45"/>
  <c r="BK59" i="45"/>
  <c r="BL59" i="45"/>
  <c r="BM59" i="45"/>
  <c r="BN59" i="45"/>
  <c r="BO59" i="45"/>
  <c r="BP59" i="45"/>
  <c r="BQ59" i="45"/>
  <c r="BR59" i="45"/>
  <c r="BJ60" i="45"/>
  <c r="BK60" i="45"/>
  <c r="BL60" i="45"/>
  <c r="BM60" i="45"/>
  <c r="BN60" i="45"/>
  <c r="BO60" i="45"/>
  <c r="BP60" i="45"/>
  <c r="BQ60" i="45"/>
  <c r="BR60" i="45"/>
  <c r="BJ61" i="45"/>
  <c r="BK61" i="45"/>
  <c r="BL61" i="45"/>
  <c r="BM61" i="45"/>
  <c r="BN61" i="45"/>
  <c r="BO61" i="45"/>
  <c r="BP61" i="45"/>
  <c r="BQ61" i="45"/>
  <c r="BR61" i="45"/>
  <c r="BJ62" i="45"/>
  <c r="BK62" i="45"/>
  <c r="BL62" i="45"/>
  <c r="BM62" i="45"/>
  <c r="BN62" i="45"/>
  <c r="BO62" i="45"/>
  <c r="BP62" i="45"/>
  <c r="BQ62" i="45"/>
  <c r="BR62" i="45"/>
  <c r="BJ63" i="45"/>
  <c r="BK63" i="45"/>
  <c r="BL63" i="45"/>
  <c r="BM63" i="45"/>
  <c r="BN63" i="45"/>
  <c r="BO63" i="45"/>
  <c r="BP63" i="45"/>
  <c r="BQ63" i="45"/>
  <c r="BR63" i="45"/>
  <c r="BJ64" i="45"/>
  <c r="BK64" i="45"/>
  <c r="BL64" i="45"/>
  <c r="BM64" i="45"/>
  <c r="BN64" i="45"/>
  <c r="BO64" i="45"/>
  <c r="BP64" i="45"/>
  <c r="BQ64" i="45"/>
  <c r="BR64" i="45"/>
  <c r="BJ65" i="45"/>
  <c r="BK65" i="45"/>
  <c r="BL65" i="45"/>
  <c r="BM65" i="45"/>
  <c r="BN65" i="45"/>
  <c r="BO65" i="45"/>
  <c r="BP65" i="45"/>
  <c r="BQ65" i="45"/>
  <c r="BR65" i="45"/>
  <c r="BJ66" i="45"/>
  <c r="BK66" i="45"/>
  <c r="BL66" i="45"/>
  <c r="BM66" i="45"/>
  <c r="BN66" i="45"/>
  <c r="BO66" i="45"/>
  <c r="BP66" i="45"/>
  <c r="BQ66" i="45"/>
  <c r="BR66" i="45"/>
  <c r="BJ67" i="45"/>
  <c r="BK67" i="45"/>
  <c r="BL67" i="45"/>
  <c r="BM67" i="45"/>
  <c r="BN67" i="45"/>
  <c r="BO67" i="45"/>
  <c r="BP67" i="45"/>
  <c r="BQ67" i="45"/>
  <c r="BR67" i="45"/>
  <c r="BJ68" i="45"/>
  <c r="BK68" i="45"/>
  <c r="BL68" i="45"/>
  <c r="BM68" i="45"/>
  <c r="BN68" i="45"/>
  <c r="BO68" i="45"/>
  <c r="BP68" i="45"/>
  <c r="BQ68" i="45"/>
  <c r="BR68" i="45"/>
  <c r="BJ69" i="45"/>
  <c r="BK69" i="45"/>
  <c r="BL69" i="45"/>
  <c r="BM69" i="45"/>
  <c r="BN69" i="45"/>
  <c r="BO69" i="45"/>
  <c r="BP69" i="45"/>
  <c r="BQ69" i="45"/>
  <c r="BR69" i="45"/>
  <c r="BJ70" i="45"/>
  <c r="BK70" i="45"/>
  <c r="BL70" i="45"/>
  <c r="BM70" i="45"/>
  <c r="BN70" i="45"/>
  <c r="BO70" i="45"/>
  <c r="BP70" i="45"/>
  <c r="BQ70" i="45"/>
  <c r="BR70" i="45"/>
  <c r="BJ71" i="45"/>
  <c r="BK71" i="45"/>
  <c r="BL71" i="45"/>
  <c r="BM71" i="45"/>
  <c r="BN71" i="45"/>
  <c r="BO71" i="45"/>
  <c r="BP71" i="45"/>
  <c r="BQ71" i="45"/>
  <c r="BR71" i="45"/>
  <c r="BJ72" i="45"/>
  <c r="BK72" i="45"/>
  <c r="BL72" i="45"/>
  <c r="BM72" i="45"/>
  <c r="BN72" i="45"/>
  <c r="BO72" i="45"/>
  <c r="BP72" i="45"/>
  <c r="BQ72" i="45"/>
  <c r="BR72" i="45"/>
  <c r="BJ73" i="45"/>
  <c r="BK73" i="45"/>
  <c r="BL73" i="45"/>
  <c r="BM73" i="45"/>
  <c r="BN73" i="45"/>
  <c r="BO73" i="45"/>
  <c r="BP73" i="45"/>
  <c r="BQ73" i="45"/>
  <c r="BR73" i="45"/>
  <c r="BJ74" i="45"/>
  <c r="BK74" i="45"/>
  <c r="BL74" i="45"/>
  <c r="BM74" i="45"/>
  <c r="BN74" i="45"/>
  <c r="BO74" i="45"/>
  <c r="BP74" i="45"/>
  <c r="BQ74" i="45"/>
  <c r="BR74" i="45"/>
  <c r="BJ75" i="45"/>
  <c r="BK75" i="45"/>
  <c r="BL75" i="45"/>
  <c r="BM75" i="45"/>
  <c r="BN75" i="45"/>
  <c r="BO75" i="45"/>
  <c r="BP75" i="45"/>
  <c r="BQ75" i="45"/>
  <c r="BR75" i="45"/>
  <c r="BJ28" i="45"/>
  <c r="BK28" i="45"/>
  <c r="BL28" i="45"/>
  <c r="BM28" i="45"/>
  <c r="BN28" i="45"/>
  <c r="BO28" i="45"/>
  <c r="BP28" i="45"/>
  <c r="BQ28" i="45"/>
  <c r="BR28" i="45"/>
  <c r="BJ39" i="45"/>
  <c r="BK39" i="45"/>
  <c r="BL39" i="45"/>
  <c r="BM39" i="45"/>
  <c r="BN39" i="45"/>
  <c r="BO39" i="45"/>
  <c r="BP39" i="45"/>
  <c r="BQ39" i="45"/>
  <c r="BR39" i="45"/>
  <c r="CD16" i="51" l="1"/>
  <c r="BJ9" i="55"/>
  <c r="BI9" i="53"/>
  <c r="BX28" i="45"/>
  <c r="BX73" i="45"/>
  <c r="BX72" i="45"/>
  <c r="BX69" i="45"/>
  <c r="BX68" i="45"/>
  <c r="BX65" i="45"/>
  <c r="BX64" i="45"/>
  <c r="BX61" i="45"/>
  <c r="BX60" i="45"/>
  <c r="BX57" i="45"/>
  <c r="BX56" i="45"/>
  <c r="BX53" i="45"/>
  <c r="BX52" i="45"/>
  <c r="BX49" i="45"/>
  <c r="BX48" i="45"/>
  <c r="BX45" i="45"/>
  <c r="BX43" i="45"/>
  <c r="BX39" i="45"/>
  <c r="BX75" i="45"/>
  <c r="BX71" i="45"/>
  <c r="BX67" i="45"/>
  <c r="BX63" i="45"/>
  <c r="BX59" i="45"/>
  <c r="BX55" i="45"/>
  <c r="BX51" i="45"/>
  <c r="BX47" i="45"/>
  <c r="BX74" i="45"/>
  <c r="BX70" i="45"/>
  <c r="BX66" i="45"/>
  <c r="BX62" i="45"/>
  <c r="BX58" i="45"/>
  <c r="BX54" i="45"/>
  <c r="BX50" i="45"/>
  <c r="BX46" i="45"/>
  <c r="CE16" i="51" l="1"/>
  <c r="BK9" i="55"/>
  <c r="BJ9" i="53"/>
  <c r="N7" i="27"/>
  <c r="CF16" i="51" l="1"/>
  <c r="BL9" i="55"/>
  <c r="BK9" i="53"/>
  <c r="BH26" i="45"/>
  <c r="CG16" i="51" l="1"/>
  <c r="BM9" i="55"/>
  <c r="BL9" i="53"/>
  <c r="CH16" i="51" l="1"/>
  <c r="BN9" i="55"/>
  <c r="BM9" i="53"/>
  <c r="S3" i="33"/>
  <c r="CI16" i="51" l="1"/>
  <c r="J7" i="33"/>
  <c r="S5" i="33"/>
  <c r="BO9" i="55"/>
  <c r="BN9" i="53"/>
  <c r="AZ29" i="33"/>
  <c r="BA29" i="33"/>
  <c r="C52" i="33"/>
  <c r="C53" i="33"/>
  <c r="C54" i="33"/>
  <c r="M54" i="33" s="1"/>
  <c r="N54" i="33" s="1"/>
  <c r="C55" i="33"/>
  <c r="M55" i="33" s="1"/>
  <c r="N55" i="33" s="1"/>
  <c r="C56" i="33"/>
  <c r="M56" i="33" s="1"/>
  <c r="N56" i="33" s="1"/>
  <c r="C51" i="33"/>
  <c r="M51" i="33" s="1"/>
  <c r="N51" i="33" s="1"/>
  <c r="BD29" i="33"/>
  <c r="BC29" i="33"/>
  <c r="BB29" i="33"/>
  <c r="AY29" i="33"/>
  <c r="AX29" i="33"/>
  <c r="AW29" i="33"/>
  <c r="AV29" i="33"/>
  <c r="AV28" i="33"/>
  <c r="AW28" i="33"/>
  <c r="AX28" i="33"/>
  <c r="AY28" i="33"/>
  <c r="AZ28" i="33"/>
  <c r="BA28" i="33"/>
  <c r="BB28" i="33"/>
  <c r="BC28" i="33"/>
  <c r="BD28" i="33"/>
  <c r="AV30" i="33"/>
  <c r="AW30" i="33"/>
  <c r="AX30" i="33"/>
  <c r="AY30" i="33"/>
  <c r="AZ30" i="33"/>
  <c r="BA30" i="33"/>
  <c r="BB30" i="33"/>
  <c r="BC30" i="33"/>
  <c r="BD30" i="33"/>
  <c r="AV31" i="33"/>
  <c r="AW31" i="33"/>
  <c r="AX31" i="33"/>
  <c r="AY31" i="33"/>
  <c r="AZ31" i="33"/>
  <c r="BA31" i="33"/>
  <c r="BB31" i="33"/>
  <c r="BC31" i="33"/>
  <c r="BD31" i="33"/>
  <c r="AV32" i="33"/>
  <c r="AW32" i="33"/>
  <c r="AX32" i="33"/>
  <c r="AY32" i="33"/>
  <c r="AZ32" i="33"/>
  <c r="BA32" i="33"/>
  <c r="BB32" i="33"/>
  <c r="BC32" i="33"/>
  <c r="BD32" i="33"/>
  <c r="AV33" i="33"/>
  <c r="AW33" i="33"/>
  <c r="AX33" i="33"/>
  <c r="AY33" i="33"/>
  <c r="AZ33" i="33"/>
  <c r="BA33" i="33"/>
  <c r="BB33" i="33"/>
  <c r="BC33" i="33"/>
  <c r="BD33" i="33"/>
  <c r="AV34" i="33"/>
  <c r="AW34" i="33"/>
  <c r="AX34" i="33"/>
  <c r="AY34" i="33"/>
  <c r="AZ34" i="33"/>
  <c r="BA34" i="33"/>
  <c r="BB34" i="33"/>
  <c r="BC34" i="33"/>
  <c r="BD34" i="33"/>
  <c r="AV35" i="33"/>
  <c r="AW35" i="33"/>
  <c r="AX35" i="33"/>
  <c r="AY35" i="33"/>
  <c r="AZ35" i="33"/>
  <c r="BA35" i="33"/>
  <c r="BB35" i="33"/>
  <c r="BC35" i="33"/>
  <c r="BD35" i="33"/>
  <c r="AV36" i="33"/>
  <c r="AW36" i="33"/>
  <c r="AX36" i="33"/>
  <c r="AY36" i="33"/>
  <c r="AZ36" i="33"/>
  <c r="BA36" i="33"/>
  <c r="BB36" i="33"/>
  <c r="BC36" i="33"/>
  <c r="BD36" i="33"/>
  <c r="AV37" i="33"/>
  <c r="AW37" i="33"/>
  <c r="AX37" i="33"/>
  <c r="AY37" i="33"/>
  <c r="AZ37" i="33"/>
  <c r="BA37" i="33"/>
  <c r="BB37" i="33"/>
  <c r="BC37" i="33"/>
  <c r="BD37" i="33"/>
  <c r="AV38" i="33"/>
  <c r="AW38" i="33"/>
  <c r="AX38" i="33"/>
  <c r="AY38" i="33"/>
  <c r="AZ38" i="33"/>
  <c r="BA38" i="33"/>
  <c r="BB38" i="33"/>
  <c r="BC38" i="33"/>
  <c r="BD38" i="33"/>
  <c r="AV39" i="33"/>
  <c r="AW39" i="33"/>
  <c r="AX39" i="33"/>
  <c r="AY39" i="33"/>
  <c r="AZ39" i="33"/>
  <c r="BA39" i="33"/>
  <c r="BB39" i="33"/>
  <c r="BC39" i="33"/>
  <c r="BD39" i="33"/>
  <c r="AV40" i="33"/>
  <c r="AW40" i="33"/>
  <c r="AX40" i="33"/>
  <c r="AY40" i="33"/>
  <c r="AZ40" i="33"/>
  <c r="BA40" i="33"/>
  <c r="BB40" i="33"/>
  <c r="BC40" i="33"/>
  <c r="BD40" i="33"/>
  <c r="AV41" i="33"/>
  <c r="AW41" i="33"/>
  <c r="AX41" i="33"/>
  <c r="AY41" i="33"/>
  <c r="AZ41" i="33"/>
  <c r="BA41" i="33"/>
  <c r="BB41" i="33"/>
  <c r="BC41" i="33"/>
  <c r="BD41" i="33"/>
  <c r="AV42" i="33"/>
  <c r="AW42" i="33"/>
  <c r="AX42" i="33"/>
  <c r="AY42" i="33"/>
  <c r="AZ42" i="33"/>
  <c r="BA42" i="33"/>
  <c r="BB42" i="33"/>
  <c r="BC42" i="33"/>
  <c r="BD42" i="33"/>
  <c r="AV43" i="33"/>
  <c r="AW43" i="33"/>
  <c r="AX43" i="33"/>
  <c r="AY43" i="33"/>
  <c r="AZ43" i="33"/>
  <c r="BA43" i="33"/>
  <c r="BB43" i="33"/>
  <c r="BC43" i="33"/>
  <c r="BD43" i="33"/>
  <c r="AV44" i="33"/>
  <c r="AW44" i="33"/>
  <c r="AX44" i="33"/>
  <c r="AY44" i="33"/>
  <c r="AZ44" i="33"/>
  <c r="BA44" i="33"/>
  <c r="BB44" i="33"/>
  <c r="BC44" i="33"/>
  <c r="BD44" i="33"/>
  <c r="AV45" i="33"/>
  <c r="AW45" i="33"/>
  <c r="AX45" i="33"/>
  <c r="AY45" i="33"/>
  <c r="AZ45" i="33"/>
  <c r="BA45" i="33"/>
  <c r="BB45" i="33"/>
  <c r="BC45" i="33"/>
  <c r="BD45" i="33"/>
  <c r="AV46" i="33"/>
  <c r="AW46" i="33"/>
  <c r="AX46" i="33"/>
  <c r="AY46" i="33"/>
  <c r="AZ46" i="33"/>
  <c r="BA46" i="33"/>
  <c r="BB46" i="33"/>
  <c r="BC46" i="33"/>
  <c r="BD46" i="33"/>
  <c r="BG28" i="33"/>
  <c r="AQ28" i="33" s="1"/>
  <c r="BG30" i="33"/>
  <c r="AQ30" i="33" s="1"/>
  <c r="BG31" i="33"/>
  <c r="AQ31" i="33" s="1"/>
  <c r="BG32" i="33"/>
  <c r="AQ32" i="33" s="1"/>
  <c r="BG33" i="33"/>
  <c r="AQ33" i="33" s="1"/>
  <c r="BG34" i="33"/>
  <c r="AQ34" i="33" s="1"/>
  <c r="BG35" i="33"/>
  <c r="AQ35" i="33" s="1"/>
  <c r="BG36" i="33"/>
  <c r="AQ36" i="33" s="1"/>
  <c r="BG37" i="33"/>
  <c r="AQ37" i="33" s="1"/>
  <c r="BG38" i="33"/>
  <c r="AQ38" i="33" s="1"/>
  <c r="BG39" i="33"/>
  <c r="AQ39" i="33" s="1"/>
  <c r="BG40" i="33"/>
  <c r="AQ40" i="33" s="1"/>
  <c r="BG41" i="33"/>
  <c r="AQ41" i="33" s="1"/>
  <c r="BG42" i="33"/>
  <c r="AQ42" i="33" s="1"/>
  <c r="BG43" i="33"/>
  <c r="AQ43" i="33" s="1"/>
  <c r="BG44" i="33"/>
  <c r="AQ44" i="33" s="1"/>
  <c r="BG45" i="33"/>
  <c r="AQ45" i="33" s="1"/>
  <c r="BG46" i="33"/>
  <c r="AQ46" i="33" s="1"/>
  <c r="BE22" i="33"/>
  <c r="L32" i="33"/>
  <c r="M32" i="33"/>
  <c r="N32" i="33"/>
  <c r="L33" i="33"/>
  <c r="M33" i="33"/>
  <c r="N33" i="33"/>
  <c r="L34" i="33"/>
  <c r="M34" i="33"/>
  <c r="N34" i="33"/>
  <c r="L35" i="33"/>
  <c r="M35" i="33"/>
  <c r="N35" i="33"/>
  <c r="L36" i="33"/>
  <c r="M36" i="33"/>
  <c r="N36" i="33"/>
  <c r="L37" i="33"/>
  <c r="M37" i="33"/>
  <c r="N37" i="33"/>
  <c r="L38" i="33"/>
  <c r="M38" i="33"/>
  <c r="N38" i="33"/>
  <c r="L39" i="33"/>
  <c r="M39" i="33"/>
  <c r="N39" i="33"/>
  <c r="L40" i="33"/>
  <c r="M40" i="33"/>
  <c r="N40" i="33"/>
  <c r="L41" i="33"/>
  <c r="M41" i="33"/>
  <c r="N41" i="33"/>
  <c r="L42" i="33"/>
  <c r="M42" i="33"/>
  <c r="N42" i="33"/>
  <c r="L43" i="33"/>
  <c r="M43" i="33"/>
  <c r="N43" i="33"/>
  <c r="L44" i="33"/>
  <c r="M44" i="33"/>
  <c r="N44" i="33"/>
  <c r="L45" i="33"/>
  <c r="M45" i="33"/>
  <c r="N45" i="33"/>
  <c r="L46" i="33"/>
  <c r="M46" i="33"/>
  <c r="N46" i="33"/>
  <c r="CJ16" i="51" l="1"/>
  <c r="BP9" i="55"/>
  <c r="BO9" i="53"/>
  <c r="BE23" i="33"/>
  <c r="BE24" i="33"/>
  <c r="BE25" i="33"/>
  <c r="BE26" i="33"/>
  <c r="BE27" i="33"/>
  <c r="BE28" i="33"/>
  <c r="BF28" i="33" s="1"/>
  <c r="BE29" i="33"/>
  <c r="BF29" i="33" s="1"/>
  <c r="BG29" i="33" s="1"/>
  <c r="AQ29" i="33" s="1"/>
  <c r="BE30" i="33"/>
  <c r="BF30" i="33" s="1"/>
  <c r="BE31" i="33"/>
  <c r="BF31" i="33" s="1"/>
  <c r="CK16" i="51" l="1"/>
  <c r="BQ9" i="55"/>
  <c r="BP9" i="53"/>
  <c r="M28" i="33"/>
  <c r="M30" i="33"/>
  <c r="M31" i="33"/>
  <c r="L28" i="33"/>
  <c r="L30" i="33"/>
  <c r="L31" i="33"/>
  <c r="N28" i="33"/>
  <c r="N30" i="33"/>
  <c r="N31" i="33"/>
  <c r="CL16" i="51" l="1"/>
  <c r="BR9" i="55"/>
  <c r="BQ9" i="53"/>
  <c r="BC28" i="45"/>
  <c r="BC39" i="45"/>
  <c r="BC43" i="45"/>
  <c r="BC45" i="45"/>
  <c r="BC46" i="45"/>
  <c r="BC47" i="45"/>
  <c r="BC48" i="45"/>
  <c r="BC49" i="45"/>
  <c r="BC50" i="45"/>
  <c r="BC51" i="45"/>
  <c r="BC52" i="45"/>
  <c r="BC53" i="45"/>
  <c r="BC54" i="45"/>
  <c r="BC55" i="45"/>
  <c r="BC56" i="45"/>
  <c r="BC57" i="45"/>
  <c r="BC58" i="45"/>
  <c r="BC59" i="45"/>
  <c r="BC60" i="45"/>
  <c r="BC61" i="45"/>
  <c r="BC62" i="45"/>
  <c r="BC63" i="45"/>
  <c r="BC64" i="45"/>
  <c r="BC65" i="45"/>
  <c r="BC66" i="45"/>
  <c r="BC67" i="45"/>
  <c r="BC68" i="45"/>
  <c r="BC69" i="45"/>
  <c r="BC70" i="45"/>
  <c r="BC71" i="45"/>
  <c r="BC72" i="45"/>
  <c r="BC73" i="45"/>
  <c r="BC74" i="45"/>
  <c r="BC75" i="45"/>
  <c r="L39" i="45"/>
  <c r="L43" i="45"/>
  <c r="L45" i="45"/>
  <c r="L46" i="45"/>
  <c r="L47" i="45"/>
  <c r="L48" i="45"/>
  <c r="L49" i="45"/>
  <c r="L50" i="45"/>
  <c r="L51" i="45"/>
  <c r="L52" i="45"/>
  <c r="L53" i="45"/>
  <c r="L54" i="45"/>
  <c r="L55" i="45"/>
  <c r="L56" i="45"/>
  <c r="L57" i="45"/>
  <c r="L58" i="45"/>
  <c r="L59" i="45"/>
  <c r="L60" i="45"/>
  <c r="L61" i="45"/>
  <c r="L62" i="45"/>
  <c r="L63" i="45"/>
  <c r="L64" i="45"/>
  <c r="L65" i="45"/>
  <c r="L66" i="45"/>
  <c r="L67" i="45"/>
  <c r="L68" i="45"/>
  <c r="L69" i="45"/>
  <c r="L70" i="45"/>
  <c r="L71" i="45"/>
  <c r="L72" i="45"/>
  <c r="L73" i="45"/>
  <c r="L74" i="45"/>
  <c r="L75" i="45"/>
  <c r="L28" i="45"/>
  <c r="CM16" i="51" l="1"/>
  <c r="BS9" i="55"/>
  <c r="BR9" i="53"/>
  <c r="K39" i="45"/>
  <c r="K43" i="45"/>
  <c r="K45" i="45"/>
  <c r="K46" i="45"/>
  <c r="K47" i="45"/>
  <c r="K48" i="45"/>
  <c r="K49" i="45"/>
  <c r="K50" i="45"/>
  <c r="K51" i="45"/>
  <c r="K52" i="45"/>
  <c r="K53" i="45"/>
  <c r="K54" i="45"/>
  <c r="K55" i="45"/>
  <c r="K56" i="45"/>
  <c r="K57" i="45"/>
  <c r="K58" i="45"/>
  <c r="K59" i="45"/>
  <c r="K60" i="45"/>
  <c r="K61" i="45"/>
  <c r="K62" i="45"/>
  <c r="K63" i="45"/>
  <c r="K64" i="45"/>
  <c r="K65" i="45"/>
  <c r="K66" i="45"/>
  <c r="K67" i="45"/>
  <c r="K68" i="45"/>
  <c r="K69" i="45"/>
  <c r="K70" i="45"/>
  <c r="K71" i="45"/>
  <c r="K72" i="45"/>
  <c r="K73" i="45"/>
  <c r="K74" i="45"/>
  <c r="K75" i="45"/>
  <c r="K28" i="45"/>
  <c r="N13" i="45"/>
  <c r="N9" i="45" l="1"/>
  <c r="CN16" i="51"/>
  <c r="Y6" i="55"/>
  <c r="X6" i="53"/>
  <c r="BT9" i="55"/>
  <c r="BS9" i="53"/>
  <c r="AU11" i="51"/>
  <c r="N19" i="45"/>
  <c r="N15" i="45"/>
  <c r="CO16" i="51" l="1"/>
  <c r="BU9" i="55"/>
  <c r="BT9" i="53"/>
  <c r="AB1" i="5"/>
  <c r="B3" i="30" s="1"/>
  <c r="A3" i="30" s="1"/>
  <c r="K1" i="5"/>
  <c r="H1" i="8" s="1"/>
  <c r="C6" i="30" l="1"/>
  <c r="C10" i="30"/>
  <c r="C14" i="30"/>
  <c r="C18" i="30"/>
  <c r="C22" i="30"/>
  <c r="C26" i="30"/>
  <c r="C30" i="30"/>
  <c r="C34" i="30"/>
  <c r="C5" i="30"/>
  <c r="C13" i="30"/>
  <c r="C25" i="30"/>
  <c r="M18" i="28" s="1"/>
  <c r="C33" i="30"/>
  <c r="C7" i="30"/>
  <c r="C11" i="30"/>
  <c r="C15" i="30"/>
  <c r="C19" i="30"/>
  <c r="C23" i="30"/>
  <c r="C27" i="30"/>
  <c r="C31" i="30"/>
  <c r="C35" i="30"/>
  <c r="C8" i="30"/>
  <c r="C12" i="30"/>
  <c r="C16" i="30"/>
  <c r="C20" i="30"/>
  <c r="C24" i="30"/>
  <c r="M17" i="28" s="1"/>
  <c r="C28" i="30"/>
  <c r="C32" i="30"/>
  <c r="C36" i="30"/>
  <c r="C9" i="30"/>
  <c r="C17" i="30"/>
  <c r="C21" i="30"/>
  <c r="C29" i="30"/>
  <c r="C37" i="30"/>
  <c r="B13" i="8"/>
  <c r="N11" i="29"/>
  <c r="N19" i="29"/>
  <c r="N23" i="29"/>
  <c r="N27" i="29"/>
  <c r="N31" i="29"/>
  <c r="N35" i="29"/>
  <c r="M11" i="29"/>
  <c r="M15" i="29"/>
  <c r="M16" i="29"/>
  <c r="M17" i="29"/>
  <c r="M18" i="29"/>
  <c r="M19" i="29"/>
  <c r="M20" i="29"/>
  <c r="M21" i="29"/>
  <c r="M22" i="29"/>
  <c r="M23" i="29"/>
  <c r="M24" i="29"/>
  <c r="M25" i="29"/>
  <c r="M26" i="29"/>
  <c r="M27" i="29"/>
  <c r="M29" i="29"/>
  <c r="M30" i="29"/>
  <c r="M31" i="29"/>
  <c r="M32" i="29"/>
  <c r="M33" i="29"/>
  <c r="M34" i="29"/>
  <c r="M35" i="29"/>
  <c r="M36" i="29"/>
  <c r="M37" i="29"/>
  <c r="J18" i="29"/>
  <c r="J22" i="29"/>
  <c r="J26" i="29"/>
  <c r="J30" i="29"/>
  <c r="J34" i="29"/>
  <c r="J15" i="29"/>
  <c r="K20" i="29"/>
  <c r="K22" i="29"/>
  <c r="K24" i="29"/>
  <c r="K26" i="29"/>
  <c r="K30" i="29"/>
  <c r="K32" i="29"/>
  <c r="K34" i="29"/>
  <c r="K36" i="29"/>
  <c r="N16" i="29"/>
  <c r="N20" i="29"/>
  <c r="N24" i="29"/>
  <c r="N32" i="29"/>
  <c r="N36" i="29"/>
  <c r="J11" i="29"/>
  <c r="O15" i="29"/>
  <c r="O16" i="29"/>
  <c r="O17" i="29"/>
  <c r="O18" i="29"/>
  <c r="O19" i="29"/>
  <c r="O20" i="29"/>
  <c r="O21" i="29"/>
  <c r="O22" i="29"/>
  <c r="O23" i="29"/>
  <c r="O24" i="29"/>
  <c r="O25" i="29"/>
  <c r="O26" i="29"/>
  <c r="O27" i="29"/>
  <c r="O29" i="29"/>
  <c r="O30" i="29"/>
  <c r="O31" i="29"/>
  <c r="O32" i="29"/>
  <c r="O33" i="29"/>
  <c r="O34" i="29"/>
  <c r="O35" i="29"/>
  <c r="O36" i="29"/>
  <c r="O37" i="29"/>
  <c r="J19" i="29"/>
  <c r="J23" i="29"/>
  <c r="J27" i="29"/>
  <c r="J31" i="29"/>
  <c r="J35" i="29"/>
  <c r="N17" i="29"/>
  <c r="N21" i="29"/>
  <c r="N25" i="29"/>
  <c r="N29" i="29"/>
  <c r="N33" i="29"/>
  <c r="N37" i="29"/>
  <c r="K11" i="29"/>
  <c r="K15" i="29"/>
  <c r="K16" i="29"/>
  <c r="K17" i="29"/>
  <c r="K18" i="29"/>
  <c r="K19" i="29"/>
  <c r="K21" i="29"/>
  <c r="K23" i="29"/>
  <c r="K25" i="29"/>
  <c r="K27" i="29"/>
  <c r="K29" i="29"/>
  <c r="K31" i="29"/>
  <c r="K33" i="29"/>
  <c r="K35" i="29"/>
  <c r="N18" i="29"/>
  <c r="N34" i="29"/>
  <c r="L11" i="29"/>
  <c r="L18" i="29"/>
  <c r="L22" i="29"/>
  <c r="L26" i="29"/>
  <c r="L30" i="29"/>
  <c r="L34" i="29"/>
  <c r="L37" i="29"/>
  <c r="J21" i="29"/>
  <c r="J29" i="29"/>
  <c r="J37" i="29"/>
  <c r="N22" i="29"/>
  <c r="N15" i="29"/>
  <c r="L15" i="29"/>
  <c r="L19" i="29"/>
  <c r="L23" i="29"/>
  <c r="L27" i="29"/>
  <c r="L31" i="29"/>
  <c r="L35" i="29"/>
  <c r="J16" i="29"/>
  <c r="J24" i="29"/>
  <c r="J32" i="29"/>
  <c r="N26" i="29"/>
  <c r="L16" i="29"/>
  <c r="L20" i="29"/>
  <c r="L24" i="29"/>
  <c r="L32" i="29"/>
  <c r="L36" i="29"/>
  <c r="J17" i="29"/>
  <c r="J25" i="29"/>
  <c r="J33" i="29"/>
  <c r="N30" i="29"/>
  <c r="L17" i="29"/>
  <c r="L21" i="29"/>
  <c r="L25" i="29"/>
  <c r="L29" i="29"/>
  <c r="L33" i="29"/>
  <c r="K37" i="29"/>
  <c r="J20" i="29"/>
  <c r="J36" i="29"/>
  <c r="U97" i="5"/>
  <c r="K99" i="5"/>
  <c r="K97" i="5"/>
  <c r="O81" i="5"/>
  <c r="K95" i="5"/>
  <c r="O83" i="5"/>
  <c r="J1" i="58"/>
  <c r="K1" i="60"/>
  <c r="C13" i="60"/>
  <c r="R13" i="32"/>
  <c r="C13" i="58"/>
  <c r="H1" i="56"/>
  <c r="G1" i="51"/>
  <c r="CP16" i="51"/>
  <c r="Q6" i="28"/>
  <c r="I6" i="28"/>
  <c r="V16" i="28"/>
  <c r="V20" i="28"/>
  <c r="V17" i="28"/>
  <c r="V25" i="28"/>
  <c r="V29" i="28"/>
  <c r="V18" i="28"/>
  <c r="V19" i="28"/>
  <c r="V23" i="28"/>
  <c r="V27" i="28"/>
  <c r="V31" i="28"/>
  <c r="I1" i="54"/>
  <c r="I1" i="27"/>
  <c r="AU16" i="51"/>
  <c r="AV16" i="51" s="1"/>
  <c r="Y9" i="55"/>
  <c r="Z9" i="55" s="1"/>
  <c r="AD15" i="29"/>
  <c r="B13" i="54"/>
  <c r="X9" i="53"/>
  <c r="Y9" i="53" s="1"/>
  <c r="AD8" i="29"/>
  <c r="BD25" i="33"/>
  <c r="S338" i="35"/>
  <c r="BD27" i="33"/>
  <c r="BV9" i="55"/>
  <c r="BU9" i="53"/>
  <c r="AC1" i="5"/>
  <c r="B30" i="29"/>
  <c r="B34" i="29"/>
  <c r="B29" i="29"/>
  <c r="B19" i="29"/>
  <c r="B23" i="29"/>
  <c r="B27" i="29"/>
  <c r="E30" i="29"/>
  <c r="D31" i="29"/>
  <c r="C32" i="29"/>
  <c r="G32" i="29"/>
  <c r="F33" i="29"/>
  <c r="E34" i="29"/>
  <c r="D35" i="29"/>
  <c r="C36" i="29"/>
  <c r="G36" i="29"/>
  <c r="F37" i="29"/>
  <c r="F29" i="29"/>
  <c r="D16" i="29"/>
  <c r="C17" i="29"/>
  <c r="G17" i="29"/>
  <c r="F18" i="29"/>
  <c r="E19" i="29"/>
  <c r="D20" i="29"/>
  <c r="C21" i="29"/>
  <c r="G21" i="29"/>
  <c r="F22" i="29"/>
  <c r="E23" i="29"/>
  <c r="D24" i="29"/>
  <c r="C25" i="29"/>
  <c r="G25" i="29"/>
  <c r="F26" i="29"/>
  <c r="E27" i="29"/>
  <c r="E15" i="29"/>
  <c r="D13" i="29"/>
  <c r="C13" i="29"/>
  <c r="B36" i="29"/>
  <c r="G30" i="29"/>
  <c r="E32" i="29"/>
  <c r="C34" i="29"/>
  <c r="F35" i="29"/>
  <c r="D37" i="29"/>
  <c r="C29" i="29"/>
  <c r="E17" i="29"/>
  <c r="G19" i="29"/>
  <c r="E21" i="29"/>
  <c r="G23" i="29"/>
  <c r="C27" i="29"/>
  <c r="F13" i="29"/>
  <c r="B31" i="29"/>
  <c r="B35" i="29"/>
  <c r="B16" i="29"/>
  <c r="B20" i="29"/>
  <c r="B24" i="29"/>
  <c r="B15" i="29"/>
  <c r="F30" i="29"/>
  <c r="E31" i="29"/>
  <c r="D32" i="29"/>
  <c r="C33" i="29"/>
  <c r="G33" i="29"/>
  <c r="F34" i="29"/>
  <c r="E35" i="29"/>
  <c r="D36" i="29"/>
  <c r="C37" i="29"/>
  <c r="G37" i="29"/>
  <c r="G29" i="29"/>
  <c r="E16" i="29"/>
  <c r="D17" i="29"/>
  <c r="C18" i="29"/>
  <c r="G18" i="29"/>
  <c r="F19" i="29"/>
  <c r="E20" i="29"/>
  <c r="D21" i="29"/>
  <c r="C22" i="29"/>
  <c r="G22" i="29"/>
  <c r="F23" i="29"/>
  <c r="E24" i="29"/>
  <c r="D25" i="29"/>
  <c r="C26" i="29"/>
  <c r="G26" i="29"/>
  <c r="F27" i="29"/>
  <c r="F15" i="29"/>
  <c r="E13" i="29"/>
  <c r="B32" i="29"/>
  <c r="B17" i="29"/>
  <c r="B21" i="29"/>
  <c r="B25" i="29"/>
  <c r="C30" i="29"/>
  <c r="F31" i="29"/>
  <c r="D33" i="29"/>
  <c r="G34" i="29"/>
  <c r="E36" i="29"/>
  <c r="D29" i="29"/>
  <c r="F16" i="29"/>
  <c r="D18" i="29"/>
  <c r="F20" i="29"/>
  <c r="C23" i="29"/>
  <c r="E25" i="29"/>
  <c r="G27" i="29"/>
  <c r="B33" i="29"/>
  <c r="B37" i="29"/>
  <c r="B18" i="29"/>
  <c r="B22" i="29"/>
  <c r="B26" i="29"/>
  <c r="D30" i="29"/>
  <c r="C31" i="29"/>
  <c r="G31" i="29"/>
  <c r="F32" i="29"/>
  <c r="E33" i="29"/>
  <c r="D34" i="29"/>
  <c r="C35" i="29"/>
  <c r="G35" i="29"/>
  <c r="F36" i="29"/>
  <c r="E37" i="29"/>
  <c r="E29" i="29"/>
  <c r="C16" i="29"/>
  <c r="G16" i="29"/>
  <c r="F17" i="29"/>
  <c r="E18" i="29"/>
  <c r="D19" i="29"/>
  <c r="C20" i="29"/>
  <c r="G20" i="29"/>
  <c r="F21" i="29"/>
  <c r="E22" i="29"/>
  <c r="D23" i="29"/>
  <c r="C24" i="29"/>
  <c r="G24" i="29"/>
  <c r="F25" i="29"/>
  <c r="E26" i="29"/>
  <c r="D27" i="29"/>
  <c r="D15" i="29"/>
  <c r="C15" i="29"/>
  <c r="G13" i="29"/>
  <c r="C19" i="29"/>
  <c r="D22" i="29"/>
  <c r="F24" i="29"/>
  <c r="D26" i="29"/>
  <c r="G15" i="29"/>
  <c r="G334" i="35"/>
  <c r="K334" i="35"/>
  <c r="BB26" i="33"/>
  <c r="AY27" i="33"/>
  <c r="AX26" i="33"/>
  <c r="AW25" i="33"/>
  <c r="AV27" i="33"/>
  <c r="BC25" i="33"/>
  <c r="BB27" i="33"/>
  <c r="AX27" i="33"/>
  <c r="AW26" i="33"/>
  <c r="AV25" i="33"/>
  <c r="BC26" i="33"/>
  <c r="AY25" i="33"/>
  <c r="AW27" i="33"/>
  <c r="AV26" i="33"/>
  <c r="BC27" i="33"/>
  <c r="BD26" i="33"/>
  <c r="BB25" i="33"/>
  <c r="AY26" i="33"/>
  <c r="AX25" i="33"/>
  <c r="BA27" i="33"/>
  <c r="BA25" i="33"/>
  <c r="BA26" i="33"/>
  <c r="AZ25" i="33"/>
  <c r="AZ26" i="33"/>
  <c r="AZ27" i="33"/>
  <c r="Q15" i="37" l="1"/>
  <c r="AI15" i="37" s="1"/>
  <c r="W15" i="54"/>
  <c r="AP15" i="54" s="1"/>
  <c r="Y15" i="37"/>
  <c r="AM15" i="37" s="1"/>
  <c r="AE15" i="54"/>
  <c r="AT15" i="54" s="1"/>
  <c r="U15" i="37"/>
  <c r="AK15" i="37" s="1"/>
  <c r="AA15" i="54"/>
  <c r="AR15" i="54" s="1"/>
  <c r="S15" i="37"/>
  <c r="AJ15" i="37" s="1"/>
  <c r="Y15" i="54"/>
  <c r="AQ15" i="54" s="1"/>
  <c r="W15" i="37"/>
  <c r="AL15" i="37" s="1"/>
  <c r="AC15" i="54"/>
  <c r="AS15" i="54" s="1"/>
  <c r="O85" i="5"/>
  <c r="W23" i="28"/>
  <c r="W19" i="28"/>
  <c r="W25" i="28"/>
  <c r="W31" i="28"/>
  <c r="W18" i="28"/>
  <c r="W20" i="28"/>
  <c r="W27" i="28"/>
  <c r="W29" i="28"/>
  <c r="CQ16" i="51"/>
  <c r="T338" i="35"/>
  <c r="U338" i="35"/>
  <c r="AF8" i="29"/>
  <c r="AE8" i="29"/>
  <c r="AF15" i="29"/>
  <c r="AE15" i="29"/>
  <c r="BW9" i="55"/>
  <c r="BV9" i="53"/>
  <c r="G341" i="35"/>
  <c r="P338" i="35"/>
  <c r="O338" i="35"/>
  <c r="N338" i="35"/>
  <c r="BF27" i="33"/>
  <c r="BG27" i="33" s="1"/>
  <c r="AQ27" i="33" s="1"/>
  <c r="BF26" i="33"/>
  <c r="BG26" i="33" s="1"/>
  <c r="AQ26" i="33" s="1"/>
  <c r="BF25" i="33"/>
  <c r="BG25" i="33" s="1"/>
  <c r="AQ25" i="33" s="1"/>
  <c r="BL69" i="27"/>
  <c r="BM69" i="27"/>
  <c r="BN69" i="27"/>
  <c r="BO69" i="27"/>
  <c r="BP69" i="27"/>
  <c r="BL70" i="27"/>
  <c r="BM70" i="27"/>
  <c r="BN70" i="27"/>
  <c r="BO70" i="27"/>
  <c r="BP70" i="27"/>
  <c r="BL71" i="27"/>
  <c r="BM71" i="27"/>
  <c r="BN71" i="27"/>
  <c r="BO71" i="27"/>
  <c r="BP71" i="27"/>
  <c r="BL72" i="27"/>
  <c r="BM72" i="27"/>
  <c r="BN72" i="27"/>
  <c r="BO72" i="27"/>
  <c r="BP72" i="27"/>
  <c r="BL73" i="27"/>
  <c r="BM73" i="27"/>
  <c r="BN73" i="27"/>
  <c r="BO73" i="27"/>
  <c r="BP73" i="27"/>
  <c r="BL74" i="27"/>
  <c r="BM74" i="27"/>
  <c r="BN74" i="27"/>
  <c r="BO74" i="27"/>
  <c r="BP74" i="27"/>
  <c r="BL75" i="27"/>
  <c r="BM75" i="27"/>
  <c r="BN75" i="27"/>
  <c r="BO75" i="27"/>
  <c r="BP75" i="27"/>
  <c r="BL27" i="27"/>
  <c r="BM27" i="27"/>
  <c r="BN27" i="27"/>
  <c r="BO27" i="27"/>
  <c r="BP27" i="27"/>
  <c r="BL28" i="27"/>
  <c r="BM28" i="27"/>
  <c r="BN28" i="27"/>
  <c r="BO28" i="27"/>
  <c r="BP28" i="27"/>
  <c r="BL29" i="27"/>
  <c r="BM29" i="27"/>
  <c r="BN29" i="27"/>
  <c r="BO29" i="27"/>
  <c r="BP29" i="27"/>
  <c r="BL30" i="27"/>
  <c r="BM30" i="27"/>
  <c r="BN30" i="27"/>
  <c r="BO30" i="27"/>
  <c r="BP30" i="27"/>
  <c r="BL31" i="27"/>
  <c r="BM31" i="27"/>
  <c r="BN31" i="27"/>
  <c r="BO31" i="27"/>
  <c r="BP31" i="27"/>
  <c r="BL32" i="27"/>
  <c r="BM32" i="27"/>
  <c r="BN32" i="27"/>
  <c r="BO32" i="27"/>
  <c r="BP32" i="27"/>
  <c r="BL33" i="27"/>
  <c r="BM33" i="27"/>
  <c r="BN33" i="27"/>
  <c r="BO33" i="27"/>
  <c r="BP33" i="27"/>
  <c r="BL34" i="27"/>
  <c r="BM34" i="27"/>
  <c r="BN34" i="27"/>
  <c r="BO34" i="27"/>
  <c r="BP34" i="27"/>
  <c r="BL35" i="27"/>
  <c r="BM35" i="27"/>
  <c r="BN35" i="27"/>
  <c r="BO35" i="27"/>
  <c r="BP35" i="27"/>
  <c r="BL36" i="27"/>
  <c r="BM36" i="27"/>
  <c r="BN36" i="27"/>
  <c r="BO36" i="27"/>
  <c r="BP36" i="27"/>
  <c r="BL37" i="27"/>
  <c r="BM37" i="27"/>
  <c r="BN37" i="27"/>
  <c r="BO37" i="27"/>
  <c r="BP37" i="27"/>
  <c r="BL38" i="27"/>
  <c r="BM38" i="27"/>
  <c r="BN38" i="27"/>
  <c r="BO38" i="27"/>
  <c r="BP38" i="27"/>
  <c r="BL39" i="27"/>
  <c r="BM39" i="27"/>
  <c r="BN39" i="27"/>
  <c r="BO39" i="27"/>
  <c r="BP39" i="27"/>
  <c r="BL40" i="27"/>
  <c r="BM40" i="27"/>
  <c r="BN40" i="27"/>
  <c r="BO40" i="27"/>
  <c r="BP40" i="27"/>
  <c r="BL41" i="27"/>
  <c r="BM41" i="27"/>
  <c r="BN41" i="27"/>
  <c r="BO41" i="27"/>
  <c r="BP41" i="27"/>
  <c r="BL42" i="27"/>
  <c r="BM42" i="27"/>
  <c r="BN42" i="27"/>
  <c r="BO42" i="27"/>
  <c r="BP42" i="27"/>
  <c r="BL43" i="27"/>
  <c r="BM43" i="27"/>
  <c r="BN43" i="27"/>
  <c r="BO43" i="27"/>
  <c r="BP43" i="27"/>
  <c r="BL44" i="27"/>
  <c r="BM44" i="27"/>
  <c r="BN44" i="27"/>
  <c r="BO44" i="27"/>
  <c r="BP44" i="27"/>
  <c r="BL45" i="27"/>
  <c r="BM45" i="27"/>
  <c r="BN45" i="27"/>
  <c r="BO45" i="27"/>
  <c r="BP45" i="27"/>
  <c r="BL46" i="27"/>
  <c r="BM46" i="27"/>
  <c r="BN46" i="27"/>
  <c r="BO46" i="27"/>
  <c r="BP46" i="27"/>
  <c r="BL47" i="27"/>
  <c r="BM47" i="27"/>
  <c r="BN47" i="27"/>
  <c r="BO47" i="27"/>
  <c r="BP47" i="27"/>
  <c r="BL48" i="27"/>
  <c r="BM48" i="27"/>
  <c r="BN48" i="27"/>
  <c r="BO48" i="27"/>
  <c r="BP48" i="27"/>
  <c r="BL49" i="27"/>
  <c r="BM49" i="27"/>
  <c r="BN49" i="27"/>
  <c r="BO49" i="27"/>
  <c r="BP49" i="27"/>
  <c r="BL50" i="27"/>
  <c r="BM50" i="27"/>
  <c r="BN50" i="27"/>
  <c r="BO50" i="27"/>
  <c r="BP50" i="27"/>
  <c r="BL51" i="27"/>
  <c r="BM51" i="27"/>
  <c r="BN51" i="27"/>
  <c r="BO51" i="27"/>
  <c r="BP51" i="27"/>
  <c r="BL52" i="27"/>
  <c r="BM52" i="27"/>
  <c r="BN52" i="27"/>
  <c r="BO52" i="27"/>
  <c r="BP52" i="27"/>
  <c r="BL53" i="27"/>
  <c r="BM53" i="27"/>
  <c r="BN53" i="27"/>
  <c r="BO53" i="27"/>
  <c r="BP53" i="27"/>
  <c r="BL54" i="27"/>
  <c r="BM54" i="27"/>
  <c r="BN54" i="27"/>
  <c r="BO54" i="27"/>
  <c r="BP54" i="27"/>
  <c r="BL55" i="27"/>
  <c r="BM55" i="27"/>
  <c r="BN55" i="27"/>
  <c r="BO55" i="27"/>
  <c r="BP55" i="27"/>
  <c r="BL56" i="27"/>
  <c r="BM56" i="27"/>
  <c r="BN56" i="27"/>
  <c r="BO56" i="27"/>
  <c r="BP56" i="27"/>
  <c r="BL57" i="27"/>
  <c r="BM57" i="27"/>
  <c r="BN57" i="27"/>
  <c r="BO57" i="27"/>
  <c r="BP57" i="27"/>
  <c r="BL58" i="27"/>
  <c r="BM58" i="27"/>
  <c r="BN58" i="27"/>
  <c r="BO58" i="27"/>
  <c r="BP58" i="27"/>
  <c r="BL59" i="27"/>
  <c r="BM59" i="27"/>
  <c r="BN59" i="27"/>
  <c r="BO59" i="27"/>
  <c r="BP59" i="27"/>
  <c r="BL60" i="27"/>
  <c r="BM60" i="27"/>
  <c r="BN60" i="27"/>
  <c r="BO60" i="27"/>
  <c r="BP60" i="27"/>
  <c r="BL61" i="27"/>
  <c r="BM61" i="27"/>
  <c r="BN61" i="27"/>
  <c r="BO61" i="27"/>
  <c r="BP61" i="27"/>
  <c r="BL62" i="27"/>
  <c r="BM62" i="27"/>
  <c r="BN62" i="27"/>
  <c r="BO62" i="27"/>
  <c r="BP62" i="27"/>
  <c r="BL63" i="27"/>
  <c r="BM63" i="27"/>
  <c r="BN63" i="27"/>
  <c r="BO63" i="27"/>
  <c r="BP63" i="27"/>
  <c r="BL64" i="27"/>
  <c r="BM64" i="27"/>
  <c r="BN64" i="27"/>
  <c r="BO64" i="27"/>
  <c r="BP64" i="27"/>
  <c r="BL65" i="27"/>
  <c r="BM65" i="27"/>
  <c r="BN65" i="27"/>
  <c r="BO65" i="27"/>
  <c r="BP65" i="27"/>
  <c r="BL66" i="27"/>
  <c r="BM66" i="27"/>
  <c r="BN66" i="27"/>
  <c r="BO66" i="27"/>
  <c r="BP66" i="27"/>
  <c r="BL67" i="27"/>
  <c r="BM67" i="27"/>
  <c r="BN67" i="27"/>
  <c r="BO67" i="27"/>
  <c r="BP67" i="27"/>
  <c r="BL68" i="27"/>
  <c r="BM68" i="27"/>
  <c r="BN68" i="27"/>
  <c r="BO68" i="27"/>
  <c r="BP68" i="27"/>
  <c r="BP16" i="27"/>
  <c r="BP17" i="27"/>
  <c r="BP18" i="27"/>
  <c r="BP19" i="27"/>
  <c r="BP20" i="27"/>
  <c r="BP21" i="27"/>
  <c r="BP22" i="27"/>
  <c r="BP23" i="27"/>
  <c r="BP24" i="27"/>
  <c r="BP25" i="27"/>
  <c r="BP26" i="27"/>
  <c r="BM16" i="27"/>
  <c r="BN16" i="27"/>
  <c r="BO16" i="27"/>
  <c r="BM17" i="27"/>
  <c r="BN17" i="27"/>
  <c r="BO17" i="27"/>
  <c r="BM18" i="27"/>
  <c r="BN18" i="27"/>
  <c r="BO18" i="27"/>
  <c r="BM19" i="27"/>
  <c r="BN19" i="27"/>
  <c r="BO19" i="27"/>
  <c r="BM20" i="27"/>
  <c r="BN20" i="27"/>
  <c r="BO20" i="27"/>
  <c r="BM21" i="27"/>
  <c r="BN21" i="27"/>
  <c r="BO21" i="27"/>
  <c r="BM22" i="27"/>
  <c r="BN22" i="27"/>
  <c r="BO22" i="27"/>
  <c r="BM23" i="27"/>
  <c r="BN23" i="27"/>
  <c r="BO23" i="27"/>
  <c r="BM24" i="27"/>
  <c r="BN24" i="27"/>
  <c r="BO24" i="27"/>
  <c r="BM25" i="27"/>
  <c r="BN25" i="27"/>
  <c r="BO25" i="27"/>
  <c r="BM26" i="27"/>
  <c r="BN26" i="27"/>
  <c r="BO26" i="27"/>
  <c r="BL20" i="27"/>
  <c r="BL21" i="27"/>
  <c r="BL22" i="27"/>
  <c r="BL23" i="27"/>
  <c r="BL24" i="27"/>
  <c r="BL25" i="27"/>
  <c r="BL26" i="27"/>
  <c r="BL16" i="27"/>
  <c r="BL17" i="27"/>
  <c r="BL18" i="27"/>
  <c r="BL19" i="27"/>
  <c r="BI22" i="27"/>
  <c r="W17" i="28"/>
  <c r="W16" i="28"/>
  <c r="AK24" i="33"/>
  <c r="AK23" i="33"/>
  <c r="AG23" i="33"/>
  <c r="AE24" i="33"/>
  <c r="AC22" i="33"/>
  <c r="W23" i="33"/>
  <c r="AE23" i="33"/>
  <c r="AG24" i="33"/>
  <c r="AO24" i="33"/>
  <c r="AE22" i="33"/>
  <c r="AO23" i="33"/>
  <c r="AI23" i="33"/>
  <c r="Y23" i="33"/>
  <c r="AC24" i="33"/>
  <c r="Y22" i="33"/>
  <c r="AC23" i="33"/>
  <c r="AM24" i="33"/>
  <c r="AA22" i="33"/>
  <c r="AO29" i="33"/>
  <c r="Y24" i="33"/>
  <c r="AM22" i="33"/>
  <c r="AG22" i="33"/>
  <c r="W22" i="33"/>
  <c r="AO22" i="33"/>
  <c r="AA24" i="33"/>
  <c r="AK22" i="33"/>
  <c r="AM23" i="33"/>
  <c r="AI22" i="33"/>
  <c r="AI24" i="33"/>
  <c r="AA23" i="33"/>
  <c r="W24" i="33"/>
  <c r="P15" i="45"/>
  <c r="T15" i="45"/>
  <c r="AA17" i="33"/>
  <c r="AK17" i="33"/>
  <c r="AG17" i="33"/>
  <c r="W17" i="33"/>
  <c r="AI17" i="33"/>
  <c r="Y17" i="33"/>
  <c r="AE17" i="33"/>
  <c r="R15" i="45"/>
  <c r="AO17" i="33"/>
  <c r="AC17" i="33"/>
  <c r="V15" i="45"/>
  <c r="AL15" i="45"/>
  <c r="AM17" i="33"/>
  <c r="CR16" i="51" l="1"/>
  <c r="AY24" i="33"/>
  <c r="BC24" i="33"/>
  <c r="AZ24" i="33"/>
  <c r="AV24" i="33"/>
  <c r="BD24" i="33"/>
  <c r="BA24" i="33"/>
  <c r="AW24" i="33"/>
  <c r="BB24" i="33"/>
  <c r="AX24" i="33"/>
  <c r="BC23" i="33"/>
  <c r="BD23" i="33"/>
  <c r="BB23" i="33"/>
  <c r="BA23" i="33"/>
  <c r="AZ23" i="33"/>
  <c r="AY23" i="33"/>
  <c r="AX23" i="33"/>
  <c r="AW23" i="33"/>
  <c r="AV23" i="33"/>
  <c r="BA22" i="33"/>
  <c r="AZ22" i="33"/>
  <c r="BD22" i="33"/>
  <c r="BB22" i="33"/>
  <c r="AX22" i="33"/>
  <c r="AV22" i="33"/>
  <c r="BC22" i="33"/>
  <c r="AY22" i="33"/>
  <c r="AW22" i="33"/>
  <c r="AV11" i="33"/>
  <c r="AW11" i="33"/>
  <c r="BA11" i="33"/>
  <c r="BD11" i="33"/>
  <c r="AZ11" i="33"/>
  <c r="BC11" i="33"/>
  <c r="AY11" i="33"/>
  <c r="BB11" i="33"/>
  <c r="AX11" i="33"/>
  <c r="BE11" i="33"/>
  <c r="BX9" i="55"/>
  <c r="BW9" i="53"/>
  <c r="BQ74" i="27"/>
  <c r="BQ16" i="27"/>
  <c r="BQ45" i="27"/>
  <c r="BQ75" i="27"/>
  <c r="BQ28" i="27"/>
  <c r="BQ49" i="27"/>
  <c r="BQ41" i="27"/>
  <c r="BQ29" i="27"/>
  <c r="BQ60" i="27"/>
  <c r="BQ56" i="27"/>
  <c r="BQ46" i="27"/>
  <c r="BQ31" i="27"/>
  <c r="BQ61" i="27"/>
  <c r="BQ53" i="27"/>
  <c r="BQ47" i="27"/>
  <c r="BQ36" i="27"/>
  <c r="BQ17" i="27"/>
  <c r="BQ65" i="27"/>
  <c r="BQ37" i="27"/>
  <c r="BQ33" i="27"/>
  <c r="BQ32" i="27"/>
  <c r="BQ30" i="27"/>
  <c r="BQ70" i="27"/>
  <c r="BQ27" i="27"/>
  <c r="BQ66" i="27"/>
  <c r="BQ63" i="27"/>
  <c r="BQ42" i="27"/>
  <c r="BQ38" i="27"/>
  <c r="BQ59" i="27"/>
  <c r="BQ58" i="27"/>
  <c r="BQ55" i="27"/>
  <c r="BQ54" i="27"/>
  <c r="BQ48" i="27"/>
  <c r="BQ35" i="27"/>
  <c r="BQ34" i="27"/>
  <c r="BQ67" i="27"/>
  <c r="BQ62" i="27"/>
  <c r="BQ57" i="27"/>
  <c r="BQ52" i="27"/>
  <c r="BQ43" i="27"/>
  <c r="BQ39" i="27"/>
  <c r="BQ71" i="27"/>
  <c r="BQ68" i="27"/>
  <c r="BQ64" i="27"/>
  <c r="BQ51" i="27"/>
  <c r="BQ50" i="27"/>
  <c r="BQ44" i="27"/>
  <c r="BQ40" i="27"/>
  <c r="BQ73" i="27"/>
  <c r="BQ72" i="27"/>
  <c r="BQ69" i="27"/>
  <c r="BQ24" i="27"/>
  <c r="BQ20" i="27"/>
  <c r="BQ23" i="27"/>
  <c r="BQ22" i="27"/>
  <c r="BQ18" i="27"/>
  <c r="BQ26" i="27"/>
  <c r="BQ25" i="27"/>
  <c r="BQ21" i="27"/>
  <c r="BQ19" i="27"/>
  <c r="AJ15" i="45"/>
  <c r="AH15" i="45"/>
  <c r="AF15" i="45"/>
  <c r="AB15" i="45"/>
  <c r="X15" i="45"/>
  <c r="AD15" i="45"/>
  <c r="AN15" i="45"/>
  <c r="Z15" i="45"/>
  <c r="AO11" i="58" l="1"/>
  <c r="AS22" i="58"/>
  <c r="AQ24" i="58"/>
  <c r="AN22" i="58"/>
  <c r="AT22" i="58"/>
  <c r="AO22" i="58"/>
  <c r="AU22" i="58"/>
  <c r="AU24" i="58"/>
  <c r="AR22" i="58"/>
  <c r="AO23" i="58"/>
  <c r="AS24" i="58"/>
  <c r="AP22" i="58"/>
  <c r="AP24" i="58"/>
  <c r="AP11" i="58"/>
  <c r="AQ23" i="58"/>
  <c r="AQ11" i="58"/>
  <c r="AN24" i="58"/>
  <c r="AS23" i="58"/>
  <c r="AS11" i="58"/>
  <c r="AQ22" i="58"/>
  <c r="AR23" i="58"/>
  <c r="AO24" i="58"/>
  <c r="AT23" i="58"/>
  <c r="AT24" i="58"/>
  <c r="AP23" i="58"/>
  <c r="AN11" i="58"/>
  <c r="AR11" i="58"/>
  <c r="AT11" i="58"/>
  <c r="AU23" i="58"/>
  <c r="AU11" i="58"/>
  <c r="AN23" i="58"/>
  <c r="AR24" i="58"/>
  <c r="CS16" i="51"/>
  <c r="BF23" i="33"/>
  <c r="BG23" i="33" s="1"/>
  <c r="AQ23" i="33" s="1"/>
  <c r="BF24" i="33"/>
  <c r="BG24" i="33" s="1"/>
  <c r="AQ24" i="33" s="1"/>
  <c r="BY9" i="55"/>
  <c r="BX9" i="53"/>
  <c r="AV23" i="58" l="1"/>
  <c r="AP47" i="58"/>
  <c r="X15" i="58" s="1"/>
  <c r="X48" i="58" s="1"/>
  <c r="AR47" i="58"/>
  <c r="AB15" i="58" s="1"/>
  <c r="AC20" i="58" s="1"/>
  <c r="AT47" i="58"/>
  <c r="AF15" i="58" s="1"/>
  <c r="AS47" i="58"/>
  <c r="AD15" i="58" s="1"/>
  <c r="AV24" i="58"/>
  <c r="AU47" i="58"/>
  <c r="AH15" i="58" s="1"/>
  <c r="AQ47" i="58"/>
  <c r="Z15" i="58" s="1"/>
  <c r="AO47" i="58"/>
  <c r="V15" i="58" s="1"/>
  <c r="AV22" i="58"/>
  <c r="AN47" i="58"/>
  <c r="T15" i="58" s="1"/>
  <c r="CT16" i="51"/>
  <c r="BZ9" i="55"/>
  <c r="BY9" i="53"/>
  <c r="Y56" i="28" a="1"/>
  <c r="Y56" i="28" s="1"/>
  <c r="Y57" i="28" a="1"/>
  <c r="Y57" i="28" s="1"/>
  <c r="Y58" i="28" a="1"/>
  <c r="Y58" i="28" s="1"/>
  <c r="Y59" i="28" a="1"/>
  <c r="Y59" i="28" s="1"/>
  <c r="Y60" i="28" a="1"/>
  <c r="Y60" i="28" s="1"/>
  <c r="Y61" i="28" a="1"/>
  <c r="Y61" i="28" s="1"/>
  <c r="Y62" i="28" a="1"/>
  <c r="Y62" i="28" s="1"/>
  <c r="Y63" i="28" a="1"/>
  <c r="Y63" i="28" s="1"/>
  <c r="Y64" i="28" a="1"/>
  <c r="Y64" i="28" s="1"/>
  <c r="Y65" i="28" a="1"/>
  <c r="Y65" i="28" s="1"/>
  <c r="AJ15" i="58" l="1"/>
  <c r="U85" i="5" s="1"/>
  <c r="AW22" i="58"/>
  <c r="AJ22" i="58" s="1"/>
  <c r="AW24" i="58"/>
  <c r="AJ24" i="58" s="1"/>
  <c r="AW23" i="58"/>
  <c r="AJ23" i="58" s="1"/>
  <c r="Y48" i="58"/>
  <c r="AC48" i="58"/>
  <c r="AB48" i="58"/>
  <c r="Y20" i="58"/>
  <c r="T48" i="58"/>
  <c r="U20" i="58"/>
  <c r="U48" i="58"/>
  <c r="AF48" i="58"/>
  <c r="AG48" i="58"/>
  <c r="AG20" i="58"/>
  <c r="AI48" i="58"/>
  <c r="AH48" i="58"/>
  <c r="AI20" i="58"/>
  <c r="AE48" i="58"/>
  <c r="AE20" i="58"/>
  <c r="AD48" i="58"/>
  <c r="AA48" i="58"/>
  <c r="Z48" i="58"/>
  <c r="AA20" i="58"/>
  <c r="W48" i="58"/>
  <c r="W20" i="58"/>
  <c r="V48" i="58"/>
  <c r="CU16" i="51"/>
  <c r="CA9" i="55"/>
  <c r="BZ9" i="53"/>
  <c r="AB63" i="28"/>
  <c r="AC63" i="28"/>
  <c r="Z63" i="28"/>
  <c r="AD63" i="28"/>
  <c r="AA63" i="28"/>
  <c r="H69" i="32" s="1"/>
  <c r="AB59" i="28"/>
  <c r="AC59" i="28"/>
  <c r="AA59" i="28"/>
  <c r="H65" i="32" s="1"/>
  <c r="Z59" i="28"/>
  <c r="AD59" i="28"/>
  <c r="AB62" i="28"/>
  <c r="AC62" i="28"/>
  <c r="AA62" i="28"/>
  <c r="H68" i="32" s="1"/>
  <c r="Z62" i="28"/>
  <c r="AD62" i="28"/>
  <c r="AB58" i="28"/>
  <c r="AC58" i="28"/>
  <c r="Z58" i="28"/>
  <c r="AD58" i="28"/>
  <c r="AA58" i="28"/>
  <c r="H64" i="32" s="1"/>
  <c r="AB65" i="28"/>
  <c r="AC65" i="28"/>
  <c r="Z65" i="28"/>
  <c r="AD65" i="28"/>
  <c r="AA65" i="28"/>
  <c r="H71" i="32" s="1"/>
  <c r="AB61" i="28"/>
  <c r="AC61" i="28"/>
  <c r="Z61" i="28"/>
  <c r="AD61" i="28"/>
  <c r="AA61" i="28"/>
  <c r="H67" i="32" s="1"/>
  <c r="AB57" i="28"/>
  <c r="AC57" i="28"/>
  <c r="AA57" i="28"/>
  <c r="H63" i="32" s="1"/>
  <c r="Z57" i="28"/>
  <c r="AD57" i="28"/>
  <c r="AB64" i="28"/>
  <c r="AC64" i="28"/>
  <c r="AA64" i="28"/>
  <c r="H70" i="32" s="1"/>
  <c r="Z64" i="28"/>
  <c r="AD64" i="28"/>
  <c r="AB60" i="28"/>
  <c r="AC60" i="28"/>
  <c r="Z60" i="28"/>
  <c r="AD60" i="28"/>
  <c r="AA60" i="28"/>
  <c r="H66" i="32" s="1"/>
  <c r="AB56" i="28"/>
  <c r="AC56" i="28"/>
  <c r="Z56" i="28"/>
  <c r="AD56" i="28"/>
  <c r="AA56" i="28"/>
  <c r="H62" i="32" s="1"/>
  <c r="AJ48" i="58" l="1"/>
  <c r="CV16" i="51"/>
  <c r="CB9" i="55"/>
  <c r="AA62" i="51"/>
  <c r="AA117" i="51" s="1"/>
  <c r="AA172" i="51" s="1"/>
  <c r="AA59" i="51"/>
  <c r="AA114" i="51" s="1"/>
  <c r="AA169" i="51" s="1"/>
  <c r="CA9" i="53"/>
  <c r="AA67" i="51"/>
  <c r="AA122" i="51" s="1"/>
  <c r="AA177" i="51" s="1"/>
  <c r="AA64" i="51"/>
  <c r="AA119" i="51" s="1"/>
  <c r="AA174" i="51" s="1"/>
  <c r="AA60" i="51"/>
  <c r="AA115" i="51" s="1"/>
  <c r="AA170" i="51" s="1"/>
  <c r="AA65" i="51"/>
  <c r="AA120" i="51" s="1"/>
  <c r="AA175" i="51" s="1"/>
  <c r="AA61" i="51"/>
  <c r="AA116" i="51" s="1"/>
  <c r="AA171" i="51" s="1"/>
  <c r="AA58" i="51"/>
  <c r="AA113" i="51" s="1"/>
  <c r="AA168" i="51" s="1"/>
  <c r="AA66" i="51"/>
  <c r="AA121" i="51" s="1"/>
  <c r="AA176" i="51" s="1"/>
  <c r="AA63" i="51"/>
  <c r="AA118" i="51" s="1"/>
  <c r="AA173" i="51" s="1"/>
  <c r="AH20" i="28" a="1"/>
  <c r="AH20" i="28" s="1"/>
  <c r="AL20" i="28" s="1"/>
  <c r="AH21" i="28" a="1"/>
  <c r="AH21" i="28" s="1"/>
  <c r="AK21" i="28" s="1"/>
  <c r="AH17" i="28" a="1"/>
  <c r="AH17" i="28" s="1"/>
  <c r="AH18" i="28" a="1"/>
  <c r="AH18" i="28" s="1"/>
  <c r="AH19" i="28" a="1"/>
  <c r="AH19" i="28" s="1"/>
  <c r="AH16" i="28" a="1"/>
  <c r="AH16" i="28" s="1"/>
  <c r="CW16" i="51" l="1"/>
  <c r="CC9" i="55"/>
  <c r="CB9" i="53"/>
  <c r="AK20" i="28"/>
  <c r="AH14" i="28"/>
  <c r="AJ19" i="28"/>
  <c r="AI18" i="28"/>
  <c r="AJ18" i="28"/>
  <c r="AL21" i="28"/>
  <c r="AI19" i="28"/>
  <c r="AI21" i="28"/>
  <c r="AI17" i="28"/>
  <c r="AJ21" i="28"/>
  <c r="AJ17" i="28"/>
  <c r="AI16" i="28"/>
  <c r="AI20" i="28"/>
  <c r="AJ16" i="28"/>
  <c r="AJ20" i="28"/>
  <c r="CX16" i="51" l="1"/>
  <c r="CD9" i="55"/>
  <c r="CC9" i="53"/>
  <c r="CY16" i="51" l="1"/>
  <c r="CE9" i="55"/>
  <c r="CD9" i="53"/>
  <c r="CZ16" i="51" l="1"/>
  <c r="CF9" i="55"/>
  <c r="CE9" i="53"/>
  <c r="DA16" i="51" l="1"/>
  <c r="CG9" i="55"/>
  <c r="CF9" i="53"/>
  <c r="J26" i="37"/>
  <c r="J27" i="37"/>
  <c r="L24" i="33"/>
  <c r="L22" i="33"/>
  <c r="L26" i="33"/>
  <c r="L25" i="33"/>
  <c r="L29" i="33"/>
  <c r="L23" i="33"/>
  <c r="L27" i="33"/>
  <c r="AS69" i="27" a="1"/>
  <c r="AS69" i="27" s="1"/>
  <c r="AS50" i="27" a="1"/>
  <c r="AS50" i="27" s="1"/>
  <c r="AS42" i="27" a="1"/>
  <c r="AS42" i="27" s="1"/>
  <c r="AS65" i="27" a="1"/>
  <c r="AS65" i="27" s="1"/>
  <c r="AS58" i="27" a="1"/>
  <c r="AS58" i="27" s="1"/>
  <c r="AS27" i="27" a="1"/>
  <c r="AS27" i="27" s="1"/>
  <c r="AS73" i="27" a="1"/>
  <c r="AS73" i="27" s="1"/>
  <c r="AS72" i="27" a="1"/>
  <c r="AS72" i="27" s="1"/>
  <c r="AS68" i="27" a="1"/>
  <c r="AS68" i="27" s="1"/>
  <c r="AS63" i="27" a="1"/>
  <c r="AS63" i="27" s="1"/>
  <c r="AS55" i="27" a="1"/>
  <c r="AS55" i="27" s="1"/>
  <c r="AS47" i="27" a="1"/>
  <c r="AS47" i="27" s="1"/>
  <c r="AS39" i="27" a="1"/>
  <c r="AS39" i="27" s="1"/>
  <c r="AS31" i="27" a="1"/>
  <c r="AS31" i="27" s="1"/>
  <c r="AS23" i="27" a="1"/>
  <c r="AS23" i="27" s="1"/>
  <c r="AS34" i="27" a="1"/>
  <c r="AS34" i="27" s="1"/>
  <c r="AS24" i="27" a="1"/>
  <c r="AS24" i="27" s="1"/>
  <c r="AS75" i="27" a="1"/>
  <c r="AS75" i="27" s="1"/>
  <c r="AS71" i="27" a="1"/>
  <c r="AS71" i="27" s="1"/>
  <c r="AS67" i="27" a="1"/>
  <c r="AS67" i="27" s="1"/>
  <c r="AS62" i="27" a="1"/>
  <c r="AS62" i="27" s="1"/>
  <c r="AS54" i="27" a="1"/>
  <c r="AS54" i="27" s="1"/>
  <c r="AS46" i="27" a="1"/>
  <c r="AS46" i="27" s="1"/>
  <c r="AS38" i="27" a="1"/>
  <c r="AS38" i="27" s="1"/>
  <c r="AS30" i="27" a="1"/>
  <c r="AS30" i="27" s="1"/>
  <c r="AS19" i="27" a="1"/>
  <c r="AS19" i="27" s="1"/>
  <c r="AS74" i="27" a="1"/>
  <c r="AS74" i="27" s="1"/>
  <c r="AS70" i="27" a="1"/>
  <c r="AS70" i="27" s="1"/>
  <c r="AS66" i="27" a="1"/>
  <c r="AS66" i="27" s="1"/>
  <c r="AS59" i="27" a="1"/>
  <c r="AS59" i="27" s="1"/>
  <c r="AS51" i="27" a="1"/>
  <c r="AS51" i="27" s="1"/>
  <c r="AS43" i="27" a="1"/>
  <c r="AS43" i="27" s="1"/>
  <c r="AS35" i="27" a="1"/>
  <c r="AS35" i="27" s="1"/>
  <c r="AS17" i="27" a="1"/>
  <c r="AS17" i="27" s="1"/>
  <c r="AS61" i="27" a="1"/>
  <c r="AS61" i="27" s="1"/>
  <c r="AS57" i="27" a="1"/>
  <c r="AS57" i="27" s="1"/>
  <c r="AS53" i="27" a="1"/>
  <c r="AS53" i="27" s="1"/>
  <c r="AS49" i="27" a="1"/>
  <c r="AS49" i="27" s="1"/>
  <c r="AS45" i="27" a="1"/>
  <c r="AS45" i="27" s="1"/>
  <c r="AS41" i="27" a="1"/>
  <c r="AS41" i="27" s="1"/>
  <c r="AS37" i="27" a="1"/>
  <c r="AS37" i="27" s="1"/>
  <c r="AS33" i="27" a="1"/>
  <c r="AS33" i="27" s="1"/>
  <c r="AS29" i="27" a="1"/>
  <c r="AS29" i="27" s="1"/>
  <c r="AS26" i="27" a="1"/>
  <c r="AS26" i="27" s="1"/>
  <c r="AS22" i="27" a="1"/>
  <c r="AS22" i="27" s="1"/>
  <c r="AS64" i="27" a="1"/>
  <c r="AS64" i="27" s="1"/>
  <c r="AS60" i="27" a="1"/>
  <c r="AS60" i="27" s="1"/>
  <c r="AS56" i="27" a="1"/>
  <c r="AS56" i="27" s="1"/>
  <c r="AS52" i="27" a="1"/>
  <c r="AS52" i="27" s="1"/>
  <c r="AS48" i="27" a="1"/>
  <c r="AS48" i="27" s="1"/>
  <c r="AS44" i="27" a="1"/>
  <c r="AS44" i="27" s="1"/>
  <c r="AS40" i="27" a="1"/>
  <c r="AS40" i="27" s="1"/>
  <c r="AS36" i="27" a="1"/>
  <c r="AS36" i="27" s="1"/>
  <c r="AS32" i="27" a="1"/>
  <c r="AS32" i="27" s="1"/>
  <c r="AS28" i="27" a="1"/>
  <c r="AS28" i="27" s="1"/>
  <c r="AS25" i="27" a="1"/>
  <c r="AS25" i="27" s="1"/>
  <c r="AS21" i="27" a="1"/>
  <c r="AS21" i="27" s="1"/>
  <c r="AS18" i="27" a="1"/>
  <c r="AS18" i="27" s="1"/>
  <c r="AS20" i="27" a="1"/>
  <c r="AS20" i="27" s="1"/>
  <c r="DB16" i="51" l="1"/>
  <c r="CH9" i="55"/>
  <c r="CG9" i="53"/>
  <c r="DC16" i="51" l="1"/>
  <c r="CI9" i="55"/>
  <c r="CH9" i="53"/>
  <c r="AL73" i="27"/>
  <c r="AC73" i="27" s="1"/>
  <c r="AD73" i="27" s="1"/>
  <c r="AJ73" i="27"/>
  <c r="AI73" i="27"/>
  <c r="AH73" i="27"/>
  <c r="AF73" i="27"/>
  <c r="AE73" i="27"/>
  <c r="U73" i="27"/>
  <c r="P73" i="27"/>
  <c r="BR73" i="27" s="1"/>
  <c r="DD16" i="51" l="1"/>
  <c r="CJ9" i="55"/>
  <c r="CI9" i="53"/>
  <c r="AR70" i="27"/>
  <c r="AR42" i="27"/>
  <c r="AR75" i="27"/>
  <c r="AR63" i="27"/>
  <c r="AS100" i="27" a="1"/>
  <c r="AS100" i="27" s="1"/>
  <c r="AR100" i="27" s="1"/>
  <c r="AR46" i="27"/>
  <c r="AR57" i="27"/>
  <c r="AR68" i="27"/>
  <c r="AS80" i="27" a="1"/>
  <c r="AS80" i="27" s="1"/>
  <c r="AS94" i="27" a="1"/>
  <c r="AS94" i="27" s="1"/>
  <c r="AS91" i="27" a="1"/>
  <c r="AS91" i="27" s="1"/>
  <c r="AS86" i="27" a="1"/>
  <c r="AS86" i="27" s="1"/>
  <c r="AS83" i="27" a="1"/>
  <c r="AS83" i="27" s="1"/>
  <c r="AS139" i="27" a="1"/>
  <c r="AS139" i="27" s="1"/>
  <c r="AR139" i="27" s="1"/>
  <c r="AS135" i="27" a="1"/>
  <c r="AS135" i="27" s="1"/>
  <c r="AR135" i="27" s="1"/>
  <c r="AS131" i="27" a="1"/>
  <c r="AS131" i="27" s="1"/>
  <c r="AR131" i="27" s="1"/>
  <c r="AS127" i="27" a="1"/>
  <c r="AS127" i="27" s="1"/>
  <c r="AR127" i="27" s="1"/>
  <c r="AS123" i="27" a="1"/>
  <c r="AS123" i="27" s="1"/>
  <c r="AR123" i="27" s="1"/>
  <c r="AS119" i="27" a="1"/>
  <c r="AS119" i="27" s="1"/>
  <c r="AR119" i="27" s="1"/>
  <c r="AS115" i="27" a="1"/>
  <c r="AS115" i="27" s="1"/>
  <c r="AR115" i="27" s="1"/>
  <c r="AS111" i="27" a="1"/>
  <c r="AS111" i="27" s="1"/>
  <c r="AR111" i="27" s="1"/>
  <c r="AS107" i="27" a="1"/>
  <c r="AS107" i="27" s="1"/>
  <c r="AR107" i="27" s="1"/>
  <c r="AS103" i="27" a="1"/>
  <c r="AS103" i="27" s="1"/>
  <c r="AR103" i="27" s="1"/>
  <c r="AS101" i="27" a="1"/>
  <c r="AS101" i="27" s="1"/>
  <c r="AR64" i="27"/>
  <c r="AS99" i="27" a="1"/>
  <c r="AS99" i="27" s="1"/>
  <c r="AS96" i="27" a="1"/>
  <c r="AS96" i="27" s="1"/>
  <c r="AS93" i="27" a="1"/>
  <c r="AS93" i="27" s="1"/>
  <c r="AS88" i="27" a="1"/>
  <c r="AS88" i="27" s="1"/>
  <c r="AS85" i="27" a="1"/>
  <c r="AS85" i="27" s="1"/>
  <c r="AS138" i="27" a="1"/>
  <c r="AS138" i="27" s="1"/>
  <c r="AR138" i="27" s="1"/>
  <c r="AS134" i="27" a="1"/>
  <c r="AS134" i="27" s="1"/>
  <c r="AR134" i="27" s="1"/>
  <c r="AS130" i="27" a="1"/>
  <c r="AS130" i="27" s="1"/>
  <c r="AR130" i="27" s="1"/>
  <c r="AS126" i="27" a="1"/>
  <c r="AS126" i="27" s="1"/>
  <c r="AR126" i="27" s="1"/>
  <c r="AS122" i="27" a="1"/>
  <c r="AS122" i="27" s="1"/>
  <c r="AR122" i="27" s="1"/>
  <c r="AS118" i="27" a="1"/>
  <c r="AS118" i="27" s="1"/>
  <c r="AR118" i="27" s="1"/>
  <c r="AS114" i="27" a="1"/>
  <c r="AS114" i="27" s="1"/>
  <c r="AR114" i="27" s="1"/>
  <c r="AS110" i="27" a="1"/>
  <c r="AS110" i="27" s="1"/>
  <c r="AR110" i="27" s="1"/>
  <c r="AS106" i="27" a="1"/>
  <c r="AS106" i="27" s="1"/>
  <c r="AR106" i="27" s="1"/>
  <c r="AS102" i="27" a="1"/>
  <c r="AS102" i="27" s="1"/>
  <c r="AR102" i="27" s="1"/>
  <c r="AS98" i="27" a="1"/>
  <c r="AS98" i="27" s="1"/>
  <c r="AS95" i="27" a="1"/>
  <c r="AS95" i="27" s="1"/>
  <c r="AS90" i="27" a="1"/>
  <c r="AS90" i="27" s="1"/>
  <c r="AS87" i="27" a="1"/>
  <c r="AS87" i="27" s="1"/>
  <c r="AS82" i="27" a="1"/>
  <c r="AS82" i="27" s="1"/>
  <c r="AS137" i="27" a="1"/>
  <c r="AS137" i="27" s="1"/>
  <c r="AR137" i="27" s="1"/>
  <c r="AS133" i="27" a="1"/>
  <c r="AS133" i="27" s="1"/>
  <c r="AR133" i="27" s="1"/>
  <c r="AS129" i="27" a="1"/>
  <c r="AS129" i="27" s="1"/>
  <c r="AR129" i="27" s="1"/>
  <c r="AS125" i="27" a="1"/>
  <c r="AS125" i="27" s="1"/>
  <c r="AR125" i="27" s="1"/>
  <c r="AS121" i="27" a="1"/>
  <c r="AS121" i="27" s="1"/>
  <c r="AR121" i="27" s="1"/>
  <c r="AS117" i="27" a="1"/>
  <c r="AS117" i="27" s="1"/>
  <c r="AR117" i="27" s="1"/>
  <c r="AS113" i="27" a="1"/>
  <c r="AS113" i="27" s="1"/>
  <c r="AR113" i="27" s="1"/>
  <c r="AS109" i="27" a="1"/>
  <c r="AS109" i="27" s="1"/>
  <c r="AR109" i="27" s="1"/>
  <c r="AS105" i="27" a="1"/>
  <c r="AS105" i="27" s="1"/>
  <c r="AR105" i="27" s="1"/>
  <c r="AR36" i="27"/>
  <c r="AR55" i="27"/>
  <c r="AR39" i="27"/>
  <c r="R73" i="27"/>
  <c r="AR54" i="27"/>
  <c r="AR38" i="27"/>
  <c r="AR50" i="27"/>
  <c r="AS97" i="27" a="1"/>
  <c r="AS97" i="27" s="1"/>
  <c r="AS92" i="27" a="1"/>
  <c r="AS92" i="27" s="1"/>
  <c r="AS89" i="27" a="1"/>
  <c r="AS89" i="27" s="1"/>
  <c r="AS84" i="27" a="1"/>
  <c r="AS84" i="27" s="1"/>
  <c r="AS81" i="27" a="1"/>
  <c r="AS81" i="27" s="1"/>
  <c r="AS136" i="27" a="1"/>
  <c r="AS136" i="27" s="1"/>
  <c r="AR136" i="27" s="1"/>
  <c r="AS132" i="27" a="1"/>
  <c r="AS132" i="27" s="1"/>
  <c r="AR132" i="27" s="1"/>
  <c r="AS128" i="27" a="1"/>
  <c r="AS128" i="27" s="1"/>
  <c r="AR128" i="27" s="1"/>
  <c r="AS124" i="27" a="1"/>
  <c r="AS124" i="27" s="1"/>
  <c r="AR124" i="27" s="1"/>
  <c r="AS120" i="27" a="1"/>
  <c r="AS120" i="27" s="1"/>
  <c r="AR120" i="27" s="1"/>
  <c r="AS116" i="27" a="1"/>
  <c r="AS116" i="27" s="1"/>
  <c r="AR116" i="27" s="1"/>
  <c r="AS112" i="27" a="1"/>
  <c r="AS112" i="27" s="1"/>
  <c r="AS108" i="27" a="1"/>
  <c r="AS108" i="27" s="1"/>
  <c r="AR108" i="27" s="1"/>
  <c r="AS104" i="27" a="1"/>
  <c r="AS104" i="27" s="1"/>
  <c r="AR104" i="27" s="1"/>
  <c r="AR74" i="27"/>
  <c r="AR60" i="27"/>
  <c r="AR72" i="27"/>
  <c r="AR67" i="27"/>
  <c r="AR59" i="27"/>
  <c r="AR56" i="27"/>
  <c r="AR71" i="27"/>
  <c r="AR53" i="27"/>
  <c r="AR49" i="27"/>
  <c r="AR45" i="27"/>
  <c r="AR41" i="27"/>
  <c r="AR37" i="27"/>
  <c r="AR52" i="27"/>
  <c r="AR48" i="27"/>
  <c r="AR44" i="27"/>
  <c r="AR40" i="27"/>
  <c r="AR51" i="27"/>
  <c r="AR47" i="27"/>
  <c r="AR43" i="27"/>
  <c r="AR27" i="27"/>
  <c r="AR16" i="27"/>
  <c r="AR24" i="27"/>
  <c r="AR17" i="27"/>
  <c r="AR35" i="27"/>
  <c r="AR22" i="27"/>
  <c r="AR32" i="27"/>
  <c r="AR30" i="27"/>
  <c r="AG73" i="27"/>
  <c r="AK73" i="27" s="1"/>
  <c r="DE16" i="51" l="1"/>
  <c r="CK9" i="55"/>
  <c r="CJ9" i="53"/>
  <c r="AR89" i="27"/>
  <c r="AR83" i="27"/>
  <c r="AR80" i="27"/>
  <c r="AR112" i="27"/>
  <c r="AR92" i="27"/>
  <c r="AR90" i="27"/>
  <c r="AR93" i="27"/>
  <c r="AR101" i="27"/>
  <c r="AR86" i="27"/>
  <c r="AR84" i="27"/>
  <c r="AR87" i="27"/>
  <c r="AR88" i="27"/>
  <c r="AR19" i="27"/>
  <c r="AR21" i="27"/>
  <c r="AR81" i="27"/>
  <c r="AR97" i="27"/>
  <c r="AR95" i="27"/>
  <c r="AR96" i="27"/>
  <c r="AR91" i="27"/>
  <c r="AR82" i="27"/>
  <c r="AR98" i="27"/>
  <c r="AR85" i="27"/>
  <c r="AR99" i="27"/>
  <c r="AR94" i="27"/>
  <c r="AR61" i="27"/>
  <c r="AR62" i="27"/>
  <c r="AR65" i="27"/>
  <c r="AR58" i="27"/>
  <c r="AR69" i="27"/>
  <c r="AR73" i="27"/>
  <c r="AR66" i="27"/>
  <c r="AR29" i="27"/>
  <c r="AR23" i="27"/>
  <c r="AR33" i="27"/>
  <c r="AR26" i="27"/>
  <c r="AR28" i="27"/>
  <c r="AR20" i="27"/>
  <c r="AR31" i="27"/>
  <c r="AR25" i="27"/>
  <c r="AR18" i="27"/>
  <c r="AR34" i="27"/>
  <c r="DF16" i="51" l="1"/>
  <c r="CL9" i="55"/>
  <c r="CK9" i="53"/>
  <c r="AR79" i="27"/>
  <c r="K36" i="45" s="1"/>
  <c r="BH31" i="45"/>
  <c r="BH27" i="45"/>
  <c r="BH28" i="45"/>
  <c r="BH29" i="45"/>
  <c r="BH30" i="45"/>
  <c r="BH32" i="45"/>
  <c r="BH33" i="45"/>
  <c r="BH34" i="45"/>
  <c r="BH35" i="45"/>
  <c r="BH36" i="45"/>
  <c r="BH37" i="45"/>
  <c r="BH38" i="45"/>
  <c r="BH39" i="45"/>
  <c r="BH40" i="45"/>
  <c r="BH41" i="45"/>
  <c r="BH42" i="45"/>
  <c r="BH43" i="45"/>
  <c r="BH44" i="45"/>
  <c r="BH45" i="45"/>
  <c r="BH46" i="45"/>
  <c r="BH47" i="45"/>
  <c r="BH48" i="45"/>
  <c r="BH49" i="45"/>
  <c r="BH50" i="45"/>
  <c r="BH51" i="45"/>
  <c r="BH52" i="45"/>
  <c r="BH53" i="45"/>
  <c r="BH54" i="45"/>
  <c r="BH55" i="45"/>
  <c r="BH56" i="45"/>
  <c r="BH57" i="45"/>
  <c r="BH58" i="45"/>
  <c r="BH59" i="45"/>
  <c r="BH60" i="45"/>
  <c r="BH61" i="45"/>
  <c r="BH62" i="45"/>
  <c r="BH63" i="45"/>
  <c r="BH64" i="45"/>
  <c r="BH65" i="45"/>
  <c r="BH66" i="45"/>
  <c r="BH67" i="45"/>
  <c r="BH68" i="45"/>
  <c r="BH69" i="45"/>
  <c r="BH70" i="45"/>
  <c r="BH71" i="45"/>
  <c r="BH72" i="45"/>
  <c r="BH73" i="45"/>
  <c r="BH74" i="45"/>
  <c r="BH75" i="45"/>
  <c r="A191" i="5"/>
  <c r="W37" i="5" s="1"/>
  <c r="AE66" i="34"/>
  <c r="AF66" i="34"/>
  <c r="X16" i="34" a="1"/>
  <c r="X16" i="34" s="1"/>
  <c r="X17" i="34" a="1"/>
  <c r="X17" i="34" s="1"/>
  <c r="X18" i="34" a="1"/>
  <c r="X18" i="34" s="1"/>
  <c r="AC18" i="34" s="1"/>
  <c r="X19" i="34" a="1"/>
  <c r="X19" i="34" s="1"/>
  <c r="Z19" i="34" s="1"/>
  <c r="X20" i="34" a="1"/>
  <c r="X20" i="34" s="1"/>
  <c r="Y20" i="34" s="1"/>
  <c r="X21" i="34" a="1"/>
  <c r="X21" i="34" s="1"/>
  <c r="X22" i="34" a="1"/>
  <c r="X22" i="34" s="1"/>
  <c r="X23" i="34" a="1"/>
  <c r="X23" i="34" s="1"/>
  <c r="AB23" i="34" s="1"/>
  <c r="X24" i="34" a="1"/>
  <c r="X24" i="34" s="1"/>
  <c r="AC24" i="34" s="1"/>
  <c r="X25" i="34" a="1"/>
  <c r="X25" i="34" s="1"/>
  <c r="X26" i="34" a="1"/>
  <c r="X26" i="34" s="1"/>
  <c r="X27" i="34" a="1"/>
  <c r="X27" i="34" s="1"/>
  <c r="X28" i="34" a="1"/>
  <c r="X28" i="34" s="1"/>
  <c r="X29" i="34" a="1"/>
  <c r="X29" i="34" s="1"/>
  <c r="X30" i="34" a="1"/>
  <c r="X30" i="34" s="1"/>
  <c r="X31" i="34" a="1"/>
  <c r="X31" i="34" s="1"/>
  <c r="AA31" i="34" s="1"/>
  <c r="AF31" i="34" s="1"/>
  <c r="X32" i="34" a="1"/>
  <c r="X32" i="34" s="1"/>
  <c r="X33" i="34" a="1"/>
  <c r="X33" i="34" s="1"/>
  <c r="AC33" i="34" s="1"/>
  <c r="X34" i="34" a="1"/>
  <c r="X34" i="34" s="1"/>
  <c r="X35" i="34" a="1"/>
  <c r="X35" i="34" s="1"/>
  <c r="Z35" i="34" s="1"/>
  <c r="X36" i="34" a="1"/>
  <c r="X36" i="34" s="1"/>
  <c r="AB36" i="34" s="1"/>
  <c r="X37" i="34" a="1"/>
  <c r="X37" i="34" s="1"/>
  <c r="AC37" i="34" s="1"/>
  <c r="X38" i="34" a="1"/>
  <c r="X38" i="34" s="1"/>
  <c r="X39" i="34" a="1"/>
  <c r="X39" i="34" s="1"/>
  <c r="X40" i="34" a="1"/>
  <c r="X40" i="34" s="1"/>
  <c r="AC40" i="34" s="1"/>
  <c r="X41" i="34" a="1"/>
  <c r="X41" i="34" s="1"/>
  <c r="X42" i="34" a="1"/>
  <c r="X42" i="34" s="1"/>
  <c r="X43" i="34" a="1"/>
  <c r="X43" i="34" s="1"/>
  <c r="AC43" i="34" s="1"/>
  <c r="X44" i="34" a="1"/>
  <c r="X44" i="34" s="1"/>
  <c r="X45" i="34" a="1"/>
  <c r="X45" i="34" s="1"/>
  <c r="AA45" i="34" s="1"/>
  <c r="AF45" i="34" s="1"/>
  <c r="X46" i="34" a="1"/>
  <c r="X46" i="34" s="1"/>
  <c r="X47" i="34" a="1"/>
  <c r="X47" i="34" s="1"/>
  <c r="AA47" i="34" s="1"/>
  <c r="AF47" i="34" s="1"/>
  <c r="X48" i="34" a="1"/>
  <c r="X48" i="34" s="1"/>
  <c r="X49" i="34" a="1"/>
  <c r="X49" i="34" s="1"/>
  <c r="AC49" i="34" s="1"/>
  <c r="X50" i="34" a="1"/>
  <c r="X50" i="34" s="1"/>
  <c r="X51" i="34" a="1"/>
  <c r="X51" i="34" s="1"/>
  <c r="X52" i="34" a="1"/>
  <c r="X52" i="34" s="1"/>
  <c r="X53" i="34" a="1"/>
  <c r="X53" i="34" s="1"/>
  <c r="AC53" i="34" s="1"/>
  <c r="X54" i="34" a="1"/>
  <c r="X54" i="34" s="1"/>
  <c r="X55" i="34" a="1"/>
  <c r="X55" i="34" s="1"/>
  <c r="AC55" i="34" s="1"/>
  <c r="X56" i="34" a="1"/>
  <c r="X56" i="34" s="1"/>
  <c r="X57" i="34" a="1"/>
  <c r="X57" i="34" s="1"/>
  <c r="AB57" i="34" s="1"/>
  <c r="X58" i="34" a="1"/>
  <c r="X58" i="34" s="1"/>
  <c r="AC58" i="34" s="1"/>
  <c r="X59" i="34" a="1"/>
  <c r="X59" i="34" s="1"/>
  <c r="AB59" i="34" s="1"/>
  <c r="X60" i="34" a="1"/>
  <c r="X60" i="34" s="1"/>
  <c r="X61" i="34" a="1"/>
  <c r="X61" i="34" s="1"/>
  <c r="X62" i="34" a="1"/>
  <c r="X62" i="34" s="1"/>
  <c r="X63" i="34" a="1"/>
  <c r="X63" i="34" s="1"/>
  <c r="AA63" i="34" s="1"/>
  <c r="AF63" i="34" s="1"/>
  <c r="X64" i="34" a="1"/>
  <c r="X64" i="34" s="1"/>
  <c r="AC64" i="34" s="1"/>
  <c r="X65" i="34" a="1"/>
  <c r="X65" i="34" s="1"/>
  <c r="AC65" i="34" s="1"/>
  <c r="AF17" i="27"/>
  <c r="AE17" i="27"/>
  <c r="I12" i="5"/>
  <c r="AE14" i="34"/>
  <c r="AJ16" i="34" a="1"/>
  <c r="AJ16" i="34" s="1"/>
  <c r="AM16" i="34" s="1"/>
  <c r="AA67" i="34" s="1"/>
  <c r="AF67" i="34" s="1"/>
  <c r="AJ17" i="34" a="1"/>
  <c r="AJ17" i="34" s="1"/>
  <c r="X68" i="34" s="1"/>
  <c r="AJ18" i="34" a="1"/>
  <c r="AJ18" i="34" s="1"/>
  <c r="AK18" i="34" s="1"/>
  <c r="B12" i="55" s="1"/>
  <c r="AJ19" i="34" a="1"/>
  <c r="AJ19" i="34" s="1"/>
  <c r="X70" i="34" s="1"/>
  <c r="AJ20" i="34" a="1"/>
  <c r="AJ20" i="34" s="1"/>
  <c r="X71" i="34" s="1"/>
  <c r="AJ21" i="34" a="1"/>
  <c r="AJ21" i="34" s="1"/>
  <c r="AN21" i="34" s="1"/>
  <c r="AJ22" i="34" a="1"/>
  <c r="AJ22" i="34" s="1"/>
  <c r="AN22" i="34" s="1"/>
  <c r="AJ23" i="34" a="1"/>
  <c r="AJ23" i="34" s="1"/>
  <c r="AL23" i="34" s="1"/>
  <c r="Z74" i="34" s="1"/>
  <c r="AJ24" i="34" a="1"/>
  <c r="AJ24" i="34" s="1"/>
  <c r="X75" i="34" s="1"/>
  <c r="AJ25" i="34" a="1"/>
  <c r="AJ25" i="34" s="1"/>
  <c r="X76" i="34" s="1"/>
  <c r="AJ26" i="34" a="1"/>
  <c r="AJ26" i="34" s="1"/>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R18" i="34"/>
  <c r="R19" i="34"/>
  <c r="R20" i="34"/>
  <c r="R21" i="34"/>
  <c r="R22" i="34"/>
  <c r="R23" i="34"/>
  <c r="R24" i="34"/>
  <c r="R25" i="34"/>
  <c r="R26" i="34"/>
  <c r="R27" i="34"/>
  <c r="R28" i="34"/>
  <c r="R29" i="34"/>
  <c r="R30" i="34"/>
  <c r="R31" i="34"/>
  <c r="R32" i="34"/>
  <c r="R33" i="34"/>
  <c r="R34" i="34"/>
  <c r="R35" i="34"/>
  <c r="R36" i="34"/>
  <c r="R37" i="34"/>
  <c r="R38" i="34"/>
  <c r="R39" i="34"/>
  <c r="R40" i="34"/>
  <c r="R41" i="34"/>
  <c r="R42" i="34"/>
  <c r="R43" i="34"/>
  <c r="R44" i="34"/>
  <c r="R45" i="34"/>
  <c r="R46" i="34"/>
  <c r="R47" i="34"/>
  <c r="R48" i="34"/>
  <c r="R49" i="34"/>
  <c r="R50" i="34"/>
  <c r="R51" i="34"/>
  <c r="R52" i="34"/>
  <c r="R53" i="34"/>
  <c r="R54" i="34"/>
  <c r="R55" i="34"/>
  <c r="R56" i="34"/>
  <c r="R57" i="34"/>
  <c r="R58" i="34"/>
  <c r="R59" i="34"/>
  <c r="R60" i="34"/>
  <c r="R61" i="34"/>
  <c r="R62" i="34"/>
  <c r="R63" i="34"/>
  <c r="R64" i="34"/>
  <c r="R65" i="34"/>
  <c r="BF19" i="27"/>
  <c r="U24" i="27"/>
  <c r="U25" i="27"/>
  <c r="U26" i="27"/>
  <c r="U27" i="27"/>
  <c r="U28" i="27"/>
  <c r="U29" i="27"/>
  <c r="U30" i="27"/>
  <c r="U31" i="27"/>
  <c r="AE23" i="27"/>
  <c r="AF23" i="27"/>
  <c r="AH23" i="27"/>
  <c r="AJ23" i="27"/>
  <c r="AL23" i="27"/>
  <c r="AC23" i="27" s="1"/>
  <c r="AD23" i="27" s="1"/>
  <c r="P23" i="27" s="1"/>
  <c r="AE24" i="27"/>
  <c r="AF24" i="27"/>
  <c r="AH24" i="27"/>
  <c r="AJ24" i="27"/>
  <c r="AL25" i="27"/>
  <c r="AC25" i="27" s="1"/>
  <c r="AD25" i="27" s="1"/>
  <c r="P25" i="27"/>
  <c r="BR25" i="27" s="1"/>
  <c r="AL26" i="27"/>
  <c r="R26" i="27" s="1"/>
  <c r="AL27" i="27"/>
  <c r="R27" i="27" s="1"/>
  <c r="AL28" i="27"/>
  <c r="AC28" i="27" s="1"/>
  <c r="AD28" i="27" s="1"/>
  <c r="P28" i="27"/>
  <c r="BR28" i="27" s="1"/>
  <c r="AL29" i="27"/>
  <c r="AC29" i="27" s="1"/>
  <c r="AD29" i="27" s="1"/>
  <c r="P29" i="27" s="1"/>
  <c r="AL30" i="27"/>
  <c r="R30" i="27" s="1"/>
  <c r="AL31" i="27"/>
  <c r="R31" i="27" s="1"/>
  <c r="AL32" i="27"/>
  <c r="AC32" i="27" s="1"/>
  <c r="AD32" i="27" s="1"/>
  <c r="P32" i="27" s="1"/>
  <c r="AL33" i="27"/>
  <c r="AC33" i="27" s="1"/>
  <c r="AD33" i="27" s="1"/>
  <c r="P33" i="27" s="1"/>
  <c r="AL34" i="27"/>
  <c r="R34" i="27" s="1"/>
  <c r="AL35" i="27"/>
  <c r="R35" i="27" s="1"/>
  <c r="AL36" i="27"/>
  <c r="AC36" i="27" s="1"/>
  <c r="AD36" i="27" s="1"/>
  <c r="P36" i="27" s="1"/>
  <c r="BR36" i="27" s="1"/>
  <c r="AL37" i="27"/>
  <c r="AC37" i="27" s="1"/>
  <c r="AD37" i="27" s="1"/>
  <c r="P37" i="27" s="1"/>
  <c r="BR37" i="27" s="1"/>
  <c r="AL38" i="27"/>
  <c r="AC38" i="27" s="1"/>
  <c r="AD38" i="27" s="1"/>
  <c r="P38" i="27" s="1"/>
  <c r="BR38" i="27" s="1"/>
  <c r="AL39" i="27"/>
  <c r="R39" i="27" s="1"/>
  <c r="AL40" i="27"/>
  <c r="AC40" i="27" s="1"/>
  <c r="AD40" i="27" s="1"/>
  <c r="P40" i="27"/>
  <c r="BR40" i="27" s="1"/>
  <c r="AL41" i="27"/>
  <c r="AC41" i="27" s="1"/>
  <c r="AD41" i="27" s="1"/>
  <c r="P41" i="27"/>
  <c r="BR41" i="27" s="1"/>
  <c r="AL42" i="27"/>
  <c r="AC42" i="27" s="1"/>
  <c r="AD42" i="27" s="1"/>
  <c r="AL43" i="27"/>
  <c r="R43" i="27" s="1"/>
  <c r="AL44" i="27"/>
  <c r="AC44" i="27" s="1"/>
  <c r="AD44" i="27" s="1"/>
  <c r="P44" i="27"/>
  <c r="BR44" i="27" s="1"/>
  <c r="AL45" i="27"/>
  <c r="AC45" i="27" s="1"/>
  <c r="AD45" i="27" s="1"/>
  <c r="P45" i="27"/>
  <c r="BR45" i="27" s="1"/>
  <c r="AL46" i="27"/>
  <c r="R46" i="27" s="1"/>
  <c r="AL47" i="27"/>
  <c r="R47" i="27" s="1"/>
  <c r="AL48" i="27"/>
  <c r="AC48" i="27" s="1"/>
  <c r="AD48" i="27" s="1"/>
  <c r="P48" i="27"/>
  <c r="BR48" i="27" s="1"/>
  <c r="AL49" i="27"/>
  <c r="AC49" i="27" s="1"/>
  <c r="AD49" i="27" s="1"/>
  <c r="AL50" i="27"/>
  <c r="AC50" i="27" s="1"/>
  <c r="AD50" i="27" s="1"/>
  <c r="AL51" i="27"/>
  <c r="AL52" i="27"/>
  <c r="AC52" i="27" s="1"/>
  <c r="AD52" i="27" s="1"/>
  <c r="AL53" i="27"/>
  <c r="AC53" i="27" s="1"/>
  <c r="AD53" i="27" s="1"/>
  <c r="AL54" i="27"/>
  <c r="AC54" i="27" s="1"/>
  <c r="AD54" i="27" s="1"/>
  <c r="AL55" i="27"/>
  <c r="R55" i="27" s="1"/>
  <c r="AL56" i="27"/>
  <c r="AC56" i="27" s="1"/>
  <c r="AD56" i="27" s="1"/>
  <c r="P56" i="27" s="1"/>
  <c r="BR56" i="27" s="1"/>
  <c r="AL57" i="27"/>
  <c r="AC57" i="27" s="1"/>
  <c r="AD57" i="27" s="1"/>
  <c r="AL58" i="27"/>
  <c r="AC58" i="27" s="1"/>
  <c r="AD58" i="27" s="1"/>
  <c r="AL59" i="27"/>
  <c r="R59" i="27" s="1"/>
  <c r="AL60" i="27"/>
  <c r="AC60" i="27" s="1"/>
  <c r="AD60" i="27" s="1"/>
  <c r="AL61" i="27"/>
  <c r="AC61" i="27" s="1"/>
  <c r="AD61" i="27" s="1"/>
  <c r="AL62" i="27"/>
  <c r="AC62" i="27" s="1"/>
  <c r="AD62" i="27" s="1"/>
  <c r="AL63" i="27"/>
  <c r="R63" i="27" s="1"/>
  <c r="AL64" i="27"/>
  <c r="AC64" i="27" s="1"/>
  <c r="AD64" i="27" s="1"/>
  <c r="AL65" i="27"/>
  <c r="AC65" i="27" s="1"/>
  <c r="AD65" i="27" s="1"/>
  <c r="AL66" i="27"/>
  <c r="AC66" i="27" s="1"/>
  <c r="AD66" i="27" s="1"/>
  <c r="AL67" i="27"/>
  <c r="R67" i="27" s="1"/>
  <c r="AL68" i="27"/>
  <c r="AC68" i="27" s="1"/>
  <c r="AD68" i="27" s="1"/>
  <c r="AL69" i="27"/>
  <c r="AC69" i="27" s="1"/>
  <c r="AD69" i="27" s="1"/>
  <c r="AL70" i="27"/>
  <c r="AC70" i="27" s="1"/>
  <c r="AD70" i="27" s="1"/>
  <c r="AL71" i="27"/>
  <c r="R71" i="27" s="1"/>
  <c r="AL72" i="27"/>
  <c r="AC72" i="27" s="1"/>
  <c r="AD72" i="27" s="1"/>
  <c r="AL74" i="27"/>
  <c r="AC74" i="27" s="1"/>
  <c r="AD74" i="27" s="1"/>
  <c r="AL75" i="27"/>
  <c r="AC75" i="27" s="1"/>
  <c r="AD75" i="27" s="1"/>
  <c r="AL16" i="27"/>
  <c r="AC16" i="27" s="1"/>
  <c r="AD16" i="27" s="1"/>
  <c r="P16" i="27" s="1"/>
  <c r="AH17" i="27"/>
  <c r="AI19" i="27"/>
  <c r="AH19" i="27"/>
  <c r="AJ19" i="27"/>
  <c r="AE19" i="27"/>
  <c r="AF19" i="27"/>
  <c r="AL21" i="27"/>
  <c r="AC21" i="27" s="1"/>
  <c r="AD21" i="27" s="1"/>
  <c r="P21" i="27" s="1"/>
  <c r="AH22" i="27"/>
  <c r="AJ22" i="27"/>
  <c r="AE22" i="27"/>
  <c r="AF22" i="27"/>
  <c r="AL22" i="27"/>
  <c r="AC22" i="27" s="1"/>
  <c r="AD22" i="27" s="1"/>
  <c r="P22" i="27" s="1"/>
  <c r="AI23" i="27"/>
  <c r="AI24" i="27"/>
  <c r="AE25" i="27"/>
  <c r="AF25" i="27"/>
  <c r="AH25" i="27"/>
  <c r="AJ25" i="27"/>
  <c r="AI25" i="27"/>
  <c r="AE26" i="27"/>
  <c r="AF26" i="27"/>
  <c r="AH26" i="27"/>
  <c r="AJ26" i="27"/>
  <c r="AI26" i="27"/>
  <c r="AE27" i="27"/>
  <c r="AF27" i="27"/>
  <c r="AH27" i="27"/>
  <c r="AJ27" i="27"/>
  <c r="AI27" i="27"/>
  <c r="AE28" i="27"/>
  <c r="AF28" i="27"/>
  <c r="AH28" i="27"/>
  <c r="AJ28" i="27"/>
  <c r="AI28" i="27"/>
  <c r="AE29" i="27"/>
  <c r="AF29" i="27"/>
  <c r="AH29" i="27"/>
  <c r="AJ29" i="27"/>
  <c r="AI29" i="27"/>
  <c r="AE30" i="27"/>
  <c r="AF30" i="27"/>
  <c r="AH30" i="27"/>
  <c r="AJ30" i="27"/>
  <c r="AI30" i="27"/>
  <c r="AE31" i="27"/>
  <c r="AF31" i="27"/>
  <c r="AH31" i="27"/>
  <c r="AJ31" i="27"/>
  <c r="AI31" i="27"/>
  <c r="AE32" i="27"/>
  <c r="AF32" i="27"/>
  <c r="AH32" i="27"/>
  <c r="AJ32" i="27"/>
  <c r="AI32" i="27"/>
  <c r="AE33" i="27"/>
  <c r="AF33" i="27"/>
  <c r="AH33" i="27"/>
  <c r="AJ33" i="27"/>
  <c r="AI33" i="27"/>
  <c r="AE34" i="27"/>
  <c r="AF34" i="27"/>
  <c r="AH34" i="27"/>
  <c r="AJ34" i="27"/>
  <c r="AI34" i="27"/>
  <c r="AE35" i="27"/>
  <c r="AF35" i="27"/>
  <c r="AJ35" i="27"/>
  <c r="AH35" i="27"/>
  <c r="AI35" i="27"/>
  <c r="AE36" i="27"/>
  <c r="AF36" i="27"/>
  <c r="AH36" i="27"/>
  <c r="AJ36" i="27"/>
  <c r="AI36" i="27"/>
  <c r="AE37" i="27"/>
  <c r="AF37" i="27"/>
  <c r="AH37" i="27"/>
  <c r="AJ37" i="27"/>
  <c r="AI37" i="27"/>
  <c r="AE38" i="27"/>
  <c r="AF38" i="27"/>
  <c r="AH38" i="27"/>
  <c r="AJ38" i="27"/>
  <c r="AI38" i="27"/>
  <c r="AE39" i="27"/>
  <c r="AF39" i="27"/>
  <c r="AH39" i="27"/>
  <c r="AJ39" i="27"/>
  <c r="AI39" i="27"/>
  <c r="AE40" i="27"/>
  <c r="AF40" i="27"/>
  <c r="AH40" i="27"/>
  <c r="AJ40" i="27"/>
  <c r="AI40" i="27"/>
  <c r="AE41" i="27"/>
  <c r="AF41" i="27"/>
  <c r="AH41" i="27"/>
  <c r="AJ41" i="27"/>
  <c r="AI41" i="27"/>
  <c r="AE42" i="27"/>
  <c r="AF42" i="27"/>
  <c r="AH42" i="27"/>
  <c r="AJ42" i="27"/>
  <c r="AI42" i="27"/>
  <c r="AE43" i="27"/>
  <c r="AF43" i="27"/>
  <c r="AH43" i="27"/>
  <c r="AJ43" i="27"/>
  <c r="AI43" i="27"/>
  <c r="AE44" i="27"/>
  <c r="AF44" i="27"/>
  <c r="AH44" i="27"/>
  <c r="AJ44" i="27"/>
  <c r="AI44" i="27"/>
  <c r="AE45" i="27"/>
  <c r="AF45" i="27"/>
  <c r="AH45" i="27"/>
  <c r="AJ45" i="27"/>
  <c r="AI45" i="27"/>
  <c r="AE46" i="27"/>
  <c r="AF46" i="27"/>
  <c r="AH46" i="27"/>
  <c r="AJ46" i="27"/>
  <c r="AI46" i="27"/>
  <c r="AE47" i="27"/>
  <c r="AF47" i="27"/>
  <c r="AH47" i="27"/>
  <c r="AJ47" i="27"/>
  <c r="AI47" i="27"/>
  <c r="AE48" i="27"/>
  <c r="AF48" i="27"/>
  <c r="AH48" i="27"/>
  <c r="AJ48" i="27"/>
  <c r="AI48" i="27"/>
  <c r="AE49" i="27"/>
  <c r="AF49" i="27"/>
  <c r="AH49" i="27"/>
  <c r="AJ49" i="27"/>
  <c r="AI49" i="27"/>
  <c r="AE50" i="27"/>
  <c r="AF50" i="27"/>
  <c r="AH50" i="27"/>
  <c r="AJ50" i="27"/>
  <c r="AI50" i="27"/>
  <c r="AE51" i="27"/>
  <c r="AF51" i="27"/>
  <c r="AH51" i="27"/>
  <c r="AJ51" i="27"/>
  <c r="AI51" i="27"/>
  <c r="AE52" i="27"/>
  <c r="AF52" i="27"/>
  <c r="AH52" i="27"/>
  <c r="AJ52" i="27"/>
  <c r="AI52" i="27"/>
  <c r="AE53" i="27"/>
  <c r="AF53" i="27"/>
  <c r="AH53" i="27"/>
  <c r="AJ53" i="27"/>
  <c r="AI53" i="27"/>
  <c r="AE54" i="27"/>
  <c r="AF54" i="27"/>
  <c r="AH54" i="27"/>
  <c r="AJ54" i="27"/>
  <c r="AI54" i="27"/>
  <c r="AE55" i="27"/>
  <c r="AF55" i="27"/>
  <c r="AH55" i="27"/>
  <c r="AJ55" i="27"/>
  <c r="AI55" i="27"/>
  <c r="AE56" i="27"/>
  <c r="AF56" i="27"/>
  <c r="AH56" i="27"/>
  <c r="AJ56" i="27"/>
  <c r="AI56" i="27"/>
  <c r="AE57" i="27"/>
  <c r="AF57" i="27"/>
  <c r="AH57" i="27"/>
  <c r="AJ57" i="27"/>
  <c r="AI57" i="27"/>
  <c r="AE58" i="27"/>
  <c r="AF58" i="27"/>
  <c r="AH58" i="27"/>
  <c r="AJ58" i="27"/>
  <c r="AI58" i="27"/>
  <c r="AE59" i="27"/>
  <c r="AF59" i="27"/>
  <c r="AH59" i="27"/>
  <c r="AJ59" i="27"/>
  <c r="AI59" i="27"/>
  <c r="AE60" i="27"/>
  <c r="AF60" i="27"/>
  <c r="AH60" i="27"/>
  <c r="AJ60" i="27"/>
  <c r="AI60" i="27"/>
  <c r="AE61" i="27"/>
  <c r="AF61" i="27"/>
  <c r="AH61" i="27"/>
  <c r="AJ61" i="27"/>
  <c r="AI61" i="27"/>
  <c r="AE62" i="27"/>
  <c r="AF62" i="27"/>
  <c r="AH62" i="27"/>
  <c r="AJ62" i="27"/>
  <c r="AI62" i="27"/>
  <c r="AE63" i="27"/>
  <c r="AF63" i="27"/>
  <c r="AH63" i="27"/>
  <c r="AJ63" i="27"/>
  <c r="AI63" i="27"/>
  <c r="AE64" i="27"/>
  <c r="AF64" i="27"/>
  <c r="AH64" i="27"/>
  <c r="AJ64" i="27"/>
  <c r="AI64" i="27"/>
  <c r="AE65" i="27"/>
  <c r="AF65" i="27"/>
  <c r="AH65" i="27"/>
  <c r="AJ65" i="27"/>
  <c r="AI65" i="27"/>
  <c r="AE66" i="27"/>
  <c r="AF66" i="27"/>
  <c r="AH66" i="27"/>
  <c r="AJ66" i="27"/>
  <c r="AI66" i="27"/>
  <c r="AE67" i="27"/>
  <c r="AF67" i="27"/>
  <c r="AH67" i="27"/>
  <c r="AJ67" i="27"/>
  <c r="AI67" i="27"/>
  <c r="AE68" i="27"/>
  <c r="AF68" i="27"/>
  <c r="AH68" i="27"/>
  <c r="AJ68" i="27"/>
  <c r="AI68" i="27"/>
  <c r="AE69" i="27"/>
  <c r="AF69" i="27"/>
  <c r="AH69" i="27"/>
  <c r="AJ69" i="27"/>
  <c r="AI69" i="27"/>
  <c r="AE70" i="27"/>
  <c r="AF70" i="27"/>
  <c r="AH70" i="27"/>
  <c r="AJ70" i="27"/>
  <c r="AI70" i="27"/>
  <c r="AE71" i="27"/>
  <c r="AF71" i="27"/>
  <c r="AH71" i="27"/>
  <c r="AJ71" i="27"/>
  <c r="AI71" i="27"/>
  <c r="AE72" i="27"/>
  <c r="AF72" i="27"/>
  <c r="AH72" i="27"/>
  <c r="AJ72" i="27"/>
  <c r="AI72" i="27"/>
  <c r="AE74" i="27"/>
  <c r="AF74" i="27"/>
  <c r="AH74" i="27"/>
  <c r="AJ74" i="27"/>
  <c r="AI74" i="27"/>
  <c r="AE75" i="27"/>
  <c r="AF75" i="27"/>
  <c r="AH75" i="27"/>
  <c r="AJ75" i="27"/>
  <c r="AI75" i="27"/>
  <c r="AE16" i="27"/>
  <c r="AF16" i="27"/>
  <c r="AH16" i="27"/>
  <c r="AJ16" i="27"/>
  <c r="AI16" i="27"/>
  <c r="AJ17" i="27"/>
  <c r="AI17" i="27"/>
  <c r="AE18" i="27"/>
  <c r="AF18" i="27"/>
  <c r="AH18" i="27"/>
  <c r="AJ18" i="27"/>
  <c r="AI18" i="27"/>
  <c r="AJ20" i="27"/>
  <c r="AE20" i="27"/>
  <c r="AF20" i="27"/>
  <c r="AH20" i="27"/>
  <c r="AJ21" i="27"/>
  <c r="AE21" i="27"/>
  <c r="AF21" i="27"/>
  <c r="AH21" i="27"/>
  <c r="AI20" i="27"/>
  <c r="AI21" i="27"/>
  <c r="AI22" i="27"/>
  <c r="BI21" i="27"/>
  <c r="BH21" i="27"/>
  <c r="BH22" i="27"/>
  <c r="BH23" i="27"/>
  <c r="BH20" i="27"/>
  <c r="BI20" i="27"/>
  <c r="BH19" i="27"/>
  <c r="BG19" i="27"/>
  <c r="BE19" i="27"/>
  <c r="BE40" i="33"/>
  <c r="BF40" i="33" s="1"/>
  <c r="AU40" i="33"/>
  <c r="AT40" i="33"/>
  <c r="BE39" i="33"/>
  <c r="BF39" i="33" s="1"/>
  <c r="AU39" i="33"/>
  <c r="AT39" i="33"/>
  <c r="BE38" i="33"/>
  <c r="BF38" i="33" s="1"/>
  <c r="AU38" i="33"/>
  <c r="AT38" i="33"/>
  <c r="BE37" i="33"/>
  <c r="BF37" i="33" s="1"/>
  <c r="AU37" i="33"/>
  <c r="AT37" i="33"/>
  <c r="BE35" i="33"/>
  <c r="BF35" i="33" s="1"/>
  <c r="AU35" i="33"/>
  <c r="AT35" i="33"/>
  <c r="BE34" i="33"/>
  <c r="BF34" i="33" s="1"/>
  <c r="AU34" i="33"/>
  <c r="AT34" i="33"/>
  <c r="BE33" i="33"/>
  <c r="BF33" i="33" s="1"/>
  <c r="AU33" i="33"/>
  <c r="AT33" i="33"/>
  <c r="BE32" i="33"/>
  <c r="AU32" i="33"/>
  <c r="AT32" i="33"/>
  <c r="BE41" i="33"/>
  <c r="BF41" i="33" s="1"/>
  <c r="AU41" i="33"/>
  <c r="AT41" i="33"/>
  <c r="BE36" i="33"/>
  <c r="BF36" i="33" s="1"/>
  <c r="AU36" i="33"/>
  <c r="AT36" i="33"/>
  <c r="AU31" i="33"/>
  <c r="AT31" i="33"/>
  <c r="AU30" i="33"/>
  <c r="AT30" i="33"/>
  <c r="AU29" i="33"/>
  <c r="AT29" i="33"/>
  <c r="BE43" i="33"/>
  <c r="BF43" i="33" s="1"/>
  <c r="AU43" i="33"/>
  <c r="AT43" i="33"/>
  <c r="BE42" i="33"/>
  <c r="BF42" i="33" s="1"/>
  <c r="AU42" i="33"/>
  <c r="AT42" i="33"/>
  <c r="X25" i="28"/>
  <c r="X28" i="28"/>
  <c r="X33" i="28"/>
  <c r="Y32" i="42"/>
  <c r="Y33" i="42"/>
  <c r="Y34" i="42"/>
  <c r="Y35" i="42"/>
  <c r="Y36" i="42"/>
  <c r="Y37" i="42"/>
  <c r="Y38" i="42"/>
  <c r="Y39" i="42"/>
  <c r="Y40" i="42"/>
  <c r="Y41" i="42"/>
  <c r="Y42" i="42"/>
  <c r="Y43" i="42"/>
  <c r="Y44" i="42"/>
  <c r="Y45" i="42"/>
  <c r="Y46" i="42"/>
  <c r="Y47" i="42"/>
  <c r="Y48" i="42"/>
  <c r="Y49" i="42"/>
  <c r="Y50" i="42"/>
  <c r="Y51" i="42"/>
  <c r="Y52" i="42"/>
  <c r="Y53" i="42"/>
  <c r="Y54" i="42"/>
  <c r="Y55" i="42"/>
  <c r="Y56" i="42"/>
  <c r="Y57" i="42"/>
  <c r="Y58" i="42"/>
  <c r="Y59" i="42"/>
  <c r="Y60" i="42"/>
  <c r="Y61" i="42"/>
  <c r="Y62" i="42"/>
  <c r="Y63" i="42"/>
  <c r="Y64" i="42"/>
  <c r="Y65" i="42"/>
  <c r="Y66" i="42"/>
  <c r="Y67" i="42"/>
  <c r="Y22" i="42"/>
  <c r="Y23" i="42"/>
  <c r="Y24" i="42"/>
  <c r="Y25" i="42"/>
  <c r="Y26" i="42"/>
  <c r="Y27" i="42"/>
  <c r="Y28" i="42"/>
  <c r="Y29" i="42"/>
  <c r="Y30" i="42"/>
  <c r="Y31" i="42"/>
  <c r="Y20" i="42"/>
  <c r="Y21" i="42"/>
  <c r="Y19" i="42"/>
  <c r="Y18" i="42"/>
  <c r="P49" i="27"/>
  <c r="BR49" i="27" s="1"/>
  <c r="P50" i="27"/>
  <c r="BR50" i="27" s="1"/>
  <c r="P51" i="27"/>
  <c r="BR51" i="27" s="1"/>
  <c r="P52" i="27"/>
  <c r="BR52" i="27" s="1"/>
  <c r="P53" i="27"/>
  <c r="BR53" i="27" s="1"/>
  <c r="P54" i="27"/>
  <c r="BR54" i="27" s="1"/>
  <c r="P55" i="27"/>
  <c r="BR55" i="27" s="1"/>
  <c r="P57" i="27"/>
  <c r="BR57" i="27" s="1"/>
  <c r="P58" i="27"/>
  <c r="BR58" i="27" s="1"/>
  <c r="P59" i="27"/>
  <c r="BR59" i="27" s="1"/>
  <c r="P60" i="27"/>
  <c r="BR60" i="27" s="1"/>
  <c r="P61" i="27"/>
  <c r="BR61" i="27" s="1"/>
  <c r="P62" i="27"/>
  <c r="BR62" i="27" s="1"/>
  <c r="P63" i="27"/>
  <c r="BR63" i="27" s="1"/>
  <c r="P64" i="27"/>
  <c r="BR64" i="27" s="1"/>
  <c r="P65" i="27"/>
  <c r="BR65" i="27" s="1"/>
  <c r="P66" i="27"/>
  <c r="BR66" i="27" s="1"/>
  <c r="P67" i="27"/>
  <c r="BR67" i="27" s="1"/>
  <c r="P68" i="27"/>
  <c r="BR68" i="27" s="1"/>
  <c r="P69" i="27"/>
  <c r="BR69" i="27" s="1"/>
  <c r="P70" i="27"/>
  <c r="BR70" i="27" s="1"/>
  <c r="P71" i="27"/>
  <c r="BR71" i="27" s="1"/>
  <c r="P72" i="27"/>
  <c r="BR72" i="27" s="1"/>
  <c r="P74" i="27"/>
  <c r="BR74" i="27" s="1"/>
  <c r="P75" i="27"/>
  <c r="BR75" i="27" s="1"/>
  <c r="U32" i="27"/>
  <c r="U33" i="27"/>
  <c r="U34" i="27"/>
  <c r="U35" i="27"/>
  <c r="U36" i="27"/>
  <c r="U37" i="27"/>
  <c r="U38" i="27"/>
  <c r="U39" i="27"/>
  <c r="U40" i="27"/>
  <c r="U41" i="27"/>
  <c r="U42" i="27"/>
  <c r="U43" i="27"/>
  <c r="U44" i="27"/>
  <c r="U45" i="27"/>
  <c r="U46" i="27"/>
  <c r="U47" i="27"/>
  <c r="U48" i="27"/>
  <c r="U49" i="27"/>
  <c r="U50" i="27"/>
  <c r="U51" i="27"/>
  <c r="U52" i="27"/>
  <c r="U53" i="27"/>
  <c r="U54" i="27"/>
  <c r="U55" i="27"/>
  <c r="U56" i="27"/>
  <c r="U57" i="27"/>
  <c r="U58" i="27"/>
  <c r="U59" i="27"/>
  <c r="U60" i="27"/>
  <c r="U61" i="27"/>
  <c r="U62" i="27"/>
  <c r="U63" i="27"/>
  <c r="U64" i="27"/>
  <c r="U65" i="27"/>
  <c r="U66" i="27"/>
  <c r="U67" i="27"/>
  <c r="U68" i="27"/>
  <c r="U69" i="27"/>
  <c r="U70" i="27"/>
  <c r="U71" i="27"/>
  <c r="U72" i="27"/>
  <c r="U74" i="27"/>
  <c r="U75" i="27"/>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23" i="32"/>
  <c r="AM24" i="32"/>
  <c r="AM25" i="32"/>
  <c r="AM26" i="32"/>
  <c r="AM27" i="32"/>
  <c r="AM28" i="32"/>
  <c r="AM29" i="32"/>
  <c r="AM30" i="32"/>
  <c r="AM31" i="32"/>
  <c r="AX34" i="32"/>
  <c r="AX35" i="32"/>
  <c r="AX36" i="32"/>
  <c r="AX37" i="32"/>
  <c r="AX38" i="32"/>
  <c r="AX39" i="32"/>
  <c r="AX40" i="32"/>
  <c r="AX41" i="32"/>
  <c r="AX42" i="32"/>
  <c r="AX43" i="32"/>
  <c r="AX44" i="32"/>
  <c r="AX45" i="32"/>
  <c r="AX46" i="32"/>
  <c r="AX47" i="32"/>
  <c r="AX48" i="32"/>
  <c r="AX49" i="32"/>
  <c r="AX50" i="32"/>
  <c r="AX51" i="32"/>
  <c r="AX52" i="32"/>
  <c r="AX53" i="32"/>
  <c r="AX54" i="32"/>
  <c r="AX55" i="32"/>
  <c r="AX56" i="32"/>
  <c r="AX57" i="32"/>
  <c r="AX58" i="32"/>
  <c r="AX59" i="32"/>
  <c r="AX60" i="32"/>
  <c r="AX61" i="32"/>
  <c r="AX62" i="32"/>
  <c r="AX63" i="32"/>
  <c r="AX64" i="32"/>
  <c r="AX65" i="32"/>
  <c r="AX66" i="32"/>
  <c r="AX67" i="32"/>
  <c r="AX68" i="32"/>
  <c r="AX69" i="32"/>
  <c r="AX70" i="32"/>
  <c r="AX71" i="32"/>
  <c r="AX24" i="32"/>
  <c r="AX25" i="32"/>
  <c r="AX26" i="32"/>
  <c r="AX28" i="32"/>
  <c r="AX29" i="32"/>
  <c r="AX30" i="32"/>
  <c r="AX31" i="32"/>
  <c r="AX32" i="32"/>
  <c r="AX33" i="32"/>
  <c r="BE29" i="32"/>
  <c r="BE30" i="32"/>
  <c r="BE31" i="32"/>
  <c r="BE32" i="32"/>
  <c r="BE33" i="32"/>
  <c r="BE34" i="32"/>
  <c r="BE35" i="32"/>
  <c r="BE36" i="32"/>
  <c r="BE37" i="32"/>
  <c r="BE38" i="32"/>
  <c r="BE39" i="32"/>
  <c r="BE40" i="32"/>
  <c r="BE41" i="32"/>
  <c r="BE42" i="32"/>
  <c r="BE43" i="32"/>
  <c r="BE44" i="32"/>
  <c r="BE45" i="32"/>
  <c r="BE46" i="32"/>
  <c r="BE47" i="32"/>
  <c r="BE48" i="32"/>
  <c r="BE49" i="32"/>
  <c r="BE50" i="32"/>
  <c r="BE51" i="32"/>
  <c r="BE52" i="32"/>
  <c r="BE53" i="32"/>
  <c r="BE54" i="32"/>
  <c r="BE55" i="32"/>
  <c r="BE56" i="32"/>
  <c r="BE57" i="32"/>
  <c r="BE58" i="32"/>
  <c r="BE59" i="32"/>
  <c r="BE60" i="32"/>
  <c r="BE61" i="32"/>
  <c r="BE62" i="32"/>
  <c r="BE63" i="32"/>
  <c r="BE64" i="32"/>
  <c r="BE65" i="32"/>
  <c r="BE66" i="32"/>
  <c r="BE67" i="32"/>
  <c r="BE68" i="32"/>
  <c r="BE69" i="32"/>
  <c r="BE70" i="32"/>
  <c r="BE71" i="32"/>
  <c r="BE23" i="32"/>
  <c r="BE26" i="32"/>
  <c r="BE27" i="32"/>
  <c r="BE28" i="32"/>
  <c r="V67" i="32"/>
  <c r="V66" i="32"/>
  <c r="V42" i="32"/>
  <c r="V41" i="32"/>
  <c r="V40" i="32"/>
  <c r="V39" i="32"/>
  <c r="V38" i="32"/>
  <c r="V37" i="32"/>
  <c r="V36" i="32"/>
  <c r="V35" i="32"/>
  <c r="V34" i="32"/>
  <c r="V33" i="32"/>
  <c r="V32" i="32"/>
  <c r="V31" i="32"/>
  <c r="V30" i="32"/>
  <c r="V55" i="32"/>
  <c r="V54" i="32"/>
  <c r="V53" i="32"/>
  <c r="V52" i="32"/>
  <c r="V51" i="32"/>
  <c r="V50" i="32"/>
  <c r="V49" i="32"/>
  <c r="V48" i="32"/>
  <c r="V47" i="32"/>
  <c r="V46" i="32"/>
  <c r="V45" i="32"/>
  <c r="V44" i="32"/>
  <c r="V43" i="32"/>
  <c r="V61" i="32"/>
  <c r="V60" i="32"/>
  <c r="V59" i="32"/>
  <c r="V58" i="32"/>
  <c r="V57" i="32"/>
  <c r="V64" i="32"/>
  <c r="V63" i="32"/>
  <c r="V62" i="32"/>
  <c r="V56" i="32"/>
  <c r="V68" i="32"/>
  <c r="V65" i="32"/>
  <c r="V69" i="32"/>
  <c r="H21" i="43"/>
  <c r="H22" i="43"/>
  <c r="H23" i="43"/>
  <c r="H24" i="43"/>
  <c r="H25" i="43"/>
  <c r="H26" i="43"/>
  <c r="H27" i="43"/>
  <c r="H28" i="43"/>
  <c r="H29" i="43"/>
  <c r="H30" i="43"/>
  <c r="H31" i="43"/>
  <c r="H32" i="43"/>
  <c r="H33" i="43"/>
  <c r="H34" i="43"/>
  <c r="H35" i="43"/>
  <c r="H36" i="43"/>
  <c r="H37" i="43"/>
  <c r="H38" i="43"/>
  <c r="H39" i="43"/>
  <c r="H40" i="43"/>
  <c r="H41" i="43"/>
  <c r="H42" i="43"/>
  <c r="H43" i="43"/>
  <c r="H44" i="43"/>
  <c r="H45" i="43"/>
  <c r="H46" i="43"/>
  <c r="H47" i="43"/>
  <c r="H48" i="43"/>
  <c r="H49" i="43"/>
  <c r="H50" i="43"/>
  <c r="H51" i="43"/>
  <c r="H52" i="43"/>
  <c r="H53" i="43"/>
  <c r="H54" i="43"/>
  <c r="H55" i="43"/>
  <c r="H56" i="43"/>
  <c r="H57" i="43"/>
  <c r="H58" i="43"/>
  <c r="H59" i="43"/>
  <c r="H60" i="43"/>
  <c r="H61" i="43"/>
  <c r="H62" i="43"/>
  <c r="H63" i="43"/>
  <c r="H64" i="43"/>
  <c r="H65" i="43"/>
  <c r="H66" i="43"/>
  <c r="H67" i="43"/>
  <c r="BI65" i="45"/>
  <c r="BI64" i="45"/>
  <c r="BI63" i="45"/>
  <c r="BI62" i="45"/>
  <c r="BI61" i="45"/>
  <c r="BI60" i="45"/>
  <c r="BI59" i="45"/>
  <c r="BI58" i="45"/>
  <c r="BI57" i="45"/>
  <c r="BI56" i="45"/>
  <c r="BI48" i="45"/>
  <c r="BI47" i="45"/>
  <c r="BI46" i="45"/>
  <c r="BI45" i="45"/>
  <c r="BI44" i="45"/>
  <c r="BI43" i="45"/>
  <c r="BI42" i="45"/>
  <c r="BI41" i="45"/>
  <c r="BI40" i="45"/>
  <c r="BI39" i="45"/>
  <c r="BI38" i="45"/>
  <c r="BI37" i="45"/>
  <c r="BI36" i="45"/>
  <c r="BI35" i="45"/>
  <c r="BI34" i="45"/>
  <c r="BI33" i="45"/>
  <c r="BI66" i="45"/>
  <c r="BI55" i="45"/>
  <c r="BI54" i="45"/>
  <c r="BI53" i="45"/>
  <c r="BI52" i="45"/>
  <c r="BI51" i="45"/>
  <c r="BI50" i="45"/>
  <c r="BI49" i="45"/>
  <c r="BI70" i="45"/>
  <c r="BI69" i="45"/>
  <c r="BI68" i="45"/>
  <c r="BI67" i="45"/>
  <c r="BI72" i="45"/>
  <c r="BI71" i="45"/>
  <c r="M122" i="3"/>
  <c r="N120" i="3" s="1"/>
  <c r="M121" i="3"/>
  <c r="N119" i="3" s="1"/>
  <c r="M120" i="3"/>
  <c r="N118" i="3" s="1"/>
  <c r="M119" i="3"/>
  <c r="N117" i="3" s="1"/>
  <c r="M118" i="3"/>
  <c r="N116" i="3" s="1"/>
  <c r="M117" i="3"/>
  <c r="N115" i="3" s="1"/>
  <c r="M116" i="3"/>
  <c r="N114" i="3" s="1"/>
  <c r="M115" i="3"/>
  <c r="N113" i="3" s="1"/>
  <c r="M114" i="3"/>
  <c r="N112" i="3" s="1"/>
  <c r="M113" i="3"/>
  <c r="N111" i="3" s="1"/>
  <c r="M112" i="3"/>
  <c r="N110" i="3" s="1"/>
  <c r="M111" i="3"/>
  <c r="N109" i="3" s="1"/>
  <c r="M110" i="3"/>
  <c r="N108" i="3" s="1"/>
  <c r="M109" i="3"/>
  <c r="N107" i="3" s="1"/>
  <c r="M108" i="3"/>
  <c r="N106" i="3" s="1"/>
  <c r="M107" i="3"/>
  <c r="N105" i="3" s="1"/>
  <c r="M106" i="3"/>
  <c r="N104" i="3" s="1"/>
  <c r="M105" i="3"/>
  <c r="N103" i="3" s="1"/>
  <c r="M104" i="3"/>
  <c r="N102" i="3" s="1"/>
  <c r="M103" i="3"/>
  <c r="N101" i="3" s="1"/>
  <c r="M102" i="3"/>
  <c r="M101" i="3"/>
  <c r="N100" i="3" s="1"/>
  <c r="M100" i="3"/>
  <c r="N99" i="3" s="1"/>
  <c r="M99" i="3"/>
  <c r="N98" i="3" s="1"/>
  <c r="M98" i="3"/>
  <c r="N97" i="3" s="1"/>
  <c r="M97" i="3"/>
  <c r="N96" i="3" s="1"/>
  <c r="M96" i="3"/>
  <c r="N95" i="3" s="1"/>
  <c r="M95" i="3"/>
  <c r="N94" i="3" s="1"/>
  <c r="M94" i="3"/>
  <c r="N93" i="3" s="1"/>
  <c r="M93" i="3"/>
  <c r="N92" i="3" s="1"/>
  <c r="M92" i="3"/>
  <c r="N91" i="3" s="1"/>
  <c r="M91" i="3"/>
  <c r="N90" i="3" s="1"/>
  <c r="M90" i="3"/>
  <c r="N89" i="3" s="1"/>
  <c r="M89" i="3"/>
  <c r="N88" i="3" s="1"/>
  <c r="M88" i="3"/>
  <c r="N87" i="3" s="1"/>
  <c r="M87" i="3"/>
  <c r="N86" i="3" s="1"/>
  <c r="M86" i="3"/>
  <c r="N85" i="3" s="1"/>
  <c r="M85" i="3"/>
  <c r="M84" i="3"/>
  <c r="N84" i="3" s="1"/>
  <c r="M83" i="3"/>
  <c r="N83" i="3" s="1"/>
  <c r="M82" i="3"/>
  <c r="N82" i="3" s="1"/>
  <c r="M81" i="3"/>
  <c r="N81" i="3" s="1"/>
  <c r="M80" i="3"/>
  <c r="N80" i="3" s="1"/>
  <c r="M79" i="3"/>
  <c r="N79" i="3" s="1"/>
  <c r="M78" i="3"/>
  <c r="N78" i="3" s="1"/>
  <c r="M77" i="3"/>
  <c r="N77" i="3" s="1"/>
  <c r="M76" i="3"/>
  <c r="N76" i="3" s="1"/>
  <c r="M75" i="3"/>
  <c r="N75" i="3" s="1"/>
  <c r="M74" i="3"/>
  <c r="N74" i="3" s="1"/>
  <c r="M73" i="3"/>
  <c r="N73" i="3" s="1"/>
  <c r="M72" i="3"/>
  <c r="N72" i="3" s="1"/>
  <c r="M71" i="3"/>
  <c r="N71" i="3" s="1"/>
  <c r="M70" i="3"/>
  <c r="N70" i="3" s="1"/>
  <c r="M69" i="3"/>
  <c r="N69" i="3" s="1"/>
  <c r="M68" i="3"/>
  <c r="M67" i="3"/>
  <c r="N68" i="3" s="1"/>
  <c r="M66" i="3"/>
  <c r="N67" i="3" s="1"/>
  <c r="M65" i="3"/>
  <c r="N66" i="3" s="1"/>
  <c r="M64" i="3"/>
  <c r="N65" i="3" s="1"/>
  <c r="M63" i="3"/>
  <c r="N64" i="3" s="1"/>
  <c r="M62" i="3"/>
  <c r="N63" i="3" s="1"/>
  <c r="M61" i="3"/>
  <c r="N62" i="3" s="1"/>
  <c r="M60" i="3"/>
  <c r="N61" i="3" s="1"/>
  <c r="M59" i="3"/>
  <c r="N60" i="3" s="1"/>
  <c r="M58" i="3"/>
  <c r="N59" i="3" s="1"/>
  <c r="M57" i="3"/>
  <c r="N58" i="3" s="1"/>
  <c r="M56" i="3"/>
  <c r="N57" i="3" s="1"/>
  <c r="M55" i="3"/>
  <c r="N56" i="3" s="1"/>
  <c r="N54" i="3"/>
  <c r="M54" i="3"/>
  <c r="N55" i="3" s="1"/>
  <c r="N53" i="3"/>
  <c r="N52" i="3"/>
  <c r="N51" i="3"/>
  <c r="N50" i="3"/>
  <c r="N49" i="3"/>
  <c r="N48" i="3"/>
  <c r="N47" i="3"/>
  <c r="N46" i="3"/>
  <c r="N45" i="3"/>
  <c r="N44" i="3"/>
  <c r="N42" i="3"/>
  <c r="N41" i="3"/>
  <c r="N40" i="3"/>
  <c r="N39" i="3"/>
  <c r="N38" i="3"/>
  <c r="N37" i="3"/>
  <c r="N36" i="3"/>
  <c r="N35" i="3"/>
  <c r="N34" i="3"/>
  <c r="N33" i="3"/>
  <c r="N32" i="3"/>
  <c r="N31" i="3"/>
  <c r="N30" i="3"/>
  <c r="N29" i="3"/>
  <c r="N28" i="3"/>
  <c r="N27" i="3"/>
  <c r="A223" i="35"/>
  <c r="A222" i="35"/>
  <c r="A221" i="35"/>
  <c r="A220" i="35"/>
  <c r="A219" i="35"/>
  <c r="A218" i="35"/>
  <c r="A217" i="35"/>
  <c r="A216" i="35"/>
  <c r="A215" i="35"/>
  <c r="A214" i="35"/>
  <c r="A213" i="35"/>
  <c r="A212" i="35"/>
  <c r="A211" i="35"/>
  <c r="A210" i="35"/>
  <c r="A209" i="35"/>
  <c r="A208" i="35"/>
  <c r="A207" i="35"/>
  <c r="A206" i="35"/>
  <c r="A205" i="35"/>
  <c r="A204" i="35"/>
  <c r="A203" i="35"/>
  <c r="A202" i="35"/>
  <c r="A201" i="35"/>
  <c r="A200" i="35"/>
  <c r="A199" i="35"/>
  <c r="A198" i="35"/>
  <c r="A197" i="35"/>
  <c r="A196" i="35"/>
  <c r="A194" i="35"/>
  <c r="A193" i="35"/>
  <c r="A192" i="35"/>
  <c r="A191" i="35"/>
  <c r="A190" i="35"/>
  <c r="A189" i="35"/>
  <c r="A188" i="35"/>
  <c r="A187" i="35"/>
  <c r="A186" i="35"/>
  <c r="A185" i="35"/>
  <c r="A184" i="35"/>
  <c r="A183" i="35"/>
  <c r="A182" i="35"/>
  <c r="A181" i="35"/>
  <c r="A180" i="35"/>
  <c r="A179" i="35"/>
  <c r="A178" i="35"/>
  <c r="A177" i="35"/>
  <c r="A176" i="35"/>
  <c r="A175" i="35"/>
  <c r="A174" i="35"/>
  <c r="A173" i="35"/>
  <c r="A172" i="35"/>
  <c r="A171" i="35"/>
  <c r="A170" i="35"/>
  <c r="A169" i="35"/>
  <c r="A168" i="35"/>
  <c r="A167" i="35"/>
  <c r="A166" i="35"/>
  <c r="A165" i="35"/>
  <c r="A164" i="35"/>
  <c r="A163" i="35"/>
  <c r="A162" i="35"/>
  <c r="A161" i="35"/>
  <c r="A160" i="35"/>
  <c r="A159" i="35"/>
  <c r="A158" i="35"/>
  <c r="A157" i="35"/>
  <c r="A156" i="35"/>
  <c r="A155" i="35"/>
  <c r="A154" i="35"/>
  <c r="A153" i="35"/>
  <c r="A152" i="35"/>
  <c r="A151" i="35"/>
  <c r="A150" i="35"/>
  <c r="A149" i="35"/>
  <c r="A148" i="35"/>
  <c r="A147" i="35"/>
  <c r="A146" i="35"/>
  <c r="A145" i="35"/>
  <c r="A144" i="35"/>
  <c r="A143" i="35"/>
  <c r="A142" i="35"/>
  <c r="A141" i="35"/>
  <c r="A140" i="35"/>
  <c r="A139" i="35"/>
  <c r="A138" i="35"/>
  <c r="A137" i="35"/>
  <c r="A136" i="35"/>
  <c r="A135" i="35"/>
  <c r="A134" i="35"/>
  <c r="A133" i="35"/>
  <c r="A132" i="35"/>
  <c r="A131" i="35"/>
  <c r="A130" i="35"/>
  <c r="A129" i="35"/>
  <c r="A128" i="35"/>
  <c r="A127" i="35"/>
  <c r="A126" i="35"/>
  <c r="A125" i="35"/>
  <c r="A124" i="35"/>
  <c r="A123" i="35"/>
  <c r="A122" i="35"/>
  <c r="A121" i="35"/>
  <c r="A120" i="35"/>
  <c r="A119" i="35"/>
  <c r="C94" i="29"/>
  <c r="C50" i="29"/>
  <c r="C93" i="29"/>
  <c r="C49" i="29"/>
  <c r="C92" i="29"/>
  <c r="C48" i="29"/>
  <c r="C91" i="29"/>
  <c r="C47" i="29"/>
  <c r="C90" i="29"/>
  <c r="C46" i="29"/>
  <c r="I1" i="37"/>
  <c r="AQ67" i="43"/>
  <c r="O67" i="43"/>
  <c r="M67" i="43"/>
  <c r="AP67" i="43" s="1"/>
  <c r="AQ66" i="43"/>
  <c r="O66" i="43"/>
  <c r="M66" i="43"/>
  <c r="AP66" i="43" s="1"/>
  <c r="AQ65" i="43"/>
  <c r="O65" i="43"/>
  <c r="M65" i="43"/>
  <c r="AP65" i="43" s="1"/>
  <c r="AQ64" i="43"/>
  <c r="O64" i="43"/>
  <c r="M64" i="43"/>
  <c r="AP64" i="43" s="1"/>
  <c r="AQ63" i="43"/>
  <c r="O63" i="43"/>
  <c r="M63" i="43"/>
  <c r="AP63" i="43" s="1"/>
  <c r="AQ62" i="43"/>
  <c r="O62" i="43"/>
  <c r="M62" i="43"/>
  <c r="AP62" i="43" s="1"/>
  <c r="AQ61" i="43"/>
  <c r="O61" i="43"/>
  <c r="M61" i="43"/>
  <c r="AP61" i="43" s="1"/>
  <c r="AQ60" i="43"/>
  <c r="O60" i="43"/>
  <c r="M60" i="43"/>
  <c r="AP60" i="43" s="1"/>
  <c r="AQ59" i="43"/>
  <c r="O59" i="43"/>
  <c r="M59" i="43"/>
  <c r="AP59" i="43" s="1"/>
  <c r="AQ58" i="43"/>
  <c r="O58" i="43"/>
  <c r="M58" i="43"/>
  <c r="AP58" i="43" s="1"/>
  <c r="AQ57" i="43"/>
  <c r="O57" i="43"/>
  <c r="M57" i="43"/>
  <c r="AP57" i="43" s="1"/>
  <c r="AQ56" i="43"/>
  <c r="O56" i="43"/>
  <c r="M56" i="43"/>
  <c r="AP56" i="43" s="1"/>
  <c r="AQ55" i="43"/>
  <c r="O55" i="43"/>
  <c r="M55" i="43"/>
  <c r="AP55" i="43" s="1"/>
  <c r="AQ54" i="43"/>
  <c r="O54" i="43"/>
  <c r="M54" i="43"/>
  <c r="AP54" i="43" s="1"/>
  <c r="AQ53" i="43"/>
  <c r="O53" i="43"/>
  <c r="M53" i="43"/>
  <c r="AP53" i="43" s="1"/>
  <c r="AQ52" i="43"/>
  <c r="O52" i="43"/>
  <c r="M52" i="43"/>
  <c r="AP52" i="43" s="1"/>
  <c r="AQ51" i="43"/>
  <c r="O51" i="43"/>
  <c r="M51" i="43"/>
  <c r="AP51" i="43" s="1"/>
  <c r="AQ50" i="43"/>
  <c r="O50" i="43"/>
  <c r="M50" i="43"/>
  <c r="AP50" i="43" s="1"/>
  <c r="AQ49" i="43"/>
  <c r="O49" i="43"/>
  <c r="M49" i="43"/>
  <c r="AP49" i="43" s="1"/>
  <c r="AQ48" i="43"/>
  <c r="O48" i="43"/>
  <c r="M48" i="43"/>
  <c r="AP48" i="43" s="1"/>
  <c r="AQ47" i="43"/>
  <c r="O47" i="43"/>
  <c r="M47" i="43"/>
  <c r="AP47" i="43" s="1"/>
  <c r="AQ46" i="43"/>
  <c r="O46" i="43"/>
  <c r="M46" i="43"/>
  <c r="AP46" i="43" s="1"/>
  <c r="AQ45" i="43"/>
  <c r="O45" i="43"/>
  <c r="M45" i="43"/>
  <c r="AP45" i="43" s="1"/>
  <c r="AQ44" i="43"/>
  <c r="O44" i="43"/>
  <c r="M44" i="43"/>
  <c r="AP44" i="43" s="1"/>
  <c r="AQ43" i="43"/>
  <c r="O43" i="43"/>
  <c r="M43" i="43"/>
  <c r="AP43" i="43" s="1"/>
  <c r="AQ42" i="43"/>
  <c r="O42" i="43"/>
  <c r="M42" i="43"/>
  <c r="AP42" i="43" s="1"/>
  <c r="AQ41" i="43"/>
  <c r="O41" i="43"/>
  <c r="M41" i="43"/>
  <c r="AP41" i="43" s="1"/>
  <c r="AQ40" i="43"/>
  <c r="O40" i="43"/>
  <c r="M40" i="43"/>
  <c r="AP40" i="43" s="1"/>
  <c r="AQ39" i="43"/>
  <c r="O39" i="43"/>
  <c r="M39" i="43"/>
  <c r="AP39" i="43" s="1"/>
  <c r="AQ38" i="43"/>
  <c r="O38" i="43"/>
  <c r="M38" i="43"/>
  <c r="AP38" i="43" s="1"/>
  <c r="AQ37" i="43"/>
  <c r="O37" i="43"/>
  <c r="M37" i="43"/>
  <c r="AP37" i="43" s="1"/>
  <c r="AQ36" i="43"/>
  <c r="O36" i="43"/>
  <c r="M36" i="43"/>
  <c r="AP36" i="43" s="1"/>
  <c r="AQ35" i="43"/>
  <c r="O35" i="43"/>
  <c r="M35" i="43"/>
  <c r="AP35" i="43" s="1"/>
  <c r="AQ34" i="43"/>
  <c r="O34" i="43"/>
  <c r="M34" i="43"/>
  <c r="AP34" i="43" s="1"/>
  <c r="AQ33" i="43"/>
  <c r="O33" i="43"/>
  <c r="M33" i="43"/>
  <c r="AP33" i="43" s="1"/>
  <c r="AQ32" i="43"/>
  <c r="O32" i="43"/>
  <c r="M32" i="43"/>
  <c r="AP32" i="43" s="1"/>
  <c r="AQ31" i="43"/>
  <c r="O31" i="43"/>
  <c r="M31" i="43"/>
  <c r="AP31" i="43" s="1"/>
  <c r="AQ30" i="43"/>
  <c r="O30" i="43"/>
  <c r="M30" i="43"/>
  <c r="AP30" i="43" s="1"/>
  <c r="AQ29" i="43"/>
  <c r="O29" i="43"/>
  <c r="M29" i="43"/>
  <c r="AP29" i="43" s="1"/>
  <c r="AQ28" i="43"/>
  <c r="O28" i="43"/>
  <c r="M28" i="43"/>
  <c r="AP28" i="43" s="1"/>
  <c r="AQ27" i="43"/>
  <c r="O27" i="43"/>
  <c r="M27" i="43"/>
  <c r="AP27" i="43" s="1"/>
  <c r="AQ26" i="43"/>
  <c r="O26" i="43"/>
  <c r="M26" i="43"/>
  <c r="AP26" i="43" s="1"/>
  <c r="AQ25" i="43"/>
  <c r="O25" i="43"/>
  <c r="M25" i="43"/>
  <c r="AP25" i="43" s="1"/>
  <c r="AQ24" i="43"/>
  <c r="O24" i="43"/>
  <c r="M24" i="43"/>
  <c r="AP24" i="43" s="1"/>
  <c r="AQ23" i="43"/>
  <c r="O23" i="43"/>
  <c r="M23" i="43"/>
  <c r="AP23" i="43" s="1"/>
  <c r="AQ22" i="43"/>
  <c r="O22" i="43"/>
  <c r="M22" i="43"/>
  <c r="AP22" i="43" s="1"/>
  <c r="AQ21" i="43"/>
  <c r="O21" i="43"/>
  <c r="M21" i="43"/>
  <c r="AP21" i="43" s="1"/>
  <c r="AQ20" i="43"/>
  <c r="AQ19" i="43"/>
  <c r="AQ18" i="43"/>
  <c r="H1" i="43"/>
  <c r="U67" i="42"/>
  <c r="U66" i="42"/>
  <c r="U65" i="42"/>
  <c r="U64" i="42"/>
  <c r="U63" i="42"/>
  <c r="U62" i="42"/>
  <c r="U61" i="42"/>
  <c r="U60" i="42"/>
  <c r="U59" i="42"/>
  <c r="U58" i="42"/>
  <c r="U57" i="42"/>
  <c r="U56" i="42"/>
  <c r="U55" i="42"/>
  <c r="U54" i="42"/>
  <c r="U53" i="42"/>
  <c r="U52" i="42"/>
  <c r="U51" i="42"/>
  <c r="U50" i="42"/>
  <c r="U49" i="42"/>
  <c r="U48" i="42"/>
  <c r="U47" i="42"/>
  <c r="U46" i="42"/>
  <c r="U45" i="42"/>
  <c r="U44" i="42"/>
  <c r="U43" i="42"/>
  <c r="U42" i="42"/>
  <c r="U41" i="42"/>
  <c r="U40" i="42"/>
  <c r="U39" i="42"/>
  <c r="U38" i="42"/>
  <c r="U37" i="42"/>
  <c r="U36" i="42"/>
  <c r="U35" i="42"/>
  <c r="U34" i="42"/>
  <c r="U33" i="42"/>
  <c r="U32" i="42"/>
  <c r="U31" i="42"/>
  <c r="U30" i="42"/>
  <c r="U29" i="42"/>
  <c r="U28" i="42"/>
  <c r="U27" i="42"/>
  <c r="U26" i="42"/>
  <c r="U25" i="42"/>
  <c r="U24" i="42"/>
  <c r="U23" i="42"/>
  <c r="U22" i="42"/>
  <c r="U21" i="42"/>
  <c r="U20" i="42"/>
  <c r="U19" i="42"/>
  <c r="U18" i="42"/>
  <c r="G1" i="42"/>
  <c r="BI75" i="45"/>
  <c r="BI74" i="45"/>
  <c r="BI73" i="45"/>
  <c r="BI32" i="45"/>
  <c r="BI31" i="45"/>
  <c r="BI30" i="45"/>
  <c r="BI29" i="45"/>
  <c r="BI28" i="45"/>
  <c r="BI27" i="45"/>
  <c r="BI26" i="45"/>
  <c r="I1" i="45"/>
  <c r="T18" i="32"/>
  <c r="V71" i="32"/>
  <c r="V70" i="32"/>
  <c r="V29" i="32"/>
  <c r="V28" i="32"/>
  <c r="V27" i="32"/>
  <c r="V26" i="32"/>
  <c r="V23" i="32"/>
  <c r="AM22" i="32"/>
  <c r="AR20" i="32"/>
  <c r="I1" i="32"/>
  <c r="BE46" i="33"/>
  <c r="BF46" i="33" s="1"/>
  <c r="AU46" i="33"/>
  <c r="AT46" i="33"/>
  <c r="BE45" i="33"/>
  <c r="BF45" i="33" s="1"/>
  <c r="AU45" i="33"/>
  <c r="AT45" i="33"/>
  <c r="BE44" i="33"/>
  <c r="BF44" i="33" s="1"/>
  <c r="AU44" i="33"/>
  <c r="AT44" i="33"/>
  <c r="AU28" i="33"/>
  <c r="AT28" i="33"/>
  <c r="AU27" i="33"/>
  <c r="AT27" i="33"/>
  <c r="AU26" i="33"/>
  <c r="AT26" i="33"/>
  <c r="AU25" i="33"/>
  <c r="AT25" i="33"/>
  <c r="AU24" i="33"/>
  <c r="AT24" i="33"/>
  <c r="AU23" i="33"/>
  <c r="AT23" i="33"/>
  <c r="AU22" i="33"/>
  <c r="AT22" i="33"/>
  <c r="P55" i="33"/>
  <c r="K54" i="33"/>
  <c r="K53" i="33"/>
  <c r="K52" i="33"/>
  <c r="P51" i="33"/>
  <c r="J1" i="33"/>
  <c r="AJ65" i="34" a="1"/>
  <c r="AJ65" i="34" s="1"/>
  <c r="AJ64" i="34" a="1"/>
  <c r="AJ64" i="34" s="1"/>
  <c r="AJ63" i="34" a="1"/>
  <c r="AJ63" i="34" s="1"/>
  <c r="AK63" i="34" s="1"/>
  <c r="AJ62" i="34" a="1"/>
  <c r="AJ62" i="34" s="1"/>
  <c r="AJ61" i="34" a="1"/>
  <c r="AJ61" i="34" s="1"/>
  <c r="X112" i="34" s="1"/>
  <c r="AJ60" i="34" a="1"/>
  <c r="AJ60" i="34" s="1"/>
  <c r="AN60" i="34" s="1"/>
  <c r="AB111" i="34" s="1"/>
  <c r="AJ59" i="34" a="1"/>
  <c r="AJ59" i="34" s="1"/>
  <c r="AN59" i="34" s="1"/>
  <c r="AB110" i="34" s="1"/>
  <c r="AJ58" i="34" a="1"/>
  <c r="AJ58" i="34" s="1"/>
  <c r="X109" i="34" s="1"/>
  <c r="AJ57" i="34" a="1"/>
  <c r="AJ57" i="34" s="1"/>
  <c r="AK57" i="34" s="1"/>
  <c r="AJ56" i="34" a="1"/>
  <c r="AJ56" i="34" s="1"/>
  <c r="AM56" i="34" s="1"/>
  <c r="AP56" i="34" s="1"/>
  <c r="AJ55" i="34" a="1"/>
  <c r="AJ55" i="34" s="1"/>
  <c r="X106" i="34" s="1"/>
  <c r="AJ54" i="34" a="1"/>
  <c r="AJ54" i="34" s="1"/>
  <c r="AM54" i="34" s="1"/>
  <c r="AO54" i="34" s="1"/>
  <c r="AJ53" i="34" a="1"/>
  <c r="AJ53" i="34" s="1"/>
  <c r="AN53" i="34" s="1"/>
  <c r="AB104" i="34" s="1"/>
  <c r="AJ52" i="34" a="1"/>
  <c r="AJ52" i="34" s="1"/>
  <c r="AJ51" i="34" a="1"/>
  <c r="AJ51" i="34" s="1"/>
  <c r="AK51" i="34" s="1"/>
  <c r="AJ50" i="34" a="1"/>
  <c r="AJ50" i="34" s="1"/>
  <c r="AM50" i="34" s="1"/>
  <c r="AJ49" i="34" a="1"/>
  <c r="AJ49" i="34" s="1"/>
  <c r="AJ48" i="34" a="1"/>
  <c r="AJ48" i="34" s="1"/>
  <c r="AJ47" i="34" a="1"/>
  <c r="AJ47" i="34" s="1"/>
  <c r="AJ46" i="34" a="1"/>
  <c r="AJ46" i="34" s="1"/>
  <c r="X97" i="34" s="1"/>
  <c r="AJ45" i="34" a="1"/>
  <c r="AJ45" i="34" s="1"/>
  <c r="X96" i="34" s="1"/>
  <c r="AJ44" i="34" a="1"/>
  <c r="AJ44" i="34" s="1"/>
  <c r="X95" i="34" s="1"/>
  <c r="AJ43" i="34" a="1"/>
  <c r="AJ43" i="34" s="1"/>
  <c r="AJ42" i="34" a="1"/>
  <c r="AJ42" i="34" s="1"/>
  <c r="AK42" i="34" s="1"/>
  <c r="AJ41" i="34" a="1"/>
  <c r="AJ41" i="34" s="1"/>
  <c r="AL41" i="34" s="1"/>
  <c r="Z92" i="34" s="1"/>
  <c r="AJ40" i="34" a="1"/>
  <c r="AJ40" i="34" s="1"/>
  <c r="AM40" i="34" s="1"/>
  <c r="AJ39" i="34" a="1"/>
  <c r="AJ39" i="34" s="1"/>
  <c r="AK39" i="34" s="1"/>
  <c r="AJ38" i="34" a="1"/>
  <c r="AJ38" i="34" s="1"/>
  <c r="AK38" i="34" s="1"/>
  <c r="AJ37" i="34" a="1"/>
  <c r="AJ37" i="34" s="1"/>
  <c r="AJ36" i="34" a="1"/>
  <c r="AJ36" i="34" s="1"/>
  <c r="AJ35" i="34" a="1"/>
  <c r="AJ35" i="34" s="1"/>
  <c r="X86" i="34" s="1"/>
  <c r="AJ34" i="34" a="1"/>
  <c r="AJ34" i="34" s="1"/>
  <c r="AM34" i="34" s="1"/>
  <c r="AJ33" i="34" a="1"/>
  <c r="AJ33" i="34" s="1"/>
  <c r="AK33" i="34" s="1"/>
  <c r="AJ32" i="34" a="1"/>
  <c r="AJ32" i="34" s="1"/>
  <c r="AM32" i="34" s="1"/>
  <c r="AP32" i="34" s="1"/>
  <c r="AJ31" i="34" a="1"/>
  <c r="AJ31" i="34" s="1"/>
  <c r="AJ30" i="34" a="1"/>
  <c r="AJ30" i="34" s="1"/>
  <c r="AM30" i="34" s="1"/>
  <c r="AJ29" i="34" a="1"/>
  <c r="AJ29" i="34" s="1"/>
  <c r="AK29" i="34" s="1"/>
  <c r="AJ28" i="34" a="1"/>
  <c r="AJ28" i="34" s="1"/>
  <c r="AJ27" i="34" a="1"/>
  <c r="AJ27" i="34" s="1"/>
  <c r="AN27" i="34" s="1"/>
  <c r="AB78" i="34" s="1"/>
  <c r="AP14" i="34"/>
  <c r="H1" i="34"/>
  <c r="L13" i="28"/>
  <c r="I56" i="60"/>
  <c r="E56" i="60" s="1"/>
  <c r="I1" i="28"/>
  <c r="AJ161" i="5"/>
  <c r="AJ160" i="5"/>
  <c r="AJ159" i="5"/>
  <c r="X20" i="28"/>
  <c r="B13" i="28"/>
  <c r="C5" i="29"/>
  <c r="B14" i="29"/>
  <c r="B28" i="29"/>
  <c r="C8" i="29"/>
  <c r="C4" i="29"/>
  <c r="B13" i="34"/>
  <c r="C7" i="29"/>
  <c r="B10" i="29"/>
  <c r="B1" i="29"/>
  <c r="B13" i="37"/>
  <c r="B13" i="32"/>
  <c r="C13" i="33"/>
  <c r="N13" i="34"/>
  <c r="C6" i="29"/>
  <c r="B13" i="27"/>
  <c r="H13" i="34"/>
  <c r="AD1" i="5"/>
  <c r="BE25" i="32"/>
  <c r="AX27" i="32"/>
  <c r="I54" i="60"/>
  <c r="E54" i="60" s="1"/>
  <c r="H20" i="43"/>
  <c r="M20" i="43"/>
  <c r="AP20" i="43" s="1"/>
  <c r="O20" i="43"/>
  <c r="V25" i="32"/>
  <c r="AA27" i="34"/>
  <c r="AF27" i="34" s="1"/>
  <c r="AL19" i="27"/>
  <c r="AC19" i="27" s="1"/>
  <c r="AD19" i="27" s="1"/>
  <c r="P19" i="27" s="1"/>
  <c r="AT19" i="27" s="1"/>
  <c r="Y39" i="34"/>
  <c r="L19" i="34"/>
  <c r="L18" i="34"/>
  <c r="L21" i="34"/>
  <c r="L17" i="34"/>
  <c r="L20" i="34"/>
  <c r="P43" i="27"/>
  <c r="BR43" i="27" s="1"/>
  <c r="AL20" i="27"/>
  <c r="AC20" i="27" s="1"/>
  <c r="AD20" i="27" s="1"/>
  <c r="P20" i="27" s="1"/>
  <c r="R74" i="27"/>
  <c r="AA51" i="34"/>
  <c r="AF51" i="34" s="1"/>
  <c r="P39" i="27"/>
  <c r="BR39" i="27" s="1"/>
  <c r="P42" i="27"/>
  <c r="BR42" i="27" s="1"/>
  <c r="P26" i="27"/>
  <c r="BR26" i="27" s="1"/>
  <c r="P47" i="27"/>
  <c r="BR47" i="27" s="1"/>
  <c r="P31" i="27"/>
  <c r="BR31" i="27" s="1"/>
  <c r="AC46" i="27"/>
  <c r="AD46" i="27" s="1"/>
  <c r="P46" i="27"/>
  <c r="BR46" i="27" s="1"/>
  <c r="AL17" i="27"/>
  <c r="R17" i="27" s="1"/>
  <c r="BY12" i="55"/>
  <c r="BD12" i="55"/>
  <c r="BG12" i="55"/>
  <c r="BW12" i="55"/>
  <c r="BF12" i="55"/>
  <c r="BL12" i="55"/>
  <c r="CB12" i="55"/>
  <c r="CI12" i="55"/>
  <c r="BZ12" i="55"/>
  <c r="CL12" i="55"/>
  <c r="BV12" i="55"/>
  <c r="CH12" i="55"/>
  <c r="CD12" i="55"/>
  <c r="BK12" i="55"/>
  <c r="BA12" i="55"/>
  <c r="BI12" i="55"/>
  <c r="BN12" i="55"/>
  <c r="CA12" i="55"/>
  <c r="BQ12" i="55"/>
  <c r="CE12" i="55"/>
  <c r="BX12" i="55"/>
  <c r="BO12" i="55"/>
  <c r="BB12" i="55"/>
  <c r="BT12" i="55"/>
  <c r="CK12" i="55"/>
  <c r="BP12" i="55"/>
  <c r="BH12" i="55"/>
  <c r="BE12" i="55"/>
  <c r="BR12" i="55"/>
  <c r="CF12" i="55"/>
  <c r="CJ12" i="55"/>
  <c r="CC12" i="55"/>
  <c r="BS12" i="55"/>
  <c r="BC12" i="55"/>
  <c r="BJ12" i="55"/>
  <c r="AX12" i="55"/>
  <c r="CG12" i="55"/>
  <c r="AZ12" i="55"/>
  <c r="BM12" i="55"/>
  <c r="AY12" i="55"/>
  <c r="BU12" i="55"/>
  <c r="BC36" i="45" l="1"/>
  <c r="L36" i="45"/>
  <c r="AT20" i="27"/>
  <c r="M26" i="58"/>
  <c r="N26" i="58" s="1"/>
  <c r="N23" i="60"/>
  <c r="O23" i="60" s="1"/>
  <c r="R66" i="27"/>
  <c r="AP24" i="60"/>
  <c r="AQ24" i="60" s="1"/>
  <c r="L27" i="54"/>
  <c r="BC26" i="58"/>
  <c r="BD26" i="58" s="1"/>
  <c r="AP23" i="60"/>
  <c r="AQ23" i="60" s="1"/>
  <c r="R65" i="27"/>
  <c r="R44" i="27"/>
  <c r="BC29" i="58"/>
  <c r="BD29" i="58" s="1"/>
  <c r="BC22" i="58"/>
  <c r="BD22" i="58" s="1"/>
  <c r="BC24" i="58"/>
  <c r="BD24" i="58" s="1"/>
  <c r="BC23" i="58"/>
  <c r="BD23" i="58" s="1"/>
  <c r="BC27" i="58"/>
  <c r="BD27" i="58" s="1"/>
  <c r="AT16" i="27"/>
  <c r="M23" i="58"/>
  <c r="N23" i="58" s="1"/>
  <c r="M24" i="58"/>
  <c r="N24" i="58" s="1"/>
  <c r="M22" i="58"/>
  <c r="N22" i="58" s="1"/>
  <c r="L36" i="37"/>
  <c r="AS36" i="37" s="1"/>
  <c r="L28" i="54"/>
  <c r="AZ28" i="54" s="1"/>
  <c r="N24" i="60"/>
  <c r="O24" i="60" s="1"/>
  <c r="B13" i="56"/>
  <c r="I51" i="58"/>
  <c r="E51" i="58" s="1"/>
  <c r="I51" i="60"/>
  <c r="E51" i="60" s="1"/>
  <c r="N19" i="28"/>
  <c r="I54" i="58"/>
  <c r="E54" i="58" s="1"/>
  <c r="N21" i="28"/>
  <c r="I56" i="58"/>
  <c r="E56" i="58" s="1"/>
  <c r="Y12" i="55"/>
  <c r="AC17" i="34"/>
  <c r="AM25" i="34"/>
  <c r="AA76" i="34" s="1"/>
  <c r="B13" i="43"/>
  <c r="B13" i="51"/>
  <c r="DG16" i="51"/>
  <c r="AL22" i="34"/>
  <c r="Z73" i="34" s="1"/>
  <c r="M19" i="42"/>
  <c r="AM24" i="34"/>
  <c r="AO24" i="34" s="1"/>
  <c r="K43" i="5"/>
  <c r="K41" i="5"/>
  <c r="BR33" i="27"/>
  <c r="L35" i="37"/>
  <c r="AS35" i="37" s="1"/>
  <c r="L26" i="54"/>
  <c r="L28" i="37"/>
  <c r="R38" i="27"/>
  <c r="R41" i="27"/>
  <c r="R49" i="27"/>
  <c r="R61" i="27"/>
  <c r="R69" i="27"/>
  <c r="AC34" i="27"/>
  <c r="AD34" i="27" s="1"/>
  <c r="P34" i="27" s="1"/>
  <c r="AP22" i="60" s="1"/>
  <c r="AQ22" i="60" s="1"/>
  <c r="R57" i="27"/>
  <c r="S37" i="5"/>
  <c r="K45" i="5"/>
  <c r="Y80" i="34"/>
  <c r="B23" i="55"/>
  <c r="Y84" i="34"/>
  <c r="B27" i="55"/>
  <c r="Y108" i="34"/>
  <c r="B51" i="55"/>
  <c r="AA60" i="34"/>
  <c r="AE60" i="34" s="1"/>
  <c r="AC60" i="34"/>
  <c r="Y56" i="34"/>
  <c r="AC56" i="34"/>
  <c r="AA52" i="34"/>
  <c r="AF52" i="34" s="1"/>
  <c r="AC52" i="34"/>
  <c r="Y48" i="34"/>
  <c r="B42" i="53" s="1"/>
  <c r="S42" i="53" s="1"/>
  <c r="AC48" i="34"/>
  <c r="Y44" i="34"/>
  <c r="AC44" i="34"/>
  <c r="Y36" i="34"/>
  <c r="B30" i="53" s="1"/>
  <c r="S30" i="53" s="1"/>
  <c r="AC36" i="34"/>
  <c r="Z32" i="34"/>
  <c r="AC32" i="34"/>
  <c r="Y28" i="34"/>
  <c r="AC28" i="34"/>
  <c r="AB20" i="34"/>
  <c r="AC20" i="34"/>
  <c r="Y63" i="34"/>
  <c r="AC63" i="34"/>
  <c r="Z59" i="34"/>
  <c r="AC59" i="34"/>
  <c r="Y51" i="34"/>
  <c r="B45" i="53" s="1"/>
  <c r="S45" i="53" s="1"/>
  <c r="AC51" i="34"/>
  <c r="AB47" i="34"/>
  <c r="AC47" i="34"/>
  <c r="AA39" i="34"/>
  <c r="AF39" i="34" s="1"/>
  <c r="AC39" i="34"/>
  <c r="Y35" i="34"/>
  <c r="AC35" i="34"/>
  <c r="Y31" i="34"/>
  <c r="B25" i="53" s="1"/>
  <c r="S25" i="53" s="1"/>
  <c r="AC31" i="34"/>
  <c r="Z27" i="34"/>
  <c r="AC27" i="34"/>
  <c r="Y23" i="34"/>
  <c r="AC23" i="34"/>
  <c r="Y19" i="34"/>
  <c r="AC19" i="34"/>
  <c r="Y89" i="34"/>
  <c r="B32" i="55"/>
  <c r="Y90" i="34"/>
  <c r="B33" i="55"/>
  <c r="Y102" i="34"/>
  <c r="B45" i="55"/>
  <c r="Y114" i="34"/>
  <c r="B57" i="55"/>
  <c r="AS12" i="55"/>
  <c r="N12" i="55"/>
  <c r="M12" i="55"/>
  <c r="O12" i="55"/>
  <c r="K12" i="55"/>
  <c r="P12" i="55"/>
  <c r="L12" i="55"/>
  <c r="AA62" i="34"/>
  <c r="AF62" i="34" s="1"/>
  <c r="AC62" i="34"/>
  <c r="AA54" i="34"/>
  <c r="AF54" i="34" s="1"/>
  <c r="AC54" i="34"/>
  <c r="AB50" i="34"/>
  <c r="AC50" i="34"/>
  <c r="Z46" i="34"/>
  <c r="AC46" i="34"/>
  <c r="Y42" i="34"/>
  <c r="AC42" i="34"/>
  <c r="Y38" i="34"/>
  <c r="B32" i="53" s="1"/>
  <c r="S32" i="53" s="1"/>
  <c r="AC38" i="34"/>
  <c r="Y34" i="34"/>
  <c r="AC34" i="34"/>
  <c r="Y30" i="34"/>
  <c r="B24" i="53" s="1"/>
  <c r="S24" i="53" s="1"/>
  <c r="AC30" i="34"/>
  <c r="AB26" i="34"/>
  <c r="AC26" i="34"/>
  <c r="AB22" i="34"/>
  <c r="AC22" i="34"/>
  <c r="Y93" i="34"/>
  <c r="B36" i="55"/>
  <c r="Z61" i="34"/>
  <c r="AC61" i="34"/>
  <c r="Y57" i="34"/>
  <c r="AC57" i="34"/>
  <c r="Y45" i="34"/>
  <c r="B39" i="53" s="1"/>
  <c r="S39" i="53" s="1"/>
  <c r="AC45" i="34"/>
  <c r="Y41" i="34"/>
  <c r="AC41" i="34"/>
  <c r="Z29" i="34"/>
  <c r="AC29" i="34"/>
  <c r="Z25" i="34"/>
  <c r="AC25" i="34"/>
  <c r="AA21" i="34"/>
  <c r="AF21" i="34" s="1"/>
  <c r="AC21" i="34"/>
  <c r="B33" i="53"/>
  <c r="S33" i="53" s="1"/>
  <c r="K9" i="34"/>
  <c r="M9" i="37" s="1"/>
  <c r="S4" i="53" s="1"/>
  <c r="CM9" i="55"/>
  <c r="AB73" i="34"/>
  <c r="B14" i="53"/>
  <c r="S14" i="53" s="1"/>
  <c r="CL9" i="53"/>
  <c r="BR22" i="27"/>
  <c r="AT24" i="27"/>
  <c r="AT21" i="27"/>
  <c r="BR29" i="27"/>
  <c r="AT25" i="27"/>
  <c r="BR21" i="27"/>
  <c r="AT59" i="27"/>
  <c r="AT31" i="27"/>
  <c r="AT48" i="27"/>
  <c r="AT66" i="27"/>
  <c r="AT39" i="27"/>
  <c r="AT32" i="27"/>
  <c r="AT56" i="27"/>
  <c r="AT43" i="27"/>
  <c r="AT34" i="27"/>
  <c r="AT69" i="27"/>
  <c r="AT60" i="27"/>
  <c r="AT51" i="27"/>
  <c r="AT70" i="27"/>
  <c r="AT29" i="27"/>
  <c r="AT55" i="27"/>
  <c r="AT42" i="27"/>
  <c r="AT67" i="27"/>
  <c r="AT44" i="27"/>
  <c r="AT65" i="27"/>
  <c r="AT64" i="27"/>
  <c r="AT63" i="27"/>
  <c r="AT37" i="27"/>
  <c r="AT68" i="27"/>
  <c r="AT33" i="27"/>
  <c r="AT47" i="27"/>
  <c r="AT74" i="27"/>
  <c r="AT35" i="27"/>
  <c r="AT40" i="27"/>
  <c r="AT61" i="27"/>
  <c r="AT49" i="27"/>
  <c r="AT54" i="27"/>
  <c r="AT73" i="27"/>
  <c r="AT36" i="27"/>
  <c r="AT53" i="27"/>
  <c r="AT62" i="27"/>
  <c r="AT41" i="27"/>
  <c r="AT38" i="27"/>
  <c r="AT72" i="27"/>
  <c r="AT28" i="27"/>
  <c r="AT45" i="27"/>
  <c r="AT46" i="27"/>
  <c r="AT75" i="27"/>
  <c r="AT52" i="27"/>
  <c r="AT50" i="27"/>
  <c r="AT57" i="27"/>
  <c r="AT58" i="27"/>
  <c r="AT71" i="27"/>
  <c r="L27" i="37"/>
  <c r="AT27" i="27"/>
  <c r="BR23" i="27"/>
  <c r="AT22" i="27"/>
  <c r="AC26" i="27"/>
  <c r="AD26" i="27" s="1"/>
  <c r="AB51" i="34"/>
  <c r="AB19" i="34"/>
  <c r="AL20" i="34"/>
  <c r="Z71" i="34" s="1"/>
  <c r="Z51" i="34"/>
  <c r="Y59" i="34"/>
  <c r="AA23" i="34"/>
  <c r="AF23" i="34" s="1"/>
  <c r="AB63" i="34"/>
  <c r="Z39" i="34"/>
  <c r="AA19" i="34"/>
  <c r="AF19" i="34" s="1"/>
  <c r="Y27" i="34"/>
  <c r="AN56" i="34"/>
  <c r="AB107" i="34" s="1"/>
  <c r="AA59" i="34"/>
  <c r="AF59" i="34" s="1"/>
  <c r="Z23" i="34"/>
  <c r="Z63" i="34"/>
  <c r="AB39" i="34"/>
  <c r="AN17" i="34"/>
  <c r="AB27" i="34"/>
  <c r="AA28" i="34"/>
  <c r="AF28" i="34" s="1"/>
  <c r="Z28" i="34"/>
  <c r="Z60" i="34"/>
  <c r="AB44" i="34"/>
  <c r="Z20" i="34"/>
  <c r="J39" i="5"/>
  <c r="AB28" i="34"/>
  <c r="AA48" i="34"/>
  <c r="BR32" i="27"/>
  <c r="L26" i="37"/>
  <c r="AL60" i="34"/>
  <c r="Z111" i="34" s="1"/>
  <c r="R17" i="34"/>
  <c r="AN45" i="34"/>
  <c r="AB96" i="34" s="1"/>
  <c r="AK45" i="34"/>
  <c r="L16" i="34"/>
  <c r="V39" i="3"/>
  <c r="Y10" i="3" s="1"/>
  <c r="R16" i="34"/>
  <c r="X107" i="34"/>
  <c r="AM60" i="34"/>
  <c r="AP60" i="34" s="1"/>
  <c r="AK60" i="34"/>
  <c r="J37" i="5"/>
  <c r="S39" i="5"/>
  <c r="AN23" i="34"/>
  <c r="AE31" i="34"/>
  <c r="AA57" i="34"/>
  <c r="AF57" i="34" s="1"/>
  <c r="Y69" i="34"/>
  <c r="Z62" i="34"/>
  <c r="AA30" i="34"/>
  <c r="AF30" i="34" s="1"/>
  <c r="AA46" i="34"/>
  <c r="AF46" i="34" s="1"/>
  <c r="AN51" i="34"/>
  <c r="AB102" i="34" s="1"/>
  <c r="AA26" i="34"/>
  <c r="AF26" i="34" s="1"/>
  <c r="AL50" i="34"/>
  <c r="Z101" i="34" s="1"/>
  <c r="Z45" i="34"/>
  <c r="AK55" i="34"/>
  <c r="Z34" i="34"/>
  <c r="AA50" i="34"/>
  <c r="Z38" i="34"/>
  <c r="Z57" i="34"/>
  <c r="AM23" i="34"/>
  <c r="AO23" i="34" s="1"/>
  <c r="AB30" i="34"/>
  <c r="AA34" i="34"/>
  <c r="AF34" i="34" s="1"/>
  <c r="Y46" i="34"/>
  <c r="Y50" i="34"/>
  <c r="Y26" i="34"/>
  <c r="AB38" i="34"/>
  <c r="X101" i="34"/>
  <c r="AB54" i="34"/>
  <c r="AB62" i="34"/>
  <c r="AM18" i="34"/>
  <c r="AA69" i="34" s="1"/>
  <c r="AF69" i="34" s="1"/>
  <c r="AK23" i="34"/>
  <c r="B17" i="55" s="1"/>
  <c r="Z30" i="34"/>
  <c r="AB34" i="34"/>
  <c r="AB46" i="34"/>
  <c r="Z50" i="34"/>
  <c r="Z26" i="34"/>
  <c r="Z41" i="34"/>
  <c r="AA38" i="34"/>
  <c r="AF38" i="34" s="1"/>
  <c r="Y62" i="34"/>
  <c r="AL18" i="34"/>
  <c r="Z69" i="34" s="1"/>
  <c r="AB29" i="34"/>
  <c r="X74" i="34"/>
  <c r="AN18" i="34"/>
  <c r="AM35" i="34"/>
  <c r="AA86" i="34" s="1"/>
  <c r="AE86" i="34" s="1"/>
  <c r="AE27" i="34"/>
  <c r="X69" i="34"/>
  <c r="AB45" i="34"/>
  <c r="AK26" i="34"/>
  <c r="B20" i="55" s="1"/>
  <c r="AL26" i="34"/>
  <c r="Z77" i="34" s="1"/>
  <c r="AN26" i="34"/>
  <c r="X77" i="34"/>
  <c r="AM26" i="34"/>
  <c r="AP26" i="34" s="1"/>
  <c r="Y33" i="34"/>
  <c r="AA33" i="34"/>
  <c r="AF33" i="34" s="1"/>
  <c r="Z33" i="34"/>
  <c r="AB33" i="34"/>
  <c r="AM17" i="34"/>
  <c r="AO17" i="34" s="1"/>
  <c r="R70" i="27"/>
  <c r="AL56" i="34"/>
  <c r="Z107" i="34" s="1"/>
  <c r="X111" i="34"/>
  <c r="Z36" i="34"/>
  <c r="AA56" i="34"/>
  <c r="AA44" i="34"/>
  <c r="AF44" i="34" s="1"/>
  <c r="I56" i="33"/>
  <c r="R58" i="27"/>
  <c r="AL33" i="34"/>
  <c r="Z84" i="34" s="1"/>
  <c r="AK56" i="34"/>
  <c r="AL17" i="34"/>
  <c r="Z68" i="34" s="1"/>
  <c r="AN42" i="34"/>
  <c r="AB93" i="34" s="1"/>
  <c r="AL61" i="34"/>
  <c r="Z112" i="34" s="1"/>
  <c r="AC35" i="27"/>
  <c r="AD35" i="27" s="1"/>
  <c r="P35" i="27" s="1"/>
  <c r="AA36" i="34"/>
  <c r="AF36" i="34" s="1"/>
  <c r="AB48" i="34"/>
  <c r="Z56" i="34"/>
  <c r="Z44" i="34"/>
  <c r="Z48" i="34"/>
  <c r="AM61" i="34"/>
  <c r="AA112" i="34" s="1"/>
  <c r="AB56" i="34"/>
  <c r="BF32" i="33"/>
  <c r="BF22" i="33"/>
  <c r="BG22" i="33" s="1"/>
  <c r="AQ22" i="33" s="1"/>
  <c r="Y58" i="34"/>
  <c r="Z58" i="34"/>
  <c r="AA58" i="34"/>
  <c r="AF58" i="34" s="1"/>
  <c r="AB58" i="34"/>
  <c r="AB55" i="34"/>
  <c r="AA55" i="34"/>
  <c r="AF55" i="34" s="1"/>
  <c r="Z55" i="34"/>
  <c r="Y55" i="34"/>
  <c r="AN52" i="34"/>
  <c r="AB103" i="34" s="1"/>
  <c r="AK52" i="34"/>
  <c r="Y65" i="34"/>
  <c r="AB65" i="34"/>
  <c r="Z65" i="34"/>
  <c r="AA65" i="34"/>
  <c r="AF65" i="34" s="1"/>
  <c r="M24" i="33"/>
  <c r="N24" i="33" s="1"/>
  <c r="M23" i="33"/>
  <c r="N23" i="33" s="1"/>
  <c r="M22" i="33"/>
  <c r="N22" i="33" s="1"/>
  <c r="BR20" i="27"/>
  <c r="M26" i="33"/>
  <c r="N26" i="33" s="1"/>
  <c r="AB72" i="34"/>
  <c r="X102" i="34"/>
  <c r="AP54" i="34"/>
  <c r="AM65" i="34"/>
  <c r="AO65" i="34" s="1"/>
  <c r="AN65" i="34"/>
  <c r="AB116" i="34" s="1"/>
  <c r="AO30" i="34"/>
  <c r="AP30" i="34"/>
  <c r="AN36" i="34"/>
  <c r="AB87" i="34" s="1"/>
  <c r="X87" i="34"/>
  <c r="AL36" i="34"/>
  <c r="Z87" i="34" s="1"/>
  <c r="AM36" i="34"/>
  <c r="AK36" i="34"/>
  <c r="AL48" i="34"/>
  <c r="Z99" i="34" s="1"/>
  <c r="AM48" i="34"/>
  <c r="AO48" i="34" s="1"/>
  <c r="X99" i="34"/>
  <c r="AN48" i="34"/>
  <c r="AB99" i="34" s="1"/>
  <c r="AK48" i="34"/>
  <c r="AM20" i="34"/>
  <c r="AN24" i="34"/>
  <c r="AL46" i="34"/>
  <c r="Z97" i="34" s="1"/>
  <c r="AN63" i="34"/>
  <c r="AB114" i="34" s="1"/>
  <c r="X89" i="34"/>
  <c r="AT47" i="33"/>
  <c r="AA20" i="34"/>
  <c r="AF20" i="34" s="1"/>
  <c r="AN20" i="34"/>
  <c r="AK24" i="34"/>
  <c r="B18" i="55" s="1"/>
  <c r="AN46" i="34"/>
  <c r="AB97" i="34" s="1"/>
  <c r="AK46" i="34"/>
  <c r="AL59" i="34"/>
  <c r="Z110" i="34" s="1"/>
  <c r="AM38" i="34"/>
  <c r="AA89" i="34" s="1"/>
  <c r="X114" i="34"/>
  <c r="X78" i="34"/>
  <c r="AN30" i="34"/>
  <c r="AB81" i="34" s="1"/>
  <c r="AL24" i="34"/>
  <c r="Z75" i="34" s="1"/>
  <c r="AM46" i="34"/>
  <c r="AP46" i="34" s="1"/>
  <c r="AK30" i="34"/>
  <c r="AK20" i="34"/>
  <c r="B14" i="55" s="1"/>
  <c r="BR16" i="27"/>
  <c r="BR19" i="27"/>
  <c r="AG17" i="27"/>
  <c r="AK17" i="27" s="1"/>
  <c r="AC39" i="27"/>
  <c r="AD39" i="27" s="1"/>
  <c r="AA101" i="34"/>
  <c r="AE101" i="34" s="1"/>
  <c r="AP50" i="34"/>
  <c r="AB37" i="34"/>
  <c r="Z37" i="34"/>
  <c r="AN64" i="34"/>
  <c r="AB115" i="34" s="1"/>
  <c r="AL64" i="34"/>
  <c r="Z115" i="34" s="1"/>
  <c r="X115" i="34"/>
  <c r="AM64" i="34"/>
  <c r="AA115" i="34" s="1"/>
  <c r="AE115" i="34" s="1"/>
  <c r="AK64" i="34"/>
  <c r="AP34" i="34"/>
  <c r="AO34" i="34"/>
  <c r="AA85" i="34"/>
  <c r="Y53" i="34"/>
  <c r="Z53" i="34"/>
  <c r="AA53" i="34"/>
  <c r="AF53" i="34" s="1"/>
  <c r="AB53" i="34"/>
  <c r="AB17" i="34"/>
  <c r="Z17" i="34"/>
  <c r="AA17" i="34"/>
  <c r="AF17" i="34" s="1"/>
  <c r="AA81" i="34"/>
  <c r="AK44" i="34"/>
  <c r="AN61" i="34"/>
  <c r="AB112" i="34" s="1"/>
  <c r="AN34" i="34"/>
  <c r="AB85" i="34" s="1"/>
  <c r="U68" i="42"/>
  <c r="U69" i="42" s="1"/>
  <c r="AE51" i="34"/>
  <c r="AE63" i="34"/>
  <c r="AM53" i="34"/>
  <c r="AA104" i="34" s="1"/>
  <c r="AK61" i="34"/>
  <c r="AL43" i="34"/>
  <c r="Z94" i="34" s="1"/>
  <c r="AK43" i="34"/>
  <c r="AM43" i="34"/>
  <c r="AA94" i="34" s="1"/>
  <c r="AB43" i="34"/>
  <c r="AA43" i="34"/>
  <c r="AF43" i="34" s="1"/>
  <c r="Z22" i="34"/>
  <c r="AA22" i="34"/>
  <c r="AF22" i="34" s="1"/>
  <c r="AA18" i="34"/>
  <c r="AF18" i="34" s="1"/>
  <c r="Y18" i="34"/>
  <c r="AB16" i="34"/>
  <c r="AA16" i="34"/>
  <c r="AF16" i="34" s="1"/>
  <c r="Y22" i="34"/>
  <c r="Z16" i="34"/>
  <c r="X94" i="34"/>
  <c r="X85" i="34"/>
  <c r="AL34" i="34"/>
  <c r="Z85" i="34" s="1"/>
  <c r="AK34" i="34"/>
  <c r="X88" i="34"/>
  <c r="AK37" i="34"/>
  <c r="AK50" i="34"/>
  <c r="AN50" i="34"/>
  <c r="AB101" i="34" s="1"/>
  <c r="Y52" i="34"/>
  <c r="Z52" i="34"/>
  <c r="AB52" i="34"/>
  <c r="Y29" i="34"/>
  <c r="AA29" i="34"/>
  <c r="AF29" i="34" s="1"/>
  <c r="Y25" i="34"/>
  <c r="AB25" i="34"/>
  <c r="AA25" i="34"/>
  <c r="AF25" i="34" s="1"/>
  <c r="AK40" i="34"/>
  <c r="AL40" i="34"/>
  <c r="Z91" i="34" s="1"/>
  <c r="AO50" i="34"/>
  <c r="Z18" i="34"/>
  <c r="X91" i="34"/>
  <c r="AN43" i="34"/>
  <c r="AB94" i="34" s="1"/>
  <c r="Z43" i="34"/>
  <c r="AE45" i="34"/>
  <c r="AK27" i="34"/>
  <c r="AL27" i="34"/>
  <c r="Z78" i="34" s="1"/>
  <c r="AM27" i="34"/>
  <c r="X81" i="34"/>
  <c r="AL30" i="34"/>
  <c r="Z81" i="34" s="1"/>
  <c r="AN38" i="34"/>
  <c r="AB89" i="34" s="1"/>
  <c r="AL38" i="34"/>
  <c r="Z89" i="34" s="1"/>
  <c r="AN54" i="34"/>
  <c r="AB105" i="34" s="1"/>
  <c r="AL54" i="34"/>
  <c r="Z105" i="34" s="1"/>
  <c r="X105" i="34"/>
  <c r="AK54" i="34"/>
  <c r="AL25" i="34"/>
  <c r="Z76" i="34" s="1"/>
  <c r="AK25" i="34"/>
  <c r="B19" i="55" s="1"/>
  <c r="AN25" i="34"/>
  <c r="AK21" i="34"/>
  <c r="B15" i="55" s="1"/>
  <c r="AL21" i="34"/>
  <c r="Z72" i="34" s="1"/>
  <c r="X72" i="34"/>
  <c r="AM21" i="34"/>
  <c r="Z64" i="34"/>
  <c r="AA64" i="34"/>
  <c r="Y60" i="34"/>
  <c r="AB60" i="34"/>
  <c r="Y54" i="34"/>
  <c r="Z54" i="34"/>
  <c r="AA35" i="34"/>
  <c r="AF35" i="34" s="1"/>
  <c r="AB35" i="34"/>
  <c r="Y32" i="34"/>
  <c r="AA32" i="34"/>
  <c r="AF32" i="34" s="1"/>
  <c r="AB32" i="34"/>
  <c r="AA105" i="34"/>
  <c r="AB18" i="34"/>
  <c r="AN40" i="34"/>
  <c r="AB91" i="34" s="1"/>
  <c r="Y43" i="34"/>
  <c r="AM52" i="34"/>
  <c r="X103" i="34"/>
  <c r="AL52" i="34"/>
  <c r="Z103" i="34" s="1"/>
  <c r="R51" i="27"/>
  <c r="AC51" i="27"/>
  <c r="AD51" i="27" s="1"/>
  <c r="AB41" i="34"/>
  <c r="AA41" i="34"/>
  <c r="AF41" i="34" s="1"/>
  <c r="Y37" i="34"/>
  <c r="AA37" i="34"/>
  <c r="AF37" i="34" s="1"/>
  <c r="I55" i="60"/>
  <c r="E55" i="60" s="1"/>
  <c r="K55" i="33"/>
  <c r="AM31" i="34"/>
  <c r="AN31" i="34"/>
  <c r="AB82" i="34" s="1"/>
  <c r="AL31" i="34"/>
  <c r="Z82" i="34" s="1"/>
  <c r="AK41" i="34"/>
  <c r="X92" i="34"/>
  <c r="AM41" i="34"/>
  <c r="AN16" i="34"/>
  <c r="AL16" i="34"/>
  <c r="Z67" i="34" s="1"/>
  <c r="X67" i="34"/>
  <c r="AN33" i="34"/>
  <c r="AB84" i="34" s="1"/>
  <c r="AN41" i="34"/>
  <c r="AB92" i="34" s="1"/>
  <c r="X14" i="34"/>
  <c r="X82" i="34"/>
  <c r="Z21" i="34"/>
  <c r="AK32" i="34"/>
  <c r="AL32" i="34"/>
  <c r="Z83" i="34" s="1"/>
  <c r="AN32" i="34"/>
  <c r="AB83" i="34" s="1"/>
  <c r="X83" i="34"/>
  <c r="AM39" i="34"/>
  <c r="X90" i="34"/>
  <c r="AL39" i="34"/>
  <c r="Z90" i="34" s="1"/>
  <c r="AN39" i="34"/>
  <c r="AB90" i="34" s="1"/>
  <c r="AM51" i="34"/>
  <c r="AL51" i="34"/>
  <c r="Z102" i="34" s="1"/>
  <c r="X73" i="34"/>
  <c r="AM22" i="34"/>
  <c r="AA73" i="34" s="1"/>
  <c r="AK22" i="34"/>
  <c r="B16" i="55" s="1"/>
  <c r="Y47" i="34"/>
  <c r="Z47" i="34"/>
  <c r="AB42" i="34"/>
  <c r="Z42" i="34"/>
  <c r="AA42" i="34"/>
  <c r="AF42" i="34" s="1"/>
  <c r="AM33" i="34"/>
  <c r="X84" i="34"/>
  <c r="AB31" i="34"/>
  <c r="Z31" i="34"/>
  <c r="AK31" i="34"/>
  <c r="AB21" i="34"/>
  <c r="AL49" i="34"/>
  <c r="Z100" i="34" s="1"/>
  <c r="X100" i="34"/>
  <c r="AM49" i="34"/>
  <c r="AN49" i="34"/>
  <c r="AB100" i="34" s="1"/>
  <c r="AL65" i="34"/>
  <c r="Z116" i="34" s="1"/>
  <c r="X116" i="34"/>
  <c r="AK65" i="34"/>
  <c r="Y61" i="34"/>
  <c r="AB61" i="34"/>
  <c r="AA61" i="34"/>
  <c r="AF61" i="34" s="1"/>
  <c r="Y49" i="34"/>
  <c r="Z49" i="34"/>
  <c r="AB49" i="34"/>
  <c r="AA49" i="34"/>
  <c r="AF49" i="34" s="1"/>
  <c r="AK53" i="34"/>
  <c r="X104" i="34"/>
  <c r="AK19" i="34"/>
  <c r="B13" i="55" s="1"/>
  <c r="AL19" i="34"/>
  <c r="Z70" i="34" s="1"/>
  <c r="AN19" i="34"/>
  <c r="Y40" i="34"/>
  <c r="Z40" i="34"/>
  <c r="AB40" i="34"/>
  <c r="AA40" i="34"/>
  <c r="AF40" i="34" s="1"/>
  <c r="Y24" i="34"/>
  <c r="AB24" i="34"/>
  <c r="AA24" i="34"/>
  <c r="AF24" i="34" s="1"/>
  <c r="Y21" i="34"/>
  <c r="AN37" i="34"/>
  <c r="AB88" i="34" s="1"/>
  <c r="AL37" i="34"/>
  <c r="Z88" i="34" s="1"/>
  <c r="AM37" i="34"/>
  <c r="AP37" i="34" s="1"/>
  <c r="AL53" i="34"/>
  <c r="Z104" i="34" s="1"/>
  <c r="AK49" i="34"/>
  <c r="AM19" i="34"/>
  <c r="AE47" i="34"/>
  <c r="Z24" i="34"/>
  <c r="AN35" i="34"/>
  <c r="AB86" i="34" s="1"/>
  <c r="AL35" i="34"/>
  <c r="Z86" i="34" s="1"/>
  <c r="AK35" i="34"/>
  <c r="AM44" i="34"/>
  <c r="AA95" i="34" s="1"/>
  <c r="AL44" i="34"/>
  <c r="Z95" i="34" s="1"/>
  <c r="AN44" i="34"/>
  <c r="AB95" i="34" s="1"/>
  <c r="AN55" i="34"/>
  <c r="AB106" i="34" s="1"/>
  <c r="AL55" i="34"/>
  <c r="Z106" i="34" s="1"/>
  <c r="AM55" i="34"/>
  <c r="AK59" i="34"/>
  <c r="AM59" i="34"/>
  <c r="X110" i="34"/>
  <c r="AL63" i="34"/>
  <c r="Z114" i="34" s="1"/>
  <c r="AM63" i="34"/>
  <c r="Y64" i="34"/>
  <c r="AB64" i="34"/>
  <c r="AQ68" i="43"/>
  <c r="AQ69" i="43" s="1"/>
  <c r="S14" i="43" s="1"/>
  <c r="P54" i="33"/>
  <c r="I54" i="33"/>
  <c r="E54" i="33" s="1"/>
  <c r="K51" i="33"/>
  <c r="P52" i="33"/>
  <c r="P53" i="33"/>
  <c r="X41" i="28"/>
  <c r="X59" i="28"/>
  <c r="X51" i="28"/>
  <c r="X47" i="28"/>
  <c r="X39" i="28"/>
  <c r="X36" i="28"/>
  <c r="K56" i="33"/>
  <c r="X62" i="28"/>
  <c r="X58" i="28"/>
  <c r="X54" i="28"/>
  <c r="X50" i="28"/>
  <c r="X46" i="28"/>
  <c r="X43" i="28"/>
  <c r="X38" i="28"/>
  <c r="X63" i="28"/>
  <c r="X55" i="28"/>
  <c r="X44" i="28"/>
  <c r="X65" i="28"/>
  <c r="X61" i="28"/>
  <c r="X57" i="28"/>
  <c r="X53" i="28"/>
  <c r="X49" i="28"/>
  <c r="X45" i="28"/>
  <c r="X37" i="28"/>
  <c r="P56" i="33"/>
  <c r="X64" i="28"/>
  <c r="X60" i="28"/>
  <c r="X56" i="28"/>
  <c r="X52" i="28"/>
  <c r="X48" i="28"/>
  <c r="X42" i="28"/>
  <c r="X40" i="28"/>
  <c r="AC55" i="27"/>
  <c r="AD55" i="27" s="1"/>
  <c r="R19" i="27"/>
  <c r="AG69" i="27"/>
  <c r="AK69" i="27" s="1"/>
  <c r="AG61" i="27"/>
  <c r="AK61" i="27" s="1"/>
  <c r="AG29" i="27"/>
  <c r="AK29" i="27" s="1"/>
  <c r="AG18" i="27"/>
  <c r="AK18" i="27" s="1"/>
  <c r="AL18" i="27" s="1"/>
  <c r="AG70" i="27"/>
  <c r="AK70" i="27" s="1"/>
  <c r="AG46" i="27"/>
  <c r="AK46" i="27" s="1"/>
  <c r="AG42" i="27"/>
  <c r="AK42" i="27" s="1"/>
  <c r="AG34" i="27"/>
  <c r="AK34" i="27" s="1"/>
  <c r="AG50" i="27"/>
  <c r="AK50" i="27" s="1"/>
  <c r="AG38" i="27"/>
  <c r="AK38" i="27" s="1"/>
  <c r="AG30" i="27"/>
  <c r="AK30" i="27" s="1"/>
  <c r="AG26" i="27"/>
  <c r="AK26" i="27" s="1"/>
  <c r="AC63" i="27"/>
  <c r="AD63" i="27" s="1"/>
  <c r="R23" i="27"/>
  <c r="BI19" i="27"/>
  <c r="AC31" i="27"/>
  <c r="AD31" i="27" s="1"/>
  <c r="AT83" i="27"/>
  <c r="AG16" i="27"/>
  <c r="AK16" i="27" s="1"/>
  <c r="AG67" i="27"/>
  <c r="AK67" i="27" s="1"/>
  <c r="AG51" i="27"/>
  <c r="AK51" i="27" s="1"/>
  <c r="AG47" i="27"/>
  <c r="AK47" i="27" s="1"/>
  <c r="AG43" i="27"/>
  <c r="AK43" i="27" s="1"/>
  <c r="AG39" i="27"/>
  <c r="AK39" i="27" s="1"/>
  <c r="AG35" i="27"/>
  <c r="AK35" i="27" s="1"/>
  <c r="AG31" i="27"/>
  <c r="AK31" i="27" s="1"/>
  <c r="AG19" i="27"/>
  <c r="AK19" i="27" s="1"/>
  <c r="AT80" i="27"/>
  <c r="K33" i="45" s="1"/>
  <c r="R64" i="27"/>
  <c r="R16" i="27"/>
  <c r="R54" i="27"/>
  <c r="AC30" i="27"/>
  <c r="AD30" i="27" s="1"/>
  <c r="P30" i="27" s="1"/>
  <c r="R42" i="27"/>
  <c r="R20" i="27"/>
  <c r="R62" i="27"/>
  <c r="R50" i="27"/>
  <c r="R40" i="27"/>
  <c r="AG21" i="27"/>
  <c r="AK21" i="27" s="1"/>
  <c r="AG20" i="27"/>
  <c r="AK20" i="27" s="1"/>
  <c r="AG72" i="27"/>
  <c r="AK72" i="27" s="1"/>
  <c r="AG68" i="27"/>
  <c r="AK68" i="27" s="1"/>
  <c r="AG64" i="27"/>
  <c r="AK64" i="27" s="1"/>
  <c r="AG60" i="27"/>
  <c r="AK60" i="27" s="1"/>
  <c r="AG48" i="27"/>
  <c r="AK48" i="27" s="1"/>
  <c r="AG32" i="27"/>
  <c r="AK32" i="27" s="1"/>
  <c r="AG22" i="27"/>
  <c r="AK22" i="27" s="1"/>
  <c r="R72" i="27"/>
  <c r="R25" i="27"/>
  <c r="R28" i="27"/>
  <c r="AG52" i="27"/>
  <c r="AK52" i="27" s="1"/>
  <c r="AG44" i="27"/>
  <c r="AK44" i="27" s="1"/>
  <c r="AG40" i="27"/>
  <c r="AK40" i="27" s="1"/>
  <c r="AG36" i="27"/>
  <c r="AK36" i="27" s="1"/>
  <c r="AG28" i="27"/>
  <c r="AK28" i="27" s="1"/>
  <c r="AC47" i="27"/>
  <c r="AD47" i="27" s="1"/>
  <c r="R75" i="27"/>
  <c r="R36" i="27"/>
  <c r="R21" i="27"/>
  <c r="AG23" i="27"/>
  <c r="AK23" i="27" s="1"/>
  <c r="R60" i="27"/>
  <c r="AG74" i="27"/>
  <c r="AK74" i="27" s="1"/>
  <c r="AG65" i="27"/>
  <c r="AK65" i="27" s="1"/>
  <c r="AG57" i="27"/>
  <c r="AK57" i="27" s="1"/>
  <c r="AG53" i="27"/>
  <c r="AK53" i="27" s="1"/>
  <c r="AG49" i="27"/>
  <c r="AK49" i="27" s="1"/>
  <c r="AG45" i="27"/>
  <c r="AK45" i="27" s="1"/>
  <c r="AG41" i="27"/>
  <c r="AK41" i="27" s="1"/>
  <c r="AG37" i="27"/>
  <c r="AK37" i="27" s="1"/>
  <c r="AG33" i="27"/>
  <c r="AK33" i="27" s="1"/>
  <c r="AG25" i="27"/>
  <c r="AK25" i="27" s="1"/>
  <c r="R37" i="27"/>
  <c r="R48" i="27"/>
  <c r="AC67" i="27"/>
  <c r="AD67" i="27" s="1"/>
  <c r="R52" i="27"/>
  <c r="AG24" i="27"/>
  <c r="AK24" i="27" s="1"/>
  <c r="AL24" i="27" s="1"/>
  <c r="AC71" i="27"/>
  <c r="AD71" i="27" s="1"/>
  <c r="R56" i="27"/>
  <c r="AC27" i="27"/>
  <c r="AD27" i="27" s="1"/>
  <c r="P27" i="27" s="1"/>
  <c r="BR27" i="27" s="1"/>
  <c r="R29" i="27"/>
  <c r="R32" i="27"/>
  <c r="AC43" i="27"/>
  <c r="AD43" i="27" s="1"/>
  <c r="AG75" i="27"/>
  <c r="AK75" i="27" s="1"/>
  <c r="AG71" i="27"/>
  <c r="AK71" i="27" s="1"/>
  <c r="AG66" i="27"/>
  <c r="AK66" i="27" s="1"/>
  <c r="AG63" i="27"/>
  <c r="AK63" i="27" s="1"/>
  <c r="AG62" i="27"/>
  <c r="AK62" i="27" s="1"/>
  <c r="AG59" i="27"/>
  <c r="AK59" i="27" s="1"/>
  <c r="AG58" i="27"/>
  <c r="AK58" i="27" s="1"/>
  <c r="AG55" i="27"/>
  <c r="AK55" i="27" s="1"/>
  <c r="AG54" i="27"/>
  <c r="AK54" i="27" s="1"/>
  <c r="AC17" i="27"/>
  <c r="AD17" i="27" s="1"/>
  <c r="P17" i="27" s="1"/>
  <c r="R53" i="27"/>
  <c r="R68" i="27"/>
  <c r="AG27" i="27"/>
  <c r="AK27" i="27" s="1"/>
  <c r="R22" i="27"/>
  <c r="AC59" i="27"/>
  <c r="AD59" i="27" s="1"/>
  <c r="R33" i="27"/>
  <c r="R45" i="27"/>
  <c r="AG56" i="27"/>
  <c r="AK56" i="27" s="1"/>
  <c r="X22" i="28"/>
  <c r="X19" i="28"/>
  <c r="X21" i="28"/>
  <c r="X34" i="28"/>
  <c r="N16" i="28"/>
  <c r="I51" i="33"/>
  <c r="X32" i="28"/>
  <c r="I52" i="60"/>
  <c r="B13" i="45"/>
  <c r="X16" i="28"/>
  <c r="X30" i="28"/>
  <c r="B13" i="42"/>
  <c r="X29" i="28"/>
  <c r="X26" i="28"/>
  <c r="X24" i="28"/>
  <c r="X18" i="28"/>
  <c r="X35" i="28"/>
  <c r="X23" i="28"/>
  <c r="X17" i="28"/>
  <c r="X27" i="28"/>
  <c r="X31" i="28"/>
  <c r="AE67" i="34"/>
  <c r="X79" i="34"/>
  <c r="AM28" i="34"/>
  <c r="AN28" i="34"/>
  <c r="AB79" i="34" s="1"/>
  <c r="AJ14" i="34"/>
  <c r="AL28" i="34"/>
  <c r="Z79" i="34" s="1"/>
  <c r="AK28" i="34"/>
  <c r="AM47" i="34"/>
  <c r="AL47" i="34"/>
  <c r="Z98" i="34" s="1"/>
  <c r="AK47" i="34"/>
  <c r="AN47" i="34"/>
  <c r="AB98" i="34" s="1"/>
  <c r="X98" i="34"/>
  <c r="AL58" i="34"/>
  <c r="Z109" i="34" s="1"/>
  <c r="AN58" i="34"/>
  <c r="AB109" i="34" s="1"/>
  <c r="AM58" i="34"/>
  <c r="AK58" i="34"/>
  <c r="AN62" i="34"/>
  <c r="AB113" i="34" s="1"/>
  <c r="AK62" i="34"/>
  <c r="X113" i="34"/>
  <c r="AM62" i="34"/>
  <c r="AL62" i="34"/>
  <c r="Z113" i="34" s="1"/>
  <c r="AO40" i="34"/>
  <c r="AA91" i="34"/>
  <c r="AP40" i="34"/>
  <c r="AO32" i="34"/>
  <c r="AA83" i="34"/>
  <c r="AO16" i="34"/>
  <c r="AP16" i="34"/>
  <c r="AM29" i="34"/>
  <c r="X80" i="34"/>
  <c r="AN29" i="34"/>
  <c r="AB80" i="34" s="1"/>
  <c r="AL29" i="34"/>
  <c r="Z80" i="34" s="1"/>
  <c r="X93" i="34"/>
  <c r="AL42" i="34"/>
  <c r="Z93" i="34" s="1"/>
  <c r="AM42" i="34"/>
  <c r="AM45" i="34"/>
  <c r="AL45" i="34"/>
  <c r="Z96" i="34" s="1"/>
  <c r="AA107" i="34"/>
  <c r="AO56" i="34"/>
  <c r="X108" i="34"/>
  <c r="AL57" i="34"/>
  <c r="Z108" i="34" s="1"/>
  <c r="AM57" i="34"/>
  <c r="AN57" i="34"/>
  <c r="AB108" i="34" s="1"/>
  <c r="BH76" i="45"/>
  <c r="BW76" i="45" s="1"/>
  <c r="AV12" i="55"/>
  <c r="BE24" i="58" l="1"/>
  <c r="BG24" i="58" s="1"/>
  <c r="R24" i="58" s="1"/>
  <c r="AR24" i="60"/>
  <c r="AT24" i="60" s="1"/>
  <c r="T24" i="60" s="1"/>
  <c r="AP25" i="34"/>
  <c r="BE22" i="58"/>
  <c r="BG22" i="58" s="1"/>
  <c r="AR23" i="60"/>
  <c r="AT23" i="60" s="1"/>
  <c r="T23" i="60" s="1"/>
  <c r="AO25" i="34"/>
  <c r="M36" i="37"/>
  <c r="AD36" i="37" s="1"/>
  <c r="M27" i="54"/>
  <c r="AZ27" i="54"/>
  <c r="BE26" i="58"/>
  <c r="BG26" i="58" s="1"/>
  <c r="R26" i="58" s="1"/>
  <c r="AT17" i="27"/>
  <c r="M29" i="58"/>
  <c r="N29" i="58" s="1"/>
  <c r="M27" i="58"/>
  <c r="N27" i="58" s="1"/>
  <c r="BE27" i="58" s="1"/>
  <c r="BG27" i="58" s="1"/>
  <c r="R27" i="58" s="1"/>
  <c r="L29" i="54"/>
  <c r="AZ29" i="54" s="1"/>
  <c r="N22" i="60"/>
  <c r="O22" i="60" s="1"/>
  <c r="N53" i="60" s="1"/>
  <c r="O53" i="60" s="1"/>
  <c r="BE23" i="58"/>
  <c r="BG23" i="58" s="1"/>
  <c r="R23" i="58" s="1"/>
  <c r="E52" i="60"/>
  <c r="I53" i="58"/>
  <c r="E53" i="58" s="1"/>
  <c r="I53" i="60"/>
  <c r="E53" i="60" s="1"/>
  <c r="Y19" i="55"/>
  <c r="Y45" i="55"/>
  <c r="Y32" i="55"/>
  <c r="Y51" i="55"/>
  <c r="Y23" i="55"/>
  <c r="AK16" i="28"/>
  <c r="I52" i="58"/>
  <c r="N53" i="58"/>
  <c r="Y18" i="55"/>
  <c r="Y36" i="55"/>
  <c r="Y13" i="55"/>
  <c r="Y16" i="55"/>
  <c r="N20" i="28"/>
  <c r="AL19" i="28" s="1"/>
  <c r="I55" i="58"/>
  <c r="E55" i="58" s="1"/>
  <c r="Y15" i="55"/>
  <c r="Y14" i="55"/>
  <c r="Y20" i="55"/>
  <c r="Y57" i="55"/>
  <c r="Y33" i="55"/>
  <c r="Y27" i="55"/>
  <c r="O25" i="53"/>
  <c r="Q17" i="55"/>
  <c r="Y17" i="55"/>
  <c r="M26" i="54"/>
  <c r="AZ26" i="54"/>
  <c r="DH16" i="51"/>
  <c r="AA75" i="34"/>
  <c r="AF75" i="34" s="1"/>
  <c r="AP24" i="34"/>
  <c r="AE52" i="34"/>
  <c r="BR34" i="27"/>
  <c r="M28" i="54"/>
  <c r="BR35" i="27"/>
  <c r="M29" i="54"/>
  <c r="L29" i="37"/>
  <c r="AS29" i="37" s="1"/>
  <c r="AE54" i="34"/>
  <c r="AE21" i="34"/>
  <c r="AE39" i="34"/>
  <c r="AE62" i="34"/>
  <c r="M45" i="53"/>
  <c r="U45" i="53"/>
  <c r="L42" i="53"/>
  <c r="U42" i="53"/>
  <c r="Q33" i="53"/>
  <c r="U33" i="53"/>
  <c r="O14" i="53"/>
  <c r="U14" i="53"/>
  <c r="K24" i="53"/>
  <c r="U24" i="53"/>
  <c r="L32" i="53"/>
  <c r="U32" i="53"/>
  <c r="R33" i="53"/>
  <c r="AG33" i="53" s="1"/>
  <c r="P39" i="53"/>
  <c r="U39" i="53"/>
  <c r="K25" i="53"/>
  <c r="U25" i="53"/>
  <c r="N30" i="53"/>
  <c r="U30" i="53"/>
  <c r="B35" i="53"/>
  <c r="S35" i="53" s="1"/>
  <c r="B51" i="53"/>
  <c r="S51" i="53" s="1"/>
  <c r="B28" i="53"/>
  <c r="S28" i="53" s="1"/>
  <c r="B36" i="53"/>
  <c r="S36" i="53" s="1"/>
  <c r="B17" i="53"/>
  <c r="S17" i="53" s="1"/>
  <c r="B57" i="53"/>
  <c r="S57" i="53" s="1"/>
  <c r="B22" i="53"/>
  <c r="S22" i="53" s="1"/>
  <c r="B50" i="53"/>
  <c r="S50" i="53" s="1"/>
  <c r="B13" i="53"/>
  <c r="S13" i="53" s="1"/>
  <c r="B29" i="53"/>
  <c r="S29" i="53" s="1"/>
  <c r="B38" i="53"/>
  <c r="S38" i="53" s="1"/>
  <c r="AF60" i="34"/>
  <c r="R39" i="53"/>
  <c r="AG39" i="53" s="1"/>
  <c r="N42" i="53"/>
  <c r="L36" i="53"/>
  <c r="Y109" i="34"/>
  <c r="B52" i="55"/>
  <c r="Y86" i="34"/>
  <c r="B29" i="55"/>
  <c r="Y116" i="34"/>
  <c r="B59" i="55"/>
  <c r="Y82" i="34"/>
  <c r="B25" i="55"/>
  <c r="AS15" i="55"/>
  <c r="P15" i="55"/>
  <c r="L15" i="55"/>
  <c r="O15" i="55"/>
  <c r="M15" i="55"/>
  <c r="N15" i="55"/>
  <c r="K15" i="55"/>
  <c r="Y105" i="34"/>
  <c r="B48" i="55"/>
  <c r="Y101" i="34"/>
  <c r="B44" i="55"/>
  <c r="Y107" i="34"/>
  <c r="B50" i="55"/>
  <c r="R50" i="55" s="1"/>
  <c r="AH50" i="55" s="1"/>
  <c r="AS17" i="55"/>
  <c r="P17" i="55"/>
  <c r="L17" i="55"/>
  <c r="N17" i="55"/>
  <c r="M17" i="55"/>
  <c r="K17" i="55"/>
  <c r="O17" i="55"/>
  <c r="L33" i="53"/>
  <c r="R17" i="55"/>
  <c r="AH17" i="55" s="1"/>
  <c r="AS36" i="55"/>
  <c r="N36" i="55"/>
  <c r="M36" i="55"/>
  <c r="O36" i="55"/>
  <c r="L36" i="55"/>
  <c r="P36" i="55"/>
  <c r="K36" i="55"/>
  <c r="AS57" i="55"/>
  <c r="P57" i="55"/>
  <c r="N57" i="55"/>
  <c r="M57" i="55"/>
  <c r="L57" i="55"/>
  <c r="O57" i="55"/>
  <c r="K57" i="55"/>
  <c r="AS33" i="55"/>
  <c r="P33" i="55"/>
  <c r="L33" i="55"/>
  <c r="N33" i="55"/>
  <c r="M33" i="55"/>
  <c r="K33" i="55"/>
  <c r="O33" i="55"/>
  <c r="AS27" i="55"/>
  <c r="P27" i="55"/>
  <c r="L27" i="55"/>
  <c r="N27" i="55"/>
  <c r="O27" i="55"/>
  <c r="M27" i="55"/>
  <c r="K27" i="55"/>
  <c r="AS13" i="55"/>
  <c r="P13" i="55"/>
  <c r="L13" i="55"/>
  <c r="N13" i="55"/>
  <c r="M13" i="55"/>
  <c r="K13" i="55"/>
  <c r="O13" i="55"/>
  <c r="Y88" i="34"/>
  <c r="B31" i="55"/>
  <c r="AS14" i="55"/>
  <c r="O14" i="55"/>
  <c r="K14" i="55"/>
  <c r="N14" i="55"/>
  <c r="P14" i="55"/>
  <c r="M14" i="55"/>
  <c r="L14" i="55"/>
  <c r="AS18" i="55"/>
  <c r="O18" i="55"/>
  <c r="K18" i="55"/>
  <c r="L18" i="55"/>
  <c r="N18" i="55"/>
  <c r="M18" i="55"/>
  <c r="P18" i="55"/>
  <c r="Y103" i="34"/>
  <c r="B46" i="55"/>
  <c r="Y106" i="34"/>
  <c r="B49" i="55"/>
  <c r="Y111" i="34"/>
  <c r="B54" i="55"/>
  <c r="Q13" i="55"/>
  <c r="R14" i="55"/>
  <c r="W14" i="55" s="1"/>
  <c r="Y79" i="34"/>
  <c r="B22" i="55"/>
  <c r="Y110" i="34"/>
  <c r="B53" i="55"/>
  <c r="Y113" i="34"/>
  <c r="B56" i="55"/>
  <c r="Y98" i="34"/>
  <c r="B41" i="55"/>
  <c r="Y100" i="34"/>
  <c r="B43" i="55"/>
  <c r="AS16" i="55"/>
  <c r="N16" i="55"/>
  <c r="M16" i="55"/>
  <c r="O16" i="55"/>
  <c r="K16" i="55"/>
  <c r="P16" i="55"/>
  <c r="L16" i="55"/>
  <c r="Y83" i="34"/>
  <c r="B26" i="55"/>
  <c r="AS19" i="55"/>
  <c r="P19" i="55"/>
  <c r="L19" i="55"/>
  <c r="N19" i="55"/>
  <c r="O19" i="55"/>
  <c r="M19" i="55"/>
  <c r="K19" i="55"/>
  <c r="Y78" i="34"/>
  <c r="B21" i="55"/>
  <c r="Y91" i="34"/>
  <c r="B34" i="55"/>
  <c r="Y94" i="34"/>
  <c r="B37" i="55"/>
  <c r="Y95" i="34"/>
  <c r="B38" i="55"/>
  <c r="Y115" i="34"/>
  <c r="B58" i="55"/>
  <c r="Y81" i="34"/>
  <c r="B24" i="55"/>
  <c r="Y99" i="34"/>
  <c r="B42" i="55"/>
  <c r="R24" i="53"/>
  <c r="AG24" i="53" s="1"/>
  <c r="L25" i="53"/>
  <c r="P45" i="53"/>
  <c r="R13" i="55"/>
  <c r="AH13" i="55" s="1"/>
  <c r="Q14" i="55"/>
  <c r="AS45" i="55"/>
  <c r="P45" i="55"/>
  <c r="N45" i="55"/>
  <c r="M45" i="55"/>
  <c r="L45" i="55"/>
  <c r="O45" i="55"/>
  <c r="K45" i="55"/>
  <c r="AS32" i="55"/>
  <c r="N32" i="55"/>
  <c r="M32" i="55"/>
  <c r="O32" i="55"/>
  <c r="K32" i="55"/>
  <c r="P32" i="55"/>
  <c r="L32" i="55"/>
  <c r="AS51" i="55"/>
  <c r="P51" i="55"/>
  <c r="N51" i="55"/>
  <c r="O51" i="55"/>
  <c r="L51" i="55"/>
  <c r="M51" i="55"/>
  <c r="K51" i="55"/>
  <c r="AS23" i="55"/>
  <c r="P23" i="55"/>
  <c r="L23" i="55"/>
  <c r="O23" i="55"/>
  <c r="M23" i="55"/>
  <c r="N23" i="55"/>
  <c r="K23" i="55"/>
  <c r="Y104" i="34"/>
  <c r="B47" i="55"/>
  <c r="Y92" i="34"/>
  <c r="B35" i="55"/>
  <c r="Y85" i="34"/>
  <c r="B28" i="55"/>
  <c r="Y112" i="34"/>
  <c r="B55" i="55"/>
  <c r="Y97" i="34"/>
  <c r="B40" i="55"/>
  <c r="Y87" i="34"/>
  <c r="B30" i="55"/>
  <c r="AS20" i="55"/>
  <c r="N20" i="55"/>
  <c r="M20" i="55"/>
  <c r="O20" i="55"/>
  <c r="K20" i="55"/>
  <c r="P20" i="55"/>
  <c r="L20" i="55"/>
  <c r="Y96" i="34"/>
  <c r="B39" i="55"/>
  <c r="AT30" i="27"/>
  <c r="P24" i="53"/>
  <c r="R30" i="53"/>
  <c r="V30" i="53" s="1"/>
  <c r="N45" i="53"/>
  <c r="Q24" i="53"/>
  <c r="M24" i="53"/>
  <c r="O32" i="53"/>
  <c r="L45" i="53"/>
  <c r="R45" i="53"/>
  <c r="AG45" i="53" s="1"/>
  <c r="L24" i="53"/>
  <c r="O24" i="53"/>
  <c r="O45" i="53"/>
  <c r="Q45" i="53"/>
  <c r="R14" i="53"/>
  <c r="V14" i="53" s="1"/>
  <c r="M59" i="5"/>
  <c r="N24" i="53"/>
  <c r="K45" i="53"/>
  <c r="O33" i="53"/>
  <c r="P33" i="53"/>
  <c r="Q25" i="53"/>
  <c r="M25" i="53"/>
  <c r="M33" i="53"/>
  <c r="K33" i="53"/>
  <c r="R25" i="53"/>
  <c r="AG25" i="53" s="1"/>
  <c r="P25" i="53"/>
  <c r="N33" i="53"/>
  <c r="N25" i="53"/>
  <c r="K14" i="53"/>
  <c r="AR14" i="53"/>
  <c r="AR45" i="53"/>
  <c r="AR24" i="53"/>
  <c r="O30" i="53"/>
  <c r="AR30" i="53"/>
  <c r="R32" i="53"/>
  <c r="AG32" i="53" s="1"/>
  <c r="AR32" i="53"/>
  <c r="AR25" i="53"/>
  <c r="Q42" i="53"/>
  <c r="AR42" i="53"/>
  <c r="K39" i="53"/>
  <c r="AR39" i="53"/>
  <c r="AR33" i="53"/>
  <c r="M26" i="37"/>
  <c r="AS26" i="37"/>
  <c r="M27" i="37"/>
  <c r="AS27" i="37"/>
  <c r="B23" i="53"/>
  <c r="S23" i="53" s="1"/>
  <c r="Q12" i="55"/>
  <c r="R12" i="55"/>
  <c r="Q36" i="55"/>
  <c r="R36" i="55"/>
  <c r="AH36" i="55" s="1"/>
  <c r="B58" i="53"/>
  <c r="S58" i="53" s="1"/>
  <c r="B43" i="53"/>
  <c r="S43" i="53" s="1"/>
  <c r="B26" i="53"/>
  <c r="S26" i="53" s="1"/>
  <c r="B48" i="53"/>
  <c r="S48" i="53" s="1"/>
  <c r="Q16" i="55"/>
  <c r="R16" i="55"/>
  <c r="AH16" i="55" s="1"/>
  <c r="AE33" i="34"/>
  <c r="B52" i="53"/>
  <c r="S52" i="53" s="1"/>
  <c r="B27" i="53"/>
  <c r="S27" i="53" s="1"/>
  <c r="Q20" i="55"/>
  <c r="R20" i="55"/>
  <c r="AH20" i="55" s="1"/>
  <c r="N32" i="53"/>
  <c r="M32" i="53"/>
  <c r="L39" i="53"/>
  <c r="N39" i="53"/>
  <c r="P14" i="53"/>
  <c r="M14" i="53"/>
  <c r="L30" i="53"/>
  <c r="Q30" i="53"/>
  <c r="O42" i="53"/>
  <c r="R42" i="53"/>
  <c r="AG42" i="53" s="1"/>
  <c r="R45" i="55"/>
  <c r="AH45" i="55" s="1"/>
  <c r="Q45" i="55"/>
  <c r="CN9" i="55"/>
  <c r="Q51" i="55"/>
  <c r="R51" i="55"/>
  <c r="AH51" i="55" s="1"/>
  <c r="R15" i="55"/>
  <c r="AH15" i="55" s="1"/>
  <c r="Q15" i="55"/>
  <c r="B41" i="53"/>
  <c r="S41" i="53" s="1"/>
  <c r="R19" i="55"/>
  <c r="AH19" i="55" s="1"/>
  <c r="Q19" i="55"/>
  <c r="B49" i="53"/>
  <c r="S49" i="53" s="1"/>
  <c r="B44" i="53"/>
  <c r="S44" i="53" s="1"/>
  <c r="B21" i="53"/>
  <c r="S21" i="53" s="1"/>
  <c r="K32" i="53"/>
  <c r="P32" i="53"/>
  <c r="M39" i="53"/>
  <c r="O39" i="53"/>
  <c r="L14" i="53"/>
  <c r="Q14" i="53"/>
  <c r="P30" i="53"/>
  <c r="K30" i="53"/>
  <c r="K42" i="53"/>
  <c r="M42" i="53"/>
  <c r="R33" i="55"/>
  <c r="AH33" i="55" s="1"/>
  <c r="Q33" i="55"/>
  <c r="B55" i="53"/>
  <c r="S55" i="53" s="1"/>
  <c r="Q18" i="55"/>
  <c r="R18" i="55"/>
  <c r="AH18" i="55" s="1"/>
  <c r="B34" i="53"/>
  <c r="S34" i="53" s="1"/>
  <c r="B31" i="53"/>
  <c r="S31" i="53" s="1"/>
  <c r="B37" i="53"/>
  <c r="S37" i="53" s="1"/>
  <c r="B54" i="53"/>
  <c r="S54" i="53" s="1"/>
  <c r="B46" i="53"/>
  <c r="S46" i="53" s="1"/>
  <c r="B47" i="53"/>
  <c r="S47" i="53" s="1"/>
  <c r="B59" i="53"/>
  <c r="S59" i="53" s="1"/>
  <c r="B56" i="53"/>
  <c r="S56" i="53" s="1"/>
  <c r="B40" i="53"/>
  <c r="S40" i="53" s="1"/>
  <c r="B53" i="53"/>
  <c r="S53" i="53" s="1"/>
  <c r="Q32" i="53"/>
  <c r="Q39" i="53"/>
  <c r="N14" i="53"/>
  <c r="M30" i="53"/>
  <c r="P42" i="53"/>
  <c r="R57" i="55"/>
  <c r="AH57" i="55" s="1"/>
  <c r="Q57" i="55"/>
  <c r="Q32" i="55"/>
  <c r="R32" i="55"/>
  <c r="AH32" i="55" s="1"/>
  <c r="AE28" i="34"/>
  <c r="B18" i="53"/>
  <c r="S18" i="53" s="1"/>
  <c r="AB71" i="34"/>
  <c r="B19" i="53"/>
  <c r="S19" i="53" s="1"/>
  <c r="B15" i="53"/>
  <c r="S15" i="53" s="1"/>
  <c r="B12" i="53"/>
  <c r="S12" i="53" s="1"/>
  <c r="AB69" i="34"/>
  <c r="B16" i="53"/>
  <c r="S16" i="53" s="1"/>
  <c r="AB77" i="34"/>
  <c r="AB74" i="34"/>
  <c r="AB68" i="34"/>
  <c r="AE50" i="34"/>
  <c r="AF50" i="34"/>
  <c r="AE64" i="34"/>
  <c r="AF64" i="34"/>
  <c r="AE56" i="34"/>
  <c r="AF56" i="34"/>
  <c r="B20" i="53"/>
  <c r="S20" i="53" s="1"/>
  <c r="AE48" i="34"/>
  <c r="AF48" i="34"/>
  <c r="AE23" i="34"/>
  <c r="CM9" i="53"/>
  <c r="L13" i="34"/>
  <c r="AC16" i="34"/>
  <c r="AE19" i="34"/>
  <c r="Y11" i="3"/>
  <c r="BR30" i="27"/>
  <c r="AT26" i="27"/>
  <c r="AE59" i="34"/>
  <c r="AO31" i="37"/>
  <c r="AO39" i="37"/>
  <c r="AO32" i="37"/>
  <c r="AO40" i="37"/>
  <c r="AO33" i="37"/>
  <c r="AO41" i="37"/>
  <c r="AO30" i="37"/>
  <c r="AO38" i="37"/>
  <c r="AO43" i="37"/>
  <c r="AO37" i="37"/>
  <c r="AO45" i="37"/>
  <c r="AO44" i="37"/>
  <c r="AO34" i="37"/>
  <c r="AO42" i="37"/>
  <c r="AE30" i="34"/>
  <c r="Y17" i="34"/>
  <c r="Y24" i="3"/>
  <c r="Y5" i="3"/>
  <c r="Y17" i="3"/>
  <c r="Y25" i="3"/>
  <c r="Y15" i="3"/>
  <c r="Y8" i="3"/>
  <c r="Y2" i="3"/>
  <c r="Y23" i="3"/>
  <c r="Y9" i="3"/>
  <c r="Y14" i="3"/>
  <c r="Y21" i="3"/>
  <c r="Y18" i="3"/>
  <c r="Y6" i="3"/>
  <c r="Y4" i="3"/>
  <c r="Y12" i="3"/>
  <c r="Y13" i="3"/>
  <c r="Y22" i="3"/>
  <c r="Y7" i="3"/>
  <c r="Y20" i="3"/>
  <c r="Y19" i="3"/>
  <c r="R13" i="34"/>
  <c r="M63" i="5" s="1"/>
  <c r="AK16" i="34"/>
  <c r="AK17" i="34"/>
  <c r="AP18" i="34"/>
  <c r="AA111" i="34"/>
  <c r="AF111" i="34" s="1"/>
  <c r="AO60" i="34"/>
  <c r="AP35" i="34"/>
  <c r="AE26" i="34"/>
  <c r="AP48" i="34"/>
  <c r="Y16" i="34"/>
  <c r="P14" i="42"/>
  <c r="E56" i="33"/>
  <c r="AO44" i="34"/>
  <c r="AO38" i="34"/>
  <c r="AO18" i="34"/>
  <c r="AE65" i="34"/>
  <c r="AP23" i="34"/>
  <c r="AE43" i="34"/>
  <c r="AE34" i="34"/>
  <c r="AA116" i="34"/>
  <c r="AF116" i="34" s="1"/>
  <c r="AB76" i="34"/>
  <c r="AE57" i="34"/>
  <c r="Y74" i="34"/>
  <c r="AE38" i="34"/>
  <c r="AE55" i="34"/>
  <c r="AE46" i="34"/>
  <c r="AE44" i="34"/>
  <c r="AP22" i="34"/>
  <c r="AA68" i="34"/>
  <c r="AF68" i="34" s="1"/>
  <c r="AF86" i="34"/>
  <c r="AA74" i="34"/>
  <c r="AE74" i="34" s="1"/>
  <c r="AE36" i="34"/>
  <c r="AO35" i="34"/>
  <c r="AO46" i="34"/>
  <c r="Y77" i="34"/>
  <c r="AP17" i="34"/>
  <c r="AO61" i="34"/>
  <c r="AP61" i="34"/>
  <c r="AP64" i="34"/>
  <c r="M27" i="33"/>
  <c r="N27" i="33" s="1"/>
  <c r="M29" i="33"/>
  <c r="N29" i="33" s="1"/>
  <c r="M53" i="33" s="1"/>
  <c r="AO26" i="34"/>
  <c r="AA77" i="34"/>
  <c r="BE47" i="33"/>
  <c r="AO15" i="33" s="1"/>
  <c r="AP20" i="33" s="1"/>
  <c r="AW47" i="33"/>
  <c r="Y15" i="33" s="1"/>
  <c r="Z20" i="33" s="1"/>
  <c r="AU47" i="33"/>
  <c r="AV47" i="33"/>
  <c r="W15" i="33" s="1"/>
  <c r="BB47" i="33"/>
  <c r="AI15" i="33" s="1"/>
  <c r="AJ20" i="33" s="1"/>
  <c r="AY47" i="33"/>
  <c r="AC15" i="33" s="1"/>
  <c r="AD20" i="33" s="1"/>
  <c r="AZ47" i="33"/>
  <c r="AE15" i="33" s="1"/>
  <c r="AF20" i="33" s="1"/>
  <c r="BC47" i="33"/>
  <c r="AK15" i="33" s="1"/>
  <c r="AL20" i="33" s="1"/>
  <c r="AX47" i="33"/>
  <c r="AA15" i="33" s="1"/>
  <c r="AB20" i="33" s="1"/>
  <c r="BD47" i="33"/>
  <c r="AM15" i="33" s="1"/>
  <c r="BA47" i="33"/>
  <c r="AG15" i="33" s="1"/>
  <c r="AH20" i="33" s="1"/>
  <c r="BC33" i="45"/>
  <c r="L33" i="45"/>
  <c r="AB75" i="34"/>
  <c r="K37" i="45"/>
  <c r="AE58" i="34"/>
  <c r="K40" i="45"/>
  <c r="AP65" i="34"/>
  <c r="AA97" i="34"/>
  <c r="AE97" i="34" s="1"/>
  <c r="K38" i="45"/>
  <c r="AE53" i="34"/>
  <c r="AA99" i="34"/>
  <c r="AF99" i="34" s="1"/>
  <c r="AP44" i="34"/>
  <c r="Y71" i="34"/>
  <c r="AO20" i="34"/>
  <c r="AA71" i="34"/>
  <c r="AP20" i="34"/>
  <c r="AA87" i="34"/>
  <c r="AP36" i="34"/>
  <c r="AO36" i="34"/>
  <c r="AA88" i="34"/>
  <c r="AF88" i="34" s="1"/>
  <c r="AO22" i="34"/>
  <c r="AP38" i="34"/>
  <c r="AE35" i="34"/>
  <c r="AF101" i="34"/>
  <c r="AE20" i="34"/>
  <c r="AO37" i="34"/>
  <c r="Y75" i="34"/>
  <c r="AE25" i="34"/>
  <c r="I55" i="33"/>
  <c r="E55" i="33" s="1"/>
  <c r="AK19" i="28"/>
  <c r="BR17" i="27"/>
  <c r="AC24" i="27"/>
  <c r="AD24" i="27" s="1"/>
  <c r="P24" i="27" s="1"/>
  <c r="BC25" i="58" s="1"/>
  <c r="BD25" i="58" s="1"/>
  <c r="R24" i="27"/>
  <c r="AE17" i="34"/>
  <c r="AF85" i="34"/>
  <c r="AE85" i="34"/>
  <c r="AO64" i="34"/>
  <c r="AE22" i="34"/>
  <c r="AP43" i="34"/>
  <c r="V69" i="42"/>
  <c r="AO53" i="34"/>
  <c r="AP53" i="34"/>
  <c r="AE81" i="34"/>
  <c r="AF81" i="34"/>
  <c r="AF115" i="34"/>
  <c r="AO43" i="34"/>
  <c r="AE41" i="34"/>
  <c r="AE18" i="34"/>
  <c r="Y72" i="34"/>
  <c r="AE16" i="34"/>
  <c r="AE94" i="34"/>
  <c r="AF94" i="34"/>
  <c r="AE32" i="34"/>
  <c r="AE37" i="34"/>
  <c r="AO52" i="34"/>
  <c r="AA103" i="34"/>
  <c r="AP52" i="34"/>
  <c r="AF105" i="34"/>
  <c r="AE105" i="34"/>
  <c r="AO21" i="34"/>
  <c r="AP21" i="34"/>
  <c r="AA72" i="34"/>
  <c r="AE29" i="34"/>
  <c r="Y76" i="34"/>
  <c r="AO27" i="34"/>
  <c r="AP27" i="34"/>
  <c r="AA78" i="34"/>
  <c r="Y17" i="28" a="1"/>
  <c r="Y17" i="28" s="1"/>
  <c r="Y21" i="28" a="1"/>
  <c r="Y21" i="28" s="1"/>
  <c r="Y25" i="28" a="1"/>
  <c r="Y25" i="28" s="1"/>
  <c r="Y29" i="28" a="1"/>
  <c r="Y29" i="28" s="1"/>
  <c r="Y33" i="28" a="1"/>
  <c r="Y33" i="28" s="1"/>
  <c r="Y37" i="28" a="1"/>
  <c r="Y37" i="28" s="1"/>
  <c r="Y41" i="28" a="1"/>
  <c r="Y41" i="28" s="1"/>
  <c r="Y45" i="28" a="1"/>
  <c r="Y45" i="28" s="1"/>
  <c r="Y49" i="28" a="1"/>
  <c r="Y49" i="28" s="1"/>
  <c r="Y53" i="28" a="1"/>
  <c r="Y53" i="28" s="1"/>
  <c r="Y20" i="28" a="1"/>
  <c r="Y20" i="28" s="1"/>
  <c r="Y32" i="28" a="1"/>
  <c r="Y32" i="28" s="1"/>
  <c r="Y36" i="28" a="1"/>
  <c r="Y36" i="28" s="1"/>
  <c r="Y44" i="28" a="1"/>
  <c r="Y44" i="28" s="1"/>
  <c r="Y52" i="28" a="1"/>
  <c r="Y52" i="28" s="1"/>
  <c r="Y18" i="28" a="1"/>
  <c r="Y18" i="28" s="1"/>
  <c r="Y22" i="28" a="1"/>
  <c r="Y22" i="28" s="1"/>
  <c r="Y26" i="28" a="1"/>
  <c r="Y26" i="28" s="1"/>
  <c r="Y30" i="28" a="1"/>
  <c r="Y30" i="28" s="1"/>
  <c r="Y34" i="28" a="1"/>
  <c r="Y34" i="28" s="1"/>
  <c r="Y38" i="28" a="1"/>
  <c r="Y38" i="28" s="1"/>
  <c r="Y42" i="28" a="1"/>
  <c r="Y42" i="28" s="1"/>
  <c r="Y46" i="28" a="1"/>
  <c r="Y46" i="28" s="1"/>
  <c r="Y50" i="28" a="1"/>
  <c r="Y50" i="28" s="1"/>
  <c r="Y54" i="28" a="1"/>
  <c r="Y54" i="28" s="1"/>
  <c r="Y16" i="28" a="1"/>
  <c r="Y16" i="28" s="1"/>
  <c r="Y19" i="28" a="1"/>
  <c r="Y19" i="28" s="1"/>
  <c r="Y23" i="28" a="1"/>
  <c r="Y23" i="28" s="1"/>
  <c r="Y27" i="28" a="1"/>
  <c r="Y27" i="28" s="1"/>
  <c r="Y31" i="28" a="1"/>
  <c r="Y31" i="28" s="1"/>
  <c r="Y35" i="28" a="1"/>
  <c r="Y35" i="28" s="1"/>
  <c r="Y39" i="28" a="1"/>
  <c r="Y39" i="28" s="1"/>
  <c r="Y43" i="28" a="1"/>
  <c r="Y43" i="28" s="1"/>
  <c r="Y47" i="28" a="1"/>
  <c r="Y47" i="28" s="1"/>
  <c r="Y51" i="28" a="1"/>
  <c r="Y51" i="28" s="1"/>
  <c r="Y55" i="28" a="1"/>
  <c r="Y55" i="28" s="1"/>
  <c r="Y24" i="28" a="1"/>
  <c r="Y24" i="28" s="1"/>
  <c r="Y28" i="28" a="1"/>
  <c r="Y28" i="28" s="1"/>
  <c r="Y40" i="28" a="1"/>
  <c r="Y40" i="28" s="1"/>
  <c r="Y48" i="28" a="1"/>
  <c r="Y48" i="28" s="1"/>
  <c r="N17" i="28"/>
  <c r="AK17" i="28"/>
  <c r="N18" i="28"/>
  <c r="AL18" i="28" s="1"/>
  <c r="AK18" i="28"/>
  <c r="R18" i="27"/>
  <c r="AC18" i="27"/>
  <c r="AD18" i="27" s="1"/>
  <c r="P18" i="27" s="1"/>
  <c r="AO59" i="34"/>
  <c r="AP59" i="34"/>
  <c r="AA110" i="34"/>
  <c r="AF104" i="34"/>
  <c r="AE104" i="34"/>
  <c r="Y70" i="34"/>
  <c r="AP63" i="34"/>
  <c r="AO63" i="34"/>
  <c r="AA114" i="34"/>
  <c r="AB67" i="34"/>
  <c r="AA106" i="34"/>
  <c r="AO55" i="34"/>
  <c r="AP55" i="34"/>
  <c r="AE112" i="34"/>
  <c r="AF112" i="34"/>
  <c r="AE40" i="34"/>
  <c r="AB70" i="34"/>
  <c r="AO49" i="34"/>
  <c r="AP49" i="34"/>
  <c r="AA100" i="34"/>
  <c r="AA84" i="34"/>
  <c r="AO33" i="34"/>
  <c r="AP33" i="34"/>
  <c r="AO41" i="34"/>
  <c r="AP41" i="34"/>
  <c r="AA92" i="34"/>
  <c r="AR69" i="43"/>
  <c r="Y73" i="34"/>
  <c r="AO19" i="34"/>
  <c r="AP19" i="34"/>
  <c r="AA70" i="34"/>
  <c r="AE24" i="34"/>
  <c r="AE49" i="34"/>
  <c r="AE61" i="34"/>
  <c r="AE42" i="34"/>
  <c r="AO51" i="34"/>
  <c r="AA102" i="34"/>
  <c r="AP51" i="34"/>
  <c r="AP39" i="34"/>
  <c r="AA90" i="34"/>
  <c r="AO39" i="34"/>
  <c r="AA82" i="34"/>
  <c r="AP31" i="34"/>
  <c r="AO31" i="34"/>
  <c r="E51" i="33"/>
  <c r="I53" i="33"/>
  <c r="E53" i="33" s="1"/>
  <c r="AT81" i="27"/>
  <c r="I52" i="33"/>
  <c r="E52" i="33" s="1"/>
  <c r="AE89" i="34"/>
  <c r="AF89" i="34"/>
  <c r="AA113" i="34"/>
  <c r="AO62" i="34"/>
  <c r="AP62" i="34"/>
  <c r="AO47" i="34"/>
  <c r="AP47" i="34"/>
  <c r="AA98" i="34"/>
  <c r="AO28" i="34"/>
  <c r="AP28" i="34"/>
  <c r="AA79" i="34"/>
  <c r="AP45" i="34"/>
  <c r="AO45" i="34"/>
  <c r="AA96" i="34"/>
  <c r="AE91" i="34"/>
  <c r="AF91" i="34"/>
  <c r="AO58" i="34"/>
  <c r="AA109" i="34"/>
  <c r="AP58" i="34"/>
  <c r="AE95" i="34"/>
  <c r="AF95" i="34"/>
  <c r="AO57" i="34"/>
  <c r="AP57" i="34"/>
  <c r="AA108" i="34"/>
  <c r="AE107" i="34"/>
  <c r="AF107" i="34"/>
  <c r="AE73" i="34"/>
  <c r="AF73" i="34"/>
  <c r="BI76" i="45"/>
  <c r="AO42" i="34"/>
  <c r="AA93" i="34"/>
  <c r="AP42" i="34"/>
  <c r="AO29" i="34"/>
  <c r="AP29" i="34"/>
  <c r="AA80" i="34"/>
  <c r="AE83" i="34"/>
  <c r="AF83" i="34"/>
  <c r="AE76" i="34"/>
  <c r="AF76" i="34"/>
  <c r="AE69" i="34"/>
  <c r="AW12" i="55"/>
  <c r="AU12" i="55"/>
  <c r="AT12" i="55"/>
  <c r="L28" i="53" l="1"/>
  <c r="AE36" i="37"/>
  <c r="N29" i="54"/>
  <c r="P29" i="54" s="1"/>
  <c r="AL27" i="54"/>
  <c r="AE27" i="54"/>
  <c r="AA27" i="54"/>
  <c r="AC27" i="54"/>
  <c r="Y27" i="54"/>
  <c r="AM26" i="37"/>
  <c r="S26" i="37"/>
  <c r="Y26" i="37"/>
  <c r="U26" i="37"/>
  <c r="Q26" i="37"/>
  <c r="W26" i="37"/>
  <c r="AL26" i="54"/>
  <c r="AE26" i="54"/>
  <c r="AA26" i="54"/>
  <c r="AC26" i="54"/>
  <c r="Y26" i="54"/>
  <c r="N51" i="60"/>
  <c r="O51" i="60" s="1"/>
  <c r="N54" i="60"/>
  <c r="O54" i="60" s="1"/>
  <c r="N55" i="60"/>
  <c r="O55" i="60" s="1"/>
  <c r="N56" i="60"/>
  <c r="O56" i="60" s="1"/>
  <c r="N26" i="54"/>
  <c r="P26" i="54" s="1"/>
  <c r="N27" i="54"/>
  <c r="P27" i="54" s="1"/>
  <c r="E57" i="60"/>
  <c r="N11" i="58"/>
  <c r="BE29" i="58"/>
  <c r="BG29" i="58" s="1"/>
  <c r="R29" i="58" s="1"/>
  <c r="AT27" i="54"/>
  <c r="AK27" i="54"/>
  <c r="AC20" i="42"/>
  <c r="M25" i="58"/>
  <c r="N25" i="58" s="1"/>
  <c r="N13" i="60"/>
  <c r="Q99" i="5" s="1"/>
  <c r="AR22" i="60"/>
  <c r="AT22" i="60" s="1"/>
  <c r="N52" i="60"/>
  <c r="O52" i="60" s="1"/>
  <c r="AE75" i="34"/>
  <c r="R22" i="58"/>
  <c r="N28" i="54"/>
  <c r="P28" i="54" s="1"/>
  <c r="AT26" i="54"/>
  <c r="W16" i="55"/>
  <c r="W45" i="55"/>
  <c r="W20" i="55"/>
  <c r="W51" i="55"/>
  <c r="W33" i="55"/>
  <c r="Y52" i="55"/>
  <c r="E52" i="58"/>
  <c r="E57" i="58" s="1"/>
  <c r="Y37" i="55"/>
  <c r="Y21" i="55"/>
  <c r="Y41" i="55"/>
  <c r="Y48" i="55"/>
  <c r="Y40" i="55"/>
  <c r="Y47" i="55"/>
  <c r="Y26" i="55"/>
  <c r="R25" i="55"/>
  <c r="AH25" i="55" s="1"/>
  <c r="W32" i="55"/>
  <c r="W19" i="55"/>
  <c r="AL19" i="55" s="1"/>
  <c r="AN19" i="55" s="1"/>
  <c r="Y55" i="55"/>
  <c r="Y59" i="55"/>
  <c r="Y58" i="55"/>
  <c r="Y53" i="55"/>
  <c r="Y49" i="55"/>
  <c r="W50" i="55"/>
  <c r="AL50" i="55" s="1"/>
  <c r="AN50" i="55" s="1"/>
  <c r="W15" i="55"/>
  <c r="AL15" i="55" s="1"/>
  <c r="AN15" i="55" s="1"/>
  <c r="W36" i="55"/>
  <c r="AH12" i="55"/>
  <c r="W12" i="55"/>
  <c r="AL12" i="55" s="1"/>
  <c r="AN12" i="55" s="1"/>
  <c r="Y34" i="55"/>
  <c r="Y43" i="55"/>
  <c r="Y56" i="55"/>
  <c r="Y54" i="55"/>
  <c r="Y46" i="55"/>
  <c r="Y31" i="55"/>
  <c r="Y44" i="55"/>
  <c r="W57" i="55"/>
  <c r="AL57" i="55" s="1"/>
  <c r="AN57" i="55" s="1"/>
  <c r="W13" i="55"/>
  <c r="W18" i="55"/>
  <c r="W17" i="55"/>
  <c r="G32" i="53"/>
  <c r="V42" i="53"/>
  <c r="V32" i="53"/>
  <c r="V45" i="53"/>
  <c r="V24" i="53"/>
  <c r="V33" i="53"/>
  <c r="V25" i="53"/>
  <c r="V39" i="53"/>
  <c r="G30" i="53"/>
  <c r="G15" i="53"/>
  <c r="G56" i="53"/>
  <c r="L44" i="53"/>
  <c r="G44" i="53"/>
  <c r="L43" i="53"/>
  <c r="G43" i="53"/>
  <c r="N50" i="53"/>
  <c r="G50" i="53"/>
  <c r="G33" i="53"/>
  <c r="G16" i="53"/>
  <c r="G37" i="53"/>
  <c r="G49" i="53"/>
  <c r="M27" i="53"/>
  <c r="G27" i="53"/>
  <c r="R22" i="53"/>
  <c r="AG22" i="53" s="1"/>
  <c r="G22" i="53"/>
  <c r="R28" i="53"/>
  <c r="V28" i="53" s="1"/>
  <c r="G28" i="53"/>
  <c r="G14" i="53"/>
  <c r="M53" i="53"/>
  <c r="G53" i="53"/>
  <c r="P47" i="53"/>
  <c r="G47" i="53"/>
  <c r="N31" i="53"/>
  <c r="G31" i="53"/>
  <c r="K55" i="53"/>
  <c r="G55" i="53"/>
  <c r="G52" i="53"/>
  <c r="G48" i="53"/>
  <c r="M23" i="53"/>
  <c r="G23" i="53"/>
  <c r="P29" i="53"/>
  <c r="G29" i="53"/>
  <c r="N57" i="53"/>
  <c r="G57" i="53"/>
  <c r="G51" i="53"/>
  <c r="G42" i="53"/>
  <c r="G24" i="53"/>
  <c r="G45" i="53"/>
  <c r="K54" i="53"/>
  <c r="G54" i="53"/>
  <c r="M41" i="53"/>
  <c r="G41" i="53"/>
  <c r="O36" i="53"/>
  <c r="G36" i="53"/>
  <c r="K19" i="53"/>
  <c r="G19" i="53"/>
  <c r="G59" i="53"/>
  <c r="K58" i="53"/>
  <c r="G58" i="53"/>
  <c r="AR36" i="53"/>
  <c r="K38" i="53"/>
  <c r="G38" i="53"/>
  <c r="G20" i="53"/>
  <c r="G12" i="53"/>
  <c r="G18" i="53"/>
  <c r="G40" i="53"/>
  <c r="G46" i="53"/>
  <c r="Q34" i="53"/>
  <c r="G34" i="53"/>
  <c r="Q21" i="53"/>
  <c r="G21" i="53"/>
  <c r="G26" i="53"/>
  <c r="Q13" i="53"/>
  <c r="G13" i="53"/>
  <c r="N17" i="53"/>
  <c r="G17" i="53"/>
  <c r="O35" i="53"/>
  <c r="G35" i="53"/>
  <c r="G25" i="53"/>
  <c r="G39" i="53"/>
  <c r="M50" i="53"/>
  <c r="Q24" i="55"/>
  <c r="Y24" i="55"/>
  <c r="Q22" i="55"/>
  <c r="Y22" i="55"/>
  <c r="Q30" i="55"/>
  <c r="Y30" i="55"/>
  <c r="Q35" i="55"/>
  <c r="Y35" i="55"/>
  <c r="Q42" i="55"/>
  <c r="Y42" i="55"/>
  <c r="Q50" i="55"/>
  <c r="Y50" i="55"/>
  <c r="Z50" i="55" s="1"/>
  <c r="R39" i="55"/>
  <c r="AH39" i="55" s="1"/>
  <c r="Y39" i="55"/>
  <c r="Z39" i="55" s="1"/>
  <c r="Q38" i="55"/>
  <c r="Y38" i="55"/>
  <c r="Q28" i="55"/>
  <c r="Y28" i="55"/>
  <c r="Q25" i="55"/>
  <c r="Y25" i="55"/>
  <c r="Z25" i="55" s="1"/>
  <c r="Q29" i="55"/>
  <c r="Y29" i="55"/>
  <c r="AK26" i="54"/>
  <c r="Z14" i="55"/>
  <c r="AH14" i="55"/>
  <c r="DI16" i="51"/>
  <c r="AD26" i="37"/>
  <c r="R29" i="55"/>
  <c r="AH29" i="55" s="1"/>
  <c r="M20" i="42"/>
  <c r="AE26" i="37"/>
  <c r="AR22" i="53"/>
  <c r="AE27" i="37"/>
  <c r="O57" i="53"/>
  <c r="AR35" i="53"/>
  <c r="AK29" i="54"/>
  <c r="AL29" i="54"/>
  <c r="AL28" i="54"/>
  <c r="AK28" i="54"/>
  <c r="K53" i="53"/>
  <c r="L57" i="53"/>
  <c r="N19" i="53"/>
  <c r="R47" i="53"/>
  <c r="AG47" i="53" s="1"/>
  <c r="R29" i="53"/>
  <c r="I29" i="53" s="1"/>
  <c r="Q53" i="53"/>
  <c r="Q19" i="53"/>
  <c r="N22" i="53"/>
  <c r="N28" i="53"/>
  <c r="R38" i="53"/>
  <c r="AG38" i="53" s="1"/>
  <c r="N35" i="53"/>
  <c r="N13" i="53"/>
  <c r="M13" i="53"/>
  <c r="K17" i="53"/>
  <c r="L50" i="53"/>
  <c r="R35" i="53"/>
  <c r="I35" i="53" s="1"/>
  <c r="P17" i="53"/>
  <c r="M28" i="53"/>
  <c r="Q17" i="53"/>
  <c r="R17" i="53"/>
  <c r="AG17" i="53" s="1"/>
  <c r="P28" i="53"/>
  <c r="K35" i="53"/>
  <c r="AR28" i="53"/>
  <c r="I33" i="53"/>
  <c r="K28" i="53"/>
  <c r="O28" i="53"/>
  <c r="L59" i="53"/>
  <c r="U59" i="53"/>
  <c r="Q29" i="53"/>
  <c r="U29" i="53"/>
  <c r="M51" i="53"/>
  <c r="U51" i="53"/>
  <c r="M12" i="53"/>
  <c r="U12" i="53"/>
  <c r="U18" i="53"/>
  <c r="K57" i="53"/>
  <c r="L53" i="53"/>
  <c r="U53" i="53"/>
  <c r="K47" i="53"/>
  <c r="U47" i="53"/>
  <c r="R31" i="53"/>
  <c r="AG31" i="53" s="1"/>
  <c r="U31" i="53"/>
  <c r="P55" i="53"/>
  <c r="U55" i="53"/>
  <c r="O29" i="53"/>
  <c r="K29" i="53"/>
  <c r="Q27" i="53"/>
  <c r="U27" i="53"/>
  <c r="L58" i="53"/>
  <c r="U58" i="53"/>
  <c r="AR29" i="53"/>
  <c r="K13" i="53"/>
  <c r="U13" i="53"/>
  <c r="O17" i="53"/>
  <c r="U17" i="53"/>
  <c r="U35" i="53"/>
  <c r="R37" i="53"/>
  <c r="AG37" i="53" s="1"/>
  <c r="U37" i="53"/>
  <c r="M49" i="53"/>
  <c r="U49" i="53"/>
  <c r="U43" i="53"/>
  <c r="U57" i="53"/>
  <c r="U20" i="53"/>
  <c r="O58" i="53"/>
  <c r="N47" i="53"/>
  <c r="L15" i="53"/>
  <c r="U15" i="53"/>
  <c r="M29" i="53"/>
  <c r="Q40" i="53"/>
  <c r="U40" i="53"/>
  <c r="P46" i="53"/>
  <c r="U46" i="53"/>
  <c r="K34" i="53"/>
  <c r="U34" i="53"/>
  <c r="M57" i="53"/>
  <c r="L21" i="53"/>
  <c r="U21" i="53"/>
  <c r="N29" i="53"/>
  <c r="R52" i="53"/>
  <c r="AG52" i="53" s="1"/>
  <c r="U52" i="53"/>
  <c r="P48" i="53"/>
  <c r="U48" i="53"/>
  <c r="K23" i="53"/>
  <c r="U23" i="53"/>
  <c r="AR17" i="53"/>
  <c r="AR57" i="53"/>
  <c r="L29" i="53"/>
  <c r="M17" i="53"/>
  <c r="L17" i="53"/>
  <c r="Q28" i="53"/>
  <c r="Q35" i="53"/>
  <c r="M35" i="53"/>
  <c r="AR50" i="53"/>
  <c r="U50" i="53"/>
  <c r="P36" i="53"/>
  <c r="U36" i="53"/>
  <c r="N43" i="53"/>
  <c r="R16" i="53"/>
  <c r="AG16" i="53" s="1"/>
  <c r="U16" i="53"/>
  <c r="M19" i="53"/>
  <c r="U19" i="53"/>
  <c r="K56" i="53"/>
  <c r="U56" i="53"/>
  <c r="L54" i="53"/>
  <c r="U54" i="53"/>
  <c r="R57" i="53"/>
  <c r="AG57" i="53" s="1"/>
  <c r="R44" i="53"/>
  <c r="AG44" i="53" s="1"/>
  <c r="U44" i="53"/>
  <c r="L41" i="53"/>
  <c r="U41" i="53"/>
  <c r="Q57" i="53"/>
  <c r="K26" i="53"/>
  <c r="U26" i="53"/>
  <c r="P57" i="53"/>
  <c r="Q51" i="53"/>
  <c r="L35" i="53"/>
  <c r="P35" i="53"/>
  <c r="P38" i="53"/>
  <c r="U38" i="53"/>
  <c r="Q22" i="53"/>
  <c r="U22" i="53"/>
  <c r="U28" i="53"/>
  <c r="AD14" i="55"/>
  <c r="R38" i="55"/>
  <c r="W38" i="55" s="1"/>
  <c r="Q39" i="55"/>
  <c r="R35" i="55"/>
  <c r="W35" i="55" s="1"/>
  <c r="R28" i="55"/>
  <c r="W28" i="55" s="1"/>
  <c r="AA13" i="55"/>
  <c r="AD17" i="55"/>
  <c r="I39" i="53"/>
  <c r="I24" i="53"/>
  <c r="I30" i="53"/>
  <c r="AG30" i="53"/>
  <c r="I14" i="53"/>
  <c r="AG14" i="53"/>
  <c r="L13" i="53"/>
  <c r="P13" i="53"/>
  <c r="Z17" i="55"/>
  <c r="AA17" i="55"/>
  <c r="P22" i="53"/>
  <c r="K50" i="53"/>
  <c r="O51" i="53"/>
  <c r="R50" i="53"/>
  <c r="AG50" i="53" s="1"/>
  <c r="L51" i="53"/>
  <c r="P50" i="53"/>
  <c r="N51" i="53"/>
  <c r="N38" i="53"/>
  <c r="L38" i="53"/>
  <c r="Q50" i="53"/>
  <c r="N36" i="53"/>
  <c r="M36" i="53"/>
  <c r="O23" i="53"/>
  <c r="R13" i="53"/>
  <c r="AG13" i="53" s="1"/>
  <c r="R42" i="55"/>
  <c r="AH42" i="55" s="1"/>
  <c r="R22" i="55"/>
  <c r="AH22" i="55" s="1"/>
  <c r="Z13" i="55"/>
  <c r="AR51" i="53"/>
  <c r="R51" i="53"/>
  <c r="AG51" i="53" s="1"/>
  <c r="M22" i="53"/>
  <c r="O50" i="53"/>
  <c r="K51" i="53"/>
  <c r="K22" i="53"/>
  <c r="P51" i="53"/>
  <c r="O38" i="53"/>
  <c r="M38" i="53"/>
  <c r="Q36" i="53"/>
  <c r="K36" i="53"/>
  <c r="P23" i="53"/>
  <c r="O13" i="53"/>
  <c r="AD13" i="55"/>
  <c r="AR38" i="53"/>
  <c r="AR13" i="53"/>
  <c r="L22" i="53"/>
  <c r="O22" i="53"/>
  <c r="Q38" i="53"/>
  <c r="R36" i="53"/>
  <c r="AG36" i="53" s="1"/>
  <c r="D17" i="55"/>
  <c r="I45" i="53"/>
  <c r="R30" i="55"/>
  <c r="AH30" i="55" s="1"/>
  <c r="M52" i="53"/>
  <c r="Q56" i="53"/>
  <c r="Q54" i="53"/>
  <c r="L56" i="53"/>
  <c r="P44" i="53"/>
  <c r="O41" i="53"/>
  <c r="K52" i="53"/>
  <c r="K41" i="53"/>
  <c r="R54" i="53"/>
  <c r="V54" i="53" s="1"/>
  <c r="P52" i="53"/>
  <c r="R56" i="53"/>
  <c r="AG56" i="53" s="1"/>
  <c r="M44" i="53"/>
  <c r="R24" i="55"/>
  <c r="AH24" i="55" s="1"/>
  <c r="O19" i="53"/>
  <c r="Q41" i="53"/>
  <c r="N54" i="53"/>
  <c r="N52" i="53"/>
  <c r="L47" i="53"/>
  <c r="R53" i="53"/>
  <c r="AG53" i="53" s="1"/>
  <c r="P56" i="53"/>
  <c r="Q23" i="53"/>
  <c r="K44" i="53"/>
  <c r="Q31" i="53"/>
  <c r="AA14" i="55"/>
  <c r="Y68" i="34"/>
  <c r="B11" i="55"/>
  <c r="N40" i="53"/>
  <c r="AS39" i="55"/>
  <c r="P39" i="55"/>
  <c r="O39" i="55"/>
  <c r="M39" i="55"/>
  <c r="L39" i="55"/>
  <c r="C39" i="55"/>
  <c r="N39" i="55"/>
  <c r="D39" i="55"/>
  <c r="K39" i="55"/>
  <c r="C20" i="55"/>
  <c r="AS30" i="55"/>
  <c r="O30" i="55"/>
  <c r="K30" i="55"/>
  <c r="N30" i="55"/>
  <c r="D30" i="55"/>
  <c r="P30" i="55"/>
  <c r="M30" i="55"/>
  <c r="C30" i="55"/>
  <c r="L30" i="55"/>
  <c r="AS55" i="55"/>
  <c r="P55" i="55"/>
  <c r="O55" i="55"/>
  <c r="M55" i="55"/>
  <c r="L55" i="55"/>
  <c r="C55" i="55"/>
  <c r="N55" i="55"/>
  <c r="D55" i="55"/>
  <c r="K55" i="55"/>
  <c r="AS35" i="55"/>
  <c r="P35" i="55"/>
  <c r="N35" i="55"/>
  <c r="O35" i="55"/>
  <c r="L35" i="55"/>
  <c r="C35" i="55"/>
  <c r="M35" i="55"/>
  <c r="D35" i="55"/>
  <c r="K35" i="55"/>
  <c r="D23" i="55"/>
  <c r="AS24" i="55"/>
  <c r="N24" i="55"/>
  <c r="M24" i="55"/>
  <c r="O24" i="55"/>
  <c r="K24" i="55"/>
  <c r="D24" i="55"/>
  <c r="P24" i="55"/>
  <c r="C24" i="55"/>
  <c r="L24" i="55"/>
  <c r="AS38" i="55"/>
  <c r="O38" i="55"/>
  <c r="N38" i="55"/>
  <c r="L38" i="55"/>
  <c r="K38" i="55"/>
  <c r="D38" i="55"/>
  <c r="P38" i="55"/>
  <c r="C38" i="55"/>
  <c r="M38" i="55"/>
  <c r="AS34" i="55"/>
  <c r="O34" i="55"/>
  <c r="L34" i="55"/>
  <c r="K34" i="55"/>
  <c r="C34" i="55"/>
  <c r="M34" i="55"/>
  <c r="D34" i="55"/>
  <c r="N34" i="55"/>
  <c r="P34" i="55"/>
  <c r="D19" i="55"/>
  <c r="AS41" i="55"/>
  <c r="P41" i="55"/>
  <c r="N41" i="55"/>
  <c r="M41" i="55"/>
  <c r="L41" i="55"/>
  <c r="D41" i="55"/>
  <c r="O41" i="55"/>
  <c r="C41" i="55"/>
  <c r="K41" i="55"/>
  <c r="AS53" i="55"/>
  <c r="P53" i="55"/>
  <c r="N53" i="55"/>
  <c r="M53" i="55"/>
  <c r="L53" i="55"/>
  <c r="D53" i="55"/>
  <c r="O53" i="55"/>
  <c r="C53" i="55"/>
  <c r="K53" i="55"/>
  <c r="AS49" i="55"/>
  <c r="P49" i="55"/>
  <c r="N49" i="55"/>
  <c r="M49" i="55"/>
  <c r="L49" i="55"/>
  <c r="D49" i="55"/>
  <c r="O49" i="55"/>
  <c r="C49" i="55"/>
  <c r="K49" i="55"/>
  <c r="AS31" i="55"/>
  <c r="P31" i="55"/>
  <c r="L31" i="55"/>
  <c r="O31" i="55"/>
  <c r="M31" i="55"/>
  <c r="C31" i="55"/>
  <c r="N31" i="55"/>
  <c r="K31" i="55"/>
  <c r="D31" i="55"/>
  <c r="D13" i="55"/>
  <c r="D27" i="55"/>
  <c r="D33" i="55"/>
  <c r="C36" i="55"/>
  <c r="AS50" i="55"/>
  <c r="O50" i="55"/>
  <c r="L50" i="55"/>
  <c r="K50" i="55"/>
  <c r="N50" i="55"/>
  <c r="C50" i="55"/>
  <c r="M50" i="55"/>
  <c r="D50" i="55"/>
  <c r="P50" i="55"/>
  <c r="AS48" i="55"/>
  <c r="N48" i="55"/>
  <c r="M48" i="55"/>
  <c r="O48" i="55"/>
  <c r="L48" i="55"/>
  <c r="D48" i="55"/>
  <c r="P48" i="55"/>
  <c r="K48" i="55"/>
  <c r="C48" i="55"/>
  <c r="AS25" i="55"/>
  <c r="P25" i="55"/>
  <c r="L25" i="55"/>
  <c r="N25" i="55"/>
  <c r="M25" i="55"/>
  <c r="K25" i="55"/>
  <c r="D25" i="55"/>
  <c r="O25" i="55"/>
  <c r="C25" i="55"/>
  <c r="AS29" i="55"/>
  <c r="P29" i="55"/>
  <c r="L29" i="55"/>
  <c r="N29" i="55"/>
  <c r="M29" i="55"/>
  <c r="K29" i="55"/>
  <c r="D29" i="55"/>
  <c r="O29" i="55"/>
  <c r="C29" i="55"/>
  <c r="B10" i="55"/>
  <c r="D12" i="55"/>
  <c r="C12" i="55"/>
  <c r="C51" i="55"/>
  <c r="C32" i="55"/>
  <c r="D45" i="55"/>
  <c r="C16" i="55"/>
  <c r="D18" i="55"/>
  <c r="C57" i="55"/>
  <c r="C15" i="55"/>
  <c r="M21" i="53"/>
  <c r="M46" i="53"/>
  <c r="D20" i="55"/>
  <c r="AS40" i="55"/>
  <c r="N40" i="55"/>
  <c r="M40" i="55"/>
  <c r="O40" i="55"/>
  <c r="L40" i="55"/>
  <c r="D40" i="55"/>
  <c r="P40" i="55"/>
  <c r="K40" i="55"/>
  <c r="C40" i="55"/>
  <c r="AS28" i="55"/>
  <c r="N28" i="55"/>
  <c r="M28" i="55"/>
  <c r="O28" i="55"/>
  <c r="K28" i="55"/>
  <c r="P28" i="55"/>
  <c r="C28" i="55"/>
  <c r="L28" i="55"/>
  <c r="D28" i="55"/>
  <c r="AS47" i="55"/>
  <c r="P47" i="55"/>
  <c r="O47" i="55"/>
  <c r="M47" i="55"/>
  <c r="L47" i="55"/>
  <c r="C47" i="55"/>
  <c r="N47" i="55"/>
  <c r="D47" i="55"/>
  <c r="K47" i="55"/>
  <c r="AS42" i="55"/>
  <c r="O42" i="55"/>
  <c r="L42" i="55"/>
  <c r="N42" i="55"/>
  <c r="M42" i="55"/>
  <c r="K42" i="55"/>
  <c r="D42" i="55"/>
  <c r="P42" i="55"/>
  <c r="C42" i="55"/>
  <c r="AS58" i="55"/>
  <c r="O58" i="55"/>
  <c r="L58" i="55"/>
  <c r="M58" i="55"/>
  <c r="K58" i="55"/>
  <c r="C58" i="55"/>
  <c r="D58" i="55"/>
  <c r="N58" i="55"/>
  <c r="P58" i="55"/>
  <c r="AS37" i="55"/>
  <c r="P37" i="55"/>
  <c r="N37" i="55"/>
  <c r="M37" i="55"/>
  <c r="L37" i="55"/>
  <c r="D37" i="55"/>
  <c r="O37" i="55"/>
  <c r="C37" i="55"/>
  <c r="K37" i="55"/>
  <c r="AS21" i="55"/>
  <c r="P21" i="55"/>
  <c r="L21" i="55"/>
  <c r="N21" i="55"/>
  <c r="M21" i="55"/>
  <c r="K21" i="55"/>
  <c r="D21" i="55"/>
  <c r="O21" i="55"/>
  <c r="C21" i="55"/>
  <c r="AS26" i="55"/>
  <c r="O26" i="55"/>
  <c r="K26" i="55"/>
  <c r="M26" i="55"/>
  <c r="L26" i="55"/>
  <c r="N26" i="55"/>
  <c r="D26" i="55"/>
  <c r="P26" i="55"/>
  <c r="C26" i="55"/>
  <c r="AS43" i="55"/>
  <c r="P43" i="55"/>
  <c r="N43" i="55"/>
  <c r="O43" i="55"/>
  <c r="L43" i="55"/>
  <c r="C43" i="55"/>
  <c r="M43" i="55"/>
  <c r="D43" i="55"/>
  <c r="K43" i="55"/>
  <c r="AS56" i="55"/>
  <c r="N56" i="55"/>
  <c r="M56" i="55"/>
  <c r="O56" i="55"/>
  <c r="L56" i="55"/>
  <c r="D56" i="55"/>
  <c r="P56" i="55"/>
  <c r="K56" i="55"/>
  <c r="C56" i="55"/>
  <c r="AS22" i="55"/>
  <c r="O22" i="55"/>
  <c r="K22" i="55"/>
  <c r="N22" i="55"/>
  <c r="D22" i="55"/>
  <c r="P22" i="55"/>
  <c r="C22" i="55"/>
  <c r="L22" i="55"/>
  <c r="M22" i="55"/>
  <c r="AS54" i="55"/>
  <c r="O54" i="55"/>
  <c r="L54" i="55"/>
  <c r="K54" i="55"/>
  <c r="D54" i="55"/>
  <c r="P54" i="55"/>
  <c r="C54" i="55"/>
  <c r="N54" i="55"/>
  <c r="M54" i="55"/>
  <c r="AS46" i="55"/>
  <c r="O46" i="55"/>
  <c r="N46" i="55"/>
  <c r="L46" i="55"/>
  <c r="K46" i="55"/>
  <c r="D46" i="55"/>
  <c r="P46" i="55"/>
  <c r="M46" i="55"/>
  <c r="C46" i="55"/>
  <c r="D14" i="55"/>
  <c r="C13" i="55"/>
  <c r="C33" i="55"/>
  <c r="C17" i="55"/>
  <c r="AS44" i="55"/>
  <c r="N44" i="55"/>
  <c r="M44" i="55"/>
  <c r="O44" i="55"/>
  <c r="L44" i="55"/>
  <c r="P44" i="55"/>
  <c r="C44" i="55"/>
  <c r="K44" i="55"/>
  <c r="D44" i="55"/>
  <c r="D15" i="55"/>
  <c r="AS59" i="55"/>
  <c r="P59" i="55"/>
  <c r="N59" i="55"/>
  <c r="O59" i="55"/>
  <c r="L59" i="55"/>
  <c r="C59" i="55"/>
  <c r="M59" i="55"/>
  <c r="D59" i="55"/>
  <c r="K59" i="55"/>
  <c r="AS52" i="55"/>
  <c r="N52" i="55"/>
  <c r="M52" i="55"/>
  <c r="O52" i="55"/>
  <c r="L52" i="55"/>
  <c r="P52" i="55"/>
  <c r="C52" i="55"/>
  <c r="D52" i="55"/>
  <c r="K52" i="55"/>
  <c r="C23" i="55"/>
  <c r="D51" i="55"/>
  <c r="D32" i="55"/>
  <c r="C45" i="55"/>
  <c r="C19" i="55"/>
  <c r="D16" i="55"/>
  <c r="C18" i="55"/>
  <c r="C14" i="55"/>
  <c r="C27" i="55"/>
  <c r="D57" i="55"/>
  <c r="D36" i="55"/>
  <c r="R19" i="53"/>
  <c r="V19" i="53" s="1"/>
  <c r="P19" i="53"/>
  <c r="Q47" i="53"/>
  <c r="O47" i="53"/>
  <c r="P53" i="53"/>
  <c r="N53" i="53"/>
  <c r="L23" i="53"/>
  <c r="R23" i="53"/>
  <c r="V23" i="53" s="1"/>
  <c r="O31" i="53"/>
  <c r="L19" i="53"/>
  <c r="M47" i="53"/>
  <c r="O53" i="53"/>
  <c r="L40" i="53"/>
  <c r="N23" i="53"/>
  <c r="Q55" i="53"/>
  <c r="N46" i="53"/>
  <c r="P31" i="53"/>
  <c r="K49" i="53"/>
  <c r="M37" i="53"/>
  <c r="P34" i="53"/>
  <c r="AD27" i="37"/>
  <c r="P58" i="53"/>
  <c r="R40" i="53"/>
  <c r="V40" i="53" s="1"/>
  <c r="P40" i="53"/>
  <c r="M55" i="53"/>
  <c r="O34" i="53"/>
  <c r="R41" i="53"/>
  <c r="AG41" i="53" s="1"/>
  <c r="P41" i="53"/>
  <c r="P54" i="53"/>
  <c r="M54" i="53"/>
  <c r="O52" i="53"/>
  <c r="L52" i="53"/>
  <c r="R48" i="53"/>
  <c r="V48" i="53" s="1"/>
  <c r="Q58" i="53"/>
  <c r="N58" i="53"/>
  <c r="N21" i="53"/>
  <c r="O21" i="53"/>
  <c r="K40" i="53"/>
  <c r="M40" i="53"/>
  <c r="N56" i="53"/>
  <c r="O56" i="53"/>
  <c r="K12" i="53"/>
  <c r="O55" i="53"/>
  <c r="N55" i="53"/>
  <c r="O44" i="53"/>
  <c r="N44" i="53"/>
  <c r="K46" i="53"/>
  <c r="L46" i="53"/>
  <c r="R34" i="53"/>
  <c r="AG34" i="53" s="1"/>
  <c r="N34" i="53"/>
  <c r="R58" i="53"/>
  <c r="AG58" i="53" s="1"/>
  <c r="P21" i="53"/>
  <c r="K21" i="53"/>
  <c r="R55" i="53"/>
  <c r="V55" i="53" s="1"/>
  <c r="O46" i="53"/>
  <c r="Q46" i="53"/>
  <c r="M34" i="53"/>
  <c r="N41" i="53"/>
  <c r="O54" i="53"/>
  <c r="Q52" i="53"/>
  <c r="M58" i="53"/>
  <c r="R21" i="53"/>
  <c r="V21" i="53" s="1"/>
  <c r="O40" i="53"/>
  <c r="M56" i="53"/>
  <c r="L55" i="53"/>
  <c r="Q44" i="53"/>
  <c r="R46" i="53"/>
  <c r="AG46" i="53" s="1"/>
  <c r="L34" i="53"/>
  <c r="I25" i="53"/>
  <c r="N59" i="53"/>
  <c r="K37" i="53"/>
  <c r="M31" i="53"/>
  <c r="K31" i="53"/>
  <c r="L31" i="53"/>
  <c r="R26" i="53"/>
  <c r="AG26" i="53" s="1"/>
  <c r="P15" i="53"/>
  <c r="AR15" i="53"/>
  <c r="AR59" i="53"/>
  <c r="AR49" i="53"/>
  <c r="R49" i="53"/>
  <c r="AG49" i="53" s="1"/>
  <c r="P49" i="53"/>
  <c r="M59" i="53"/>
  <c r="O59" i="53"/>
  <c r="P37" i="53"/>
  <c r="L26" i="53"/>
  <c r="N26" i="53"/>
  <c r="M16" i="53"/>
  <c r="AR16" i="53"/>
  <c r="AR19" i="53"/>
  <c r="AR53" i="53"/>
  <c r="AR47" i="53"/>
  <c r="AR31" i="53"/>
  <c r="P43" i="53"/>
  <c r="AR43" i="53"/>
  <c r="AR23" i="53"/>
  <c r="G14" i="55"/>
  <c r="G18" i="55"/>
  <c r="G22" i="55"/>
  <c r="G26" i="55"/>
  <c r="G30" i="55"/>
  <c r="G34" i="55"/>
  <c r="G38" i="55"/>
  <c r="G42" i="55"/>
  <c r="G46" i="55"/>
  <c r="G50" i="55"/>
  <c r="G54" i="55"/>
  <c r="G58" i="55"/>
  <c r="F14" i="55"/>
  <c r="I14" i="55" s="1"/>
  <c r="S14" i="55" s="1"/>
  <c r="U14" i="55" s="1"/>
  <c r="F18" i="55"/>
  <c r="I18" i="55" s="1"/>
  <c r="S18" i="55" s="1"/>
  <c r="U18" i="55" s="1"/>
  <c r="F22" i="55"/>
  <c r="F26" i="55"/>
  <c r="F30" i="55"/>
  <c r="F34" i="55"/>
  <c r="F38" i="55"/>
  <c r="F42" i="55"/>
  <c r="F46" i="55"/>
  <c r="F50" i="55"/>
  <c r="I50" i="55" s="1"/>
  <c r="S50" i="55" s="1"/>
  <c r="U50" i="55" s="1"/>
  <c r="F54" i="55"/>
  <c r="F58" i="55"/>
  <c r="G13" i="55"/>
  <c r="G25" i="55"/>
  <c r="G37" i="55"/>
  <c r="G49" i="55"/>
  <c r="F25" i="55"/>
  <c r="F37" i="55"/>
  <c r="F49" i="55"/>
  <c r="G15" i="55"/>
  <c r="G19" i="55"/>
  <c r="G23" i="55"/>
  <c r="G27" i="55"/>
  <c r="G31" i="55"/>
  <c r="G35" i="55"/>
  <c r="G39" i="55"/>
  <c r="G43" i="55"/>
  <c r="G47" i="55"/>
  <c r="G51" i="55"/>
  <c r="G55" i="55"/>
  <c r="G59" i="55"/>
  <c r="F15" i="55"/>
  <c r="I15" i="55" s="1"/>
  <c r="S15" i="55" s="1"/>
  <c r="U15" i="55" s="1"/>
  <c r="F19" i="55"/>
  <c r="I19" i="55" s="1"/>
  <c r="S19" i="55" s="1"/>
  <c r="U19" i="55" s="1"/>
  <c r="F23" i="55"/>
  <c r="F27" i="55"/>
  <c r="F31" i="55"/>
  <c r="F35" i="55"/>
  <c r="F39" i="55"/>
  <c r="F43" i="55"/>
  <c r="F47" i="55"/>
  <c r="F51" i="55"/>
  <c r="I51" i="55" s="1"/>
  <c r="S51" i="55" s="1"/>
  <c r="U51" i="55" s="1"/>
  <c r="F55" i="55"/>
  <c r="F59" i="55"/>
  <c r="G17" i="55"/>
  <c r="G33" i="55"/>
  <c r="G45" i="55"/>
  <c r="G57" i="55"/>
  <c r="F17" i="55"/>
  <c r="I17" i="55" s="1"/>
  <c r="S17" i="55" s="1"/>
  <c r="U17" i="55" s="1"/>
  <c r="F29" i="55"/>
  <c r="F41" i="55"/>
  <c r="F53" i="55"/>
  <c r="G12" i="55"/>
  <c r="G16" i="55"/>
  <c r="G20" i="55"/>
  <c r="G24" i="55"/>
  <c r="G28" i="55"/>
  <c r="G32" i="55"/>
  <c r="G36" i="55"/>
  <c r="G40" i="55"/>
  <c r="G44" i="55"/>
  <c r="G48" i="55"/>
  <c r="G52" i="55"/>
  <c r="G56" i="55"/>
  <c r="F12" i="55"/>
  <c r="I12" i="55" s="1"/>
  <c r="S12" i="55" s="1"/>
  <c r="U12" i="55" s="1"/>
  <c r="F16" i="55"/>
  <c r="I16" i="55" s="1"/>
  <c r="S16" i="55" s="1"/>
  <c r="U16" i="55" s="1"/>
  <c r="F20" i="55"/>
  <c r="I20" i="55" s="1"/>
  <c r="S20" i="55" s="1"/>
  <c r="U20" i="55" s="1"/>
  <c r="F24" i="55"/>
  <c r="F28" i="55"/>
  <c r="F32" i="55"/>
  <c r="I32" i="55" s="1"/>
  <c r="S32" i="55" s="1"/>
  <c r="U32" i="55" s="1"/>
  <c r="F36" i="55"/>
  <c r="I36" i="55" s="1"/>
  <c r="S36" i="55" s="1"/>
  <c r="U36" i="55" s="1"/>
  <c r="F40" i="55"/>
  <c r="F44" i="55"/>
  <c r="F48" i="55"/>
  <c r="F52" i="55"/>
  <c r="F56" i="55"/>
  <c r="G21" i="55"/>
  <c r="G29" i="55"/>
  <c r="G41" i="55"/>
  <c r="G53" i="55"/>
  <c r="F13" i="55"/>
  <c r="I13" i="55" s="1"/>
  <c r="S13" i="55" s="1"/>
  <c r="U13" i="55" s="1"/>
  <c r="F21" i="55"/>
  <c r="F33" i="55"/>
  <c r="I33" i="55" s="1"/>
  <c r="S33" i="55" s="1"/>
  <c r="U33" i="55" s="1"/>
  <c r="F45" i="55"/>
  <c r="I45" i="55" s="1"/>
  <c r="S45" i="55" s="1"/>
  <c r="U45" i="55" s="1"/>
  <c r="F57" i="55"/>
  <c r="I57" i="55" s="1"/>
  <c r="S57" i="55" s="1"/>
  <c r="U57" i="55" s="1"/>
  <c r="O26" i="53"/>
  <c r="AR37" i="53"/>
  <c r="AR20" i="53"/>
  <c r="Q49" i="53"/>
  <c r="L49" i="53"/>
  <c r="P59" i="53"/>
  <c r="K59" i="53"/>
  <c r="L37" i="53"/>
  <c r="N37" i="53"/>
  <c r="M26" i="53"/>
  <c r="AR40" i="53"/>
  <c r="AR46" i="53"/>
  <c r="AR34" i="53"/>
  <c r="AR55" i="53"/>
  <c r="AR21" i="53"/>
  <c r="I42" i="53"/>
  <c r="P27" i="53"/>
  <c r="AR27" i="53"/>
  <c r="AR58" i="53"/>
  <c r="AR26" i="53"/>
  <c r="N49" i="53"/>
  <c r="O49" i="53"/>
  <c r="Q59" i="53"/>
  <c r="R59" i="53"/>
  <c r="AG59" i="53" s="1"/>
  <c r="O37" i="53"/>
  <c r="Q37" i="53"/>
  <c r="P26" i="53"/>
  <c r="Q26" i="53"/>
  <c r="R12" i="53"/>
  <c r="AG12" i="53" s="1"/>
  <c r="AR12" i="53"/>
  <c r="N18" i="53"/>
  <c r="AR18" i="53"/>
  <c r="AR56" i="53"/>
  <c r="AR54" i="53"/>
  <c r="AR44" i="53"/>
  <c r="AR41" i="53"/>
  <c r="AR52" i="53"/>
  <c r="L48" i="53"/>
  <c r="AR48" i="53"/>
  <c r="I32" i="53"/>
  <c r="Z36" i="55"/>
  <c r="AD19" i="55"/>
  <c r="Z51" i="55"/>
  <c r="AD57" i="55"/>
  <c r="AA15" i="55"/>
  <c r="AD50" i="55"/>
  <c r="AD12" i="55"/>
  <c r="AA16" i="55"/>
  <c r="Z33" i="55"/>
  <c r="AD20" i="55"/>
  <c r="AD45" i="55"/>
  <c r="AA32" i="55"/>
  <c r="AD32" i="55"/>
  <c r="AA50" i="55"/>
  <c r="AA19" i="55"/>
  <c r="AA12" i="55"/>
  <c r="Z12" i="55"/>
  <c r="Z32" i="55"/>
  <c r="AA57" i="55"/>
  <c r="Z57" i="55"/>
  <c r="AD15" i="55"/>
  <c r="AD51" i="55"/>
  <c r="AD16" i="55"/>
  <c r="Z15" i="55"/>
  <c r="Z19" i="55"/>
  <c r="Z20" i="55"/>
  <c r="AD36" i="55"/>
  <c r="Z45" i="55"/>
  <c r="Z16" i="55"/>
  <c r="Q53" i="55"/>
  <c r="R53" i="55"/>
  <c r="AH53" i="55" s="1"/>
  <c r="R54" i="55"/>
  <c r="AH54" i="55" s="1"/>
  <c r="Q54" i="55"/>
  <c r="R49" i="55"/>
  <c r="AH49" i="55" s="1"/>
  <c r="Q49" i="55"/>
  <c r="H29" i="54"/>
  <c r="W29" i="54" s="1"/>
  <c r="H33" i="54"/>
  <c r="H37" i="54"/>
  <c r="H41" i="54"/>
  <c r="H45" i="54"/>
  <c r="H32" i="54"/>
  <c r="H26" i="54"/>
  <c r="H30" i="54"/>
  <c r="H34" i="54"/>
  <c r="H38" i="54"/>
  <c r="H42" i="54"/>
  <c r="H28" i="54"/>
  <c r="W28" i="54" s="1"/>
  <c r="AP28" i="54" s="1"/>
  <c r="H36" i="54"/>
  <c r="H44" i="54"/>
  <c r="H27" i="54"/>
  <c r="H31" i="54"/>
  <c r="H35" i="54"/>
  <c r="H39" i="54"/>
  <c r="H43" i="54"/>
  <c r="H40" i="54"/>
  <c r="R27" i="53"/>
  <c r="AG27" i="53" s="1"/>
  <c r="K27" i="53"/>
  <c r="K48" i="53"/>
  <c r="M48" i="53"/>
  <c r="O43" i="53"/>
  <c r="Q43" i="53"/>
  <c r="AD18" i="55"/>
  <c r="Q55" i="55"/>
  <c r="R55" i="55"/>
  <c r="AH55" i="55" s="1"/>
  <c r="AD33" i="55"/>
  <c r="O27" i="54"/>
  <c r="Q26" i="55"/>
  <c r="R26" i="55"/>
  <c r="AH26" i="55" s="1"/>
  <c r="Q58" i="55"/>
  <c r="R58" i="55"/>
  <c r="AH58" i="55" s="1"/>
  <c r="R23" i="55"/>
  <c r="Q23" i="55"/>
  <c r="Q56" i="55"/>
  <c r="R56" i="55"/>
  <c r="AH56" i="55" s="1"/>
  <c r="R31" i="55"/>
  <c r="AH31" i="55" s="1"/>
  <c r="Q31" i="55"/>
  <c r="R21" i="55"/>
  <c r="AH21" i="55" s="1"/>
  <c r="Q21" i="55"/>
  <c r="O27" i="53"/>
  <c r="L27" i="53"/>
  <c r="O48" i="53"/>
  <c r="Q48" i="53"/>
  <c r="K43" i="53"/>
  <c r="M43" i="53"/>
  <c r="Q40" i="55"/>
  <c r="R40" i="55"/>
  <c r="AH40" i="55" s="1"/>
  <c r="R59" i="55"/>
  <c r="AH59" i="55" s="1"/>
  <c r="Q59" i="55"/>
  <c r="R46" i="55"/>
  <c r="AH46" i="55" s="1"/>
  <c r="Q46" i="55"/>
  <c r="R37" i="55"/>
  <c r="AH37" i="55" s="1"/>
  <c r="Q37" i="55"/>
  <c r="Q34" i="55"/>
  <c r="R34" i="55"/>
  <c r="AH34" i="55" s="1"/>
  <c r="Z18" i="55"/>
  <c r="R44" i="55"/>
  <c r="AH44" i="55" s="1"/>
  <c r="Q44" i="55"/>
  <c r="R52" i="55"/>
  <c r="AH52" i="55" s="1"/>
  <c r="Q52" i="55"/>
  <c r="R47" i="55"/>
  <c r="AH47" i="55" s="1"/>
  <c r="Q47" i="55"/>
  <c r="R41" i="55"/>
  <c r="AH41" i="55" s="1"/>
  <c r="Q41" i="55"/>
  <c r="N27" i="53"/>
  <c r="N48" i="53"/>
  <c r="R43" i="53"/>
  <c r="AG43" i="53" s="1"/>
  <c r="AA18" i="55"/>
  <c r="AA33" i="55"/>
  <c r="AA51" i="55"/>
  <c r="CO9" i="55"/>
  <c r="AA45" i="55"/>
  <c r="AA20" i="55"/>
  <c r="R27" i="55"/>
  <c r="Q27" i="55"/>
  <c r="R48" i="55"/>
  <c r="AH48" i="55" s="1"/>
  <c r="Q48" i="55"/>
  <c r="R43" i="55"/>
  <c r="AH43" i="55" s="1"/>
  <c r="Q43" i="55"/>
  <c r="AA36" i="55"/>
  <c r="M18" i="53"/>
  <c r="O15" i="53"/>
  <c r="K18" i="53"/>
  <c r="M15" i="53"/>
  <c r="Q15" i="53"/>
  <c r="K15" i="53"/>
  <c r="N15" i="53"/>
  <c r="R15" i="53"/>
  <c r="AG15" i="53" s="1"/>
  <c r="L12" i="53"/>
  <c r="O12" i="53"/>
  <c r="P12" i="53"/>
  <c r="N12" i="53"/>
  <c r="Q16" i="53"/>
  <c r="Q12" i="53"/>
  <c r="D53" i="53"/>
  <c r="F53" i="53"/>
  <c r="R18" i="53"/>
  <c r="AG18" i="53" s="1"/>
  <c r="Q18" i="53"/>
  <c r="L16" i="53"/>
  <c r="P16" i="53"/>
  <c r="D55" i="53"/>
  <c r="C55" i="53"/>
  <c r="C46" i="53"/>
  <c r="D47" i="53"/>
  <c r="B11" i="53"/>
  <c r="F49" i="53"/>
  <c r="F37" i="53"/>
  <c r="P18" i="53"/>
  <c r="O18" i="53"/>
  <c r="N16" i="53"/>
  <c r="O16" i="53"/>
  <c r="D56" i="53"/>
  <c r="C12" i="53"/>
  <c r="M61" i="5"/>
  <c r="L18" i="53"/>
  <c r="K16" i="53"/>
  <c r="F48" i="53"/>
  <c r="C48" i="53"/>
  <c r="C26" i="53"/>
  <c r="C43" i="53"/>
  <c r="F27" i="53"/>
  <c r="C18" i="53"/>
  <c r="F52" i="53"/>
  <c r="C52" i="53"/>
  <c r="D58" i="53"/>
  <c r="F21" i="53"/>
  <c r="F59" i="53"/>
  <c r="C40" i="53"/>
  <c r="D34" i="53"/>
  <c r="D54" i="53"/>
  <c r="C54" i="53"/>
  <c r="F54" i="53"/>
  <c r="F31" i="53"/>
  <c r="D27" i="53"/>
  <c r="C49" i="53"/>
  <c r="F19" i="53"/>
  <c r="D19" i="53"/>
  <c r="C41" i="53"/>
  <c r="C59" i="53"/>
  <c r="D37" i="53"/>
  <c r="D18" i="53"/>
  <c r="D52" i="53"/>
  <c r="F16" i="53"/>
  <c r="C16" i="53"/>
  <c r="D48" i="53"/>
  <c r="D43" i="53"/>
  <c r="F58" i="53"/>
  <c r="C21" i="53"/>
  <c r="F47" i="53"/>
  <c r="F40" i="53"/>
  <c r="D40" i="53"/>
  <c r="D12" i="53"/>
  <c r="F12" i="53"/>
  <c r="B10" i="53"/>
  <c r="C35" i="53"/>
  <c r="F50" i="53"/>
  <c r="F42" i="53"/>
  <c r="C45" i="53"/>
  <c r="F25" i="53"/>
  <c r="D25" i="53"/>
  <c r="D17" i="53"/>
  <c r="F13" i="53"/>
  <c r="D36" i="53"/>
  <c r="F36" i="53"/>
  <c r="C32" i="53"/>
  <c r="F28" i="53"/>
  <c r="C24" i="53"/>
  <c r="F38" i="53"/>
  <c r="F22" i="53"/>
  <c r="F14" i="53"/>
  <c r="C29" i="53"/>
  <c r="D13" i="53"/>
  <c r="C13" i="53"/>
  <c r="F32" i="53"/>
  <c r="D35" i="53"/>
  <c r="C50" i="53"/>
  <c r="C42" i="53"/>
  <c r="C30" i="53"/>
  <c r="F30" i="53"/>
  <c r="D22" i="53"/>
  <c r="C57" i="53"/>
  <c r="D45" i="53"/>
  <c r="D29" i="53"/>
  <c r="C25" i="53"/>
  <c r="F33" i="53"/>
  <c r="C36" i="53"/>
  <c r="D32" i="53"/>
  <c r="C28" i="53"/>
  <c r="D50" i="53"/>
  <c r="D42" i="53"/>
  <c r="D38" i="53"/>
  <c r="C38" i="53"/>
  <c r="D30" i="53"/>
  <c r="C22" i="53"/>
  <c r="D51" i="53"/>
  <c r="C51" i="53"/>
  <c r="C14" i="53"/>
  <c r="D14" i="53"/>
  <c r="D57" i="53"/>
  <c r="F57" i="53"/>
  <c r="F45" i="53"/>
  <c r="F29" i="53"/>
  <c r="C17" i="53"/>
  <c r="D39" i="53"/>
  <c r="F39" i="53"/>
  <c r="D33" i="53"/>
  <c r="C33" i="53"/>
  <c r="D28" i="53"/>
  <c r="F24" i="53"/>
  <c r="F35" i="53"/>
  <c r="F51" i="53"/>
  <c r="F17" i="53"/>
  <c r="C39" i="53"/>
  <c r="D24" i="53"/>
  <c r="C27" i="53"/>
  <c r="D49" i="53"/>
  <c r="C19" i="53"/>
  <c r="D41" i="53"/>
  <c r="D59" i="53"/>
  <c r="C37" i="53"/>
  <c r="F18" i="53"/>
  <c r="D26" i="53"/>
  <c r="F43" i="53"/>
  <c r="C58" i="53"/>
  <c r="F56" i="53"/>
  <c r="C23" i="53"/>
  <c r="D23" i="53"/>
  <c r="F15" i="53"/>
  <c r="C44" i="53"/>
  <c r="F46" i="53"/>
  <c r="D31" i="53"/>
  <c r="F34" i="53"/>
  <c r="O20" i="53"/>
  <c r="C20" i="53"/>
  <c r="M20" i="53"/>
  <c r="F20" i="53"/>
  <c r="K20" i="53"/>
  <c r="R20" i="53"/>
  <c r="AG20" i="53" s="1"/>
  <c r="P20" i="53"/>
  <c r="N20" i="53"/>
  <c r="L20" i="53"/>
  <c r="Q20" i="53"/>
  <c r="D20" i="53"/>
  <c r="F41" i="53"/>
  <c r="D16" i="53"/>
  <c r="F26" i="53"/>
  <c r="D21" i="53"/>
  <c r="C47" i="53"/>
  <c r="C53" i="53"/>
  <c r="C56" i="53"/>
  <c r="F23" i="53"/>
  <c r="F55" i="53"/>
  <c r="D15" i="53"/>
  <c r="C15" i="53"/>
  <c r="F44" i="53"/>
  <c r="D44" i="53"/>
  <c r="D46" i="53"/>
  <c r="C31" i="53"/>
  <c r="C34" i="53"/>
  <c r="CN9" i="53"/>
  <c r="AT18" i="27"/>
  <c r="AT82" i="27"/>
  <c r="BR24" i="27"/>
  <c r="AT23" i="27"/>
  <c r="AE111" i="34"/>
  <c r="Y67" i="34"/>
  <c r="AS16" i="34" s="1" a="1"/>
  <c r="AS16" i="34" s="1"/>
  <c r="H27" i="37"/>
  <c r="H31" i="37"/>
  <c r="H35" i="37"/>
  <c r="H39" i="37"/>
  <c r="H43" i="37"/>
  <c r="H28" i="37"/>
  <c r="H32" i="37"/>
  <c r="H36" i="37"/>
  <c r="H40" i="37"/>
  <c r="H44" i="37"/>
  <c r="H29" i="37"/>
  <c r="H33" i="37"/>
  <c r="H37" i="37"/>
  <c r="H41" i="37"/>
  <c r="H45" i="37"/>
  <c r="H30" i="37"/>
  <c r="H34" i="37"/>
  <c r="H38" i="37"/>
  <c r="H42" i="37"/>
  <c r="H26" i="37"/>
  <c r="K27" i="45"/>
  <c r="L27" i="45" s="1"/>
  <c r="K42" i="45"/>
  <c r="AE99" i="34"/>
  <c r="AK9" i="34"/>
  <c r="X20" i="33"/>
  <c r="AQ15" i="33"/>
  <c r="AN20" i="33"/>
  <c r="AE116" i="34"/>
  <c r="AE88" i="34"/>
  <c r="AF74" i="34"/>
  <c r="AF97" i="34"/>
  <c r="AE68" i="34"/>
  <c r="N53" i="33"/>
  <c r="AE77" i="34"/>
  <c r="AF77" i="34"/>
  <c r="AP48" i="33"/>
  <c r="AO48" i="33"/>
  <c r="AN48" i="33"/>
  <c r="AM48" i="33"/>
  <c r="AJ48" i="33"/>
  <c r="AI48" i="33"/>
  <c r="AH48" i="33"/>
  <c r="AG48" i="33"/>
  <c r="AB48" i="33"/>
  <c r="AA48" i="33"/>
  <c r="AL48" i="33"/>
  <c r="AK48" i="33"/>
  <c r="AD48" i="33"/>
  <c r="AC48" i="33"/>
  <c r="AF48" i="33"/>
  <c r="AE48" i="33"/>
  <c r="Z48" i="33"/>
  <c r="Y48" i="33"/>
  <c r="X48" i="33"/>
  <c r="W48" i="33"/>
  <c r="L38" i="45"/>
  <c r="BC38" i="45"/>
  <c r="BC37" i="45"/>
  <c r="L37" i="45"/>
  <c r="BR18" i="27"/>
  <c r="M25" i="33"/>
  <c r="N25" i="33" s="1"/>
  <c r="L40" i="45"/>
  <c r="BC40" i="45"/>
  <c r="AL17" i="28"/>
  <c r="AL16" i="28"/>
  <c r="AF71" i="34"/>
  <c r="AE71" i="34"/>
  <c r="AE87" i="34"/>
  <c r="AF87" i="34"/>
  <c r="M18" i="43"/>
  <c r="AT88" i="27"/>
  <c r="AT138" i="27"/>
  <c r="AT133" i="27"/>
  <c r="AT103" i="27"/>
  <c r="AT107" i="27"/>
  <c r="AT110" i="27"/>
  <c r="AT121" i="27"/>
  <c r="AT104" i="27"/>
  <c r="AT125" i="27"/>
  <c r="AT90" i="27"/>
  <c r="AT114" i="27"/>
  <c r="AT94" i="27"/>
  <c r="AT95" i="27"/>
  <c r="AT85" i="27"/>
  <c r="K41" i="45" s="1"/>
  <c r="AT100" i="27"/>
  <c r="AT122" i="27"/>
  <c r="AT117" i="27"/>
  <c r="AT124" i="27"/>
  <c r="AT134" i="27"/>
  <c r="AT102" i="27"/>
  <c r="AT105" i="27"/>
  <c r="AT113" i="27"/>
  <c r="AT132" i="27"/>
  <c r="AT101" i="27"/>
  <c r="AT128" i="27"/>
  <c r="AT109" i="27"/>
  <c r="AT91" i="27"/>
  <c r="AT86" i="27"/>
  <c r="AT131" i="27"/>
  <c r="AT106" i="27"/>
  <c r="AT139" i="27"/>
  <c r="AT108" i="27"/>
  <c r="AT126" i="27"/>
  <c r="AT137" i="27"/>
  <c r="AT127" i="27"/>
  <c r="AT111" i="27"/>
  <c r="AT92" i="27"/>
  <c r="AT98" i="27"/>
  <c r="AT97" i="27"/>
  <c r="AT130" i="27"/>
  <c r="AT99" i="27"/>
  <c r="AT87" i="27"/>
  <c r="AT89" i="27"/>
  <c r="AT119" i="27"/>
  <c r="AT135" i="27"/>
  <c r="AT115" i="27"/>
  <c r="AT123" i="27"/>
  <c r="AT118" i="27"/>
  <c r="AT129" i="27"/>
  <c r="AT136" i="27"/>
  <c r="AT120" i="27"/>
  <c r="AT93" i="27"/>
  <c r="AT112" i="27"/>
  <c r="AT96" i="27"/>
  <c r="AT116" i="27"/>
  <c r="AT84" i="27"/>
  <c r="K35" i="45" s="1"/>
  <c r="AF72" i="34"/>
  <c r="AE72" i="34"/>
  <c r="AF78" i="34"/>
  <c r="AE78" i="34"/>
  <c r="AF103" i="34"/>
  <c r="AE103" i="34"/>
  <c r="N13" i="28"/>
  <c r="M37" i="5" s="1"/>
  <c r="AC16" i="28"/>
  <c r="AB16" i="28"/>
  <c r="AA16" i="28"/>
  <c r="BB16" i="34"/>
  <c r="Y14" i="28"/>
  <c r="AC50" i="28"/>
  <c r="AD50" i="28"/>
  <c r="AA50" i="28"/>
  <c r="H56" i="32" s="1"/>
  <c r="AB50" i="28"/>
  <c r="BE50" i="34" s="1"/>
  <c r="Z50" i="28"/>
  <c r="BB50" i="34"/>
  <c r="AA34" i="28"/>
  <c r="AC34" i="28"/>
  <c r="BB34" i="34"/>
  <c r="AB34" i="28"/>
  <c r="BE34" i="34" s="1"/>
  <c r="BB61" i="34"/>
  <c r="BE61" i="34"/>
  <c r="AC31" i="28"/>
  <c r="AA31" i="28"/>
  <c r="AB31" i="28"/>
  <c r="BE31" i="34" s="1"/>
  <c r="BB31" i="34"/>
  <c r="AA29" i="28"/>
  <c r="AC29" i="28"/>
  <c r="AB29" i="28"/>
  <c r="BE29" i="34" s="1"/>
  <c r="BB29" i="34"/>
  <c r="AD48" i="28"/>
  <c r="Z48" i="28"/>
  <c r="BB48" i="34"/>
  <c r="AC48" i="28"/>
  <c r="AB48" i="28"/>
  <c r="BE48" i="34" s="1"/>
  <c r="AA48" i="28"/>
  <c r="H54" i="32" s="1"/>
  <c r="BE63" i="34"/>
  <c r="BB63" i="34"/>
  <c r="AB47" i="28"/>
  <c r="BE47" i="34" s="1"/>
  <c r="AC47" i="28"/>
  <c r="AA47" i="28"/>
  <c r="BB47" i="34"/>
  <c r="AC18" i="28"/>
  <c r="AA18" i="28"/>
  <c r="H24" i="32" s="1"/>
  <c r="AB18" i="28"/>
  <c r="BE18" i="34" s="1"/>
  <c r="BB18" i="34"/>
  <c r="AC36" i="28"/>
  <c r="AA36" i="28"/>
  <c r="BB36" i="34"/>
  <c r="AB36" i="28"/>
  <c r="BE36" i="34" s="1"/>
  <c r="AA45" i="28"/>
  <c r="BB45" i="34"/>
  <c r="AC45" i="28"/>
  <c r="AB45" i="28"/>
  <c r="BE45" i="34" s="1"/>
  <c r="AC40" i="28"/>
  <c r="AA40" i="28"/>
  <c r="AB40" i="28"/>
  <c r="BE40" i="34" s="1"/>
  <c r="BB40" i="34"/>
  <c r="BE59" i="34"/>
  <c r="BB59" i="34"/>
  <c r="AB43" i="28"/>
  <c r="BE43" i="34" s="1"/>
  <c r="AC43" i="28"/>
  <c r="AA43" i="28"/>
  <c r="H49" i="32" s="1"/>
  <c r="BB43" i="34"/>
  <c r="AC27" i="28"/>
  <c r="AA27" i="28"/>
  <c r="BB27" i="34"/>
  <c r="AB27" i="28"/>
  <c r="BE27" i="34" s="1"/>
  <c r="BB62" i="34"/>
  <c r="BE62" i="34"/>
  <c r="AC46" i="28"/>
  <c r="BB46" i="34"/>
  <c r="AA46" i="28"/>
  <c r="AB46" i="28"/>
  <c r="BE46" i="34" s="1"/>
  <c r="AC30" i="28"/>
  <c r="AA30" i="28"/>
  <c r="H36" i="32" s="1"/>
  <c r="BB30" i="34"/>
  <c r="AB30" i="28"/>
  <c r="BE30" i="34" s="1"/>
  <c r="BB64" i="34"/>
  <c r="BE64" i="34"/>
  <c r="AB32" i="28"/>
  <c r="BE32" i="34" s="1"/>
  <c r="AC32" i="28"/>
  <c r="BB32" i="34"/>
  <c r="AA32" i="28"/>
  <c r="BB57" i="34"/>
  <c r="BE57" i="34"/>
  <c r="AC41" i="28"/>
  <c r="AA41" i="28"/>
  <c r="BB41" i="34"/>
  <c r="AB41" i="28"/>
  <c r="BE41" i="34" s="1"/>
  <c r="AC25" i="28"/>
  <c r="AA25" i="28"/>
  <c r="AB25" i="28"/>
  <c r="BE25" i="34" s="1"/>
  <c r="BB25" i="34"/>
  <c r="BB60" i="34"/>
  <c r="BE60" i="34"/>
  <c r="AC28" i="28"/>
  <c r="AB28" i="28"/>
  <c r="BE28" i="34" s="1"/>
  <c r="AA28" i="28"/>
  <c r="BB28" i="34"/>
  <c r="AD55" i="28"/>
  <c r="Z55" i="28"/>
  <c r="BB55" i="34"/>
  <c r="AA55" i="28"/>
  <c r="H61" i="32" s="1"/>
  <c r="AC55" i="28"/>
  <c r="AB55" i="28"/>
  <c r="BE55" i="34" s="1"/>
  <c r="AB39" i="28"/>
  <c r="BE39" i="34" s="1"/>
  <c r="BB39" i="34"/>
  <c r="AA39" i="28"/>
  <c r="AC39" i="28"/>
  <c r="AB23" i="28"/>
  <c r="BE23" i="34" s="1"/>
  <c r="BB23" i="34"/>
  <c r="AC23" i="28"/>
  <c r="AA23" i="28"/>
  <c r="BE58" i="34"/>
  <c r="BB58" i="34"/>
  <c r="AC42" i="28"/>
  <c r="AB42" i="28"/>
  <c r="BE42" i="34" s="1"/>
  <c r="BB42" i="34"/>
  <c r="AA42" i="28"/>
  <c r="H48" i="32" s="1"/>
  <c r="AC26" i="28"/>
  <c r="AB26" i="28"/>
  <c r="BE26" i="34" s="1"/>
  <c r="BB26" i="34"/>
  <c r="AA26" i="28"/>
  <c r="H32" i="32" s="1"/>
  <c r="AD52" i="28"/>
  <c r="AC52" i="28"/>
  <c r="BB52" i="34"/>
  <c r="Z52" i="28"/>
  <c r="AA52" i="28"/>
  <c r="H58" i="32" s="1"/>
  <c r="AB52" i="28"/>
  <c r="BE52" i="34" s="1"/>
  <c r="AC20" i="28"/>
  <c r="AB20" i="28"/>
  <c r="BE20" i="34" s="1"/>
  <c r="AA20" i="28"/>
  <c r="H26" i="32" s="1"/>
  <c r="BB20" i="34"/>
  <c r="AC53" i="28"/>
  <c r="AD53" i="28"/>
  <c r="AA53" i="28"/>
  <c r="H59" i="32" s="1"/>
  <c r="AB53" i="28"/>
  <c r="BE53" i="34" s="1"/>
  <c r="Z53" i="28"/>
  <c r="BB53" i="34"/>
  <c r="AC37" i="28"/>
  <c r="AB37" i="28"/>
  <c r="BE37" i="34" s="1"/>
  <c r="BB37" i="34"/>
  <c r="AA37" i="28"/>
  <c r="AC21" i="28"/>
  <c r="AB21" i="28"/>
  <c r="BE21" i="34" s="1"/>
  <c r="AA21" i="28"/>
  <c r="H27" i="32" s="1"/>
  <c r="BB21" i="34"/>
  <c r="BB56" i="34"/>
  <c r="BE56" i="34"/>
  <c r="AC24" i="28"/>
  <c r="BB24" i="34"/>
  <c r="AB24" i="28"/>
  <c r="BE24" i="34" s="1"/>
  <c r="AA24" i="28"/>
  <c r="H30" i="32" s="1"/>
  <c r="AD51" i="28"/>
  <c r="AB51" i="28"/>
  <c r="BE51" i="34" s="1"/>
  <c r="BB51" i="34"/>
  <c r="Z51" i="28"/>
  <c r="AA51" i="28"/>
  <c r="H57" i="32" s="1"/>
  <c r="AC51" i="28"/>
  <c r="AB35" i="28"/>
  <c r="BE35" i="34" s="1"/>
  <c r="BB35" i="34"/>
  <c r="AC35" i="28"/>
  <c r="AA35" i="28"/>
  <c r="BB19" i="34"/>
  <c r="AB19" i="28"/>
  <c r="BE19" i="34" s="1"/>
  <c r="AA19" i="28"/>
  <c r="H25" i="32" s="1"/>
  <c r="AC19" i="28"/>
  <c r="AD54" i="28"/>
  <c r="AC54" i="28"/>
  <c r="Z54" i="28"/>
  <c r="BB54" i="34"/>
  <c r="AA54" i="28"/>
  <c r="H60" i="32" s="1"/>
  <c r="AB54" i="28"/>
  <c r="BE54" i="34" s="1"/>
  <c r="AA38" i="28"/>
  <c r="AC38" i="28"/>
  <c r="AB38" i="28"/>
  <c r="BE38" i="34" s="1"/>
  <c r="BB38" i="34"/>
  <c r="AA22" i="28"/>
  <c r="H28" i="32" s="1"/>
  <c r="AC22" i="28"/>
  <c r="AB22" i="28"/>
  <c r="BE22" i="34" s="1"/>
  <c r="BB22" i="34"/>
  <c r="AC44" i="28"/>
  <c r="AB44" i="28"/>
  <c r="BE44" i="34" s="1"/>
  <c r="BB44" i="34"/>
  <c r="AA44" i="28"/>
  <c r="BE65" i="34"/>
  <c r="BB65" i="34"/>
  <c r="AC49" i="28"/>
  <c r="AD49" i="28"/>
  <c r="AB49" i="28"/>
  <c r="BE49" i="34" s="1"/>
  <c r="BB49" i="34"/>
  <c r="Z49" i="28"/>
  <c r="AA49" i="28"/>
  <c r="H55" i="32" s="1"/>
  <c r="AA33" i="28"/>
  <c r="BB33" i="34"/>
  <c r="AC33" i="28"/>
  <c r="AB33" i="28"/>
  <c r="BE33" i="34" s="1"/>
  <c r="AB17" i="28"/>
  <c r="BE17" i="34" s="1"/>
  <c r="BB17" i="34"/>
  <c r="AC17" i="28"/>
  <c r="AA17" i="28"/>
  <c r="H23" i="32" s="1"/>
  <c r="AF102" i="34"/>
  <c r="AE102" i="34"/>
  <c r="AF110" i="34"/>
  <c r="AE110" i="34"/>
  <c r="AE100" i="34"/>
  <c r="AF100" i="34"/>
  <c r="AE82" i="34"/>
  <c r="AF82" i="34"/>
  <c r="AE90" i="34"/>
  <c r="AF90" i="34"/>
  <c r="AE92" i="34"/>
  <c r="AF92" i="34"/>
  <c r="AF70" i="34"/>
  <c r="AE70" i="34"/>
  <c r="AE84" i="34"/>
  <c r="AF84" i="34"/>
  <c r="AF106" i="34"/>
  <c r="AE106" i="34"/>
  <c r="AF114" i="34"/>
  <c r="AE114" i="34"/>
  <c r="E57" i="33"/>
  <c r="AR15" i="27"/>
  <c r="AE109" i="34"/>
  <c r="AF109" i="34"/>
  <c r="AE96" i="34"/>
  <c r="AF96" i="34"/>
  <c r="AE108" i="34"/>
  <c r="AF108" i="34"/>
  <c r="AF98" i="34"/>
  <c r="AE98" i="34"/>
  <c r="AE80" i="34"/>
  <c r="AF80" i="34"/>
  <c r="AE93" i="34"/>
  <c r="AF93" i="34"/>
  <c r="AF79" i="34"/>
  <c r="AE79" i="34"/>
  <c r="AE113" i="34"/>
  <c r="AF113" i="34"/>
  <c r="O26" i="54" l="1"/>
  <c r="AE29" i="54"/>
  <c r="AT29" i="54" s="1"/>
  <c r="Y28" i="54"/>
  <c r="AA29" i="54"/>
  <c r="AC28" i="54"/>
  <c r="AS28" i="54" s="1"/>
  <c r="AC29" i="54"/>
  <c r="AE28" i="54"/>
  <c r="AT28" i="54" s="1"/>
  <c r="Y29" i="54"/>
  <c r="AA28" i="54"/>
  <c r="Y27" i="37"/>
  <c r="AM27" i="37" s="1"/>
  <c r="W27" i="37"/>
  <c r="U27" i="37"/>
  <c r="S27" i="37"/>
  <c r="U36" i="37"/>
  <c r="W36" i="37"/>
  <c r="Y36" i="37"/>
  <c r="AM36" i="37" s="1"/>
  <c r="Q36" i="37"/>
  <c r="S36" i="37"/>
  <c r="O28" i="54"/>
  <c r="O50" i="60"/>
  <c r="N9" i="58"/>
  <c r="Q81" i="5" s="1"/>
  <c r="Q83" i="5"/>
  <c r="O13" i="60"/>
  <c r="M99" i="5" s="1"/>
  <c r="N11" i="60"/>
  <c r="Q97" i="5" s="1"/>
  <c r="T22" i="60"/>
  <c r="AT19" i="60"/>
  <c r="S15" i="60" s="1"/>
  <c r="W97" i="5" s="1"/>
  <c r="M19" i="43"/>
  <c r="AP19" i="43" s="1"/>
  <c r="O19" i="43" s="1"/>
  <c r="BE25" i="58"/>
  <c r="BG25" i="58" s="1"/>
  <c r="M52" i="58"/>
  <c r="N52" i="58" s="1"/>
  <c r="N50" i="58" s="1"/>
  <c r="N15" i="58"/>
  <c r="AE57" i="55"/>
  <c r="AF57" i="55" s="1"/>
  <c r="AA25" i="55"/>
  <c r="AB25" i="55" s="1"/>
  <c r="W34" i="55"/>
  <c r="W53" i="55"/>
  <c r="AL53" i="55" s="1"/>
  <c r="AN53" i="55" s="1"/>
  <c r="W56" i="55"/>
  <c r="AL56" i="55" s="1"/>
  <c r="AN56" i="55" s="1"/>
  <c r="W52" i="55"/>
  <c r="W42" i="55"/>
  <c r="AL42" i="55" s="1"/>
  <c r="AN42" i="55" s="1"/>
  <c r="W59" i="55"/>
  <c r="W21" i="55"/>
  <c r="AL21" i="55" s="1"/>
  <c r="AN21" i="55" s="1"/>
  <c r="AH23" i="55"/>
  <c r="W23" i="55"/>
  <c r="AA39" i="55"/>
  <c r="AB39" i="55" s="1"/>
  <c r="AD39" i="55"/>
  <c r="W31" i="55"/>
  <c r="W54" i="55"/>
  <c r="W26" i="55"/>
  <c r="AL26" i="55" s="1"/>
  <c r="AN26" i="55" s="1"/>
  <c r="W48" i="55"/>
  <c r="AH27" i="55"/>
  <c r="W27" i="55"/>
  <c r="AL27" i="55" s="1"/>
  <c r="AN27" i="55" s="1"/>
  <c r="I29" i="55"/>
  <c r="S29" i="55" s="1"/>
  <c r="U29" i="55" s="1"/>
  <c r="I25" i="55"/>
  <c r="S25" i="55" s="1"/>
  <c r="U25" i="55" s="1"/>
  <c r="O29" i="54"/>
  <c r="AG28" i="53"/>
  <c r="W43" i="55"/>
  <c r="W49" i="55"/>
  <c r="AL49" i="55" s="1"/>
  <c r="AN49" i="55" s="1"/>
  <c r="W58" i="55"/>
  <c r="AL58" i="55" s="1"/>
  <c r="AN58" i="55" s="1"/>
  <c r="W55" i="55"/>
  <c r="AL55" i="55" s="1"/>
  <c r="AN55" i="55" s="1"/>
  <c r="W29" i="55"/>
  <c r="AM29" i="55" s="1"/>
  <c r="W40" i="55"/>
  <c r="AL40" i="55" s="1"/>
  <c r="AN40" i="55" s="1"/>
  <c r="W39" i="55"/>
  <c r="AL39" i="55" s="1"/>
  <c r="AN39" i="55" s="1"/>
  <c r="AD25" i="55"/>
  <c r="I28" i="53"/>
  <c r="W44" i="55"/>
  <c r="W46" i="55"/>
  <c r="W22" i="55"/>
  <c r="W24" i="55"/>
  <c r="W25" i="55"/>
  <c r="AL25" i="55" s="1"/>
  <c r="AN25" i="55" s="1"/>
  <c r="W47" i="55"/>
  <c r="W41" i="55"/>
  <c r="W37" i="55"/>
  <c r="W30" i="55"/>
  <c r="I22" i="53"/>
  <c r="AR27" i="54"/>
  <c r="W27" i="54"/>
  <c r="AP27" i="54" s="1"/>
  <c r="AS27" i="54"/>
  <c r="AQ27" i="54"/>
  <c r="AS26" i="54"/>
  <c r="AR26" i="54"/>
  <c r="W26" i="54"/>
  <c r="AP26" i="54" s="1"/>
  <c r="AQ26" i="54"/>
  <c r="V31" i="53"/>
  <c r="V58" i="53"/>
  <c r="V59" i="53"/>
  <c r="V41" i="53"/>
  <c r="V15" i="53"/>
  <c r="V26" i="53"/>
  <c r="V35" i="53"/>
  <c r="V47" i="53"/>
  <c r="V51" i="53"/>
  <c r="V27" i="53"/>
  <c r="V22" i="53"/>
  <c r="V44" i="53"/>
  <c r="V18" i="53"/>
  <c r="V17" i="53"/>
  <c r="V52" i="53"/>
  <c r="V53" i="53"/>
  <c r="V57" i="53"/>
  <c r="V49" i="53"/>
  <c r="V16" i="53"/>
  <c r="V38" i="53"/>
  <c r="V36" i="53"/>
  <c r="V34" i="53"/>
  <c r="V12" i="53"/>
  <c r="G10" i="53"/>
  <c r="V13" i="53"/>
  <c r="V29" i="53"/>
  <c r="V37" i="53"/>
  <c r="V43" i="53"/>
  <c r="V56" i="53"/>
  <c r="V50" i="53"/>
  <c r="V46" i="53"/>
  <c r="V20" i="53"/>
  <c r="AT16" i="34"/>
  <c r="B18" i="56" s="1"/>
  <c r="AX16" i="34"/>
  <c r="BG66" i="34" s="1"/>
  <c r="AY16" i="34"/>
  <c r="C11" i="53"/>
  <c r="G11" i="53"/>
  <c r="AB14" i="55"/>
  <c r="I39" i="55"/>
  <c r="S39" i="55" s="1"/>
  <c r="U39" i="55" s="1"/>
  <c r="AD46" i="37"/>
  <c r="AM45" i="55"/>
  <c r="AL45" i="55"/>
  <c r="AN45" i="55" s="1"/>
  <c r="AE33" i="55"/>
  <c r="AF33" i="55" s="1"/>
  <c r="AL33" i="55"/>
  <c r="AN33" i="55" s="1"/>
  <c r="AE36" i="55"/>
  <c r="AF36" i="55" s="1"/>
  <c r="AL36" i="55"/>
  <c r="AN36" i="55" s="1"/>
  <c r="AE13" i="55"/>
  <c r="AF13" i="55" s="1"/>
  <c r="AL13" i="55"/>
  <c r="AN13" i="55" s="1"/>
  <c r="AL18" i="55"/>
  <c r="AN18" i="55" s="1"/>
  <c r="AA35" i="55"/>
  <c r="AH35" i="55"/>
  <c r="AE20" i="55"/>
  <c r="AF20" i="55" s="1"/>
  <c r="AL20" i="55"/>
  <c r="AN20" i="55" s="1"/>
  <c r="AE16" i="55"/>
  <c r="AF16" i="55" s="1"/>
  <c r="AL16" i="55"/>
  <c r="AN16" i="55" s="1"/>
  <c r="Z28" i="55"/>
  <c r="AH28" i="55"/>
  <c r="AM14" i="55"/>
  <c r="AL14" i="55"/>
  <c r="AN14" i="55" s="1"/>
  <c r="AD38" i="55"/>
  <c r="AH38" i="55"/>
  <c r="AE17" i="55"/>
  <c r="AF17" i="55" s="1"/>
  <c r="AL17" i="55"/>
  <c r="AN17" i="55" s="1"/>
  <c r="AL32" i="55"/>
  <c r="AN32" i="55" s="1"/>
  <c r="AE51" i="55"/>
  <c r="AF51" i="55" s="1"/>
  <c r="AL51" i="55"/>
  <c r="AN51" i="55" s="1"/>
  <c r="Z29" i="55"/>
  <c r="AA29" i="55"/>
  <c r="AD29" i="55"/>
  <c r="AQ28" i="54"/>
  <c r="AR28" i="54"/>
  <c r="AP18" i="43"/>
  <c r="O18" i="43" s="1"/>
  <c r="DJ16" i="51"/>
  <c r="AS108" i="34" a="1"/>
  <c r="AS108" i="34" s="1"/>
  <c r="AT108" i="34" s="1"/>
  <c r="BC158" i="34" s="1"/>
  <c r="AS48" i="34" a="1"/>
  <c r="AS48" i="34" s="1"/>
  <c r="AS90" i="34" a="1"/>
  <c r="AS90" i="34" s="1"/>
  <c r="AV90" i="34" s="1"/>
  <c r="BE140" i="34" s="1"/>
  <c r="AS103" i="34" a="1"/>
  <c r="AS103" i="34" s="1"/>
  <c r="AU103" i="34" s="1"/>
  <c r="BD153" i="34" s="1"/>
  <c r="AS52" i="34" a="1"/>
  <c r="AS52" i="34" s="1"/>
  <c r="BB102" i="34" s="1"/>
  <c r="AS26" i="34" a="1"/>
  <c r="AS26" i="34" s="1"/>
  <c r="AS88" i="34" a="1"/>
  <c r="AS88" i="34" s="1"/>
  <c r="AW88" i="34" s="1"/>
  <c r="BF138" i="34" s="1"/>
  <c r="AS113" i="34" a="1"/>
  <c r="AS113" i="34" s="1"/>
  <c r="BB163" i="34" s="1"/>
  <c r="Z35" i="55"/>
  <c r="AE46" i="37"/>
  <c r="K9" i="37" s="1"/>
  <c r="Q61" i="5" s="1"/>
  <c r="AE32" i="55"/>
  <c r="AF32" i="55" s="1"/>
  <c r="AE18" i="55"/>
  <c r="AF18" i="55" s="1"/>
  <c r="AK46" i="54"/>
  <c r="AE45" i="55"/>
  <c r="AF45" i="55" s="1"/>
  <c r="AE14" i="55"/>
  <c r="AF14" i="55" s="1"/>
  <c r="I37" i="53"/>
  <c r="I38" i="53"/>
  <c r="AG29" i="53"/>
  <c r="AK26" i="37"/>
  <c r="AI26" i="37"/>
  <c r="AL26" i="37"/>
  <c r="AJ26" i="37"/>
  <c r="I52" i="53"/>
  <c r="I16" i="53"/>
  <c r="I47" i="53"/>
  <c r="I31" i="53"/>
  <c r="I17" i="53"/>
  <c r="AG35" i="53"/>
  <c r="AL46" i="54"/>
  <c r="I44" i="53"/>
  <c r="AA38" i="55"/>
  <c r="I57" i="53"/>
  <c r="I28" i="55"/>
  <c r="S28" i="55" s="1"/>
  <c r="U28" i="55" s="1"/>
  <c r="AD42" i="55"/>
  <c r="I35" i="55"/>
  <c r="S35" i="55" s="1"/>
  <c r="U35" i="55" s="1"/>
  <c r="Z38" i="55"/>
  <c r="AD35" i="55"/>
  <c r="AL35" i="55"/>
  <c r="AN35" i="55" s="1"/>
  <c r="I38" i="55"/>
  <c r="S38" i="55" s="1"/>
  <c r="U38" i="55" s="1"/>
  <c r="AL28" i="55"/>
  <c r="AN28" i="55" s="1"/>
  <c r="AA28" i="55"/>
  <c r="AD28" i="55"/>
  <c r="AM32" i="55"/>
  <c r="AB13" i="55"/>
  <c r="Z30" i="55"/>
  <c r="Z42" i="55"/>
  <c r="AM18" i="55"/>
  <c r="AA22" i="55"/>
  <c r="AD24" i="55"/>
  <c r="AA42" i="55"/>
  <c r="AB17" i="55"/>
  <c r="I58" i="53"/>
  <c r="Z22" i="55"/>
  <c r="I42" i="55"/>
  <c r="S42" i="55" s="1"/>
  <c r="U42" i="55" s="1"/>
  <c r="AD30" i="55"/>
  <c r="I53" i="53"/>
  <c r="AM13" i="55"/>
  <c r="I56" i="53"/>
  <c r="I19" i="53"/>
  <c r="AG19" i="53"/>
  <c r="I48" i="53"/>
  <c r="AG48" i="53"/>
  <c r="I40" i="53"/>
  <c r="AG40" i="53"/>
  <c r="I23" i="53"/>
  <c r="AG23" i="53"/>
  <c r="I54" i="53"/>
  <c r="AG54" i="53"/>
  <c r="I21" i="53"/>
  <c r="AG21" i="53"/>
  <c r="I55" i="53"/>
  <c r="AG55" i="53"/>
  <c r="I50" i="53"/>
  <c r="Z24" i="55"/>
  <c r="I22" i="55"/>
  <c r="S22" i="55" s="1"/>
  <c r="U22" i="55" s="1"/>
  <c r="I24" i="55"/>
  <c r="S24" i="55" s="1"/>
  <c r="U24" i="55" s="1"/>
  <c r="AA30" i="55"/>
  <c r="AD22" i="55"/>
  <c r="I13" i="53"/>
  <c r="AS57" i="34" a="1"/>
  <c r="AS57" i="34" s="1"/>
  <c r="AS115" i="34" a="1"/>
  <c r="AS115" i="34" s="1"/>
  <c r="I30" i="55"/>
  <c r="S30" i="55" s="1"/>
  <c r="U30" i="55" s="1"/>
  <c r="AM17" i="55"/>
  <c r="AA24" i="55"/>
  <c r="I51" i="53"/>
  <c r="I36" i="53"/>
  <c r="P11" i="55"/>
  <c r="C11" i="55"/>
  <c r="M11" i="55"/>
  <c r="D11" i="55"/>
  <c r="O11" i="55"/>
  <c r="K11" i="55"/>
  <c r="L11" i="55"/>
  <c r="N11" i="55"/>
  <c r="F11" i="55"/>
  <c r="G11" i="55"/>
  <c r="M10" i="55"/>
  <c r="P10" i="55"/>
  <c r="O10" i="55"/>
  <c r="C10" i="55"/>
  <c r="K10" i="55"/>
  <c r="D10" i="55"/>
  <c r="N10" i="55"/>
  <c r="L10" i="55"/>
  <c r="F10" i="55"/>
  <c r="G10" i="55"/>
  <c r="I34" i="53"/>
  <c r="I41" i="53"/>
  <c r="AB36" i="55"/>
  <c r="AB51" i="55"/>
  <c r="I46" i="53"/>
  <c r="AB50" i="55"/>
  <c r="I20" i="53"/>
  <c r="I43" i="53"/>
  <c r="I12" i="53"/>
  <c r="I49" i="53"/>
  <c r="L11" i="53"/>
  <c r="I18" i="53"/>
  <c r="I15" i="53"/>
  <c r="I27" i="53"/>
  <c r="I59" i="53"/>
  <c r="I26" i="53"/>
  <c r="AB16" i="55"/>
  <c r="AB33" i="55"/>
  <c r="AB15" i="55"/>
  <c r="AE39" i="55"/>
  <c r="AM12" i="55"/>
  <c r="AE12" i="55"/>
  <c r="AF12" i="55" s="1"/>
  <c r="AE50" i="55"/>
  <c r="AF50" i="55" s="1"/>
  <c r="AE15" i="55"/>
  <c r="AF15" i="55" s="1"/>
  <c r="AE19" i="55"/>
  <c r="AF19" i="55" s="1"/>
  <c r="AB32" i="55"/>
  <c r="Z41" i="55"/>
  <c r="AA26" i="55"/>
  <c r="AA49" i="55"/>
  <c r="AD43" i="55"/>
  <c r="Z27" i="55"/>
  <c r="AA59" i="55"/>
  <c r="Z31" i="55"/>
  <c r="Z55" i="55"/>
  <c r="AA40" i="55"/>
  <c r="AA21" i="55"/>
  <c r="AA56" i="55"/>
  <c r="Z58" i="55"/>
  <c r="AE58" i="55"/>
  <c r="AM50" i="55"/>
  <c r="AD44" i="55"/>
  <c r="AD46" i="55"/>
  <c r="AA53" i="55"/>
  <c r="AM15" i="55"/>
  <c r="AM51" i="55"/>
  <c r="AM19" i="55"/>
  <c r="AB19" i="55"/>
  <c r="AB45" i="55"/>
  <c r="AB57" i="55"/>
  <c r="AB20" i="55"/>
  <c r="Z46" i="55"/>
  <c r="Z56" i="55"/>
  <c r="AD23" i="55"/>
  <c r="AD49" i="55"/>
  <c r="Z48" i="55"/>
  <c r="AD21" i="55"/>
  <c r="AD27" i="55"/>
  <c r="AA47" i="55"/>
  <c r="AB12" i="55"/>
  <c r="AD31" i="55"/>
  <c r="AA27" i="55"/>
  <c r="AA41" i="55"/>
  <c r="AD47" i="55"/>
  <c r="Z21" i="55"/>
  <c r="Z47" i="55"/>
  <c r="AA46" i="55"/>
  <c r="AD56" i="55"/>
  <c r="Z49" i="55"/>
  <c r="Z54" i="55"/>
  <c r="AA48" i="55"/>
  <c r="AD41" i="55"/>
  <c r="Z23" i="55"/>
  <c r="AA55" i="55"/>
  <c r="AD54" i="55"/>
  <c r="AD48" i="55"/>
  <c r="AD59" i="55"/>
  <c r="AA23" i="55"/>
  <c r="AD26" i="55"/>
  <c r="AD55" i="55"/>
  <c r="AA54" i="55"/>
  <c r="Z26" i="55"/>
  <c r="I43" i="55"/>
  <c r="S43" i="55" s="1"/>
  <c r="U43" i="55" s="1"/>
  <c r="AM16" i="55"/>
  <c r="AM20" i="55"/>
  <c r="I52" i="55"/>
  <c r="S52" i="55" s="1"/>
  <c r="U52" i="55" s="1"/>
  <c r="I44" i="55"/>
  <c r="S44" i="55" s="1"/>
  <c r="U44" i="55" s="1"/>
  <c r="I37" i="55"/>
  <c r="S37" i="55" s="1"/>
  <c r="U37" i="55" s="1"/>
  <c r="AA43" i="55"/>
  <c r="CP9" i="55"/>
  <c r="I47" i="55"/>
  <c r="S47" i="55" s="1"/>
  <c r="U47" i="55" s="1"/>
  <c r="AD52" i="55"/>
  <c r="AD37" i="55"/>
  <c r="AM33" i="55"/>
  <c r="AA58" i="55"/>
  <c r="I55" i="55"/>
  <c r="S55" i="55" s="1"/>
  <c r="U55" i="55" s="1"/>
  <c r="I49" i="55"/>
  <c r="S49" i="55" s="1"/>
  <c r="U49" i="55" s="1"/>
  <c r="I40" i="55"/>
  <c r="S40" i="55" s="1"/>
  <c r="U40" i="55" s="1"/>
  <c r="I31" i="55"/>
  <c r="S31" i="55" s="1"/>
  <c r="U31" i="55" s="1"/>
  <c r="I53" i="55"/>
  <c r="S53" i="55" s="1"/>
  <c r="U53" i="55" s="1"/>
  <c r="Z43" i="55"/>
  <c r="I41" i="55"/>
  <c r="S41" i="55" s="1"/>
  <c r="U41" i="55" s="1"/>
  <c r="AA52" i="55"/>
  <c r="AA44" i="55"/>
  <c r="AB18" i="55"/>
  <c r="Z34" i="55"/>
  <c r="Z37" i="55"/>
  <c r="AA37" i="55"/>
  <c r="I59" i="55"/>
  <c r="S59" i="55" s="1"/>
  <c r="U59" i="55" s="1"/>
  <c r="AD40" i="55"/>
  <c r="I26" i="55"/>
  <c r="S26" i="55" s="1"/>
  <c r="U26" i="55" s="1"/>
  <c r="I54" i="55"/>
  <c r="S54" i="55" s="1"/>
  <c r="U54" i="55" s="1"/>
  <c r="I34" i="55"/>
  <c r="S34" i="55" s="1"/>
  <c r="U34" i="55" s="1"/>
  <c r="I58" i="55"/>
  <c r="S58" i="55" s="1"/>
  <c r="U58" i="55" s="1"/>
  <c r="AD53" i="55"/>
  <c r="AM36" i="55"/>
  <c r="I48" i="55"/>
  <c r="S48" i="55" s="1"/>
  <c r="U48" i="55" s="1"/>
  <c r="I27" i="55"/>
  <c r="S27" i="55" s="1"/>
  <c r="U27" i="55" s="1"/>
  <c r="AM57" i="55"/>
  <c r="Z52" i="55"/>
  <c r="Z44" i="55"/>
  <c r="AA34" i="55"/>
  <c r="AD34" i="55"/>
  <c r="I46" i="55"/>
  <c r="S46" i="55" s="1"/>
  <c r="U46" i="55" s="1"/>
  <c r="Z59" i="55"/>
  <c r="Z40" i="55"/>
  <c r="I21" i="55"/>
  <c r="S21" i="55" s="1"/>
  <c r="U21" i="55" s="1"/>
  <c r="AA31" i="55"/>
  <c r="I56" i="55"/>
  <c r="S56" i="55" s="1"/>
  <c r="U56" i="55" s="1"/>
  <c r="I23" i="55"/>
  <c r="S23" i="55" s="1"/>
  <c r="U23" i="55" s="1"/>
  <c r="AD58" i="55"/>
  <c r="Z53" i="55"/>
  <c r="D11" i="53"/>
  <c r="P11" i="53"/>
  <c r="K11" i="53"/>
  <c r="F11" i="53"/>
  <c r="O11" i="53"/>
  <c r="M11" i="53"/>
  <c r="N11" i="53"/>
  <c r="K10" i="53"/>
  <c r="C10" i="53"/>
  <c r="P10" i="53"/>
  <c r="N10" i="53"/>
  <c r="M10" i="53"/>
  <c r="F10" i="53"/>
  <c r="D10" i="53"/>
  <c r="L10" i="53"/>
  <c r="O10" i="53"/>
  <c r="AA19" i="51"/>
  <c r="AA74" i="51" s="1"/>
  <c r="AA129" i="51" s="1"/>
  <c r="AA51" i="51"/>
  <c r="AA106" i="51" s="1"/>
  <c r="AA161" i="51" s="1"/>
  <c r="AA26" i="51"/>
  <c r="AA81" i="51" s="1"/>
  <c r="AA136" i="51" s="1"/>
  <c r="AA56" i="51"/>
  <c r="AA111" i="51" s="1"/>
  <c r="AA166" i="51" s="1"/>
  <c r="AA55" i="51"/>
  <c r="AA110" i="51" s="1"/>
  <c r="AA165" i="51" s="1"/>
  <c r="AA54" i="51"/>
  <c r="AA109" i="51" s="1"/>
  <c r="AA164" i="51" s="1"/>
  <c r="AS53" i="34" a="1"/>
  <c r="AS53" i="34" s="1"/>
  <c r="AS55" i="34" a="1"/>
  <c r="AS55" i="34" s="1"/>
  <c r="AS45" i="34" a="1"/>
  <c r="AS45" i="34" s="1"/>
  <c r="AS97" i="34" a="1"/>
  <c r="AS97" i="34" s="1"/>
  <c r="AA28" i="51"/>
  <c r="AA83" i="51" s="1"/>
  <c r="AA138" i="51" s="1"/>
  <c r="AA44" i="51"/>
  <c r="AA99" i="51" s="1"/>
  <c r="AA154" i="51" s="1"/>
  <c r="AA57" i="51"/>
  <c r="AA112" i="51" s="1"/>
  <c r="AA167" i="51" s="1"/>
  <c r="AA32" i="51"/>
  <c r="AA87" i="51" s="1"/>
  <c r="AA142" i="51" s="1"/>
  <c r="AA20" i="51"/>
  <c r="AA75" i="51" s="1"/>
  <c r="AA130" i="51" s="1"/>
  <c r="AA50" i="51"/>
  <c r="AA105" i="51" s="1"/>
  <c r="AA160" i="51" s="1"/>
  <c r="AS47" i="34" a="1"/>
  <c r="AS47" i="34" s="1"/>
  <c r="AS83" i="34" a="1"/>
  <c r="AS83" i="34" s="1"/>
  <c r="AS78" i="34" a="1"/>
  <c r="AS78" i="34" s="1"/>
  <c r="AS56" i="34" a="1"/>
  <c r="AS56" i="34" s="1"/>
  <c r="AS62" i="34" a="1"/>
  <c r="AS62" i="34" s="1"/>
  <c r="AS101" i="34" a="1"/>
  <c r="AS101" i="34" s="1"/>
  <c r="AS69" i="34" a="1"/>
  <c r="AS69" i="34" s="1"/>
  <c r="AS27" i="34" a="1"/>
  <c r="AS27" i="34" s="1"/>
  <c r="AS35" i="34" a="1"/>
  <c r="AS35" i="34" s="1"/>
  <c r="AS107" i="34" a="1"/>
  <c r="AS107" i="34" s="1"/>
  <c r="AS68" i="34" a="1"/>
  <c r="AS68" i="34" s="1"/>
  <c r="AS39" i="34" a="1"/>
  <c r="AS39" i="34" s="1"/>
  <c r="AS22" i="34" a="1"/>
  <c r="AS22" i="34" s="1"/>
  <c r="AS73" i="34" a="1"/>
  <c r="AS73" i="34" s="1"/>
  <c r="AA22" i="51"/>
  <c r="AA77" i="51" s="1"/>
  <c r="AA132" i="51" s="1"/>
  <c r="AA52" i="51"/>
  <c r="AA107" i="51" s="1"/>
  <c r="AA162" i="51" s="1"/>
  <c r="AS76" i="34" a="1"/>
  <c r="AS76" i="34" s="1"/>
  <c r="AS81" i="34" a="1"/>
  <c r="AS81" i="34" s="1"/>
  <c r="AS25" i="34" a="1"/>
  <c r="AS25" i="34" s="1"/>
  <c r="AS38" i="34" a="1"/>
  <c r="AS38" i="34" s="1"/>
  <c r="AS50" i="34" a="1"/>
  <c r="AS50" i="34" s="1"/>
  <c r="AS98" i="34" a="1"/>
  <c r="AS98" i="34" s="1"/>
  <c r="AS29" i="34" a="1"/>
  <c r="AS29" i="34" s="1"/>
  <c r="AA24" i="51"/>
  <c r="AA79" i="51" s="1"/>
  <c r="AA134" i="51" s="1"/>
  <c r="AA21" i="51"/>
  <c r="AA76" i="51" s="1"/>
  <c r="AA131" i="51" s="1"/>
  <c r="AA53" i="51"/>
  <c r="AA108" i="51" s="1"/>
  <c r="AA163" i="51" s="1"/>
  <c r="AA23" i="51"/>
  <c r="AA78" i="51" s="1"/>
  <c r="AA133" i="51" s="1"/>
  <c r="AA45" i="51"/>
  <c r="AA100" i="51" s="1"/>
  <c r="AA155" i="51" s="1"/>
  <c r="AS114" i="34" a="1"/>
  <c r="AS114" i="34" s="1"/>
  <c r="AS31" i="34" a="1"/>
  <c r="AS31" i="34" s="1"/>
  <c r="AS80" i="34" a="1"/>
  <c r="AS80" i="34" s="1"/>
  <c r="AS54" i="34" a="1"/>
  <c r="AS54" i="34" s="1"/>
  <c r="AS112" i="34" a="1"/>
  <c r="AS112" i="34" s="1"/>
  <c r="AS34" i="34" a="1"/>
  <c r="AS34" i="34" s="1"/>
  <c r="AS99" i="34" a="1"/>
  <c r="AS99" i="34" s="1"/>
  <c r="AS96" i="34" a="1"/>
  <c r="AS96" i="34" s="1"/>
  <c r="AS75" i="34" a="1"/>
  <c r="AS75" i="34" s="1"/>
  <c r="AS17" i="34" a="1"/>
  <c r="AS17" i="34" s="1"/>
  <c r="AS85" i="34" a="1"/>
  <c r="AS85" i="34" s="1"/>
  <c r="AS41" i="34" a="1"/>
  <c r="AS41" i="34" s="1"/>
  <c r="CO9" i="53"/>
  <c r="AS102" i="34" a="1"/>
  <c r="AS102" i="34" s="1"/>
  <c r="AS19" i="34" a="1"/>
  <c r="AS19" i="34" s="1"/>
  <c r="AS51" i="34" a="1"/>
  <c r="AS51" i="34" s="1"/>
  <c r="AS24" i="34" a="1"/>
  <c r="AS24" i="34" s="1"/>
  <c r="AS71" i="34" a="1"/>
  <c r="AS71" i="34" s="1"/>
  <c r="AS30" i="34" a="1"/>
  <c r="AS30" i="34" s="1"/>
  <c r="AS64" i="34" a="1"/>
  <c r="AS64" i="34" s="1"/>
  <c r="AS33" i="34" a="1"/>
  <c r="AS33" i="34" s="1"/>
  <c r="AS84" i="34" a="1"/>
  <c r="AS84" i="34" s="1"/>
  <c r="AS44" i="34" a="1"/>
  <c r="AS44" i="34" s="1"/>
  <c r="AS106" i="34" a="1"/>
  <c r="AS106" i="34" s="1"/>
  <c r="AS100" i="34" a="1"/>
  <c r="AS100" i="34" s="1"/>
  <c r="AS86" i="34" a="1"/>
  <c r="AS86" i="34" s="1"/>
  <c r="AS74" i="34" a="1"/>
  <c r="AS74" i="34" s="1"/>
  <c r="AS89" i="34" a="1"/>
  <c r="AS89" i="34" s="1"/>
  <c r="AS21" i="34" a="1"/>
  <c r="AS21" i="34" s="1"/>
  <c r="AS82" i="34" a="1"/>
  <c r="AS82" i="34" s="1"/>
  <c r="AS60" i="34" a="1"/>
  <c r="AS60" i="34" s="1"/>
  <c r="AS91" i="34" a="1"/>
  <c r="AS91" i="34" s="1"/>
  <c r="AS95" i="34" a="1"/>
  <c r="AS95" i="34" s="1"/>
  <c r="AS20" i="34" a="1"/>
  <c r="AS20" i="34" s="1"/>
  <c r="AS40" i="34" a="1"/>
  <c r="AS40" i="34" s="1"/>
  <c r="AS28" i="34" a="1"/>
  <c r="AS28" i="34" s="1"/>
  <c r="AS46" i="34" a="1"/>
  <c r="AS46" i="34" s="1"/>
  <c r="AS63" i="34" a="1"/>
  <c r="AS63" i="34" s="1"/>
  <c r="AS18" i="34" a="1"/>
  <c r="AS18" i="34" s="1"/>
  <c r="AS77" i="34" a="1"/>
  <c r="AS77" i="34" s="1"/>
  <c r="AS104" i="34" a="1"/>
  <c r="AS104" i="34" s="1"/>
  <c r="AS59" i="34" a="1"/>
  <c r="AS59" i="34" s="1"/>
  <c r="AS105" i="34" a="1"/>
  <c r="AS105" i="34" s="1"/>
  <c r="AS79" i="34" a="1"/>
  <c r="AS79" i="34" s="1"/>
  <c r="AS32" i="34" a="1"/>
  <c r="AS32" i="34" s="1"/>
  <c r="AS67" i="34" a="1"/>
  <c r="AS67" i="34" s="1"/>
  <c r="AS43" i="34" a="1"/>
  <c r="AS43" i="34" s="1"/>
  <c r="AS72" i="34" a="1"/>
  <c r="AS72" i="34" s="1"/>
  <c r="AS92" i="34" a="1"/>
  <c r="AS92" i="34" s="1"/>
  <c r="AS94" i="34" a="1"/>
  <c r="AS94" i="34" s="1"/>
  <c r="AS61" i="34" a="1"/>
  <c r="AS61" i="34" s="1"/>
  <c r="AS42" i="34" a="1"/>
  <c r="AS42" i="34" s="1"/>
  <c r="AS65" i="34" a="1"/>
  <c r="AS65" i="34" s="1"/>
  <c r="AS37" i="34" a="1"/>
  <c r="AS37" i="34" s="1"/>
  <c r="AS23" i="34" a="1"/>
  <c r="AS23" i="34" s="1"/>
  <c r="AS49" i="34" a="1"/>
  <c r="AS49" i="34" s="1"/>
  <c r="AS36" i="34" a="1"/>
  <c r="AS36" i="34" s="1"/>
  <c r="AS93" i="34" a="1"/>
  <c r="AS93" i="34" s="1"/>
  <c r="AS70" i="34" a="1"/>
  <c r="AS70" i="34" s="1"/>
  <c r="AS109" i="34" a="1"/>
  <c r="AS109" i="34" s="1"/>
  <c r="AS110" i="34" a="1"/>
  <c r="AS110" i="34" s="1"/>
  <c r="AS111" i="34" a="1"/>
  <c r="AS111" i="34" s="1"/>
  <c r="AS66" i="34" a="1"/>
  <c r="AS66" i="34" s="1"/>
  <c r="AS87" i="34" a="1"/>
  <c r="AS87" i="34" s="1"/>
  <c r="AS58" i="34" a="1"/>
  <c r="AS58" i="34" s="1"/>
  <c r="BC27" i="45"/>
  <c r="BC35" i="45"/>
  <c r="L35" i="45"/>
  <c r="K32" i="45"/>
  <c r="BC32" i="45" s="1"/>
  <c r="L42" i="45"/>
  <c r="BC42" i="45"/>
  <c r="K44" i="45"/>
  <c r="BC41" i="45"/>
  <c r="L41" i="45"/>
  <c r="AQ48" i="33"/>
  <c r="AU16" i="34"/>
  <c r="BD66" i="34" s="1"/>
  <c r="AV16" i="34"/>
  <c r="BE66" i="34" s="1"/>
  <c r="AW16" i="34"/>
  <c r="BF66" i="34" s="1"/>
  <c r="BB66" i="34"/>
  <c r="N15" i="33"/>
  <c r="O37" i="5" s="1"/>
  <c r="U37" i="5" s="1"/>
  <c r="M52" i="33"/>
  <c r="N52" i="33" s="1"/>
  <c r="N50" i="33" s="1"/>
  <c r="N13" i="33" s="1"/>
  <c r="K34" i="45"/>
  <c r="BC34" i="45" s="1"/>
  <c r="K30" i="45"/>
  <c r="BC30" i="45" s="1"/>
  <c r="AD16" i="28"/>
  <c r="BG16" i="34" s="1"/>
  <c r="H22" i="32"/>
  <c r="AD35" i="28"/>
  <c r="BG35" i="34" s="1"/>
  <c r="H41" i="32"/>
  <c r="AD37" i="28"/>
  <c r="BG37" i="34" s="1"/>
  <c r="H43" i="32"/>
  <c r="AD25" i="28"/>
  <c r="BG25" i="34" s="1"/>
  <c r="H31" i="32"/>
  <c r="AD41" i="28"/>
  <c r="H47" i="32"/>
  <c r="AD32" i="28"/>
  <c r="BG32" i="34" s="1"/>
  <c r="H38" i="32"/>
  <c r="AD40" i="28"/>
  <c r="BG40" i="34" s="1"/>
  <c r="H46" i="32"/>
  <c r="AD36" i="28"/>
  <c r="BG36" i="34" s="1"/>
  <c r="H42" i="32"/>
  <c r="AD31" i="28"/>
  <c r="H37" i="32"/>
  <c r="AD33" i="28"/>
  <c r="BG33" i="34" s="1"/>
  <c r="H39" i="32"/>
  <c r="AD38" i="28"/>
  <c r="BG38" i="34" s="1"/>
  <c r="H44" i="32"/>
  <c r="AD28" i="28"/>
  <c r="BG28" i="34" s="1"/>
  <c r="H34" i="32"/>
  <c r="AD45" i="28"/>
  <c r="BG45" i="34" s="1"/>
  <c r="H51" i="32"/>
  <c r="AD29" i="28"/>
  <c r="BG29" i="34" s="1"/>
  <c r="H35" i="32"/>
  <c r="AD39" i="28"/>
  <c r="BG39" i="34" s="1"/>
  <c r="H45" i="32"/>
  <c r="AD46" i="28"/>
  <c r="BG46" i="34" s="1"/>
  <c r="H52" i="32"/>
  <c r="AD47" i="28"/>
  <c r="H53" i="32"/>
  <c r="AD34" i="28"/>
  <c r="H40" i="32"/>
  <c r="AD44" i="28"/>
  <c r="H50" i="32"/>
  <c r="AD23" i="28"/>
  <c r="BG23" i="34" s="1"/>
  <c r="H29" i="32"/>
  <c r="AD27" i="28"/>
  <c r="BG27" i="34" s="1"/>
  <c r="H33" i="32"/>
  <c r="K31" i="45"/>
  <c r="K26" i="45"/>
  <c r="K29" i="45"/>
  <c r="Z47" i="28"/>
  <c r="Z46" i="28"/>
  <c r="Z45" i="28"/>
  <c r="Z44" i="28"/>
  <c r="Z42" i="28"/>
  <c r="Z43" i="28"/>
  <c r="AD43" i="28"/>
  <c r="AD42" i="28"/>
  <c r="Z41" i="28"/>
  <c r="Z40" i="28"/>
  <c r="Z39" i="28"/>
  <c r="Z38" i="28"/>
  <c r="Z37" i="28"/>
  <c r="Z36" i="28"/>
  <c r="Z35" i="28"/>
  <c r="Z34" i="28"/>
  <c r="Z33" i="28"/>
  <c r="Z32" i="28"/>
  <c r="Z31" i="28"/>
  <c r="Z30" i="28"/>
  <c r="AD30" i="28"/>
  <c r="Z26" i="28"/>
  <c r="I144" i="5" s="1"/>
  <c r="Z29" i="28"/>
  <c r="I147" i="5" s="1"/>
  <c r="Z28" i="28"/>
  <c r="I146" i="5" s="1"/>
  <c r="AD26" i="28"/>
  <c r="Z27" i="28"/>
  <c r="I145" i="5" s="1"/>
  <c r="Z25" i="28"/>
  <c r="I143" i="5" s="1"/>
  <c r="Z24" i="28"/>
  <c r="AD24" i="28"/>
  <c r="Z23" i="28"/>
  <c r="BE16" i="34"/>
  <c r="Z16" i="28"/>
  <c r="W13" i="28"/>
  <c r="BF31" i="34"/>
  <c r="BD18" i="34"/>
  <c r="Z18" i="28"/>
  <c r="I136" i="5" s="1"/>
  <c r="AD18" i="28"/>
  <c r="BD47" i="34"/>
  <c r="BF63" i="34"/>
  <c r="BF48" i="34"/>
  <c r="BF17" i="34"/>
  <c r="BF33" i="34"/>
  <c r="BC65" i="34"/>
  <c r="B71" i="32"/>
  <c r="CR71" i="32" s="1"/>
  <c r="BF65" i="34"/>
  <c r="BD38" i="34"/>
  <c r="BC54" i="34"/>
  <c r="B60" i="32"/>
  <c r="CR60" i="32" s="1"/>
  <c r="AD19" i="28"/>
  <c r="Z19" i="28"/>
  <c r="I137" i="5" s="1"/>
  <c r="BD19" i="34"/>
  <c r="BF35" i="34"/>
  <c r="BF24" i="34"/>
  <c r="BG56" i="34"/>
  <c r="BD21" i="34"/>
  <c r="Z21" i="28"/>
  <c r="I139" i="5" s="1"/>
  <c r="AD21" i="28"/>
  <c r="BD37" i="34"/>
  <c r="BF37" i="34"/>
  <c r="BD53" i="34"/>
  <c r="Z20" i="28"/>
  <c r="I138" i="5" s="1"/>
  <c r="BD20" i="34"/>
  <c r="AD20" i="28"/>
  <c r="BD52" i="34"/>
  <c r="BG52" i="34"/>
  <c r="BF42" i="34"/>
  <c r="BC58" i="34"/>
  <c r="B64" i="32"/>
  <c r="CR64" i="32" s="1"/>
  <c r="BF23" i="34"/>
  <c r="BF55" i="34"/>
  <c r="BG55" i="34"/>
  <c r="BG60" i="34"/>
  <c r="BF41" i="34"/>
  <c r="BC57" i="34"/>
  <c r="B63" i="32"/>
  <c r="CR63" i="32" s="1"/>
  <c r="B70" i="32"/>
  <c r="CR70" i="32" s="1"/>
  <c r="BC64" i="34"/>
  <c r="BF30" i="34"/>
  <c r="BF62" i="34"/>
  <c r="BD27" i="34"/>
  <c r="BD43" i="34"/>
  <c r="BD59" i="34"/>
  <c r="BF36" i="34"/>
  <c r="BD49" i="34"/>
  <c r="BG49" i="34"/>
  <c r="BD65" i="34"/>
  <c r="BF22" i="34"/>
  <c r="BF54" i="34"/>
  <c r="BF51" i="34"/>
  <c r="BC56" i="34"/>
  <c r="B62" i="32"/>
  <c r="CR62" i="32" s="1"/>
  <c r="BG53" i="34"/>
  <c r="B58" i="32"/>
  <c r="CR58" i="32" s="1"/>
  <c r="BC52" i="34"/>
  <c r="BD26" i="34"/>
  <c r="BF26" i="34"/>
  <c r="BD58" i="34"/>
  <c r="BD55" i="34"/>
  <c r="BF28" i="34"/>
  <c r="BD41" i="34"/>
  <c r="BG57" i="34"/>
  <c r="BD64" i="34"/>
  <c r="BF46" i="34"/>
  <c r="BD62" i="34"/>
  <c r="BF27" i="34"/>
  <c r="BF43" i="34"/>
  <c r="BD45" i="34"/>
  <c r="BD36" i="34"/>
  <c r="BF18" i="34"/>
  <c r="BF47" i="34"/>
  <c r="BD63" i="34"/>
  <c r="BD34" i="34"/>
  <c r="BD50" i="34"/>
  <c r="BC49" i="34"/>
  <c r="B55" i="32"/>
  <c r="CR55" i="32" s="1"/>
  <c r="BF49" i="34"/>
  <c r="BD44" i="34"/>
  <c r="BF44" i="34"/>
  <c r="AD22" i="28"/>
  <c r="Z22" i="28"/>
  <c r="I140" i="5" s="1"/>
  <c r="BD22" i="34"/>
  <c r="BF38" i="34"/>
  <c r="BD54" i="34"/>
  <c r="BG54" i="34"/>
  <c r="BD51" i="34"/>
  <c r="BG51" i="34"/>
  <c r="BF56" i="34"/>
  <c r="BF21" i="34"/>
  <c r="B59" i="32"/>
  <c r="CR59" i="32" s="1"/>
  <c r="BC53" i="34"/>
  <c r="BF53" i="34"/>
  <c r="BF20" i="34"/>
  <c r="BF58" i="34"/>
  <c r="BG58" i="34"/>
  <c r="BF39" i="34"/>
  <c r="B66" i="32"/>
  <c r="CR66" i="32" s="1"/>
  <c r="BC60" i="34"/>
  <c r="BF25" i="34"/>
  <c r="BF57" i="34"/>
  <c r="BF32" i="34"/>
  <c r="BG64" i="34"/>
  <c r="BD30" i="34"/>
  <c r="B65" i="32"/>
  <c r="CR65" i="32" s="1"/>
  <c r="BC59" i="34"/>
  <c r="BG59" i="34"/>
  <c r="BD40" i="34"/>
  <c r="B69" i="32"/>
  <c r="CR69" i="32" s="1"/>
  <c r="BC63" i="34"/>
  <c r="BD48" i="34"/>
  <c r="BC48" i="34"/>
  <c r="B54" i="32"/>
  <c r="CR54" i="32" s="1"/>
  <c r="BF29" i="34"/>
  <c r="BC61" i="34"/>
  <c r="B67" i="32"/>
  <c r="CR67" i="32" s="1"/>
  <c r="BD61" i="34"/>
  <c r="BG50" i="34"/>
  <c r="T13" i="28"/>
  <c r="AD17" i="28"/>
  <c r="Z17" i="28"/>
  <c r="I135" i="5" s="1"/>
  <c r="BD17" i="34"/>
  <c r="BD33" i="34"/>
  <c r="BG65" i="34"/>
  <c r="BF19" i="34"/>
  <c r="BD35" i="34"/>
  <c r="B57" i="32"/>
  <c r="CR57" i="32" s="1"/>
  <c r="BC51" i="34"/>
  <c r="BD24" i="34"/>
  <c r="BD56" i="34"/>
  <c r="BF52" i="34"/>
  <c r="BD42" i="34"/>
  <c r="BD23" i="34"/>
  <c r="BD39" i="34"/>
  <c r="B61" i="32"/>
  <c r="CR61" i="32" s="1"/>
  <c r="BC55" i="34"/>
  <c r="BD28" i="34"/>
  <c r="BD60" i="34"/>
  <c r="BF60" i="34"/>
  <c r="BD25" i="34"/>
  <c r="BD57" i="34"/>
  <c r="BD32" i="34"/>
  <c r="BF64" i="34"/>
  <c r="BD46" i="34"/>
  <c r="BC62" i="34"/>
  <c r="B68" i="32"/>
  <c r="CR68" i="32" s="1"/>
  <c r="BG62" i="34"/>
  <c r="BF59" i="34"/>
  <c r="BF40" i="34"/>
  <c r="BF45" i="34"/>
  <c r="BG63" i="34"/>
  <c r="BG48" i="34"/>
  <c r="BD29" i="34"/>
  <c r="BD31" i="34"/>
  <c r="BG61" i="34"/>
  <c r="BF61" i="34"/>
  <c r="BF34" i="34"/>
  <c r="BC50" i="34"/>
  <c r="B56" i="32"/>
  <c r="CR56" i="32" s="1"/>
  <c r="BF50" i="34"/>
  <c r="BD16" i="34"/>
  <c r="BF16" i="34"/>
  <c r="AT46" i="54" l="1"/>
  <c r="AV52" i="34"/>
  <c r="BE102" i="34" s="1"/>
  <c r="AX108" i="34"/>
  <c r="BG158" i="34" s="1"/>
  <c r="BC66" i="34"/>
  <c r="AE40" i="55"/>
  <c r="AF40" i="55" s="1"/>
  <c r="AE25" i="55"/>
  <c r="AF25" i="55" s="1"/>
  <c r="AI25" i="55" s="1"/>
  <c r="AJ25" i="55" s="1"/>
  <c r="AV108" i="34"/>
  <c r="BE158" i="34" s="1"/>
  <c r="AT52" i="34"/>
  <c r="B54" i="56" s="1"/>
  <c r="G54" i="56" s="1"/>
  <c r="J54" i="56" s="1"/>
  <c r="Q85" i="5"/>
  <c r="S85" i="5" s="1"/>
  <c r="M15" i="58"/>
  <c r="R25" i="58"/>
  <c r="BG19" i="58"/>
  <c r="Q15" i="58" s="1"/>
  <c r="W85" i="5" s="1"/>
  <c r="O11" i="60"/>
  <c r="AE53" i="55"/>
  <c r="AF53" i="55" s="1"/>
  <c r="AB35" i="55"/>
  <c r="AV103" i="34"/>
  <c r="BE153" i="34" s="1"/>
  <c r="AW52" i="34"/>
  <c r="BF102" i="34" s="1"/>
  <c r="AF39" i="55"/>
  <c r="AI39" i="55" s="1"/>
  <c r="AJ39" i="55" s="1"/>
  <c r="AM25" i="55"/>
  <c r="AI14" i="55"/>
  <c r="AJ14" i="55" s="1"/>
  <c r="AW58" i="34"/>
  <c r="BF108" i="34" s="1"/>
  <c r="AY58" i="34"/>
  <c r="AT65" i="34"/>
  <c r="B67" i="56" s="1"/>
  <c r="G67" i="56" s="1"/>
  <c r="AY65" i="34"/>
  <c r="AV104" i="34"/>
  <c r="BE154" i="34" s="1"/>
  <c r="AY104" i="34"/>
  <c r="AW21" i="34"/>
  <c r="BF71" i="34" s="1"/>
  <c r="AY21" i="34"/>
  <c r="AV24" i="34"/>
  <c r="BE74" i="34" s="1"/>
  <c r="AY24" i="34"/>
  <c r="AV112" i="34"/>
  <c r="BE162" i="34" s="1"/>
  <c r="AY112" i="34"/>
  <c r="AV76" i="34"/>
  <c r="BE126" i="34" s="1"/>
  <c r="AY76" i="34"/>
  <c r="AU62" i="34"/>
  <c r="BD112" i="34" s="1"/>
  <c r="AY62" i="34"/>
  <c r="AU109" i="34"/>
  <c r="BD159" i="34" s="1"/>
  <c r="AY109" i="34"/>
  <c r="AW79" i="34"/>
  <c r="BF129" i="34" s="1"/>
  <c r="AY79" i="34"/>
  <c r="BB141" i="34"/>
  <c r="AY91" i="34"/>
  <c r="AW64" i="34"/>
  <c r="BF114" i="34" s="1"/>
  <c r="AY64" i="34"/>
  <c r="AV41" i="34"/>
  <c r="BE91" i="34" s="1"/>
  <c r="AY41" i="34"/>
  <c r="AW38" i="34"/>
  <c r="BF88" i="34" s="1"/>
  <c r="AY38" i="34"/>
  <c r="AX55" i="34"/>
  <c r="BG105" i="34" s="1"/>
  <c r="AY55" i="34"/>
  <c r="AW108" i="34"/>
  <c r="BF158" i="34" s="1"/>
  <c r="AY108" i="34"/>
  <c r="AU36" i="34"/>
  <c r="BD86" i="34" s="1"/>
  <c r="AY36" i="34"/>
  <c r="AT32" i="34"/>
  <c r="B34" i="56" s="1"/>
  <c r="G34" i="56" s="1"/>
  <c r="AY32" i="34"/>
  <c r="AT95" i="34"/>
  <c r="BC145" i="34" s="1"/>
  <c r="AY95" i="34"/>
  <c r="AV33" i="34"/>
  <c r="BE83" i="34" s="1"/>
  <c r="AY33" i="34"/>
  <c r="AV114" i="34"/>
  <c r="BE164" i="34" s="1"/>
  <c r="AY114" i="34"/>
  <c r="AT22" i="34"/>
  <c r="B24" i="56" s="1"/>
  <c r="G24" i="56" s="1"/>
  <c r="AY22" i="34"/>
  <c r="AU47" i="34"/>
  <c r="BD97" i="34" s="1"/>
  <c r="AY47" i="34"/>
  <c r="AW48" i="34"/>
  <c r="BF98" i="34" s="1"/>
  <c r="AY48" i="34"/>
  <c r="AW87" i="34"/>
  <c r="BF137" i="34" s="1"/>
  <c r="AY87" i="34"/>
  <c r="AT42" i="34"/>
  <c r="B44" i="56" s="1"/>
  <c r="G44" i="56" s="1"/>
  <c r="AY42" i="34"/>
  <c r="AV77" i="34"/>
  <c r="BE127" i="34" s="1"/>
  <c r="AY77" i="34"/>
  <c r="AT89" i="34"/>
  <c r="BC139" i="34" s="1"/>
  <c r="AY89" i="34"/>
  <c r="AU51" i="34"/>
  <c r="BD101" i="34" s="1"/>
  <c r="AY51" i="34"/>
  <c r="AT54" i="34"/>
  <c r="B56" i="56" s="1"/>
  <c r="G56" i="56" s="1"/>
  <c r="AY54" i="34"/>
  <c r="AU27" i="34"/>
  <c r="BD77" i="34" s="1"/>
  <c r="AY27" i="34"/>
  <c r="BB158" i="34"/>
  <c r="AX66" i="34"/>
  <c r="BG116" i="34" s="1"/>
  <c r="AY66" i="34"/>
  <c r="BB120" i="34"/>
  <c r="AY70" i="34"/>
  <c r="AU23" i="34"/>
  <c r="BD73" i="34" s="1"/>
  <c r="AY23" i="34"/>
  <c r="AV61" i="34"/>
  <c r="BE111" i="34" s="1"/>
  <c r="AY61" i="34"/>
  <c r="AT43" i="34"/>
  <c r="B45" i="56" s="1"/>
  <c r="G45" i="56" s="1"/>
  <c r="AY43" i="34"/>
  <c r="AW105" i="34"/>
  <c r="BF155" i="34" s="1"/>
  <c r="AY105" i="34"/>
  <c r="AW18" i="34"/>
  <c r="BF68" i="34" s="1"/>
  <c r="AY18" i="34"/>
  <c r="AT40" i="34"/>
  <c r="B42" i="56" s="1"/>
  <c r="G42" i="56" s="1"/>
  <c r="AY40" i="34"/>
  <c r="AX60" i="34"/>
  <c r="BG110" i="34" s="1"/>
  <c r="AY60" i="34"/>
  <c r="AT74" i="34"/>
  <c r="BC124" i="34" s="1"/>
  <c r="AY74" i="34"/>
  <c r="AT44" i="34"/>
  <c r="B46" i="56" s="1"/>
  <c r="G46" i="56" s="1"/>
  <c r="AY44" i="34"/>
  <c r="AU30" i="34"/>
  <c r="BD80" i="34" s="1"/>
  <c r="AY30" i="34"/>
  <c r="AW19" i="34"/>
  <c r="BF69" i="34" s="1"/>
  <c r="AY19" i="34"/>
  <c r="AT85" i="34"/>
  <c r="BC135" i="34" s="1"/>
  <c r="AY85" i="34"/>
  <c r="AV99" i="34"/>
  <c r="BE149" i="34" s="1"/>
  <c r="AY99" i="34"/>
  <c r="AU80" i="34"/>
  <c r="BD130" i="34" s="1"/>
  <c r="AY80" i="34"/>
  <c r="AT29" i="34"/>
  <c r="B31" i="56" s="1"/>
  <c r="G31" i="56" s="1"/>
  <c r="AY29" i="34"/>
  <c r="AU25" i="34"/>
  <c r="BD75" i="34" s="1"/>
  <c r="AY25" i="34"/>
  <c r="AT68" i="34"/>
  <c r="BC118" i="34" s="1"/>
  <c r="AY68" i="34"/>
  <c r="AT69" i="34"/>
  <c r="BC119" i="34" s="1"/>
  <c r="AY69" i="34"/>
  <c r="AX78" i="34"/>
  <c r="BG128" i="34" s="1"/>
  <c r="AY78" i="34"/>
  <c r="AW53" i="34"/>
  <c r="BF103" i="34" s="1"/>
  <c r="AY53" i="34"/>
  <c r="BB165" i="34"/>
  <c r="AY115" i="34"/>
  <c r="AX113" i="34"/>
  <c r="BG163" i="34" s="1"/>
  <c r="AY113" i="34"/>
  <c r="BB153" i="34"/>
  <c r="AY103" i="34"/>
  <c r="BB160" i="34"/>
  <c r="AY110" i="34"/>
  <c r="AW92" i="34"/>
  <c r="BF142" i="34" s="1"/>
  <c r="AY92" i="34"/>
  <c r="AT46" i="34"/>
  <c r="B48" i="56" s="1"/>
  <c r="G48" i="56" s="1"/>
  <c r="AY46" i="34"/>
  <c r="AV100" i="34"/>
  <c r="BE150" i="34" s="1"/>
  <c r="AY100" i="34"/>
  <c r="AU75" i="34"/>
  <c r="BD125" i="34" s="1"/>
  <c r="AY75" i="34"/>
  <c r="AT50" i="34"/>
  <c r="B52" i="56" s="1"/>
  <c r="G52" i="56" s="1"/>
  <c r="AY50" i="34"/>
  <c r="BB85" i="34"/>
  <c r="AY35" i="34"/>
  <c r="AT45" i="34"/>
  <c r="B47" i="56" s="1"/>
  <c r="G47" i="56" s="1"/>
  <c r="AY45" i="34"/>
  <c r="AV26" i="34"/>
  <c r="BE76" i="34" s="1"/>
  <c r="AY26" i="34"/>
  <c r="AW49" i="34"/>
  <c r="BF99" i="34" s="1"/>
  <c r="AY49" i="34"/>
  <c r="AV72" i="34"/>
  <c r="BE122" i="34" s="1"/>
  <c r="AY72" i="34"/>
  <c r="AT28" i="34"/>
  <c r="B30" i="56" s="1"/>
  <c r="G30" i="56" s="1"/>
  <c r="AY28" i="34"/>
  <c r="AT106" i="34"/>
  <c r="BC156" i="34" s="1"/>
  <c r="AY106" i="34"/>
  <c r="AV96" i="34"/>
  <c r="BE146" i="34" s="1"/>
  <c r="AY96" i="34"/>
  <c r="AT39" i="34"/>
  <c r="B41" i="56" s="1"/>
  <c r="G41" i="56" s="1"/>
  <c r="AY39" i="34"/>
  <c r="AW56" i="34"/>
  <c r="BF106" i="34" s="1"/>
  <c r="AY56" i="34"/>
  <c r="AU52" i="34"/>
  <c r="BD102" i="34" s="1"/>
  <c r="AY52" i="34"/>
  <c r="AX52" i="34"/>
  <c r="BG102" i="34" s="1"/>
  <c r="AU108" i="34"/>
  <c r="BD158" i="34" s="1"/>
  <c r="BB161" i="34"/>
  <c r="AY111" i="34"/>
  <c r="BB143" i="34"/>
  <c r="AY93" i="34"/>
  <c r="AT37" i="34"/>
  <c r="B39" i="56" s="1"/>
  <c r="G39" i="56" s="1"/>
  <c r="AY37" i="34"/>
  <c r="BB144" i="34"/>
  <c r="AY94" i="34"/>
  <c r="AU67" i="34"/>
  <c r="BD117" i="34" s="1"/>
  <c r="AY67" i="34"/>
  <c r="BB109" i="34"/>
  <c r="AY59" i="34"/>
  <c r="AU63" i="34"/>
  <c r="BD113" i="34" s="1"/>
  <c r="AY63" i="34"/>
  <c r="AX20" i="34"/>
  <c r="BG70" i="34" s="1"/>
  <c r="AY20" i="34"/>
  <c r="AW82" i="34"/>
  <c r="BF132" i="34" s="1"/>
  <c r="AY82" i="34"/>
  <c r="BB136" i="34"/>
  <c r="AY86" i="34"/>
  <c r="AV84" i="34"/>
  <c r="BE134" i="34" s="1"/>
  <c r="AY84" i="34"/>
  <c r="AW71" i="34"/>
  <c r="BF121" i="34" s="1"/>
  <c r="AY71" i="34"/>
  <c r="AT102" i="34"/>
  <c r="BC152" i="34" s="1"/>
  <c r="AY102" i="34"/>
  <c r="AU17" i="34"/>
  <c r="BD67" i="34" s="1"/>
  <c r="AY17" i="34"/>
  <c r="AT34" i="34"/>
  <c r="B36" i="56" s="1"/>
  <c r="G36" i="56" s="1"/>
  <c r="AY34" i="34"/>
  <c r="AW31" i="34"/>
  <c r="BF81" i="34" s="1"/>
  <c r="AY31" i="34"/>
  <c r="AW98" i="34"/>
  <c r="BF148" i="34" s="1"/>
  <c r="AY98" i="34"/>
  <c r="AT81" i="34"/>
  <c r="BC131" i="34" s="1"/>
  <c r="AY81" i="34"/>
  <c r="BB123" i="34"/>
  <c r="AY73" i="34"/>
  <c r="AV107" i="34"/>
  <c r="BE157" i="34" s="1"/>
  <c r="AY107" i="34"/>
  <c r="AT101" i="34"/>
  <c r="BC151" i="34" s="1"/>
  <c r="AY101" i="34"/>
  <c r="BB133" i="34"/>
  <c r="AY83" i="34"/>
  <c r="AW97" i="34"/>
  <c r="BF147" i="34" s="1"/>
  <c r="AY97" i="34"/>
  <c r="AV57" i="34"/>
  <c r="BE107" i="34" s="1"/>
  <c r="AY57" i="34"/>
  <c r="AX88" i="34"/>
  <c r="BG138" i="34" s="1"/>
  <c r="AY88" i="34"/>
  <c r="AU90" i="34"/>
  <c r="BD140" i="34" s="1"/>
  <c r="AY90" i="34"/>
  <c r="G18" i="56"/>
  <c r="H18" i="56" s="1"/>
  <c r="AM39" i="55"/>
  <c r="AW90" i="34"/>
  <c r="BF140" i="34" s="1"/>
  <c r="AU88" i="34"/>
  <c r="BD138" i="34" s="1"/>
  <c r="BB138" i="34"/>
  <c r="AT88" i="34"/>
  <c r="BC138" i="34" s="1"/>
  <c r="AV88" i="34"/>
  <c r="BE138" i="34" s="1"/>
  <c r="AO25" i="55"/>
  <c r="AT90" i="34"/>
  <c r="BC140" i="34" s="1"/>
  <c r="BB140" i="34"/>
  <c r="AX90" i="34"/>
  <c r="BG140" i="34" s="1"/>
  <c r="K60" i="32"/>
  <c r="M60" i="32" s="1"/>
  <c r="K62" i="32"/>
  <c r="M62" i="32" s="1"/>
  <c r="K63" i="32"/>
  <c r="M63" i="32" s="1"/>
  <c r="K64" i="32"/>
  <c r="M64" i="32" s="1"/>
  <c r="AT64" i="34"/>
  <c r="B66" i="56" s="1"/>
  <c r="G66" i="56" s="1"/>
  <c r="AX26" i="34"/>
  <c r="BG76" i="34" s="1"/>
  <c r="AO32" i="55"/>
  <c r="K69" i="32"/>
  <c r="M69" i="32" s="1"/>
  <c r="K59" i="32"/>
  <c r="M59" i="32" s="1"/>
  <c r="K55" i="32"/>
  <c r="M55" i="32" s="1"/>
  <c r="K70" i="32"/>
  <c r="M70" i="32" s="1"/>
  <c r="K68" i="32"/>
  <c r="M68" i="32" s="1"/>
  <c r="K61" i="32"/>
  <c r="M61" i="32" s="1"/>
  <c r="K57" i="32"/>
  <c r="M57" i="32" s="1"/>
  <c r="K54" i="32"/>
  <c r="M54" i="32" s="1"/>
  <c r="K65" i="32"/>
  <c r="M65" i="32" s="1"/>
  <c r="K58" i="32"/>
  <c r="M58" i="32" s="1"/>
  <c r="K71" i="32"/>
  <c r="M71" i="32" s="1"/>
  <c r="AU26" i="34"/>
  <c r="BD76" i="34" s="1"/>
  <c r="AO18" i="55"/>
  <c r="K56" i="32"/>
  <c r="M56" i="32" s="1"/>
  <c r="K67" i="32"/>
  <c r="M67" i="32" s="1"/>
  <c r="K66" i="32"/>
  <c r="M66" i="32" s="1"/>
  <c r="AB28" i="55"/>
  <c r="AE56" i="55"/>
  <c r="AF56" i="55" s="1"/>
  <c r="AM48" i="55"/>
  <c r="AL48" i="55"/>
  <c r="AN48" i="55" s="1"/>
  <c r="AM47" i="55"/>
  <c r="AL47" i="55"/>
  <c r="AN47" i="55" s="1"/>
  <c r="AE41" i="55"/>
  <c r="AF41" i="55" s="1"/>
  <c r="AL41" i="55"/>
  <c r="AN41" i="55" s="1"/>
  <c r="AL38" i="55"/>
  <c r="AN38" i="55" s="1"/>
  <c r="AE46" i="55"/>
  <c r="AF46" i="55" s="1"/>
  <c r="AL46" i="55"/>
  <c r="AN46" i="55" s="1"/>
  <c r="AE29" i="55"/>
  <c r="AF29" i="55" s="1"/>
  <c r="AL29" i="55"/>
  <c r="AN29" i="55" s="1"/>
  <c r="AL23" i="55"/>
  <c r="AN23" i="55" s="1"/>
  <c r="AE21" i="55"/>
  <c r="AF21" i="55" s="1"/>
  <c r="AE37" i="55"/>
  <c r="AF37" i="55" s="1"/>
  <c r="AL37" i="55"/>
  <c r="AN37" i="55" s="1"/>
  <c r="AM54" i="55"/>
  <c r="AL54" i="55"/>
  <c r="AN54" i="55" s="1"/>
  <c r="AM24" i="55"/>
  <c r="AL24" i="55"/>
  <c r="AN24" i="55" s="1"/>
  <c r="AE44" i="55"/>
  <c r="AF44" i="55" s="1"/>
  <c r="AL44" i="55"/>
  <c r="AN44" i="55" s="1"/>
  <c r="AE59" i="55"/>
  <c r="AF59" i="55" s="1"/>
  <c r="AL59" i="55"/>
  <c r="AN59" i="55" s="1"/>
  <c r="AL22" i="55"/>
  <c r="AN22" i="55" s="1"/>
  <c r="AM34" i="55"/>
  <c r="AL34" i="55"/>
  <c r="AN34" i="55" s="1"/>
  <c r="AL30" i="55"/>
  <c r="AN30" i="55" s="1"/>
  <c r="AE52" i="55"/>
  <c r="AF52" i="55" s="1"/>
  <c r="AL52" i="55"/>
  <c r="AN52" i="55" s="1"/>
  <c r="AE31" i="55"/>
  <c r="AF31" i="55" s="1"/>
  <c r="AL31" i="55"/>
  <c r="AN31" i="55" s="1"/>
  <c r="AE43" i="55"/>
  <c r="AF43" i="55" s="1"/>
  <c r="AL43" i="55"/>
  <c r="AN43" i="55" s="1"/>
  <c r="Q10" i="55"/>
  <c r="Y10" i="55" s="1"/>
  <c r="AB29" i="55"/>
  <c r="O6" i="55"/>
  <c r="AW26" i="34"/>
  <c r="BF76" i="34" s="1"/>
  <c r="BB76" i="34"/>
  <c r="AT48" i="34"/>
  <c r="B50" i="56" s="1"/>
  <c r="G50" i="56" s="1"/>
  <c r="AU48" i="34"/>
  <c r="BD98" i="34" s="1"/>
  <c r="AT26" i="34"/>
  <c r="B28" i="56" s="1"/>
  <c r="G28" i="56" s="1"/>
  <c r="AX48" i="34"/>
  <c r="BG98" i="34" s="1"/>
  <c r="BB98" i="34"/>
  <c r="BB126" i="34"/>
  <c r="AV48" i="34"/>
  <c r="BE98" i="34" s="1"/>
  <c r="O14" i="43"/>
  <c r="O43" i="5" s="1"/>
  <c r="U43" i="5" s="1"/>
  <c r="DK16" i="51"/>
  <c r="AE13" i="54"/>
  <c r="AF23" i="54" s="1"/>
  <c r="AV113" i="34"/>
  <c r="BE163" i="34" s="1"/>
  <c r="AW113" i="34"/>
  <c r="BF163" i="34" s="1"/>
  <c r="AT113" i="34"/>
  <c r="BC163" i="34" s="1"/>
  <c r="AX103" i="34"/>
  <c r="BG153" i="34" s="1"/>
  <c r="AW103" i="34"/>
  <c r="BF153" i="34" s="1"/>
  <c r="AU113" i="34"/>
  <c r="BD163" i="34" s="1"/>
  <c r="AT103" i="34"/>
  <c r="BC153" i="34" s="1"/>
  <c r="AT107" i="34"/>
  <c r="BC157" i="34" s="1"/>
  <c r="AW83" i="34"/>
  <c r="BF133" i="34" s="1"/>
  <c r="AX83" i="34"/>
  <c r="BG133" i="34" s="1"/>
  <c r="AT57" i="34"/>
  <c r="B59" i="56" s="1"/>
  <c r="G59" i="56" s="1"/>
  <c r="BB107" i="34"/>
  <c r="AX73" i="34"/>
  <c r="BG123" i="34" s="1"/>
  <c r="AE54" i="55"/>
  <c r="AF54" i="55" s="1"/>
  <c r="AE48" i="55"/>
  <c r="AF48" i="55" s="1"/>
  <c r="AE30" i="55"/>
  <c r="AF30" i="55" s="1"/>
  <c r="AE38" i="55"/>
  <c r="AF38" i="55" s="1"/>
  <c r="AE24" i="55"/>
  <c r="AF24" i="55" s="1"/>
  <c r="AE22" i="55"/>
  <c r="AF22" i="55" s="1"/>
  <c r="AE47" i="55"/>
  <c r="AF47" i="55" s="1"/>
  <c r="AM35" i="55"/>
  <c r="AE35" i="55"/>
  <c r="AF35" i="55" s="1"/>
  <c r="AE42" i="55"/>
  <c r="AF42" i="55" s="1"/>
  <c r="AE34" i="55"/>
  <c r="AF34" i="55" s="1"/>
  <c r="AE23" i="55"/>
  <c r="AF23" i="55" s="1"/>
  <c r="AM28" i="55"/>
  <c r="AE28" i="55"/>
  <c r="AF28" i="55" s="1"/>
  <c r="AU64" i="34"/>
  <c r="BD114" i="34" s="1"/>
  <c r="AW27" i="34"/>
  <c r="BF77" i="34" s="1"/>
  <c r="AU106" i="34"/>
  <c r="BD156" i="34" s="1"/>
  <c r="AX45" i="34"/>
  <c r="BG95" i="34" s="1"/>
  <c r="AT115" i="34"/>
  <c r="BC165" i="34" s="1"/>
  <c r="AV115" i="34"/>
  <c r="BE165" i="34" s="1"/>
  <c r="AX115" i="34"/>
  <c r="BG165" i="34" s="1"/>
  <c r="AV53" i="34"/>
  <c r="BE103" i="34" s="1"/>
  <c r="AW115" i="34"/>
  <c r="BF165" i="34" s="1"/>
  <c r="AU82" i="34"/>
  <c r="BD132" i="34" s="1"/>
  <c r="AU115" i="34"/>
  <c r="BD165" i="34" s="1"/>
  <c r="Q37" i="5"/>
  <c r="Y37" i="5" s="1"/>
  <c r="AT17" i="34"/>
  <c r="AX107" i="34"/>
  <c r="BG157" i="34" s="1"/>
  <c r="BB67" i="34"/>
  <c r="AX101" i="34"/>
  <c r="BG151" i="34" s="1"/>
  <c r="AW107" i="34"/>
  <c r="BF157" i="34" s="1"/>
  <c r="AV31" i="34"/>
  <c r="BE81" i="34" s="1"/>
  <c r="AV73" i="34"/>
  <c r="BE123" i="34" s="1"/>
  <c r="AX57" i="34"/>
  <c r="BG107" i="34" s="1"/>
  <c r="BB84" i="34"/>
  <c r="BB81" i="34"/>
  <c r="AT73" i="34"/>
  <c r="BC123" i="34" s="1"/>
  <c r="AU73" i="34"/>
  <c r="BD123" i="34" s="1"/>
  <c r="BB151" i="34"/>
  <c r="AV101" i="34"/>
  <c r="BE151" i="34" s="1"/>
  <c r="AW57" i="34"/>
  <c r="BF107" i="34" s="1"/>
  <c r="AU57" i="34"/>
  <c r="BD107" i="34" s="1"/>
  <c r="AV83" i="34"/>
  <c r="BE133" i="34" s="1"/>
  <c r="AB38" i="55"/>
  <c r="AI33" i="55"/>
  <c r="AJ33" i="55" s="1"/>
  <c r="AO14" i="55"/>
  <c r="AU38" i="34"/>
  <c r="BD88" i="34" s="1"/>
  <c r="AI45" i="55"/>
  <c r="AJ45" i="55" s="1"/>
  <c r="AI32" i="55"/>
  <c r="AJ32" i="55" s="1"/>
  <c r="AM38" i="55"/>
  <c r="AB42" i="55"/>
  <c r="AB30" i="55"/>
  <c r="AM30" i="55"/>
  <c r="K6" i="55"/>
  <c r="AI13" i="55"/>
  <c r="AJ13" i="55" s="1"/>
  <c r="AI17" i="55"/>
  <c r="AJ17" i="55" s="1"/>
  <c r="AI18" i="55"/>
  <c r="AJ18" i="55" s="1"/>
  <c r="AO45" i="55"/>
  <c r="AS29" i="54"/>
  <c r="AR29" i="54"/>
  <c r="AQ29" i="54"/>
  <c r="AP29" i="54"/>
  <c r="AB22" i="55"/>
  <c r="AM23" i="55"/>
  <c r="AM42" i="55"/>
  <c r="N6" i="55"/>
  <c r="AJ29" i="37"/>
  <c r="AL29" i="37"/>
  <c r="AK29" i="37"/>
  <c r="AI29" i="37"/>
  <c r="AI35" i="37"/>
  <c r="AL35" i="37"/>
  <c r="AJ35" i="37"/>
  <c r="AK35" i="37"/>
  <c r="AL36" i="37"/>
  <c r="AK36" i="37"/>
  <c r="AI36" i="37"/>
  <c r="AJ36" i="37"/>
  <c r="AI16" i="55"/>
  <c r="AJ16" i="55" s="1"/>
  <c r="AO17" i="55"/>
  <c r="AO13" i="55"/>
  <c r="AB24" i="55"/>
  <c r="AI50" i="55"/>
  <c r="AJ50" i="55" s="1"/>
  <c r="AF58" i="55"/>
  <c r="AM22" i="55"/>
  <c r="AO51" i="55"/>
  <c r="AI20" i="55"/>
  <c r="AJ20" i="55" s="1"/>
  <c r="AV80" i="34"/>
  <c r="BE130" i="34" s="1"/>
  <c r="AU53" i="34"/>
  <c r="BD103" i="34" s="1"/>
  <c r="AT25" i="34"/>
  <c r="B27" i="56" s="1"/>
  <c r="G27" i="56" s="1"/>
  <c r="AW73" i="34"/>
  <c r="BF123" i="34" s="1"/>
  <c r="BB101" i="34"/>
  <c r="AT83" i="34"/>
  <c r="BC133" i="34" s="1"/>
  <c r="AX51" i="34"/>
  <c r="BG101" i="34" s="1"/>
  <c r="AX34" i="34"/>
  <c r="BG84" i="34" s="1"/>
  <c r="BB157" i="34"/>
  <c r="AU107" i="34"/>
  <c r="BD157" i="34" s="1"/>
  <c r="L6" i="55"/>
  <c r="AO15" i="55"/>
  <c r="AM59" i="55"/>
  <c r="AI51" i="55"/>
  <c r="AJ51" i="55" s="1"/>
  <c r="AW78" i="34"/>
  <c r="BF128" i="34" s="1"/>
  <c r="AW101" i="34"/>
  <c r="BF151" i="34" s="1"/>
  <c r="AU83" i="34"/>
  <c r="BD133" i="34" s="1"/>
  <c r="BB147" i="34"/>
  <c r="AU101" i="34"/>
  <c r="BD151" i="34" s="1"/>
  <c r="AV17" i="34"/>
  <c r="BE67" i="34" s="1"/>
  <c r="BB103" i="34"/>
  <c r="AT31" i="34"/>
  <c r="B33" i="56" s="1"/>
  <c r="G33" i="56" s="1"/>
  <c r="AX53" i="34"/>
  <c r="BG103" i="34" s="1"/>
  <c r="Q11" i="55"/>
  <c r="AI57" i="55"/>
  <c r="AJ57" i="55" s="1"/>
  <c r="AI36" i="55"/>
  <c r="AJ36" i="55" s="1"/>
  <c r="AO39" i="55"/>
  <c r="AX84" i="34"/>
  <c r="BG134" i="34" s="1"/>
  <c r="AV38" i="34"/>
  <c r="BE88" i="34" s="1"/>
  <c r="AU79" i="34"/>
  <c r="BD129" i="34" s="1"/>
  <c r="AB55" i="55"/>
  <c r="AO12" i="55"/>
  <c r="AO50" i="55"/>
  <c r="AB46" i="55"/>
  <c r="AB41" i="55"/>
  <c r="AO19" i="55"/>
  <c r="AB53" i="55"/>
  <c r="AB31" i="55"/>
  <c r="AB27" i="55"/>
  <c r="AB40" i="55"/>
  <c r="AB49" i="55"/>
  <c r="AI15" i="55"/>
  <c r="AJ15" i="55" s="1"/>
  <c r="AM56" i="55"/>
  <c r="AM55" i="55"/>
  <c r="AE55" i="55"/>
  <c r="AF55" i="55" s="1"/>
  <c r="AM26" i="55"/>
  <c r="AE26" i="55"/>
  <c r="AF26" i="55" s="1"/>
  <c r="AM46" i="55"/>
  <c r="AI19" i="55"/>
  <c r="AJ19" i="55" s="1"/>
  <c r="AE27" i="55"/>
  <c r="AF27" i="55" s="1"/>
  <c r="AM49" i="55"/>
  <c r="AE49" i="55"/>
  <c r="AF49" i="55" s="1"/>
  <c r="AI12" i="55"/>
  <c r="AJ12" i="55" s="1"/>
  <c r="AB59" i="55"/>
  <c r="AB21" i="55"/>
  <c r="AB58" i="55"/>
  <c r="AB26" i="55"/>
  <c r="AB56" i="55"/>
  <c r="AM21" i="55"/>
  <c r="AM27" i="55"/>
  <c r="AM41" i="55"/>
  <c r="AB47" i="55"/>
  <c r="AB54" i="55"/>
  <c r="AB48" i="55"/>
  <c r="AB44" i="55"/>
  <c r="AB43" i="55"/>
  <c r="AB52" i="55"/>
  <c r="AB23" i="55"/>
  <c r="AX85" i="34"/>
  <c r="BG135" i="34" s="1"/>
  <c r="AX80" i="34"/>
  <c r="BG130" i="34" s="1"/>
  <c r="AO57" i="55"/>
  <c r="AM44" i="55"/>
  <c r="AO33" i="55"/>
  <c r="AM31" i="55"/>
  <c r="AO16" i="55"/>
  <c r="AO36" i="55"/>
  <c r="AB37" i="55"/>
  <c r="AM58" i="55"/>
  <c r="CQ9" i="55"/>
  <c r="AM52" i="55"/>
  <c r="AM40" i="55"/>
  <c r="AB34" i="55"/>
  <c r="AO20" i="55"/>
  <c r="AM43" i="55"/>
  <c r="AV26" i="54"/>
  <c r="AM37" i="55"/>
  <c r="AM53" i="55"/>
  <c r="AW29" i="34"/>
  <c r="BF79" i="34" s="1"/>
  <c r="AU29" i="34"/>
  <c r="BD79" i="34" s="1"/>
  <c r="AX25" i="34"/>
  <c r="BG75" i="34" s="1"/>
  <c r="AV32" i="34"/>
  <c r="BE82" i="34" s="1"/>
  <c r="AV85" i="34"/>
  <c r="BE135" i="34" s="1"/>
  <c r="AW25" i="34"/>
  <c r="BF75" i="34" s="1"/>
  <c r="BB79" i="34"/>
  <c r="BB75" i="34"/>
  <c r="AX29" i="34"/>
  <c r="BG79" i="34" s="1"/>
  <c r="AV29" i="34"/>
  <c r="BE79" i="34" s="1"/>
  <c r="AW85" i="34"/>
  <c r="BF135" i="34" s="1"/>
  <c r="AX68" i="34"/>
  <c r="BG118" i="34" s="1"/>
  <c r="BB130" i="34"/>
  <c r="AV25" i="34"/>
  <c r="BE75" i="34" s="1"/>
  <c r="AW80" i="34"/>
  <c r="BF130" i="34" s="1"/>
  <c r="AT80" i="34"/>
  <c r="BC130" i="34" s="1"/>
  <c r="AU85" i="34"/>
  <c r="BD135" i="34" s="1"/>
  <c r="AT53" i="34"/>
  <c r="B55" i="56" s="1"/>
  <c r="G55" i="56" s="1"/>
  <c r="AW46" i="34"/>
  <c r="BF96" i="34" s="1"/>
  <c r="BB97" i="34"/>
  <c r="AT76" i="34"/>
  <c r="BC126" i="34" s="1"/>
  <c r="AX114" i="34"/>
  <c r="BG164" i="34" s="1"/>
  <c r="AT35" i="34"/>
  <c r="B37" i="56" s="1"/>
  <c r="G37" i="56" s="1"/>
  <c r="AW61" i="34"/>
  <c r="BF111" i="34" s="1"/>
  <c r="AX50" i="34"/>
  <c r="BG100" i="34" s="1"/>
  <c r="AW35" i="34"/>
  <c r="BF85" i="34" s="1"/>
  <c r="AV47" i="34"/>
  <c r="BE97" i="34" s="1"/>
  <c r="AW50" i="34"/>
  <c r="BF100" i="34" s="1"/>
  <c r="AW77" i="34"/>
  <c r="BF127" i="34" s="1"/>
  <c r="AT51" i="34"/>
  <c r="B53" i="56" s="1"/>
  <c r="G53" i="56" s="1"/>
  <c r="AX44" i="34"/>
  <c r="BG94" i="34" s="1"/>
  <c r="AW17" i="34"/>
  <c r="BF67" i="34" s="1"/>
  <c r="AU31" i="34"/>
  <c r="BD81" i="34" s="1"/>
  <c r="AX17" i="34"/>
  <c r="BG67" i="34" s="1"/>
  <c r="AW34" i="34"/>
  <c r="BF84" i="34" s="1"/>
  <c r="AX31" i="34"/>
  <c r="BG81" i="34" s="1"/>
  <c r="AV42" i="34"/>
  <c r="BE92" i="34" s="1"/>
  <c r="AX30" i="34"/>
  <c r="BG80" i="34" s="1"/>
  <c r="AX91" i="34"/>
  <c r="BG141" i="34" s="1"/>
  <c r="AU34" i="34"/>
  <c r="BD84" i="34" s="1"/>
  <c r="BB114" i="34"/>
  <c r="AV34" i="34"/>
  <c r="BE84" i="34" s="1"/>
  <c r="Q11" i="53"/>
  <c r="R11" i="53" s="1"/>
  <c r="AX19" i="34"/>
  <c r="BG69" i="34" s="1"/>
  <c r="BB80" i="34"/>
  <c r="BB68" i="34"/>
  <c r="BB94" i="34"/>
  <c r="AV60" i="34"/>
  <c r="BE110" i="34" s="1"/>
  <c r="AV19" i="34"/>
  <c r="BE69" i="34" s="1"/>
  <c r="AU44" i="34"/>
  <c r="BD94" i="34" s="1"/>
  <c r="AW74" i="34"/>
  <c r="BF124" i="34" s="1"/>
  <c r="AV44" i="34"/>
  <c r="BE94" i="34" s="1"/>
  <c r="BB69" i="34"/>
  <c r="AV18" i="34"/>
  <c r="BE68" i="34" s="1"/>
  <c r="AT18" i="34"/>
  <c r="AW60" i="34"/>
  <c r="BF110" i="34" s="1"/>
  <c r="AT30" i="34"/>
  <c r="B32" i="56" s="1"/>
  <c r="G32" i="56" s="1"/>
  <c r="AV30" i="34"/>
  <c r="BE80" i="34" s="1"/>
  <c r="AV62" i="34"/>
  <c r="BE112" i="34" s="1"/>
  <c r="BB112" i="34"/>
  <c r="AV45" i="34"/>
  <c r="BE95" i="34" s="1"/>
  <c r="AT60" i="34"/>
  <c r="B62" i="56" s="1"/>
  <c r="G62" i="56" s="1"/>
  <c r="AW44" i="34"/>
  <c r="BF94" i="34" s="1"/>
  <c r="AW47" i="34"/>
  <c r="BF97" i="34" s="1"/>
  <c r="AV43" i="34"/>
  <c r="BE93" i="34" s="1"/>
  <c r="AW70" i="34"/>
  <c r="BF120" i="34" s="1"/>
  <c r="AU40" i="34"/>
  <c r="BD90" i="34" s="1"/>
  <c r="AX40" i="34"/>
  <c r="BG90" i="34" s="1"/>
  <c r="AX47" i="34"/>
  <c r="BG97" i="34" s="1"/>
  <c r="AU22" i="34"/>
  <c r="BD72" i="34" s="1"/>
  <c r="AV40" i="34"/>
  <c r="BE90" i="34" s="1"/>
  <c r="AU18" i="34"/>
  <c r="BD68" i="34" s="1"/>
  <c r="AW30" i="34"/>
  <c r="BF80" i="34" s="1"/>
  <c r="AW62" i="34"/>
  <c r="BF112" i="34" s="1"/>
  <c r="AU45" i="34"/>
  <c r="BD95" i="34" s="1"/>
  <c r="AT62" i="34"/>
  <c r="B64" i="56" s="1"/>
  <c r="G64" i="56" s="1"/>
  <c r="BB93" i="34"/>
  <c r="AV35" i="34"/>
  <c r="BE85" i="34" s="1"/>
  <c r="AW43" i="34"/>
  <c r="BF93" i="34" s="1"/>
  <c r="AX74" i="34"/>
  <c r="BG124" i="34" s="1"/>
  <c r="BB116" i="34"/>
  <c r="AW66" i="34"/>
  <c r="BF116" i="34" s="1"/>
  <c r="AU60" i="34"/>
  <c r="BD110" i="34" s="1"/>
  <c r="AU74" i="34"/>
  <c r="BD124" i="34" s="1"/>
  <c r="AW40" i="34"/>
  <c r="BF90" i="34" s="1"/>
  <c r="AU76" i="34"/>
  <c r="BD126" i="34" s="1"/>
  <c r="AT112" i="34"/>
  <c r="BC162" i="34" s="1"/>
  <c r="AW76" i="34"/>
  <c r="BF126" i="34" s="1"/>
  <c r="AX75" i="34"/>
  <c r="BG125" i="34" s="1"/>
  <c r="BB110" i="34"/>
  <c r="AV22" i="34"/>
  <c r="BE72" i="34" s="1"/>
  <c r="AV50" i="34"/>
  <c r="BE100" i="34" s="1"/>
  <c r="AX22" i="34"/>
  <c r="BG72" i="34" s="1"/>
  <c r="AX61" i="34"/>
  <c r="BG111" i="34" s="1"/>
  <c r="AW22" i="34"/>
  <c r="BF72" i="34" s="1"/>
  <c r="AT19" i="34"/>
  <c r="AX18" i="34"/>
  <c r="BG68" i="34" s="1"/>
  <c r="AU19" i="34"/>
  <c r="BD69" i="34" s="1"/>
  <c r="BB95" i="34"/>
  <c r="AU35" i="34"/>
  <c r="BD85" i="34" s="1"/>
  <c r="AV74" i="34"/>
  <c r="BE124" i="34" s="1"/>
  <c r="AT47" i="34"/>
  <c r="B49" i="56" s="1"/>
  <c r="G49" i="56" s="1"/>
  <c r="BB124" i="34"/>
  <c r="AX62" i="34"/>
  <c r="BG112" i="34" s="1"/>
  <c r="AU50" i="34"/>
  <c r="BD100" i="34" s="1"/>
  <c r="BB100" i="34"/>
  <c r="AT105" i="34"/>
  <c r="BC155" i="34" s="1"/>
  <c r="AW45" i="34"/>
  <c r="BF95" i="34" s="1"/>
  <c r="AX35" i="34"/>
  <c r="BG85" i="34" s="1"/>
  <c r="AT23" i="34"/>
  <c r="B25" i="56" s="1"/>
  <c r="G25" i="56" s="1"/>
  <c r="AX76" i="34"/>
  <c r="BG126" i="34" s="1"/>
  <c r="BB72" i="34"/>
  <c r="BB111" i="34"/>
  <c r="BB90" i="34"/>
  <c r="AX70" i="34"/>
  <c r="BG120" i="34" s="1"/>
  <c r="AT38" i="34"/>
  <c r="B40" i="56" s="1"/>
  <c r="G40" i="56" s="1"/>
  <c r="AW93" i="34"/>
  <c r="BF143" i="34" s="1"/>
  <c r="BB88" i="34"/>
  <c r="BB106" i="34"/>
  <c r="AX38" i="34"/>
  <c r="BG88" i="34" s="1"/>
  <c r="AV59" i="34"/>
  <c r="BE109" i="34" s="1"/>
  <c r="AU94" i="34"/>
  <c r="BD144" i="34" s="1"/>
  <c r="AT27" i="34"/>
  <c r="B29" i="56" s="1"/>
  <c r="G29" i="56" s="1"/>
  <c r="AU71" i="34"/>
  <c r="BD121" i="34" s="1"/>
  <c r="AW55" i="34"/>
  <c r="BF105" i="34" s="1"/>
  <c r="AV102" i="34"/>
  <c r="BE152" i="34" s="1"/>
  <c r="AU68" i="34"/>
  <c r="BD118" i="34" s="1"/>
  <c r="AU69" i="34"/>
  <c r="BD119" i="34" s="1"/>
  <c r="AX94" i="34"/>
  <c r="BG144" i="34" s="1"/>
  <c r="AX71" i="34"/>
  <c r="BG121" i="34" s="1"/>
  <c r="BB128" i="34"/>
  <c r="AU20" i="34"/>
  <c r="BD70" i="34" s="1"/>
  <c r="AV105" i="34"/>
  <c r="BE155" i="34" s="1"/>
  <c r="AV55" i="34"/>
  <c r="BE105" i="34" s="1"/>
  <c r="AW68" i="34"/>
  <c r="BF118" i="34" s="1"/>
  <c r="AU81" i="34"/>
  <c r="BD131" i="34" s="1"/>
  <c r="BB91" i="34"/>
  <c r="AT61" i="34"/>
  <c r="B63" i="56" s="1"/>
  <c r="G63" i="56" s="1"/>
  <c r="AX105" i="34"/>
  <c r="BG155" i="34" s="1"/>
  <c r="AV70" i="34"/>
  <c r="BE120" i="34" s="1"/>
  <c r="AU105" i="34"/>
  <c r="BD155" i="34" s="1"/>
  <c r="BB155" i="34"/>
  <c r="AV69" i="34"/>
  <c r="BE119" i="34" s="1"/>
  <c r="AW86" i="34"/>
  <c r="BF136" i="34" s="1"/>
  <c r="BB118" i="34"/>
  <c r="AW41" i="34"/>
  <c r="BF91" i="34" s="1"/>
  <c r="BB113" i="34"/>
  <c r="AW102" i="34"/>
  <c r="BF152" i="34" s="1"/>
  <c r="AX102" i="34"/>
  <c r="BG152" i="34" s="1"/>
  <c r="AT84" i="34"/>
  <c r="BC134" i="34" s="1"/>
  <c r="AW84" i="34"/>
  <c r="BF134" i="34" s="1"/>
  <c r="AX69" i="34"/>
  <c r="BG119" i="34" s="1"/>
  <c r="AW69" i="34"/>
  <c r="BF119" i="34" s="1"/>
  <c r="AX82" i="34"/>
  <c r="BG132" i="34" s="1"/>
  <c r="AW67" i="34"/>
  <c r="BF117" i="34" s="1"/>
  <c r="AW20" i="34"/>
  <c r="BF70" i="34" s="1"/>
  <c r="AT59" i="34"/>
  <c r="B61" i="56" s="1"/>
  <c r="G61" i="56" s="1"/>
  <c r="AT63" i="34"/>
  <c r="B65" i="56" s="1"/>
  <c r="G65" i="56" s="1"/>
  <c r="AW54" i="34"/>
  <c r="BF104" i="34" s="1"/>
  <c r="AW37" i="34"/>
  <c r="BF87" i="34" s="1"/>
  <c r="AV54" i="34"/>
  <c r="BE104" i="34" s="1"/>
  <c r="BB119" i="34"/>
  <c r="AT55" i="34"/>
  <c r="B57" i="56" s="1"/>
  <c r="G57" i="56" s="1"/>
  <c r="BB99" i="34"/>
  <c r="AU54" i="34"/>
  <c r="BD104" i="34" s="1"/>
  <c r="AT71" i="34"/>
  <c r="BC121" i="34" s="1"/>
  <c r="AV68" i="34"/>
  <c r="BE118" i="34" s="1"/>
  <c r="AU41" i="34"/>
  <c r="BD91" i="34" s="1"/>
  <c r="AT94" i="34"/>
  <c r="BC144" i="34" s="1"/>
  <c r="AT67" i="34"/>
  <c r="BC117" i="34" s="1"/>
  <c r="AT96" i="34"/>
  <c r="BC146" i="34" s="1"/>
  <c r="AV37" i="34"/>
  <c r="BE87" i="34" s="1"/>
  <c r="AX89" i="34"/>
  <c r="BG139" i="34" s="1"/>
  <c r="AX63" i="34"/>
  <c r="BG113" i="34" s="1"/>
  <c r="AW63" i="34"/>
  <c r="BF113" i="34" s="1"/>
  <c r="AU102" i="34"/>
  <c r="BD152" i="34" s="1"/>
  <c r="BB152" i="34"/>
  <c r="AU84" i="34"/>
  <c r="BD134" i="34" s="1"/>
  <c r="BB134" i="34"/>
  <c r="AT82" i="34"/>
  <c r="BC132" i="34" s="1"/>
  <c r="AV86" i="34"/>
  <c r="BE136" i="34" s="1"/>
  <c r="AT41" i="34"/>
  <c r="B43" i="56" s="1"/>
  <c r="G43" i="56" s="1"/>
  <c r="AU111" i="34"/>
  <c r="BD161" i="34" s="1"/>
  <c r="AU96" i="34"/>
  <c r="BD146" i="34" s="1"/>
  <c r="BB70" i="34"/>
  <c r="AU59" i="34"/>
  <c r="BD109" i="34" s="1"/>
  <c r="AX98" i="34"/>
  <c r="BG148" i="34" s="1"/>
  <c r="AX37" i="34"/>
  <c r="BG87" i="34" s="1"/>
  <c r="BB104" i="34"/>
  <c r="AV71" i="34"/>
  <c r="BE121" i="34" s="1"/>
  <c r="AU78" i="34"/>
  <c r="BD128" i="34" s="1"/>
  <c r="AX96" i="34"/>
  <c r="BG146" i="34" s="1"/>
  <c r="BB146" i="34"/>
  <c r="AX59" i="34"/>
  <c r="BG109" i="34" s="1"/>
  <c r="AV67" i="34"/>
  <c r="BE117" i="34" s="1"/>
  <c r="AX64" i="34"/>
  <c r="BG114" i="34" s="1"/>
  <c r="BB121" i="34"/>
  <c r="AV82" i="34"/>
  <c r="BE132" i="34" s="1"/>
  <c r="BB132" i="34"/>
  <c r="AW109" i="34"/>
  <c r="BF159" i="34" s="1"/>
  <c r="AV78" i="34"/>
  <c r="BE128" i="34" s="1"/>
  <c r="AV106" i="34"/>
  <c r="BE156" i="34" s="1"/>
  <c r="AX86" i="34"/>
  <c r="BG136" i="34" s="1"/>
  <c r="AU86" i="34"/>
  <c r="BD136" i="34" s="1"/>
  <c r="AX41" i="34"/>
  <c r="BG91" i="34" s="1"/>
  <c r="AT111" i="34"/>
  <c r="BC161" i="34" s="1"/>
  <c r="BB117" i="34"/>
  <c r="BB105" i="34"/>
  <c r="AU93" i="34"/>
  <c r="BD143" i="34" s="1"/>
  <c r="AU55" i="34"/>
  <c r="BD105" i="34" s="1"/>
  <c r="AX93" i="34"/>
  <c r="BG143" i="34" s="1"/>
  <c r="BB87" i="34"/>
  <c r="AX54" i="34"/>
  <c r="BG104" i="34" s="1"/>
  <c r="AV63" i="34"/>
  <c r="BE113" i="34" s="1"/>
  <c r="AT78" i="34"/>
  <c r="BC128" i="34" s="1"/>
  <c r="AX67" i="34"/>
  <c r="BG117" i="34" s="1"/>
  <c r="AT86" i="34"/>
  <c r="BC136" i="34" s="1"/>
  <c r="AT20" i="34"/>
  <c r="B22" i="56" s="1"/>
  <c r="G22" i="56" s="1"/>
  <c r="AV20" i="34"/>
  <c r="BE70" i="34" s="1"/>
  <c r="AW59" i="34"/>
  <c r="BF109" i="34" s="1"/>
  <c r="AW96" i="34"/>
  <c r="BF146" i="34" s="1"/>
  <c r="BB149" i="34"/>
  <c r="BB135" i="34"/>
  <c r="AV66" i="34"/>
  <c r="BE116" i="34" s="1"/>
  <c r="AT66" i="34"/>
  <c r="BC116" i="34" s="1"/>
  <c r="AU66" i="34"/>
  <c r="BD116" i="34" s="1"/>
  <c r="BB73" i="34"/>
  <c r="AV23" i="34"/>
  <c r="BE73" i="34" s="1"/>
  <c r="AU61" i="34"/>
  <c r="BD111" i="34" s="1"/>
  <c r="AU70" i="34"/>
  <c r="BD120" i="34" s="1"/>
  <c r="AX111" i="34"/>
  <c r="BG161" i="34" s="1"/>
  <c r="AT70" i="34"/>
  <c r="BC120" i="34" s="1"/>
  <c r="AU99" i="34"/>
  <c r="BD149" i="34" s="1"/>
  <c r="AV93" i="34"/>
  <c r="BE143" i="34" s="1"/>
  <c r="AX23" i="34"/>
  <c r="BG73" i="34" s="1"/>
  <c r="AT93" i="34"/>
  <c r="BC143" i="34" s="1"/>
  <c r="AU37" i="34"/>
  <c r="BD87" i="34" s="1"/>
  <c r="AW23" i="34"/>
  <c r="BF73" i="34" s="1"/>
  <c r="AW111" i="34"/>
  <c r="BF161" i="34" s="1"/>
  <c r="AX43" i="34"/>
  <c r="BG93" i="34" s="1"/>
  <c r="AW94" i="34"/>
  <c r="BF144" i="34" s="1"/>
  <c r="AU43" i="34"/>
  <c r="BD93" i="34" s="1"/>
  <c r="AV94" i="34"/>
  <c r="BE144" i="34" s="1"/>
  <c r="AT99" i="34"/>
  <c r="BC149" i="34" s="1"/>
  <c r="AX99" i="34"/>
  <c r="BG149" i="34" s="1"/>
  <c r="AW99" i="34"/>
  <c r="BF149" i="34" s="1"/>
  <c r="X47" i="53"/>
  <c r="Y47" i="53" s="1"/>
  <c r="AC47" i="53"/>
  <c r="Z47" i="53"/>
  <c r="AA25" i="51"/>
  <c r="AA80" i="51" s="1"/>
  <c r="AA135" i="51" s="1"/>
  <c r="AA35" i="51"/>
  <c r="AA90" i="51" s="1"/>
  <c r="AA145" i="51" s="1"/>
  <c r="AA34" i="51"/>
  <c r="AA89" i="51" s="1"/>
  <c r="AA144" i="51" s="1"/>
  <c r="AA37" i="51"/>
  <c r="AA92" i="51" s="1"/>
  <c r="AA147" i="51" s="1"/>
  <c r="AU98" i="34"/>
  <c r="BD148" i="34" s="1"/>
  <c r="AT114" i="34"/>
  <c r="BC164" i="34" s="1"/>
  <c r="Z57" i="53"/>
  <c r="AC57" i="53"/>
  <c r="AC58" i="53"/>
  <c r="AL58" i="53"/>
  <c r="X58" i="53"/>
  <c r="Y58" i="53" s="1"/>
  <c r="AA36" i="51"/>
  <c r="AA91" i="51" s="1"/>
  <c r="AA146" i="51" s="1"/>
  <c r="AA31" i="51"/>
  <c r="AA86" i="51" s="1"/>
  <c r="AA141" i="51" s="1"/>
  <c r="AX97" i="34"/>
  <c r="BG147" i="34" s="1"/>
  <c r="AL51" i="53"/>
  <c r="AC51" i="53"/>
  <c r="AT56" i="34"/>
  <c r="B58" i="56" s="1"/>
  <c r="G58" i="56" s="1"/>
  <c r="AV98" i="34"/>
  <c r="BE148" i="34" s="1"/>
  <c r="BB162" i="34"/>
  <c r="AU112" i="34"/>
  <c r="BD162" i="34" s="1"/>
  <c r="AW39" i="34"/>
  <c r="BF89" i="34" s="1"/>
  <c r="AT97" i="34"/>
  <c r="BC147" i="34" s="1"/>
  <c r="AU97" i="34"/>
  <c r="BD147" i="34" s="1"/>
  <c r="Z49" i="53"/>
  <c r="X53" i="53"/>
  <c r="Y53" i="53" s="1"/>
  <c r="X46" i="53"/>
  <c r="Y46" i="53" s="1"/>
  <c r="AC46" i="53"/>
  <c r="AU56" i="34"/>
  <c r="BD106" i="34" s="1"/>
  <c r="AT24" i="34"/>
  <c r="B26" i="56" s="1"/>
  <c r="G26" i="56" s="1"/>
  <c r="AV27" i="34"/>
  <c r="BE77" i="34" s="1"/>
  <c r="AX27" i="34"/>
  <c r="BG77" i="34" s="1"/>
  <c r="AX95" i="34"/>
  <c r="BG145" i="34" s="1"/>
  <c r="AV56" i="34"/>
  <c r="BE106" i="34" s="1"/>
  <c r="AA29" i="51"/>
  <c r="AA84" i="51" s="1"/>
  <c r="AA139" i="51" s="1"/>
  <c r="AA46" i="51"/>
  <c r="AA101" i="51" s="1"/>
  <c r="AA156" i="51" s="1"/>
  <c r="AA49" i="51"/>
  <c r="AA104" i="51" s="1"/>
  <c r="AA159" i="51" s="1"/>
  <c r="AA41" i="51"/>
  <c r="AA96" i="51" s="1"/>
  <c r="AA151" i="51" s="1"/>
  <c r="AA47" i="51"/>
  <c r="AA102" i="51" s="1"/>
  <c r="AA157" i="51" s="1"/>
  <c r="AA40" i="51"/>
  <c r="AA95" i="51" s="1"/>
  <c r="AA150" i="51" s="1"/>
  <c r="AA33" i="51"/>
  <c r="AA88" i="51" s="1"/>
  <c r="AA143" i="51" s="1"/>
  <c r="AA42" i="51"/>
  <c r="AA97" i="51" s="1"/>
  <c r="AA152" i="51" s="1"/>
  <c r="AA43" i="51"/>
  <c r="AA98" i="51" s="1"/>
  <c r="AA153" i="51" s="1"/>
  <c r="AA39" i="51"/>
  <c r="AA94" i="51" s="1"/>
  <c r="AA149" i="51" s="1"/>
  <c r="AA18" i="51"/>
  <c r="AA73" i="51" s="1"/>
  <c r="AA128" i="51" s="1"/>
  <c r="BB164" i="34"/>
  <c r="AT75" i="34"/>
  <c r="BC125" i="34" s="1"/>
  <c r="AW81" i="34"/>
  <c r="BF131" i="34" s="1"/>
  <c r="AT98" i="34"/>
  <c r="BC148" i="34" s="1"/>
  <c r="AW114" i="34"/>
  <c r="BF164" i="34" s="1"/>
  <c r="AW112" i="34"/>
  <c r="BF162" i="34" s="1"/>
  <c r="BB125" i="34"/>
  <c r="AV81" i="34"/>
  <c r="BE131" i="34" s="1"/>
  <c r="AX39" i="34"/>
  <c r="BG89" i="34" s="1"/>
  <c r="AX112" i="34"/>
  <c r="BG162" i="34" s="1"/>
  <c r="CP9" i="53"/>
  <c r="AC48" i="53"/>
  <c r="AA48" i="51"/>
  <c r="AA103" i="51" s="1"/>
  <c r="AA158" i="51" s="1"/>
  <c r="AA30" i="51"/>
  <c r="AA85" i="51" s="1"/>
  <c r="AA140" i="51" s="1"/>
  <c r="AA38" i="51"/>
  <c r="AA93" i="51" s="1"/>
  <c r="AA148" i="51" s="1"/>
  <c r="AA27" i="51"/>
  <c r="AA82" i="51" s="1"/>
  <c r="AA137" i="51" s="1"/>
  <c r="X50" i="53"/>
  <c r="Y50" i="53" s="1"/>
  <c r="Z50" i="53"/>
  <c r="BB148" i="34"/>
  <c r="AV75" i="34"/>
  <c r="BE125" i="34" s="1"/>
  <c r="AV97" i="34"/>
  <c r="BE147" i="34" s="1"/>
  <c r="X44" i="53"/>
  <c r="Y44" i="53" s="1"/>
  <c r="AL44" i="53"/>
  <c r="Z44" i="53"/>
  <c r="AC44" i="53"/>
  <c r="AX56" i="34"/>
  <c r="BG106" i="34" s="1"/>
  <c r="BB77" i="34"/>
  <c r="BB159" i="34"/>
  <c r="AU46" i="34"/>
  <c r="BD96" i="34" s="1"/>
  <c r="BB78" i="34"/>
  <c r="AU49" i="34"/>
  <c r="BD99" i="34" s="1"/>
  <c r="AW75" i="34"/>
  <c r="BF125" i="34" s="1"/>
  <c r="BB131" i="34"/>
  <c r="BB137" i="34"/>
  <c r="AX81" i="34"/>
  <c r="BG131" i="34" s="1"/>
  <c r="AU114" i="34"/>
  <c r="BD164" i="34" s="1"/>
  <c r="AV39" i="34"/>
  <c r="BE89" i="34" s="1"/>
  <c r="BB89" i="34"/>
  <c r="AU39" i="34"/>
  <c r="BD89" i="34" s="1"/>
  <c r="AV95" i="34"/>
  <c r="BE145" i="34" s="1"/>
  <c r="AU77" i="34"/>
  <c r="BD127" i="34" s="1"/>
  <c r="AW51" i="34"/>
  <c r="BF101" i="34" s="1"/>
  <c r="AW89" i="34"/>
  <c r="BF139" i="34" s="1"/>
  <c r="AW91" i="34"/>
  <c r="BF141" i="34" s="1"/>
  <c r="AT100" i="34"/>
  <c r="BC150" i="34" s="1"/>
  <c r="BB156" i="34"/>
  <c r="BB71" i="34"/>
  <c r="AX24" i="34"/>
  <c r="BG74" i="34" s="1"/>
  <c r="BB108" i="34"/>
  <c r="AX49" i="34"/>
  <c r="BG99" i="34" s="1"/>
  <c r="AT36" i="34"/>
  <c r="B38" i="56" s="1"/>
  <c r="G38" i="56" s="1"/>
  <c r="BB92" i="34"/>
  <c r="AX72" i="34"/>
  <c r="BG122" i="34" s="1"/>
  <c r="AX42" i="34"/>
  <c r="BG92" i="34" s="1"/>
  <c r="AX65" i="34"/>
  <c r="BG115" i="34" s="1"/>
  <c r="AX79" i="34"/>
  <c r="BG129" i="34" s="1"/>
  <c r="AU42" i="34"/>
  <c r="BD92" i="34" s="1"/>
  <c r="AW28" i="34"/>
  <c r="BF78" i="34" s="1"/>
  <c r="AV79" i="34"/>
  <c r="BE129" i="34" s="1"/>
  <c r="AW104" i="34"/>
  <c r="BF154" i="34" s="1"/>
  <c r="AT58" i="34"/>
  <c r="B60" i="56" s="1"/>
  <c r="G60" i="56" s="1"/>
  <c r="BB96" i="34"/>
  <c r="AX77" i="34"/>
  <c r="BG127" i="34" s="1"/>
  <c r="AV89" i="34"/>
  <c r="BE139" i="34" s="1"/>
  <c r="AU21" i="34"/>
  <c r="BD71" i="34" s="1"/>
  <c r="AX100" i="34"/>
  <c r="BG150" i="34" s="1"/>
  <c r="AV51" i="34"/>
  <c r="BE101" i="34" s="1"/>
  <c r="AX28" i="34"/>
  <c r="BG78" i="34" s="1"/>
  <c r="BB82" i="34"/>
  <c r="BB83" i="34"/>
  <c r="AT87" i="34"/>
  <c r="BC137" i="34" s="1"/>
  <c r="AX87" i="34"/>
  <c r="BG137" i="34" s="1"/>
  <c r="BB142" i="34"/>
  <c r="AT72" i="34"/>
  <c r="BC122" i="34" s="1"/>
  <c r="AU28" i="34"/>
  <c r="BD78" i="34" s="1"/>
  <c r="AU95" i="34"/>
  <c r="BD145" i="34" s="1"/>
  <c r="BB150" i="34"/>
  <c r="AX21" i="34"/>
  <c r="BG71" i="34" s="1"/>
  <c r="AX32" i="34"/>
  <c r="BG82" i="34" s="1"/>
  <c r="AX46" i="34"/>
  <c r="BG96" i="34" s="1"/>
  <c r="AX58" i="34"/>
  <c r="BG108" i="34" s="1"/>
  <c r="BB145" i="34"/>
  <c r="AX36" i="34"/>
  <c r="BG86" i="34" s="1"/>
  <c r="AW36" i="34"/>
  <c r="BF86" i="34" s="1"/>
  <c r="AT92" i="34"/>
  <c r="BC142" i="34" s="1"/>
  <c r="AV46" i="34"/>
  <c r="BE96" i="34" s="1"/>
  <c r="AT77" i="34"/>
  <c r="BC127" i="34" s="1"/>
  <c r="AV21" i="34"/>
  <c r="BE71" i="34" s="1"/>
  <c r="AT21" i="34"/>
  <c r="B23" i="56" s="1"/>
  <c r="G23" i="56" s="1"/>
  <c r="AT104" i="34"/>
  <c r="BC154" i="34" s="1"/>
  <c r="AX104" i="34"/>
  <c r="BG154" i="34" s="1"/>
  <c r="AT91" i="34"/>
  <c r="BC141" i="34" s="1"/>
  <c r="BB74" i="34"/>
  <c r="AV109" i="34"/>
  <c r="BE159" i="34" s="1"/>
  <c r="AU89" i="34"/>
  <c r="BD139" i="34" s="1"/>
  <c r="AW106" i="34"/>
  <c r="BF156" i="34" s="1"/>
  <c r="AV64" i="34"/>
  <c r="BE114" i="34" s="1"/>
  <c r="AW110" i="34"/>
  <c r="BF160" i="34" s="1"/>
  <c r="AV110" i="34"/>
  <c r="BE160" i="34" s="1"/>
  <c r="AU91" i="34"/>
  <c r="BD141" i="34" s="1"/>
  <c r="BB139" i="34"/>
  <c r="AU32" i="34"/>
  <c r="BD82" i="34" s="1"/>
  <c r="AV28" i="34"/>
  <c r="BE78" i="34" s="1"/>
  <c r="AW100" i="34"/>
  <c r="BF150" i="34" s="1"/>
  <c r="BB86" i="34"/>
  <c r="AU87" i="34"/>
  <c r="BD137" i="34" s="1"/>
  <c r="AV49" i="34"/>
  <c r="BE99" i="34" s="1"/>
  <c r="AV36" i="34"/>
  <c r="BE86" i="34" s="1"/>
  <c r="AU65" i="34"/>
  <c r="BD115" i="34" s="1"/>
  <c r="AW72" i="34"/>
  <c r="BF122" i="34" s="1"/>
  <c r="AW42" i="34"/>
  <c r="BF92" i="34" s="1"/>
  <c r="AT79" i="34"/>
  <c r="BC129" i="34" s="1"/>
  <c r="AX106" i="34"/>
  <c r="BG156" i="34" s="1"/>
  <c r="AX109" i="34"/>
  <c r="BG159" i="34" s="1"/>
  <c r="AU33" i="34"/>
  <c r="BD83" i="34" s="1"/>
  <c r="AV111" i="34"/>
  <c r="BE161" i="34" s="1"/>
  <c r="AV58" i="34"/>
  <c r="BE108" i="34" s="1"/>
  <c r="AU104" i="34"/>
  <c r="BD154" i="34" s="1"/>
  <c r="BB154" i="34"/>
  <c r="AW95" i="34"/>
  <c r="BF145" i="34" s="1"/>
  <c r="AU110" i="34"/>
  <c r="BD160" i="34" s="1"/>
  <c r="AU58" i="34"/>
  <c r="BD108" i="34" s="1"/>
  <c r="BB115" i="34"/>
  <c r="AW33" i="34"/>
  <c r="BF83" i="34" s="1"/>
  <c r="AX33" i="34"/>
  <c r="BG83" i="34" s="1"/>
  <c r="AW32" i="34"/>
  <c r="BF82" i="34" s="1"/>
  <c r="AV92" i="34"/>
  <c r="BE142" i="34" s="1"/>
  <c r="BB127" i="34"/>
  <c r="AW24" i="34"/>
  <c r="BF74" i="34" s="1"/>
  <c r="AU24" i="34"/>
  <c r="BD74" i="34" s="1"/>
  <c r="AV91" i="34"/>
  <c r="BE141" i="34" s="1"/>
  <c r="AU100" i="34"/>
  <c r="BD150" i="34" s="1"/>
  <c r="AT109" i="34"/>
  <c r="BC159" i="34" s="1"/>
  <c r="AS14" i="34"/>
  <c r="AX110" i="34"/>
  <c r="BG160" i="34" s="1"/>
  <c r="BB129" i="34"/>
  <c r="AV87" i="34"/>
  <c r="BE137" i="34" s="1"/>
  <c r="AT49" i="34"/>
  <c r="B51" i="56" s="1"/>
  <c r="G51" i="56" s="1"/>
  <c r="AW65" i="34"/>
  <c r="BF115" i="34" s="1"/>
  <c r="AX92" i="34"/>
  <c r="BG142" i="34" s="1"/>
  <c r="AT110" i="34"/>
  <c r="BC160" i="34" s="1"/>
  <c r="BB122" i="34"/>
  <c r="AU92" i="34"/>
  <c r="BD142" i="34" s="1"/>
  <c r="AU72" i="34"/>
  <c r="BD122" i="34" s="1"/>
  <c r="AT33" i="34"/>
  <c r="B35" i="56" s="1"/>
  <c r="G35" i="56" s="1"/>
  <c r="AV65" i="34"/>
  <c r="BE115" i="34" s="1"/>
  <c r="AM46" i="37"/>
  <c r="Y13" i="37" s="1"/>
  <c r="AO26" i="37"/>
  <c r="L32" i="45"/>
  <c r="BC44" i="45"/>
  <c r="L44" i="45"/>
  <c r="BI57" i="32"/>
  <c r="N57" i="32"/>
  <c r="BI65" i="32"/>
  <c r="N65" i="32"/>
  <c r="N56" i="32"/>
  <c r="BI56" i="32"/>
  <c r="N67" i="32"/>
  <c r="BI67" i="32"/>
  <c r="BI66" i="32"/>
  <c r="N66" i="32"/>
  <c r="N68" i="32"/>
  <c r="BI68" i="32"/>
  <c r="N71" i="32"/>
  <c r="BI71" i="32"/>
  <c r="BI69" i="32"/>
  <c r="N69" i="32"/>
  <c r="N59" i="32"/>
  <c r="BI59" i="32"/>
  <c r="N55" i="32"/>
  <c r="BI55" i="32"/>
  <c r="N70" i="32"/>
  <c r="BI70" i="32"/>
  <c r="N60" i="32"/>
  <c r="BI60" i="32"/>
  <c r="BI61" i="32"/>
  <c r="N61" i="32"/>
  <c r="BI54" i="32"/>
  <c r="N54" i="32"/>
  <c r="BI58" i="32"/>
  <c r="N58" i="32"/>
  <c r="BI62" i="32"/>
  <c r="N62" i="32"/>
  <c r="N63" i="32"/>
  <c r="BI63" i="32"/>
  <c r="N64" i="32"/>
  <c r="BI64" i="32"/>
  <c r="J54" i="32"/>
  <c r="Z50" i="51"/>
  <c r="J65" i="32"/>
  <c r="Z61" i="51"/>
  <c r="J58" i="32"/>
  <c r="Z54" i="51"/>
  <c r="J71" i="32"/>
  <c r="Z67" i="51"/>
  <c r="J66" i="32"/>
  <c r="Z62" i="51"/>
  <c r="J69" i="32"/>
  <c r="Z65" i="51"/>
  <c r="J59" i="32"/>
  <c r="Z55" i="51"/>
  <c r="J55" i="32"/>
  <c r="Z51" i="51"/>
  <c r="J70" i="32"/>
  <c r="Z66" i="51"/>
  <c r="J60" i="32"/>
  <c r="Z56" i="51"/>
  <c r="J68" i="32"/>
  <c r="Z64" i="51"/>
  <c r="J61" i="32"/>
  <c r="Z57" i="51"/>
  <c r="J57" i="32"/>
  <c r="Z53" i="51"/>
  <c r="J56" i="32"/>
  <c r="Z52" i="51"/>
  <c r="J67" i="32"/>
  <c r="Z63" i="51"/>
  <c r="J62" i="32"/>
  <c r="Z58" i="51"/>
  <c r="J63" i="32"/>
  <c r="Z59" i="51"/>
  <c r="J64" i="32"/>
  <c r="Z60" i="51"/>
  <c r="CM56" i="32"/>
  <c r="CH56" i="32"/>
  <c r="CI56" i="32" s="1"/>
  <c r="CL56" i="32"/>
  <c r="CF56" i="32"/>
  <c r="CG56" i="32" s="1"/>
  <c r="CD56" i="32"/>
  <c r="CE56" i="32" s="1"/>
  <c r="CL67" i="32"/>
  <c r="CF67" i="32"/>
  <c r="CG67" i="32" s="1"/>
  <c r="CH67" i="32"/>
  <c r="CI67" i="32" s="1"/>
  <c r="CD67" i="32"/>
  <c r="CE67" i="32" s="1"/>
  <c r="CM67" i="32"/>
  <c r="CD66" i="32"/>
  <c r="CE66" i="32" s="1"/>
  <c r="CF66" i="32"/>
  <c r="CG66" i="32" s="1"/>
  <c r="CL66" i="32"/>
  <c r="CM66" i="32"/>
  <c r="CH66" i="32"/>
  <c r="CI66" i="32" s="1"/>
  <c r="CF69" i="32"/>
  <c r="CG69" i="32" s="1"/>
  <c r="CM69" i="32"/>
  <c r="CD69" i="32"/>
  <c r="CE69" i="32" s="1"/>
  <c r="CL69" i="32"/>
  <c r="CH69" i="32"/>
  <c r="CI69" i="32" s="1"/>
  <c r="CL59" i="32"/>
  <c r="CF59" i="32"/>
  <c r="CG59" i="32" s="1"/>
  <c r="CH59" i="32"/>
  <c r="CI59" i="32" s="1"/>
  <c r="CD59" i="32"/>
  <c r="CE59" i="32" s="1"/>
  <c r="CM59" i="32"/>
  <c r="CL55" i="32"/>
  <c r="CF55" i="32"/>
  <c r="CG55" i="32" s="1"/>
  <c r="CD55" i="32"/>
  <c r="CE55" i="32" s="1"/>
  <c r="CH55" i="32"/>
  <c r="CI55" i="32" s="1"/>
  <c r="CM55" i="32"/>
  <c r="CD70" i="32"/>
  <c r="CE70" i="32" s="1"/>
  <c r="CF70" i="32"/>
  <c r="CG70" i="32" s="1"/>
  <c r="CM70" i="32"/>
  <c r="CH70" i="32"/>
  <c r="CI70" i="32" s="1"/>
  <c r="CL70" i="32"/>
  <c r="CM60" i="32"/>
  <c r="CH60" i="32"/>
  <c r="CI60" i="32" s="1"/>
  <c r="CF60" i="32"/>
  <c r="CG60" i="32" s="1"/>
  <c r="CL60" i="32"/>
  <c r="CD60" i="32"/>
  <c r="CE60" i="32" s="1"/>
  <c r="CD62" i="32"/>
  <c r="CE62" i="32" s="1"/>
  <c r="CL62" i="32"/>
  <c r="CF62" i="32"/>
  <c r="CG62" i="32" s="1"/>
  <c r="CM62" i="32"/>
  <c r="CH62" i="32"/>
  <c r="CI62" i="32" s="1"/>
  <c r="CL63" i="32"/>
  <c r="CF63" i="32"/>
  <c r="CG63" i="32" s="1"/>
  <c r="CH63" i="32"/>
  <c r="CI63" i="32" s="1"/>
  <c r="CD63" i="32"/>
  <c r="CE63" i="32" s="1"/>
  <c r="CM63" i="32"/>
  <c r="CM64" i="32"/>
  <c r="CH64" i="32"/>
  <c r="CI64" i="32" s="1"/>
  <c r="CL64" i="32"/>
  <c r="CD64" i="32"/>
  <c r="CE64" i="32" s="1"/>
  <c r="CF64" i="32"/>
  <c r="CG64" i="32" s="1"/>
  <c r="CM68" i="32"/>
  <c r="CH68" i="32"/>
  <c r="CI68" i="32" s="1"/>
  <c r="CL68" i="32"/>
  <c r="CD68" i="32"/>
  <c r="CE68" i="32" s="1"/>
  <c r="CF68" i="32"/>
  <c r="CG68" i="32" s="1"/>
  <c r="CM61" i="32"/>
  <c r="CD61" i="32"/>
  <c r="CE61" i="32" s="1"/>
  <c r="CH61" i="32"/>
  <c r="CI61" i="32" s="1"/>
  <c r="CL61" i="32"/>
  <c r="CF61" i="32"/>
  <c r="CG61" i="32" s="1"/>
  <c r="CM57" i="32"/>
  <c r="CD57" i="32"/>
  <c r="CE57" i="32" s="1"/>
  <c r="CL57" i="32"/>
  <c r="CF57" i="32"/>
  <c r="CG57" i="32" s="1"/>
  <c r="CH57" i="32"/>
  <c r="CI57" i="32" s="1"/>
  <c r="CD54" i="32"/>
  <c r="CE54" i="32" s="1"/>
  <c r="CF54" i="32"/>
  <c r="CG54" i="32" s="1"/>
  <c r="CM54" i="32"/>
  <c r="CH54" i="32"/>
  <c r="CI54" i="32" s="1"/>
  <c r="CL54" i="32"/>
  <c r="CH65" i="32"/>
  <c r="CI65" i="32" s="1"/>
  <c r="CM65" i="32"/>
  <c r="CD65" i="32"/>
  <c r="CE65" i="32" s="1"/>
  <c r="CL65" i="32"/>
  <c r="CF65" i="32"/>
  <c r="CG65" i="32" s="1"/>
  <c r="CD58" i="32"/>
  <c r="CE58" i="32" s="1"/>
  <c r="CF58" i="32"/>
  <c r="CG58" i="32" s="1"/>
  <c r="CM58" i="32"/>
  <c r="CH58" i="32"/>
  <c r="CI58" i="32" s="1"/>
  <c r="CL58" i="32"/>
  <c r="CL71" i="32"/>
  <c r="CF71" i="32"/>
  <c r="CG71" i="32" s="1"/>
  <c r="CD71" i="32"/>
  <c r="CE71" i="32" s="1"/>
  <c r="CH71" i="32"/>
  <c r="CI71" i="32" s="1"/>
  <c r="CM71" i="32"/>
  <c r="B53" i="32"/>
  <c r="BG44" i="34"/>
  <c r="M15" i="33"/>
  <c r="BG34" i="34"/>
  <c r="L30" i="45"/>
  <c r="L34" i="45"/>
  <c r="BG31" i="34"/>
  <c r="BC46" i="34"/>
  <c r="BG41" i="34"/>
  <c r="BG47" i="34"/>
  <c r="BP61" i="32"/>
  <c r="BQ61" i="32" s="1"/>
  <c r="BT61" i="32"/>
  <c r="BU61" i="32" s="1"/>
  <c r="BZ61" i="32"/>
  <c r="CA61" i="32" s="1"/>
  <c r="BN61" i="32"/>
  <c r="BO61" i="32" s="1"/>
  <c r="BR61" i="32"/>
  <c r="BS61" i="32" s="1"/>
  <c r="BV61" i="32"/>
  <c r="BW61" i="32" s="1"/>
  <c r="CB61" i="32"/>
  <c r="CC61" i="32" s="1"/>
  <c r="BN63" i="32"/>
  <c r="BO63" i="32" s="1"/>
  <c r="BR63" i="32"/>
  <c r="BS63" i="32" s="1"/>
  <c r="BV63" i="32"/>
  <c r="BW63" i="32" s="1"/>
  <c r="CB63" i="32"/>
  <c r="CC63" i="32" s="1"/>
  <c r="BP63" i="32"/>
  <c r="BQ63" i="32" s="1"/>
  <c r="BT63" i="32"/>
  <c r="BU63" i="32" s="1"/>
  <c r="BZ63" i="32"/>
  <c r="CA63" i="32" s="1"/>
  <c r="BN60" i="32"/>
  <c r="BO60" i="32" s="1"/>
  <c r="BR60" i="32"/>
  <c r="BS60" i="32" s="1"/>
  <c r="BV60" i="32"/>
  <c r="BW60" i="32" s="1"/>
  <c r="CB60" i="32"/>
  <c r="CC60" i="32" s="1"/>
  <c r="BP60" i="32"/>
  <c r="BQ60" i="32" s="1"/>
  <c r="BT60" i="32"/>
  <c r="BU60" i="32" s="1"/>
  <c r="BZ60" i="32"/>
  <c r="CA60" i="32" s="1"/>
  <c r="BP65" i="32"/>
  <c r="BQ65" i="32" s="1"/>
  <c r="BT65" i="32"/>
  <c r="BU65" i="32" s="1"/>
  <c r="BZ65" i="32"/>
  <c r="CA65" i="32" s="1"/>
  <c r="BN65" i="32"/>
  <c r="BO65" i="32" s="1"/>
  <c r="BR65" i="32"/>
  <c r="BS65" i="32" s="1"/>
  <c r="BV65" i="32"/>
  <c r="BW65" i="32" s="1"/>
  <c r="CB65" i="32"/>
  <c r="CC65" i="32" s="1"/>
  <c r="BP66" i="32"/>
  <c r="BQ66" i="32" s="1"/>
  <c r="BT66" i="32"/>
  <c r="BU66" i="32" s="1"/>
  <c r="BZ66" i="32"/>
  <c r="CA66" i="32" s="1"/>
  <c r="BN66" i="32"/>
  <c r="BO66" i="32" s="1"/>
  <c r="BR66" i="32"/>
  <c r="BS66" i="32" s="1"/>
  <c r="BV66" i="32"/>
  <c r="BW66" i="32" s="1"/>
  <c r="CB66" i="32"/>
  <c r="CC66" i="32" s="1"/>
  <c r="BP69" i="32"/>
  <c r="BQ69" i="32" s="1"/>
  <c r="BT69" i="32"/>
  <c r="BU69" i="32" s="1"/>
  <c r="BZ69" i="32"/>
  <c r="CA69" i="32" s="1"/>
  <c r="BN69" i="32"/>
  <c r="BO69" i="32" s="1"/>
  <c r="BR69" i="32"/>
  <c r="BS69" i="32" s="1"/>
  <c r="BV69" i="32"/>
  <c r="BW69" i="32" s="1"/>
  <c r="CB69" i="32"/>
  <c r="CC69" i="32" s="1"/>
  <c r="BN64" i="32"/>
  <c r="BO64" i="32" s="1"/>
  <c r="BR64" i="32"/>
  <c r="BS64" i="32" s="1"/>
  <c r="BV64" i="32"/>
  <c r="BW64" i="32" s="1"/>
  <c r="CB64" i="32"/>
  <c r="CC64" i="32" s="1"/>
  <c r="BP64" i="32"/>
  <c r="BQ64" i="32" s="1"/>
  <c r="BT64" i="32"/>
  <c r="BU64" i="32" s="1"/>
  <c r="BZ64" i="32"/>
  <c r="CA64" i="32" s="1"/>
  <c r="BP54" i="32"/>
  <c r="BQ54" i="32" s="1"/>
  <c r="BT54" i="32"/>
  <c r="BU54" i="32" s="1"/>
  <c r="BZ54" i="32"/>
  <c r="CA54" i="32" s="1"/>
  <c r="BV54" i="32"/>
  <c r="BW54" i="32" s="1"/>
  <c r="BN54" i="32"/>
  <c r="BO54" i="32" s="1"/>
  <c r="BR54" i="32"/>
  <c r="BS54" i="32" s="1"/>
  <c r="CB54" i="32"/>
  <c r="CC54" i="32" s="1"/>
  <c r="BN59" i="32"/>
  <c r="BO59" i="32" s="1"/>
  <c r="BR59" i="32"/>
  <c r="BS59" i="32" s="1"/>
  <c r="BV59" i="32"/>
  <c r="BW59" i="32" s="1"/>
  <c r="CB59" i="32"/>
  <c r="CC59" i="32" s="1"/>
  <c r="BP59" i="32"/>
  <c r="BQ59" i="32" s="1"/>
  <c r="BT59" i="32"/>
  <c r="BU59" i="32" s="1"/>
  <c r="BZ59" i="32"/>
  <c r="CA59" i="32" s="1"/>
  <c r="BN55" i="32"/>
  <c r="BO55" i="32" s="1"/>
  <c r="BR55" i="32"/>
  <c r="BS55" i="32" s="1"/>
  <c r="BV55" i="32"/>
  <c r="BW55" i="32" s="1"/>
  <c r="CB55" i="32"/>
  <c r="CC55" i="32" s="1"/>
  <c r="BP55" i="32"/>
  <c r="BQ55" i="32" s="1"/>
  <c r="BT55" i="32"/>
  <c r="BU55" i="32" s="1"/>
  <c r="BZ55" i="32"/>
  <c r="CA55" i="32" s="1"/>
  <c r="BC45" i="34"/>
  <c r="BP62" i="32"/>
  <c r="BQ62" i="32" s="1"/>
  <c r="BT62" i="32"/>
  <c r="BU62" i="32" s="1"/>
  <c r="BZ62" i="32"/>
  <c r="CA62" i="32" s="1"/>
  <c r="BN62" i="32"/>
  <c r="BO62" i="32" s="1"/>
  <c r="BR62" i="32"/>
  <c r="BS62" i="32" s="1"/>
  <c r="BV62" i="32"/>
  <c r="BW62" i="32" s="1"/>
  <c r="CB62" i="32"/>
  <c r="CC62" i="32" s="1"/>
  <c r="BN71" i="32"/>
  <c r="BO71" i="32" s="1"/>
  <c r="BR71" i="32"/>
  <c r="BS71" i="32" s="1"/>
  <c r="BV71" i="32"/>
  <c r="BW71" i="32" s="1"/>
  <c r="CB71" i="32"/>
  <c r="CC71" i="32" s="1"/>
  <c r="BP71" i="32"/>
  <c r="BQ71" i="32" s="1"/>
  <c r="BT71" i="32"/>
  <c r="BU71" i="32" s="1"/>
  <c r="BZ71" i="32"/>
  <c r="CA71" i="32" s="1"/>
  <c r="BP57" i="32"/>
  <c r="BQ57" i="32" s="1"/>
  <c r="BT57" i="32"/>
  <c r="BU57" i="32" s="1"/>
  <c r="BZ57" i="32"/>
  <c r="CA57" i="32" s="1"/>
  <c r="BN57" i="32"/>
  <c r="BO57" i="32" s="1"/>
  <c r="BR57" i="32"/>
  <c r="BS57" i="32" s="1"/>
  <c r="BV57" i="32"/>
  <c r="BW57" i="32" s="1"/>
  <c r="CB57" i="32"/>
  <c r="CC57" i="32" s="1"/>
  <c r="BN56" i="32"/>
  <c r="BO56" i="32" s="1"/>
  <c r="BR56" i="32"/>
  <c r="BS56" i="32" s="1"/>
  <c r="BV56" i="32"/>
  <c r="BW56" i="32" s="1"/>
  <c r="CB56" i="32"/>
  <c r="CC56" i="32" s="1"/>
  <c r="BP56" i="32"/>
  <c r="BQ56" i="32" s="1"/>
  <c r="BT56" i="32"/>
  <c r="BU56" i="32" s="1"/>
  <c r="BZ56" i="32"/>
  <c r="CA56" i="32" s="1"/>
  <c r="BN68" i="32"/>
  <c r="BO68" i="32" s="1"/>
  <c r="BR68" i="32"/>
  <c r="BS68" i="32" s="1"/>
  <c r="BV68" i="32"/>
  <c r="BW68" i="32" s="1"/>
  <c r="CB68" i="32"/>
  <c r="CC68" i="32" s="1"/>
  <c r="BP68" i="32"/>
  <c r="BQ68" i="32" s="1"/>
  <c r="BT68" i="32"/>
  <c r="BU68" i="32" s="1"/>
  <c r="BZ68" i="32"/>
  <c r="CA68" i="32" s="1"/>
  <c r="BN67" i="32"/>
  <c r="BO67" i="32" s="1"/>
  <c r="BR67" i="32"/>
  <c r="BS67" i="32" s="1"/>
  <c r="BV67" i="32"/>
  <c r="BW67" i="32" s="1"/>
  <c r="CB67" i="32"/>
  <c r="CC67" i="32" s="1"/>
  <c r="BP67" i="32"/>
  <c r="BQ67" i="32" s="1"/>
  <c r="BT67" i="32"/>
  <c r="BU67" i="32" s="1"/>
  <c r="BZ67" i="32"/>
  <c r="CA67" i="32" s="1"/>
  <c r="B52" i="32"/>
  <c r="CR52" i="32" s="1"/>
  <c r="BP58" i="32"/>
  <c r="BQ58" i="32" s="1"/>
  <c r="BT58" i="32"/>
  <c r="BU58" i="32" s="1"/>
  <c r="BZ58" i="32"/>
  <c r="CA58" i="32" s="1"/>
  <c r="BN58" i="32"/>
  <c r="BO58" i="32" s="1"/>
  <c r="BR58" i="32"/>
  <c r="BS58" i="32" s="1"/>
  <c r="CB58" i="32"/>
  <c r="CC58" i="32" s="1"/>
  <c r="BV58" i="32"/>
  <c r="BW58" i="32" s="1"/>
  <c r="BP70" i="32"/>
  <c r="BQ70" i="32" s="1"/>
  <c r="BT70" i="32"/>
  <c r="BU70" i="32" s="1"/>
  <c r="BZ70" i="32"/>
  <c r="CA70" i="32" s="1"/>
  <c r="BR70" i="32"/>
  <c r="BS70" i="32" s="1"/>
  <c r="BV70" i="32"/>
  <c r="BW70" i="32" s="1"/>
  <c r="BN70" i="32"/>
  <c r="BO70" i="32" s="1"/>
  <c r="CB70" i="32"/>
  <c r="CC70" i="32" s="1"/>
  <c r="BC47" i="34"/>
  <c r="B48" i="32"/>
  <c r="CR48" i="32" s="1"/>
  <c r="BC42" i="34"/>
  <c r="BC41" i="34"/>
  <c r="BL61" i="32"/>
  <c r="BM61" i="32" s="1"/>
  <c r="BX61" i="32"/>
  <c r="BY61" i="32" s="1"/>
  <c r="BX54" i="32"/>
  <c r="BY54" i="32" s="1"/>
  <c r="BL54" i="32"/>
  <c r="BM54" i="32" s="1"/>
  <c r="BL59" i="32"/>
  <c r="BM59" i="32" s="1"/>
  <c r="BX59" i="32"/>
  <c r="BY59" i="32" s="1"/>
  <c r="BL70" i="32"/>
  <c r="BM70" i="32" s="1"/>
  <c r="BX70" i="32"/>
  <c r="BY70" i="32" s="1"/>
  <c r="BL71" i="32"/>
  <c r="BM71" i="32" s="1"/>
  <c r="BX71" i="32"/>
  <c r="BY71" i="32" s="1"/>
  <c r="BL68" i="32"/>
  <c r="BM68" i="32" s="1"/>
  <c r="BX68" i="32"/>
  <c r="BY68" i="32" s="1"/>
  <c r="BX67" i="32"/>
  <c r="BY67" i="32" s="1"/>
  <c r="BL67" i="32"/>
  <c r="BM67" i="32" s="1"/>
  <c r="BL65" i="32"/>
  <c r="BM65" i="32" s="1"/>
  <c r="BX65" i="32"/>
  <c r="BY65" i="32" s="1"/>
  <c r="BL55" i="32"/>
  <c r="BM55" i="32" s="1"/>
  <c r="BX55" i="32"/>
  <c r="BY55" i="32" s="1"/>
  <c r="I134" i="5"/>
  <c r="H28" i="45"/>
  <c r="H26" i="45"/>
  <c r="B22" i="32"/>
  <c r="H27" i="45"/>
  <c r="B30" i="32"/>
  <c r="CR30" i="32" s="1"/>
  <c r="I142" i="5"/>
  <c r="BL56" i="32"/>
  <c r="BM56" i="32" s="1"/>
  <c r="BX56" i="32"/>
  <c r="BY56" i="32" s="1"/>
  <c r="BL58" i="32"/>
  <c r="BM58" i="32" s="1"/>
  <c r="BX58" i="32"/>
  <c r="BY58" i="32" s="1"/>
  <c r="BX57" i="32"/>
  <c r="BY57" i="32" s="1"/>
  <c r="BL57" i="32"/>
  <c r="BM57" i="32" s="1"/>
  <c r="BL69" i="32"/>
  <c r="BM69" i="32" s="1"/>
  <c r="BX69" i="32"/>
  <c r="BY69" i="32" s="1"/>
  <c r="BL66" i="32"/>
  <c r="BM66" i="32" s="1"/>
  <c r="BX66" i="32"/>
  <c r="BY66" i="32" s="1"/>
  <c r="B51" i="32"/>
  <c r="CR51" i="32" s="1"/>
  <c r="B45" i="32"/>
  <c r="CR45" i="32" s="1"/>
  <c r="BL62" i="32"/>
  <c r="BM62" i="32" s="1"/>
  <c r="BX62" i="32"/>
  <c r="BY62" i="32" s="1"/>
  <c r="BL63" i="32"/>
  <c r="BM63" i="32" s="1"/>
  <c r="BX63" i="32"/>
  <c r="BY63" i="32" s="1"/>
  <c r="BL64" i="32"/>
  <c r="BM64" i="32" s="1"/>
  <c r="BX64" i="32"/>
  <c r="BY64" i="32" s="1"/>
  <c r="BL60" i="32"/>
  <c r="BM60" i="32" s="1"/>
  <c r="BX60" i="32"/>
  <c r="BY60" i="32" s="1"/>
  <c r="BC23" i="34"/>
  <c r="I141" i="5"/>
  <c r="L29" i="45"/>
  <c r="BC29" i="45"/>
  <c r="BC31" i="45"/>
  <c r="L31" i="45"/>
  <c r="L26" i="45"/>
  <c r="BC26" i="45"/>
  <c r="Z57" i="32"/>
  <c r="BJ57" i="32"/>
  <c r="BK57" i="32" s="1"/>
  <c r="Z69" i="32"/>
  <c r="BJ69" i="32"/>
  <c r="BK69" i="32" s="1"/>
  <c r="Z66" i="32"/>
  <c r="BJ66" i="32"/>
  <c r="BK66" i="32" s="1"/>
  <c r="Z62" i="32"/>
  <c r="BJ62" i="32"/>
  <c r="BK62" i="32" s="1"/>
  <c r="Z63" i="32"/>
  <c r="BJ63" i="32"/>
  <c r="BK63" i="32" s="1"/>
  <c r="Z64" i="32"/>
  <c r="BJ64" i="32"/>
  <c r="BK64" i="32" s="1"/>
  <c r="Z60" i="32"/>
  <c r="BJ60" i="32"/>
  <c r="BK60" i="32" s="1"/>
  <c r="Z56" i="32"/>
  <c r="BJ56" i="32"/>
  <c r="BK56" i="32" s="1"/>
  <c r="Z68" i="32"/>
  <c r="BJ68" i="32"/>
  <c r="BK68" i="32" s="1"/>
  <c r="Z58" i="32"/>
  <c r="BJ58" i="32"/>
  <c r="BK58" i="32" s="1"/>
  <c r="Z54" i="32"/>
  <c r="BJ54" i="32"/>
  <c r="BK54" i="32" s="1"/>
  <c r="Z70" i="32"/>
  <c r="BJ70" i="32"/>
  <c r="BK70" i="32" s="1"/>
  <c r="Z71" i="32"/>
  <c r="BJ71" i="32"/>
  <c r="BK71" i="32" s="1"/>
  <c r="Z61" i="32"/>
  <c r="BJ61" i="32"/>
  <c r="BK61" i="32" s="1"/>
  <c r="Z59" i="32"/>
  <c r="BJ59" i="32"/>
  <c r="BK59" i="32" s="1"/>
  <c r="Z67" i="32"/>
  <c r="BJ67" i="32"/>
  <c r="BK67" i="32" s="1"/>
  <c r="Z65" i="32"/>
  <c r="BJ65" i="32"/>
  <c r="BK65" i="32" s="1"/>
  <c r="Z55" i="32"/>
  <c r="BJ55" i="32"/>
  <c r="BK55" i="32" s="1"/>
  <c r="B50" i="32"/>
  <c r="CR50" i="32" s="1"/>
  <c r="BC44" i="34"/>
  <c r="BC38" i="34"/>
  <c r="BG42" i="34"/>
  <c r="BC40" i="34"/>
  <c r="B49" i="32"/>
  <c r="CR49" i="32" s="1"/>
  <c r="BC43" i="34"/>
  <c r="BC35" i="34"/>
  <c r="BC39" i="34"/>
  <c r="BG43" i="34"/>
  <c r="B47" i="32"/>
  <c r="CR47" i="32" s="1"/>
  <c r="B46" i="32"/>
  <c r="CR46" i="32" s="1"/>
  <c r="BC36" i="34"/>
  <c r="B36" i="32"/>
  <c r="CR36" i="32" s="1"/>
  <c r="BC34" i="34"/>
  <c r="BC28" i="34"/>
  <c r="BC30" i="34"/>
  <c r="B40" i="32"/>
  <c r="CR40" i="32" s="1"/>
  <c r="B44" i="32"/>
  <c r="CR44" i="32" s="1"/>
  <c r="B43" i="32"/>
  <c r="CR43" i="32" s="1"/>
  <c r="BG30" i="34"/>
  <c r="BC37" i="34"/>
  <c r="BG26" i="34"/>
  <c r="BC33" i="34"/>
  <c r="B39" i="32"/>
  <c r="CR39" i="32" s="1"/>
  <c r="B38" i="32"/>
  <c r="CR38" i="32" s="1"/>
  <c r="BC32" i="34"/>
  <c r="B42" i="32"/>
  <c r="CR42" i="32" s="1"/>
  <c r="B41" i="32"/>
  <c r="CR41" i="32" s="1"/>
  <c r="BG24" i="34"/>
  <c r="B35" i="32"/>
  <c r="CR35" i="32" s="1"/>
  <c r="B31" i="32"/>
  <c r="CR31" i="32" s="1"/>
  <c r="B37" i="32"/>
  <c r="CR37" i="32" s="1"/>
  <c r="BC25" i="34"/>
  <c r="BC31" i="34"/>
  <c r="BC29" i="34"/>
  <c r="B33" i="32"/>
  <c r="CR33" i="32" s="1"/>
  <c r="BC27" i="34"/>
  <c r="B29" i="32"/>
  <c r="CR29" i="32" s="1"/>
  <c r="BC26" i="34"/>
  <c r="B32" i="32"/>
  <c r="CR32" i="32" s="1"/>
  <c r="B34" i="32"/>
  <c r="CR34" i="32" s="1"/>
  <c r="BC24" i="34"/>
  <c r="H32" i="45"/>
  <c r="H36" i="45"/>
  <c r="H40" i="45"/>
  <c r="H44" i="45"/>
  <c r="H48" i="45"/>
  <c r="H52" i="45"/>
  <c r="H56" i="45"/>
  <c r="H60" i="45"/>
  <c r="H64" i="45"/>
  <c r="H68" i="45"/>
  <c r="H72" i="45"/>
  <c r="H29" i="45"/>
  <c r="H30" i="45"/>
  <c r="H34" i="45"/>
  <c r="H38" i="45"/>
  <c r="H42" i="45"/>
  <c r="H46" i="45"/>
  <c r="H50" i="45"/>
  <c r="H54" i="45"/>
  <c r="H58" i="45"/>
  <c r="H62" i="45"/>
  <c r="H66" i="45"/>
  <c r="H70" i="45"/>
  <c r="H74" i="45"/>
  <c r="H31" i="45"/>
  <c r="H35" i="45"/>
  <c r="H39" i="45"/>
  <c r="H43" i="45"/>
  <c r="H47" i="45"/>
  <c r="H51" i="45"/>
  <c r="H55" i="45"/>
  <c r="H59" i="45"/>
  <c r="H63" i="45"/>
  <c r="H67" i="45"/>
  <c r="H71" i="45"/>
  <c r="H75" i="45"/>
  <c r="H33" i="45"/>
  <c r="H37" i="45"/>
  <c r="H41" i="45"/>
  <c r="H45" i="45"/>
  <c r="H49" i="45"/>
  <c r="H53" i="45"/>
  <c r="H57" i="45"/>
  <c r="H61" i="45"/>
  <c r="H65" i="45"/>
  <c r="H69" i="45"/>
  <c r="H73" i="45"/>
  <c r="I69" i="32"/>
  <c r="R69" i="32" s="1"/>
  <c r="AR69" i="32"/>
  <c r="BF69" i="32"/>
  <c r="AY69" i="32"/>
  <c r="AY66" i="32"/>
  <c r="AR66" i="32"/>
  <c r="I66" i="32"/>
  <c r="R66" i="32" s="1"/>
  <c r="BF66" i="32"/>
  <c r="AY57" i="32"/>
  <c r="BF57" i="32"/>
  <c r="I57" i="32"/>
  <c r="R57" i="32" s="1"/>
  <c r="AR57" i="32"/>
  <c r="B23" i="32"/>
  <c r="CR23" i="32" s="1"/>
  <c r="BC17" i="34"/>
  <c r="AR54" i="32"/>
  <c r="BF54" i="32"/>
  <c r="I54" i="32"/>
  <c r="R54" i="32" s="1"/>
  <c r="AY54" i="32"/>
  <c r="AY58" i="32"/>
  <c r="I58" i="32"/>
  <c r="R58" i="32" s="1"/>
  <c r="BF58" i="32"/>
  <c r="AR58" i="32"/>
  <c r="BF70" i="32"/>
  <c r="AY70" i="32"/>
  <c r="AR70" i="32"/>
  <c r="I70" i="32"/>
  <c r="R70" i="32" s="1"/>
  <c r="BG20" i="34"/>
  <c r="AY71" i="32"/>
  <c r="I71" i="32"/>
  <c r="R71" i="32" s="1"/>
  <c r="AR71" i="32"/>
  <c r="BF71" i="32"/>
  <c r="BC18" i="34"/>
  <c r="B24" i="32"/>
  <c r="CR24" i="32" s="1"/>
  <c r="B27" i="32"/>
  <c r="CR27" i="32" s="1"/>
  <c r="BC21" i="34"/>
  <c r="BG17" i="34"/>
  <c r="AY59" i="32"/>
  <c r="I59" i="32"/>
  <c r="R59" i="32" s="1"/>
  <c r="AR59" i="32"/>
  <c r="BF59" i="32"/>
  <c r="B28" i="32"/>
  <c r="CR28" i="32" s="1"/>
  <c r="BC22" i="34"/>
  <c r="BC19" i="34"/>
  <c r="B25" i="32"/>
  <c r="CR25" i="32" s="1"/>
  <c r="AR60" i="32"/>
  <c r="AY60" i="32"/>
  <c r="BF60" i="32"/>
  <c r="I60" i="32"/>
  <c r="R60" i="32" s="1"/>
  <c r="AY64" i="32"/>
  <c r="I64" i="32"/>
  <c r="R64" i="32" s="1"/>
  <c r="AR64" i="32"/>
  <c r="BF64" i="32"/>
  <c r="BG18" i="34"/>
  <c r="AR56" i="32"/>
  <c r="AY56" i="32"/>
  <c r="I56" i="32"/>
  <c r="R56" i="32" s="1"/>
  <c r="BF56" i="32"/>
  <c r="BF68" i="32"/>
  <c r="AR68" i="32"/>
  <c r="AY68" i="32"/>
  <c r="I68" i="32"/>
  <c r="R68" i="32" s="1"/>
  <c r="BF61" i="32"/>
  <c r="I61" i="32"/>
  <c r="R61" i="32" s="1"/>
  <c r="AY61" i="32"/>
  <c r="AR61" i="32"/>
  <c r="AY67" i="32"/>
  <c r="I67" i="32"/>
  <c r="R67" i="32" s="1"/>
  <c r="AR67" i="32"/>
  <c r="BF67" i="32"/>
  <c r="I65" i="32"/>
  <c r="R65" i="32" s="1"/>
  <c r="AY65" i="32"/>
  <c r="BF65" i="32"/>
  <c r="AR65" i="32"/>
  <c r="BG22" i="34"/>
  <c r="BF55" i="32"/>
  <c r="I55" i="32"/>
  <c r="R55" i="32" s="1"/>
  <c r="AR55" i="32"/>
  <c r="AY55" i="32"/>
  <c r="I62" i="32"/>
  <c r="R62" i="32" s="1"/>
  <c r="AR62" i="32"/>
  <c r="BF62" i="32"/>
  <c r="AY62" i="32"/>
  <c r="AY63" i="32"/>
  <c r="AR63" i="32"/>
  <c r="BF63" i="32"/>
  <c r="I63" i="32"/>
  <c r="R63" i="32" s="1"/>
  <c r="B26" i="32"/>
  <c r="CR26" i="32" s="1"/>
  <c r="BC20" i="34"/>
  <c r="BG21" i="34"/>
  <c r="BG19" i="34"/>
  <c r="BC16" i="34"/>
  <c r="Z29" i="45"/>
  <c r="AH41" i="45"/>
  <c r="AB29" i="45"/>
  <c r="R41" i="45"/>
  <c r="P41" i="45"/>
  <c r="X34" i="45"/>
  <c r="V41" i="45"/>
  <c r="AJ34" i="45"/>
  <c r="AH34" i="45"/>
  <c r="AJ41" i="45"/>
  <c r="P34" i="45"/>
  <c r="AF41" i="45"/>
  <c r="AF34" i="45"/>
  <c r="P29" i="45"/>
  <c r="AN29" i="45"/>
  <c r="R29" i="45"/>
  <c r="V34" i="45"/>
  <c r="Z41" i="45"/>
  <c r="AD29" i="45"/>
  <c r="AN34" i="45"/>
  <c r="AJ29" i="45"/>
  <c r="AB34" i="45"/>
  <c r="V29" i="45"/>
  <c r="AL29" i="45"/>
  <c r="R34" i="45"/>
  <c r="AL41" i="45"/>
  <c r="AB41" i="45"/>
  <c r="AD34" i="45"/>
  <c r="X29" i="45"/>
  <c r="Z34" i="45"/>
  <c r="AH29" i="45"/>
  <c r="X41" i="45"/>
  <c r="AN41" i="45"/>
  <c r="AL34" i="45"/>
  <c r="T41" i="45"/>
  <c r="AF29" i="45"/>
  <c r="AD41" i="45"/>
  <c r="T29" i="45"/>
  <c r="T34" i="45"/>
  <c r="X31" i="45"/>
  <c r="Z31" i="45"/>
  <c r="AF31" i="45"/>
  <c r="AD33" i="45"/>
  <c r="AF33" i="45"/>
  <c r="R31" i="45"/>
  <c r="V33" i="45"/>
  <c r="AH33" i="45"/>
  <c r="Z33" i="45"/>
  <c r="AL31" i="45"/>
  <c r="AJ31" i="45"/>
  <c r="AL33" i="45"/>
  <c r="AB31" i="45"/>
  <c r="R33" i="45"/>
  <c r="V31" i="45"/>
  <c r="T33" i="45"/>
  <c r="AJ33" i="45"/>
  <c r="AN32" i="45"/>
  <c r="X33" i="45"/>
  <c r="AN33" i="45"/>
  <c r="P33" i="45"/>
  <c r="AN31" i="45"/>
  <c r="AH31" i="45"/>
  <c r="AD31" i="45"/>
  <c r="AB33" i="45"/>
  <c r="T31" i="45"/>
  <c r="AN35" i="45"/>
  <c r="P31" i="45"/>
  <c r="AN27" i="45"/>
  <c r="AN26" i="45"/>
  <c r="AN40" i="45"/>
  <c r="AN42" i="45"/>
  <c r="BC94" i="34" l="1"/>
  <c r="BC102" i="34"/>
  <c r="I54" i="56"/>
  <c r="AY53" i="32"/>
  <c r="CR53" i="32"/>
  <c r="S20" i="42"/>
  <c r="L20" i="42" s="1"/>
  <c r="T20" i="42" s="1"/>
  <c r="S24" i="42"/>
  <c r="L24" i="42" s="1"/>
  <c r="T24" i="42" s="1"/>
  <c r="S28" i="42"/>
  <c r="L28" i="42" s="1"/>
  <c r="T28" i="42" s="1"/>
  <c r="S32" i="42"/>
  <c r="L32" i="42" s="1"/>
  <c r="T32" i="42" s="1"/>
  <c r="S36" i="42"/>
  <c r="L36" i="42" s="1"/>
  <c r="T36" i="42" s="1"/>
  <c r="S40" i="42"/>
  <c r="L40" i="42" s="1"/>
  <c r="T40" i="42" s="1"/>
  <c r="S44" i="42"/>
  <c r="L44" i="42" s="1"/>
  <c r="T44" i="42" s="1"/>
  <c r="S48" i="42"/>
  <c r="L48" i="42" s="1"/>
  <c r="T48" i="42" s="1"/>
  <c r="S52" i="42"/>
  <c r="L52" i="42" s="1"/>
  <c r="T52" i="42" s="1"/>
  <c r="S56" i="42"/>
  <c r="L56" i="42" s="1"/>
  <c r="T56" i="42" s="1"/>
  <c r="S60" i="42"/>
  <c r="L60" i="42" s="1"/>
  <c r="T60" i="42" s="1"/>
  <c r="S64" i="42"/>
  <c r="L64" i="42" s="1"/>
  <c r="T64" i="42" s="1"/>
  <c r="S19" i="42"/>
  <c r="L19" i="42" s="1"/>
  <c r="T19" i="42" s="1"/>
  <c r="S23" i="42"/>
  <c r="L23" i="42" s="1"/>
  <c r="T23" i="42" s="1"/>
  <c r="S31" i="42"/>
  <c r="L31" i="42" s="1"/>
  <c r="T31" i="42" s="1"/>
  <c r="S47" i="42"/>
  <c r="L47" i="42" s="1"/>
  <c r="T47" i="42" s="1"/>
  <c r="S55" i="42"/>
  <c r="L55" i="42" s="1"/>
  <c r="T55" i="42" s="1"/>
  <c r="S67" i="42"/>
  <c r="L67" i="42" s="1"/>
  <c r="T67" i="42" s="1"/>
  <c r="CR22" i="32"/>
  <c r="S21" i="42"/>
  <c r="L21" i="42" s="1"/>
  <c r="T21" i="42" s="1"/>
  <c r="S25" i="42"/>
  <c r="L25" i="42" s="1"/>
  <c r="T25" i="42" s="1"/>
  <c r="S29" i="42"/>
  <c r="L29" i="42" s="1"/>
  <c r="T29" i="42" s="1"/>
  <c r="S33" i="42"/>
  <c r="L33" i="42" s="1"/>
  <c r="T33" i="42" s="1"/>
  <c r="S37" i="42"/>
  <c r="L37" i="42" s="1"/>
  <c r="T37" i="42" s="1"/>
  <c r="S41" i="42"/>
  <c r="L41" i="42" s="1"/>
  <c r="T41" i="42" s="1"/>
  <c r="S45" i="42"/>
  <c r="L45" i="42" s="1"/>
  <c r="T45" i="42" s="1"/>
  <c r="S49" i="42"/>
  <c r="L49" i="42" s="1"/>
  <c r="T49" i="42" s="1"/>
  <c r="S53" i="42"/>
  <c r="L53" i="42" s="1"/>
  <c r="T53" i="42" s="1"/>
  <c r="S57" i="42"/>
  <c r="L57" i="42" s="1"/>
  <c r="T57" i="42" s="1"/>
  <c r="S61" i="42"/>
  <c r="L61" i="42" s="1"/>
  <c r="T61" i="42" s="1"/>
  <c r="S65" i="42"/>
  <c r="L65" i="42" s="1"/>
  <c r="T65" i="42" s="1"/>
  <c r="S27" i="42"/>
  <c r="L27" i="42" s="1"/>
  <c r="T27" i="42" s="1"/>
  <c r="S39" i="42"/>
  <c r="L39" i="42" s="1"/>
  <c r="T39" i="42" s="1"/>
  <c r="S59" i="42"/>
  <c r="L59" i="42" s="1"/>
  <c r="T59" i="42" s="1"/>
  <c r="S22" i="42"/>
  <c r="L22" i="42" s="1"/>
  <c r="T22" i="42" s="1"/>
  <c r="S26" i="42"/>
  <c r="L26" i="42" s="1"/>
  <c r="T26" i="42" s="1"/>
  <c r="S30" i="42"/>
  <c r="L30" i="42" s="1"/>
  <c r="T30" i="42" s="1"/>
  <c r="S34" i="42"/>
  <c r="L34" i="42" s="1"/>
  <c r="T34" i="42" s="1"/>
  <c r="S38" i="42"/>
  <c r="L38" i="42" s="1"/>
  <c r="T38" i="42" s="1"/>
  <c r="S42" i="42"/>
  <c r="L42" i="42" s="1"/>
  <c r="T42" i="42" s="1"/>
  <c r="S46" i="42"/>
  <c r="L46" i="42" s="1"/>
  <c r="T46" i="42" s="1"/>
  <c r="S50" i="42"/>
  <c r="L50" i="42" s="1"/>
  <c r="T50" i="42" s="1"/>
  <c r="S54" i="42"/>
  <c r="L54" i="42" s="1"/>
  <c r="T54" i="42" s="1"/>
  <c r="S58" i="42"/>
  <c r="L58" i="42" s="1"/>
  <c r="T58" i="42" s="1"/>
  <c r="S62" i="42"/>
  <c r="L62" i="42" s="1"/>
  <c r="T62" i="42" s="1"/>
  <c r="S66" i="42"/>
  <c r="L66" i="42" s="1"/>
  <c r="T66" i="42" s="1"/>
  <c r="S35" i="42"/>
  <c r="L35" i="42" s="1"/>
  <c r="T35" i="42" s="1"/>
  <c r="S43" i="42"/>
  <c r="L43" i="42" s="1"/>
  <c r="T43" i="42" s="1"/>
  <c r="S51" i="42"/>
  <c r="L51" i="42" s="1"/>
  <c r="T51" i="42" s="1"/>
  <c r="S63" i="42"/>
  <c r="L63" i="42" s="1"/>
  <c r="T63" i="42" s="1"/>
  <c r="M54" i="56"/>
  <c r="K54" i="56"/>
  <c r="H54" i="56"/>
  <c r="N54" i="56"/>
  <c r="Y81" i="5"/>
  <c r="P11" i="60"/>
  <c r="P13" i="60" s="1"/>
  <c r="Q13" i="60" s="1"/>
  <c r="S99" i="5" s="1"/>
  <c r="M97" i="5"/>
  <c r="M95" i="5" s="1"/>
  <c r="AI35" i="55"/>
  <c r="AJ35" i="55" s="1"/>
  <c r="BC79" i="34"/>
  <c r="BC93" i="34"/>
  <c r="BC95" i="34"/>
  <c r="BC115" i="34"/>
  <c r="BC78" i="34"/>
  <c r="BC98" i="34"/>
  <c r="BC100" i="34"/>
  <c r="AO38" i="55"/>
  <c r="BC82" i="34"/>
  <c r="BC92" i="34"/>
  <c r="BC72" i="34"/>
  <c r="BC76" i="34"/>
  <c r="R10" i="55"/>
  <c r="BC104" i="34"/>
  <c r="M51" i="56"/>
  <c r="K51" i="56"/>
  <c r="N51" i="56"/>
  <c r="M60" i="56"/>
  <c r="K60" i="56"/>
  <c r="N60" i="56"/>
  <c r="N26" i="56"/>
  <c r="K26" i="56"/>
  <c r="M26" i="56"/>
  <c r="N58" i="56"/>
  <c r="K58" i="56"/>
  <c r="M58" i="56"/>
  <c r="N22" i="56"/>
  <c r="M22" i="56"/>
  <c r="K22" i="56"/>
  <c r="M43" i="56"/>
  <c r="K43" i="56"/>
  <c r="N43" i="56"/>
  <c r="M65" i="56"/>
  <c r="N65" i="56"/>
  <c r="K65" i="56"/>
  <c r="N29" i="56"/>
  <c r="M29" i="56"/>
  <c r="K29" i="56"/>
  <c r="M53" i="56"/>
  <c r="N53" i="56"/>
  <c r="K53" i="56"/>
  <c r="N37" i="56"/>
  <c r="M37" i="56"/>
  <c r="K37" i="56"/>
  <c r="M28" i="56"/>
  <c r="K28" i="56"/>
  <c r="N28" i="56"/>
  <c r="M36" i="56"/>
  <c r="K36" i="56"/>
  <c r="N36" i="56"/>
  <c r="M39" i="56"/>
  <c r="K39" i="56"/>
  <c r="N39" i="56"/>
  <c r="M41" i="56"/>
  <c r="N41" i="56"/>
  <c r="K41" i="56"/>
  <c r="M48" i="56"/>
  <c r="K48" i="56"/>
  <c r="N48" i="56"/>
  <c r="N42" i="56"/>
  <c r="M42" i="56"/>
  <c r="K42" i="56"/>
  <c r="K35" i="56"/>
  <c r="M35" i="56"/>
  <c r="N35" i="56"/>
  <c r="M23" i="56"/>
  <c r="K23" i="56"/>
  <c r="N23" i="56"/>
  <c r="M61" i="56"/>
  <c r="N61" i="56"/>
  <c r="K61" i="56"/>
  <c r="M63" i="56"/>
  <c r="K63" i="56"/>
  <c r="N63" i="56"/>
  <c r="N25" i="56"/>
  <c r="K25" i="56"/>
  <c r="M25" i="56"/>
  <c r="M49" i="56"/>
  <c r="N49" i="56"/>
  <c r="K49" i="56"/>
  <c r="N62" i="56"/>
  <c r="M62" i="56"/>
  <c r="K62" i="56"/>
  <c r="M55" i="56"/>
  <c r="K55" i="56"/>
  <c r="N55" i="56"/>
  <c r="N33" i="56"/>
  <c r="K33" i="56"/>
  <c r="M33" i="56"/>
  <c r="K27" i="56"/>
  <c r="M27" i="56"/>
  <c r="N27" i="56"/>
  <c r="N66" i="56"/>
  <c r="M66" i="56"/>
  <c r="K66" i="56"/>
  <c r="N38" i="56"/>
  <c r="K38" i="56"/>
  <c r="M38" i="56"/>
  <c r="M32" i="56"/>
  <c r="K32" i="56"/>
  <c r="N32" i="56"/>
  <c r="M59" i="56"/>
  <c r="K59" i="56"/>
  <c r="N59" i="56"/>
  <c r="N50" i="56"/>
  <c r="M50" i="56"/>
  <c r="K50" i="56"/>
  <c r="N30" i="56"/>
  <c r="K30" i="56"/>
  <c r="M30" i="56"/>
  <c r="M47" i="56"/>
  <c r="K47" i="56"/>
  <c r="N47" i="56"/>
  <c r="M52" i="56"/>
  <c r="K52" i="56"/>
  <c r="N52" i="56"/>
  <c r="M31" i="56"/>
  <c r="K31" i="56"/>
  <c r="N31" i="56"/>
  <c r="N46" i="56"/>
  <c r="M46" i="56"/>
  <c r="K46" i="56"/>
  <c r="M45" i="56"/>
  <c r="N45" i="56"/>
  <c r="K45" i="56"/>
  <c r="M67" i="56"/>
  <c r="K67" i="56"/>
  <c r="N67" i="56"/>
  <c r="M57" i="56"/>
  <c r="N57" i="56"/>
  <c r="K57" i="56"/>
  <c r="M40" i="56"/>
  <c r="K40" i="56"/>
  <c r="N40" i="56"/>
  <c r="M64" i="56"/>
  <c r="K64" i="56"/>
  <c r="N64" i="56"/>
  <c r="M56" i="56"/>
  <c r="K56" i="56"/>
  <c r="N56" i="56"/>
  <c r="M44" i="56"/>
  <c r="K44" i="56"/>
  <c r="N44" i="56"/>
  <c r="M24" i="56"/>
  <c r="K24" i="56"/>
  <c r="N24" i="56"/>
  <c r="N34" i="56"/>
  <c r="M34" i="56"/>
  <c r="K34" i="56"/>
  <c r="BC84" i="34"/>
  <c r="BC90" i="34"/>
  <c r="I40" i="56"/>
  <c r="H40" i="56"/>
  <c r="J40" i="56"/>
  <c r="H66" i="56"/>
  <c r="I66" i="56"/>
  <c r="J66" i="56"/>
  <c r="I39" i="56"/>
  <c r="J39" i="56"/>
  <c r="H39" i="56"/>
  <c r="J41" i="56"/>
  <c r="I41" i="56"/>
  <c r="H41" i="56"/>
  <c r="I48" i="56"/>
  <c r="H48" i="56"/>
  <c r="J48" i="56"/>
  <c r="H42" i="56"/>
  <c r="J42" i="56"/>
  <c r="I42" i="56"/>
  <c r="H38" i="56"/>
  <c r="J38" i="56"/>
  <c r="I38" i="56"/>
  <c r="J61" i="56"/>
  <c r="I61" i="56"/>
  <c r="H61" i="56"/>
  <c r="H63" i="56"/>
  <c r="J63" i="56"/>
  <c r="I63" i="56"/>
  <c r="I59" i="56"/>
  <c r="H59" i="56"/>
  <c r="J59" i="56"/>
  <c r="H50" i="56"/>
  <c r="I50" i="56"/>
  <c r="J50" i="56"/>
  <c r="BC89" i="34"/>
  <c r="BC87" i="34"/>
  <c r="I67" i="56"/>
  <c r="H67" i="56"/>
  <c r="J67" i="56"/>
  <c r="J22" i="56"/>
  <c r="H22" i="56"/>
  <c r="I22" i="56"/>
  <c r="J65" i="56"/>
  <c r="H65" i="56"/>
  <c r="I65" i="56"/>
  <c r="I51" i="56"/>
  <c r="J51" i="56"/>
  <c r="H51" i="56"/>
  <c r="BC96" i="34"/>
  <c r="J25" i="56"/>
  <c r="H25" i="56"/>
  <c r="I25" i="56"/>
  <c r="J49" i="56"/>
  <c r="H49" i="56"/>
  <c r="I49" i="56"/>
  <c r="H62" i="56"/>
  <c r="I62" i="56"/>
  <c r="J62" i="56"/>
  <c r="J53" i="56"/>
  <c r="I53" i="56"/>
  <c r="H53" i="56"/>
  <c r="J37" i="56"/>
  <c r="H37" i="56"/>
  <c r="I37" i="56"/>
  <c r="AO22" i="55"/>
  <c r="J33" i="56"/>
  <c r="H33" i="56"/>
  <c r="I33" i="56"/>
  <c r="H27" i="56"/>
  <c r="J27" i="56"/>
  <c r="I27" i="56"/>
  <c r="I30" i="56"/>
  <c r="J30" i="56"/>
  <c r="H30" i="56"/>
  <c r="H47" i="56"/>
  <c r="J47" i="56"/>
  <c r="I47" i="56"/>
  <c r="I52" i="56"/>
  <c r="H52" i="56"/>
  <c r="J52" i="56"/>
  <c r="H31" i="56"/>
  <c r="J31" i="56"/>
  <c r="I31" i="56"/>
  <c r="H46" i="56"/>
  <c r="I46" i="56"/>
  <c r="J46" i="56"/>
  <c r="J45" i="56"/>
  <c r="I45" i="56"/>
  <c r="H45" i="56"/>
  <c r="I58" i="56"/>
  <c r="J58" i="56"/>
  <c r="H58" i="56"/>
  <c r="H43" i="56"/>
  <c r="J43" i="56"/>
  <c r="I43" i="56"/>
  <c r="J29" i="56"/>
  <c r="I29" i="56"/>
  <c r="H29" i="56"/>
  <c r="I64" i="56"/>
  <c r="H64" i="56"/>
  <c r="J64" i="56"/>
  <c r="I36" i="56"/>
  <c r="H36" i="56"/>
  <c r="J36" i="56"/>
  <c r="I35" i="56"/>
  <c r="J35" i="56"/>
  <c r="H35" i="56"/>
  <c r="H23" i="56"/>
  <c r="J23" i="56"/>
  <c r="I23" i="56"/>
  <c r="I60" i="56"/>
  <c r="H60" i="56"/>
  <c r="J60" i="56"/>
  <c r="H26" i="56"/>
  <c r="I26" i="56"/>
  <c r="J26" i="56"/>
  <c r="J57" i="56"/>
  <c r="H57" i="56"/>
  <c r="I57" i="56"/>
  <c r="I32" i="56"/>
  <c r="H32" i="56"/>
  <c r="J32" i="56"/>
  <c r="I55" i="56"/>
  <c r="J55" i="56"/>
  <c r="H55" i="56"/>
  <c r="I28" i="56"/>
  <c r="H28" i="56"/>
  <c r="J28" i="56"/>
  <c r="I56" i="56"/>
  <c r="H56" i="56"/>
  <c r="J56" i="56"/>
  <c r="I44" i="56"/>
  <c r="H44" i="56"/>
  <c r="J44" i="56"/>
  <c r="I24" i="56"/>
  <c r="H24" i="56"/>
  <c r="J24" i="56"/>
  <c r="J34" i="56"/>
  <c r="H34" i="56"/>
  <c r="I34" i="56"/>
  <c r="AI28" i="55"/>
  <c r="AJ28" i="55" s="1"/>
  <c r="AO29" i="55"/>
  <c r="AO30" i="55"/>
  <c r="AO23" i="55"/>
  <c r="BC68" i="34"/>
  <c r="B20" i="56"/>
  <c r="G20" i="56" s="1"/>
  <c r="BC114" i="34"/>
  <c r="BC99" i="34"/>
  <c r="BC73" i="34"/>
  <c r="BC97" i="34"/>
  <c r="BC110" i="34"/>
  <c r="BC81" i="34"/>
  <c r="BC108" i="34"/>
  <c r="BC103" i="34"/>
  <c r="BC67" i="34"/>
  <c r="B19" i="56"/>
  <c r="G19" i="56" s="1"/>
  <c r="BC106" i="34"/>
  <c r="BC113" i="34"/>
  <c r="BC77" i="34"/>
  <c r="B21" i="56"/>
  <c r="G21" i="56" s="1"/>
  <c r="BC107" i="34"/>
  <c r="K37" i="32"/>
  <c r="K41" i="32"/>
  <c r="K44" i="32"/>
  <c r="K49" i="32"/>
  <c r="K32" i="32"/>
  <c r="K43" i="32"/>
  <c r="K40" i="32"/>
  <c r="K46" i="32"/>
  <c r="K50" i="32"/>
  <c r="K34" i="32"/>
  <c r="K52" i="32"/>
  <c r="K35" i="32"/>
  <c r="K42" i="32"/>
  <c r="K38" i="32"/>
  <c r="K47" i="32"/>
  <c r="K45" i="32"/>
  <c r="K48" i="32"/>
  <c r="K33" i="32"/>
  <c r="M33" i="32" s="1"/>
  <c r="K39" i="32"/>
  <c r="K36" i="32"/>
  <c r="M36" i="32" s="1"/>
  <c r="K51" i="32"/>
  <c r="AI29" i="55"/>
  <c r="AJ29" i="55" s="1"/>
  <c r="Q6" i="55"/>
  <c r="Y11" i="55"/>
  <c r="Z114" i="51"/>
  <c r="B59" i="51"/>
  <c r="Z118" i="51"/>
  <c r="Z173" i="51" s="1"/>
  <c r="B63" i="51"/>
  <c r="Z108" i="51"/>
  <c r="Z163" i="51" s="1"/>
  <c r="B53" i="51"/>
  <c r="Z119" i="51"/>
  <c r="Z174" i="51" s="1"/>
  <c r="B64" i="51"/>
  <c r="Z121" i="51"/>
  <c r="Z176" i="51" s="1"/>
  <c r="B66" i="51"/>
  <c r="Z110" i="51"/>
  <c r="Z165" i="51" s="1"/>
  <c r="B55" i="51"/>
  <c r="Z117" i="51"/>
  <c r="Z172" i="51" s="1"/>
  <c r="B62" i="51"/>
  <c r="Z109" i="51"/>
  <c r="Z164" i="51" s="1"/>
  <c r="B54" i="51"/>
  <c r="Z105" i="51"/>
  <c r="Z160" i="51" s="1"/>
  <c r="B50" i="51"/>
  <c r="Z115" i="51"/>
  <c r="Z170" i="51" s="1"/>
  <c r="B60" i="51"/>
  <c r="Z113" i="51"/>
  <c r="Z168" i="51" s="1"/>
  <c r="B58" i="51"/>
  <c r="Z107" i="51"/>
  <c r="Z162" i="51" s="1"/>
  <c r="B52" i="51"/>
  <c r="Z112" i="51"/>
  <c r="Z167" i="51" s="1"/>
  <c r="B57" i="51"/>
  <c r="Z111" i="51"/>
  <c r="Z166" i="51" s="1"/>
  <c r="B56" i="51"/>
  <c r="Z106" i="51"/>
  <c r="Z161" i="51" s="1"/>
  <c r="B51" i="51"/>
  <c r="Z120" i="51"/>
  <c r="Z175" i="51" s="1"/>
  <c r="B65" i="51"/>
  <c r="Z122" i="51"/>
  <c r="Z177" i="51" s="1"/>
  <c r="B67" i="51"/>
  <c r="Z116" i="51"/>
  <c r="Z171" i="51" s="1"/>
  <c r="B61" i="51"/>
  <c r="Z169" i="51"/>
  <c r="DL16" i="51"/>
  <c r="N21" i="43"/>
  <c r="N25" i="43"/>
  <c r="N29" i="43"/>
  <c r="N33" i="43"/>
  <c r="N37" i="43"/>
  <c r="N41" i="43"/>
  <c r="N45" i="43"/>
  <c r="N49" i="43"/>
  <c r="N53" i="43"/>
  <c r="N57" i="43"/>
  <c r="N61" i="43"/>
  <c r="N65" i="43"/>
  <c r="N20" i="43"/>
  <c r="N22" i="43"/>
  <c r="N26" i="43"/>
  <c r="N30" i="43"/>
  <c r="N34" i="43"/>
  <c r="N38" i="43"/>
  <c r="N42" i="43"/>
  <c r="N46" i="43"/>
  <c r="N50" i="43"/>
  <c r="N54" i="43"/>
  <c r="N58" i="43"/>
  <c r="N62" i="43"/>
  <c r="N66" i="43"/>
  <c r="N23" i="43"/>
  <c r="N27" i="43"/>
  <c r="N31" i="43"/>
  <c r="N35" i="43"/>
  <c r="N39" i="43"/>
  <c r="N43" i="43"/>
  <c r="N47" i="43"/>
  <c r="N51" i="43"/>
  <c r="N55" i="43"/>
  <c r="N59" i="43"/>
  <c r="N63" i="43"/>
  <c r="N67" i="43"/>
  <c r="N24" i="43"/>
  <c r="N28" i="43"/>
  <c r="N32" i="43"/>
  <c r="N36" i="43"/>
  <c r="N40" i="43"/>
  <c r="N44" i="43"/>
  <c r="N48" i="43"/>
  <c r="N52" i="43"/>
  <c r="N56" i="43"/>
  <c r="N60" i="43"/>
  <c r="N64" i="43"/>
  <c r="H19" i="43"/>
  <c r="AD19" i="43" s="1"/>
  <c r="AO42" i="55"/>
  <c r="AI42" i="55"/>
  <c r="AJ42" i="55" s="1"/>
  <c r="AI38" i="55"/>
  <c r="AJ38" i="55" s="1"/>
  <c r="AI46" i="55"/>
  <c r="AJ46" i="55" s="1"/>
  <c r="AO28" i="55"/>
  <c r="BC112" i="34"/>
  <c r="BC69" i="34"/>
  <c r="AH26" i="54"/>
  <c r="BC101" i="34"/>
  <c r="BC85" i="34"/>
  <c r="BJ53" i="32"/>
  <c r="BK53" i="32" s="1"/>
  <c r="K53" i="32"/>
  <c r="I53" i="32"/>
  <c r="R53" i="32" s="1"/>
  <c r="AO47" i="55"/>
  <c r="AI30" i="55"/>
  <c r="AJ30" i="55" s="1"/>
  <c r="AO48" i="55"/>
  <c r="AO35" i="55"/>
  <c r="AI54" i="55"/>
  <c r="AJ54" i="55" s="1"/>
  <c r="AI47" i="55"/>
  <c r="AJ47" i="55" s="1"/>
  <c r="AI24" i="55"/>
  <c r="AJ24" i="55" s="1"/>
  <c r="R11" i="55"/>
  <c r="AI23" i="55"/>
  <c r="AJ23" i="55" s="1"/>
  <c r="AI37" i="55"/>
  <c r="AJ37" i="55" s="1"/>
  <c r="AO54" i="55"/>
  <c r="AI34" i="55"/>
  <c r="AJ34" i="55" s="1"/>
  <c r="AI22" i="55"/>
  <c r="AJ22" i="55" s="1"/>
  <c r="AI52" i="55"/>
  <c r="AJ52" i="55" s="1"/>
  <c r="AI48" i="55"/>
  <c r="AJ48" i="55" s="1"/>
  <c r="AO34" i="55"/>
  <c r="AO24" i="55"/>
  <c r="Z10" i="55"/>
  <c r="AO36" i="37"/>
  <c r="AB36" i="37" s="1"/>
  <c r="AO35" i="37"/>
  <c r="AB35" i="37" s="1"/>
  <c r="AI58" i="55"/>
  <c r="AJ58" i="55" s="1"/>
  <c r="AI59" i="55"/>
  <c r="AJ59" i="55" s="1"/>
  <c r="AO29" i="37"/>
  <c r="AB29" i="37" s="1"/>
  <c r="I11" i="53"/>
  <c r="BC75" i="34"/>
  <c r="AI56" i="55"/>
  <c r="AJ56" i="55" s="1"/>
  <c r="AO59" i="55"/>
  <c r="AI55" i="55"/>
  <c r="AJ55" i="55" s="1"/>
  <c r="AI40" i="55"/>
  <c r="AJ40" i="55" s="1"/>
  <c r="AO49" i="55"/>
  <c r="AO21" i="55"/>
  <c r="AI41" i="55"/>
  <c r="AJ41" i="55" s="1"/>
  <c r="AO55" i="55"/>
  <c r="AO46" i="55"/>
  <c r="AO27" i="55"/>
  <c r="AO41" i="55"/>
  <c r="AI49" i="55"/>
  <c r="AJ49" i="55" s="1"/>
  <c r="AI53" i="55"/>
  <c r="AJ53" i="55" s="1"/>
  <c r="AI31" i="55"/>
  <c r="AJ31" i="55" s="1"/>
  <c r="AI43" i="55"/>
  <c r="AJ43" i="55" s="1"/>
  <c r="AI21" i="55"/>
  <c r="AJ21" i="55" s="1"/>
  <c r="AI27" i="55"/>
  <c r="AJ27" i="55" s="1"/>
  <c r="AI44" i="55"/>
  <c r="AJ44" i="55" s="1"/>
  <c r="AV29" i="54"/>
  <c r="AH29" i="54" s="1"/>
  <c r="AI26" i="55"/>
  <c r="AJ26" i="55" s="1"/>
  <c r="AO56" i="55"/>
  <c r="AO26" i="55"/>
  <c r="AV28" i="54"/>
  <c r="AH28" i="54" s="1"/>
  <c r="AO43" i="55"/>
  <c r="AO58" i="55"/>
  <c r="AO40" i="55"/>
  <c r="AO53" i="55"/>
  <c r="AO52" i="55"/>
  <c r="AO44" i="55"/>
  <c r="AO37" i="55"/>
  <c r="AO31" i="55"/>
  <c r="AQ46" i="54"/>
  <c r="Y13" i="54" s="1"/>
  <c r="AS46" i="54"/>
  <c r="AC13" i="54" s="1"/>
  <c r="BC88" i="34"/>
  <c r="BC80" i="34"/>
  <c r="BC109" i="34"/>
  <c r="AV44" i="54"/>
  <c r="AH44" i="54" s="1"/>
  <c r="AR46" i="54"/>
  <c r="BC105" i="34"/>
  <c r="AV27" i="54"/>
  <c r="AP46" i="54"/>
  <c r="BC111" i="34"/>
  <c r="AA50" i="53"/>
  <c r="AA44" i="53"/>
  <c r="AA47" i="53"/>
  <c r="X56" i="53"/>
  <c r="Y56" i="53" s="1"/>
  <c r="X54" i="53"/>
  <c r="Y54" i="53" s="1"/>
  <c r="Z42" i="53"/>
  <c r="AC56" i="53"/>
  <c r="X55" i="53"/>
  <c r="Y55" i="53" s="1"/>
  <c r="X42" i="53"/>
  <c r="Y42" i="53" s="1"/>
  <c r="Z51" i="53"/>
  <c r="BC91" i="34"/>
  <c r="BC70" i="34"/>
  <c r="BC74" i="34"/>
  <c r="Z25" i="53"/>
  <c r="AL37" i="53"/>
  <c r="Z20" i="51"/>
  <c r="B20" i="51" s="1"/>
  <c r="AL20" i="53"/>
  <c r="Z20" i="53"/>
  <c r="Z25" i="51"/>
  <c r="AL19" i="53"/>
  <c r="Z31" i="53"/>
  <c r="AC31" i="53"/>
  <c r="AC28" i="53"/>
  <c r="AL28" i="53"/>
  <c r="Z28" i="53"/>
  <c r="AL38" i="53"/>
  <c r="X38" i="53"/>
  <c r="Y38" i="53" s="1"/>
  <c r="Z38" i="53"/>
  <c r="AC38" i="53"/>
  <c r="AC40" i="53"/>
  <c r="X40" i="53"/>
  <c r="Y40" i="53" s="1"/>
  <c r="Z54" i="53"/>
  <c r="AC55" i="53"/>
  <c r="AL55" i="53"/>
  <c r="AL52" i="53"/>
  <c r="AL50" i="53"/>
  <c r="AL48" i="53"/>
  <c r="Z59" i="53"/>
  <c r="Z46" i="53"/>
  <c r="AA46" i="53" s="1"/>
  <c r="AL46" i="53"/>
  <c r="AL53" i="53"/>
  <c r="AL42" i="53"/>
  <c r="X45" i="53"/>
  <c r="Y45" i="53" s="1"/>
  <c r="AL45" i="53"/>
  <c r="AL56" i="53"/>
  <c r="AL57" i="53"/>
  <c r="AC29" i="53"/>
  <c r="AL32" i="53"/>
  <c r="X32" i="53"/>
  <c r="Y32" i="53" s="1"/>
  <c r="AC32" i="53"/>
  <c r="AC39" i="53"/>
  <c r="AK44" i="53"/>
  <c r="AM44" i="53" s="1"/>
  <c r="AD44" i="53"/>
  <c r="AE44" i="53" s="1"/>
  <c r="AK58" i="53"/>
  <c r="AM58" i="53" s="1"/>
  <c r="AD58" i="53"/>
  <c r="AE58" i="53" s="1"/>
  <c r="Z21" i="51"/>
  <c r="B21" i="51" s="1"/>
  <c r="Z24" i="51"/>
  <c r="AL23" i="53"/>
  <c r="AC23" i="53"/>
  <c r="Z30" i="53"/>
  <c r="AC30" i="53"/>
  <c r="Z26" i="53"/>
  <c r="X26" i="53"/>
  <c r="Y26" i="53" s="1"/>
  <c r="AC26" i="53"/>
  <c r="Z35" i="53"/>
  <c r="X35" i="53"/>
  <c r="Y35" i="53" s="1"/>
  <c r="AC35" i="53"/>
  <c r="Z18" i="51"/>
  <c r="B18" i="51" s="1"/>
  <c r="AL54" i="53"/>
  <c r="Z52" i="53"/>
  <c r="X48" i="53"/>
  <c r="Y48" i="53" s="1"/>
  <c r="Z48" i="53"/>
  <c r="AC59" i="53"/>
  <c r="Z53" i="53"/>
  <c r="AA53" i="53" s="1"/>
  <c r="AC53" i="53"/>
  <c r="Z45" i="53"/>
  <c r="AC49" i="53"/>
  <c r="AL49" i="53"/>
  <c r="AC43" i="53"/>
  <c r="Z43" i="53"/>
  <c r="X22" i="53"/>
  <c r="Y22" i="53" s="1"/>
  <c r="Z22" i="53"/>
  <c r="AC22" i="53"/>
  <c r="AK51" i="53"/>
  <c r="AM51" i="53" s="1"/>
  <c r="AD51" i="53"/>
  <c r="AE51" i="53" s="1"/>
  <c r="Z22" i="51"/>
  <c r="B22" i="51" s="1"/>
  <c r="Z23" i="51"/>
  <c r="B23" i="51" s="1"/>
  <c r="Z19" i="51"/>
  <c r="B19" i="51" s="1"/>
  <c r="Z21" i="53"/>
  <c r="X21" i="53"/>
  <c r="Y21" i="53" s="1"/>
  <c r="AC21" i="53"/>
  <c r="AL27" i="53"/>
  <c r="AC24" i="53"/>
  <c r="AC33" i="53"/>
  <c r="Z33" i="53"/>
  <c r="X36" i="53"/>
  <c r="Y36" i="53" s="1"/>
  <c r="AL41" i="53"/>
  <c r="Z41" i="53"/>
  <c r="AC54" i="53"/>
  <c r="Z55" i="53"/>
  <c r="X52" i="53"/>
  <c r="Y52" i="53" s="1"/>
  <c r="AC52" i="53"/>
  <c r="AC50" i="53"/>
  <c r="X59" i="53"/>
  <c r="Y59" i="53" s="1"/>
  <c r="AL59" i="53"/>
  <c r="AC42" i="53"/>
  <c r="AC45" i="53"/>
  <c r="X49" i="53"/>
  <c r="Y49" i="53" s="1"/>
  <c r="AA49" i="53" s="1"/>
  <c r="Z56" i="53"/>
  <c r="X51" i="53"/>
  <c r="Y51" i="53" s="1"/>
  <c r="Z58" i="53"/>
  <c r="AA58" i="53" s="1"/>
  <c r="X57" i="53"/>
  <c r="Y57" i="53" s="1"/>
  <c r="AA57" i="53" s="1"/>
  <c r="X43" i="53"/>
  <c r="Y43" i="53" s="1"/>
  <c r="AL43" i="53"/>
  <c r="AL47" i="53"/>
  <c r="BB14" i="34"/>
  <c r="BC86" i="34"/>
  <c r="BC83" i="34"/>
  <c r="BC71" i="34"/>
  <c r="AO28" i="37"/>
  <c r="AB28" i="37" s="1"/>
  <c r="Z23" i="37"/>
  <c r="AB26" i="37"/>
  <c r="N35" i="32"/>
  <c r="BI35" i="32"/>
  <c r="N42" i="32"/>
  <c r="BI42" i="32"/>
  <c r="BI38" i="32"/>
  <c r="N38" i="32"/>
  <c r="N47" i="32"/>
  <c r="BI47" i="32"/>
  <c r="Z26" i="51"/>
  <c r="Z49" i="51"/>
  <c r="BI53" i="32"/>
  <c r="N53" i="32"/>
  <c r="BI33" i="32"/>
  <c r="N33" i="32"/>
  <c r="BJ33" i="32"/>
  <c r="BK33" i="32" s="1"/>
  <c r="N39" i="32"/>
  <c r="BI39" i="32"/>
  <c r="N36" i="32"/>
  <c r="BI36" i="32"/>
  <c r="N48" i="32"/>
  <c r="BI48" i="32"/>
  <c r="AP59" i="51"/>
  <c r="AP63" i="51"/>
  <c r="AP53" i="51"/>
  <c r="AP64" i="51"/>
  <c r="AP66" i="51"/>
  <c r="AP55" i="51"/>
  <c r="AP62" i="51"/>
  <c r="AP54" i="51"/>
  <c r="AP50" i="51"/>
  <c r="N34" i="32"/>
  <c r="BI34" i="32"/>
  <c r="BI37" i="32"/>
  <c r="N37" i="32"/>
  <c r="BI41" i="32"/>
  <c r="N41" i="32"/>
  <c r="N44" i="32"/>
  <c r="BI44" i="32"/>
  <c r="BI49" i="32"/>
  <c r="N49" i="32"/>
  <c r="BI45" i="32"/>
  <c r="N45" i="32"/>
  <c r="N32" i="32"/>
  <c r="BJ32" i="32"/>
  <c r="BK32" i="32" s="1"/>
  <c r="BI32" i="32"/>
  <c r="BJ31" i="32"/>
  <c r="BK31" i="32" s="1"/>
  <c r="N43" i="32"/>
  <c r="BI43" i="32"/>
  <c r="N40" i="32"/>
  <c r="BI40" i="32"/>
  <c r="BI46" i="32"/>
  <c r="N46" i="32"/>
  <c r="N50" i="32"/>
  <c r="BI50" i="32"/>
  <c r="N51" i="32"/>
  <c r="BI51" i="32"/>
  <c r="N52" i="32"/>
  <c r="BI52" i="32"/>
  <c r="AP60" i="51"/>
  <c r="AP58" i="51"/>
  <c r="AP52" i="51"/>
  <c r="AP57" i="51"/>
  <c r="AP56" i="51"/>
  <c r="AP51" i="51"/>
  <c r="AP65" i="51"/>
  <c r="AP67" i="51"/>
  <c r="AP61" i="51"/>
  <c r="AR56" i="51"/>
  <c r="AI56" i="51"/>
  <c r="AN56" i="51"/>
  <c r="AM56" i="51"/>
  <c r="AL56" i="51"/>
  <c r="AK56" i="51"/>
  <c r="AO56" i="51"/>
  <c r="AJ56" i="51"/>
  <c r="AE56" i="51"/>
  <c r="AD56" i="51"/>
  <c r="AK51" i="51"/>
  <c r="AR51" i="51"/>
  <c r="AI51" i="51"/>
  <c r="AD51" i="51"/>
  <c r="AJ51" i="51"/>
  <c r="AO51" i="51"/>
  <c r="AM51" i="51"/>
  <c r="AE51" i="51"/>
  <c r="AL51" i="51"/>
  <c r="AN51" i="51"/>
  <c r="AR65" i="51"/>
  <c r="AJ65" i="51"/>
  <c r="AN65" i="51"/>
  <c r="AM65" i="51"/>
  <c r="AO65" i="51"/>
  <c r="AI65" i="51"/>
  <c r="AL65" i="51"/>
  <c r="AK65" i="51"/>
  <c r="AE65" i="51"/>
  <c r="AD65" i="51"/>
  <c r="AK67" i="51"/>
  <c r="AR67" i="51"/>
  <c r="AN67" i="51"/>
  <c r="AM67" i="51"/>
  <c r="AD67" i="51"/>
  <c r="AO67" i="51"/>
  <c r="AL67" i="51"/>
  <c r="AE67" i="51"/>
  <c r="AI67" i="51"/>
  <c r="AJ67" i="51"/>
  <c r="AR61" i="51"/>
  <c r="AO61" i="51"/>
  <c r="AN61" i="51"/>
  <c r="AJ61" i="51"/>
  <c r="AM61" i="51"/>
  <c r="AI61" i="51"/>
  <c r="AL61" i="51"/>
  <c r="AK61" i="51"/>
  <c r="AD61" i="51"/>
  <c r="AE61" i="51"/>
  <c r="J34" i="32"/>
  <c r="Z30" i="51"/>
  <c r="J37" i="32"/>
  <c r="Z33" i="51"/>
  <c r="J41" i="32"/>
  <c r="Z37" i="51"/>
  <c r="J44" i="32"/>
  <c r="Z40" i="51"/>
  <c r="J49" i="32"/>
  <c r="Z45" i="51"/>
  <c r="AK59" i="51"/>
  <c r="AR59" i="51"/>
  <c r="AI59" i="51"/>
  <c r="AN59" i="51"/>
  <c r="AD59" i="51"/>
  <c r="AJ59" i="51"/>
  <c r="AL59" i="51"/>
  <c r="AO59" i="51"/>
  <c r="AE59" i="51"/>
  <c r="AM59" i="51"/>
  <c r="AK63" i="51"/>
  <c r="AR63" i="51"/>
  <c r="AM63" i="51"/>
  <c r="AI63" i="51"/>
  <c r="AJ63" i="51"/>
  <c r="AN63" i="51"/>
  <c r="AO63" i="51"/>
  <c r="AL63" i="51"/>
  <c r="AD63" i="51"/>
  <c r="AE63" i="51"/>
  <c r="AR53" i="51"/>
  <c r="AN53" i="51"/>
  <c r="AL53" i="51"/>
  <c r="AI53" i="51"/>
  <c r="AK53" i="51"/>
  <c r="AM53" i="51"/>
  <c r="AO53" i="51"/>
  <c r="AE53" i="51"/>
  <c r="AD53" i="51"/>
  <c r="AJ53" i="51"/>
  <c r="AR64" i="51"/>
  <c r="AI64" i="51"/>
  <c r="AN64" i="51"/>
  <c r="AJ64" i="51"/>
  <c r="AL64" i="51"/>
  <c r="AO64" i="51"/>
  <c r="AM64" i="51"/>
  <c r="AD64" i="51"/>
  <c r="AK64" i="51"/>
  <c r="AE64" i="51"/>
  <c r="J33" i="32"/>
  <c r="Z29" i="51"/>
  <c r="J39" i="32"/>
  <c r="Z35" i="51"/>
  <c r="J52" i="32"/>
  <c r="Z48" i="51"/>
  <c r="J32" i="32"/>
  <c r="Z28" i="51"/>
  <c r="Z27" i="51"/>
  <c r="J43" i="32"/>
  <c r="Z39" i="51"/>
  <c r="J40" i="32"/>
  <c r="Z36" i="51"/>
  <c r="J46" i="32"/>
  <c r="Z42" i="51"/>
  <c r="J50" i="32"/>
  <c r="Z46" i="51"/>
  <c r="J48" i="32"/>
  <c r="Z44" i="51"/>
  <c r="AR66" i="51"/>
  <c r="AN66" i="51"/>
  <c r="AM66" i="51"/>
  <c r="AD66" i="51"/>
  <c r="AK66" i="51"/>
  <c r="AJ66" i="51"/>
  <c r="AL66" i="51"/>
  <c r="AI66" i="51"/>
  <c r="AE66" i="51"/>
  <c r="AO66" i="51"/>
  <c r="AK55" i="51"/>
  <c r="AR55" i="51"/>
  <c r="AO55" i="51"/>
  <c r="AE55" i="51"/>
  <c r="AL55" i="51"/>
  <c r="AN55" i="51"/>
  <c r="AD55" i="51"/>
  <c r="AJ55" i="51"/>
  <c r="AM55" i="51"/>
  <c r="AI55" i="51"/>
  <c r="AR62" i="51"/>
  <c r="AN62" i="51"/>
  <c r="AO62" i="51"/>
  <c r="AI62" i="51"/>
  <c r="AL62" i="51"/>
  <c r="AD62" i="51"/>
  <c r="AM62" i="51"/>
  <c r="AJ62" i="51"/>
  <c r="AK62" i="51"/>
  <c r="AE62" i="51"/>
  <c r="AR54" i="51"/>
  <c r="AE54" i="51"/>
  <c r="AI54" i="51"/>
  <c r="AK54" i="51"/>
  <c r="AL54" i="51"/>
  <c r="AO54" i="51"/>
  <c r="AD54" i="51"/>
  <c r="AN54" i="51"/>
  <c r="AJ54" i="51"/>
  <c r="AM54" i="51"/>
  <c r="AR50" i="51"/>
  <c r="AM50" i="51"/>
  <c r="AI50" i="51"/>
  <c r="AD50" i="51"/>
  <c r="AK50" i="51"/>
  <c r="AN50" i="51"/>
  <c r="AJ50" i="51"/>
  <c r="AE50" i="51"/>
  <c r="AO50" i="51"/>
  <c r="AL50" i="51"/>
  <c r="J36" i="32"/>
  <c r="Z32" i="51"/>
  <c r="J51" i="32"/>
  <c r="Z47" i="51"/>
  <c r="J35" i="32"/>
  <c r="Z31" i="51"/>
  <c r="J42" i="32"/>
  <c r="Z38" i="51"/>
  <c r="J38" i="32"/>
  <c r="Z34" i="51"/>
  <c r="J47" i="32"/>
  <c r="Z43" i="51"/>
  <c r="J45" i="32"/>
  <c r="Z41" i="51"/>
  <c r="AR60" i="51"/>
  <c r="AM60" i="51"/>
  <c r="AK60" i="51"/>
  <c r="AO60" i="51"/>
  <c r="AL60" i="51"/>
  <c r="AN60" i="51"/>
  <c r="AE60" i="51"/>
  <c r="AI60" i="51"/>
  <c r="AJ60" i="51"/>
  <c r="AD60" i="51"/>
  <c r="AR58" i="51"/>
  <c r="AN58" i="51"/>
  <c r="AK58" i="51"/>
  <c r="AI58" i="51"/>
  <c r="AO58" i="51"/>
  <c r="AJ58" i="51"/>
  <c r="AM58" i="51"/>
  <c r="AL58" i="51"/>
  <c r="AD58" i="51"/>
  <c r="AE58" i="51"/>
  <c r="AR52" i="51"/>
  <c r="AO52" i="51"/>
  <c r="AM52" i="51"/>
  <c r="AI52" i="51"/>
  <c r="AL52" i="51"/>
  <c r="AN52" i="51"/>
  <c r="AK52" i="51"/>
  <c r="AD52" i="51"/>
  <c r="AE52" i="51"/>
  <c r="AJ52" i="51"/>
  <c r="AR57" i="51"/>
  <c r="AN57" i="51"/>
  <c r="AO57" i="51"/>
  <c r="AJ57" i="51"/>
  <c r="AM57" i="51"/>
  <c r="AI57" i="51"/>
  <c r="AK57" i="51"/>
  <c r="AL57" i="51"/>
  <c r="AE57" i="51"/>
  <c r="AD57" i="51"/>
  <c r="H18" i="43"/>
  <c r="AD18" i="43" s="1"/>
  <c r="BX53" i="32"/>
  <c r="BY53" i="32" s="1"/>
  <c r="J53" i="32"/>
  <c r="CM32" i="32"/>
  <c r="CL32" i="32"/>
  <c r="CF32" i="32"/>
  <c r="CG32" i="32" s="1"/>
  <c r="CH32" i="32"/>
  <c r="CI32" i="32" s="1"/>
  <c r="CD32" i="32"/>
  <c r="CE32" i="32" s="1"/>
  <c r="CL43" i="32"/>
  <c r="CF43" i="32"/>
  <c r="CG43" i="32" s="1"/>
  <c r="CD43" i="32"/>
  <c r="CE43" i="32" s="1"/>
  <c r="CH43" i="32"/>
  <c r="CI43" i="32" s="1"/>
  <c r="CM43" i="32"/>
  <c r="CM40" i="32"/>
  <c r="CH40" i="32"/>
  <c r="CI40" i="32" s="1"/>
  <c r="CL40" i="32"/>
  <c r="CD40" i="32"/>
  <c r="CE40" i="32" s="1"/>
  <c r="CF40" i="32"/>
  <c r="CG40" i="32" s="1"/>
  <c r="CD46" i="32"/>
  <c r="CE46" i="32" s="1"/>
  <c r="CF46" i="32"/>
  <c r="CG46" i="32" s="1"/>
  <c r="CM46" i="32"/>
  <c r="CH46" i="32"/>
  <c r="CI46" i="32" s="1"/>
  <c r="CL46" i="32"/>
  <c r="CD50" i="32"/>
  <c r="CE50" i="32" s="1"/>
  <c r="CF50" i="32"/>
  <c r="CG50" i="32" s="1"/>
  <c r="CM50" i="32"/>
  <c r="CH50" i="32"/>
  <c r="CI50" i="32" s="1"/>
  <c r="CL50" i="32"/>
  <c r="CM52" i="32"/>
  <c r="CH52" i="32"/>
  <c r="CI52" i="32" s="1"/>
  <c r="CL52" i="32"/>
  <c r="CD52" i="32"/>
  <c r="CE52" i="32" s="1"/>
  <c r="CF52" i="32"/>
  <c r="CG52" i="32" s="1"/>
  <c r="CL35" i="32"/>
  <c r="CF35" i="32"/>
  <c r="CG35" i="32" s="1"/>
  <c r="CH35" i="32"/>
  <c r="CI35" i="32" s="1"/>
  <c r="CM35" i="32"/>
  <c r="CD35" i="32"/>
  <c r="CE35" i="32" s="1"/>
  <c r="CD42" i="32"/>
  <c r="CE42" i="32" s="1"/>
  <c r="CF42" i="32"/>
  <c r="CG42" i="32" s="1"/>
  <c r="CM42" i="32"/>
  <c r="CH42" i="32"/>
  <c r="CI42" i="32" s="1"/>
  <c r="CL42" i="32"/>
  <c r="CD38" i="32"/>
  <c r="CE38" i="32" s="1"/>
  <c r="CF38" i="32"/>
  <c r="CG38" i="32" s="1"/>
  <c r="CM38" i="32"/>
  <c r="CH38" i="32"/>
  <c r="CI38" i="32" s="1"/>
  <c r="CL38" i="32"/>
  <c r="CL47" i="32"/>
  <c r="CF47" i="32"/>
  <c r="CG47" i="32" s="1"/>
  <c r="CH47" i="32"/>
  <c r="CI47" i="32" s="1"/>
  <c r="CM47" i="32"/>
  <c r="CD47" i="32"/>
  <c r="CE47" i="32" s="1"/>
  <c r="CM53" i="32"/>
  <c r="CD53" i="32"/>
  <c r="CE53" i="32" s="1"/>
  <c r="CL53" i="32"/>
  <c r="CF53" i="32"/>
  <c r="CG53" i="32" s="1"/>
  <c r="CH53" i="32"/>
  <c r="CI53" i="32" s="1"/>
  <c r="CM33" i="32"/>
  <c r="CD33" i="32"/>
  <c r="CE33" i="32" s="1"/>
  <c r="CL33" i="32"/>
  <c r="CF33" i="32"/>
  <c r="CG33" i="32" s="1"/>
  <c r="CH33" i="32"/>
  <c r="CI33" i="32" s="1"/>
  <c r="CL39" i="32"/>
  <c r="CF39" i="32"/>
  <c r="CG39" i="32" s="1"/>
  <c r="CH39" i="32"/>
  <c r="CI39" i="32" s="1"/>
  <c r="CD39" i="32"/>
  <c r="CE39" i="32" s="1"/>
  <c r="CM39" i="32"/>
  <c r="CM36" i="32"/>
  <c r="CH36" i="32"/>
  <c r="CI36" i="32" s="1"/>
  <c r="CL36" i="32"/>
  <c r="CD36" i="32"/>
  <c r="CE36" i="32" s="1"/>
  <c r="CF36" i="32"/>
  <c r="CG36" i="32" s="1"/>
  <c r="CM45" i="32"/>
  <c r="CD45" i="32"/>
  <c r="CE45" i="32" s="1"/>
  <c r="CL45" i="32"/>
  <c r="CF45" i="32"/>
  <c r="CG45" i="32" s="1"/>
  <c r="CH45" i="32"/>
  <c r="CI45" i="32" s="1"/>
  <c r="CM48" i="32"/>
  <c r="CH48" i="32"/>
  <c r="CI48" i="32" s="1"/>
  <c r="CF48" i="32"/>
  <c r="CG48" i="32" s="1"/>
  <c r="CL48" i="32"/>
  <c r="CD48" i="32"/>
  <c r="CE48" i="32" s="1"/>
  <c r="CD34" i="32"/>
  <c r="CE34" i="32" s="1"/>
  <c r="CF34" i="32"/>
  <c r="CG34" i="32" s="1"/>
  <c r="CM34" i="32"/>
  <c r="CH34" i="32"/>
  <c r="CI34" i="32" s="1"/>
  <c r="CL34" i="32"/>
  <c r="CM37" i="32"/>
  <c r="CD37" i="32"/>
  <c r="CE37" i="32" s="1"/>
  <c r="CL37" i="32"/>
  <c r="CF37" i="32"/>
  <c r="CG37" i="32" s="1"/>
  <c r="CH37" i="32"/>
  <c r="CI37" i="32" s="1"/>
  <c r="CM41" i="32"/>
  <c r="CD41" i="32"/>
  <c r="CE41" i="32" s="1"/>
  <c r="CH41" i="32"/>
  <c r="CI41" i="32" s="1"/>
  <c r="CL41" i="32"/>
  <c r="CF41" i="32"/>
  <c r="CG41" i="32" s="1"/>
  <c r="CM44" i="32"/>
  <c r="CH44" i="32"/>
  <c r="CI44" i="32" s="1"/>
  <c r="CL44" i="32"/>
  <c r="CD44" i="32"/>
  <c r="CE44" i="32" s="1"/>
  <c r="CF44" i="32"/>
  <c r="CG44" i="32" s="1"/>
  <c r="CM49" i="32"/>
  <c r="CD49" i="32"/>
  <c r="CE49" i="32" s="1"/>
  <c r="CL49" i="32"/>
  <c r="CF49" i="32"/>
  <c r="CG49" i="32" s="1"/>
  <c r="CH49" i="32"/>
  <c r="CI49" i="32" s="1"/>
  <c r="CL51" i="32"/>
  <c r="CF51" i="32"/>
  <c r="CG51" i="32" s="1"/>
  <c r="CH51" i="32"/>
  <c r="CI51" i="32" s="1"/>
  <c r="CD51" i="32"/>
  <c r="CE51" i="32" s="1"/>
  <c r="CM51" i="32"/>
  <c r="AR31" i="32"/>
  <c r="BF45" i="32"/>
  <c r="BF53" i="32"/>
  <c r="BL53" i="32"/>
  <c r="BM53" i="32" s="1"/>
  <c r="AR53" i="32"/>
  <c r="BJ48" i="32"/>
  <c r="BK48" i="32" s="1"/>
  <c r="BN30" i="45"/>
  <c r="BO30" i="45"/>
  <c r="BR30" i="45"/>
  <c r="BJ30" i="45"/>
  <c r="BT30" i="45"/>
  <c r="BS30" i="45"/>
  <c r="BM30" i="45"/>
  <c r="BP30" i="45"/>
  <c r="BQ30" i="45"/>
  <c r="BL30" i="45"/>
  <c r="BK30" i="45"/>
  <c r="Z22" i="32"/>
  <c r="BU30" i="45"/>
  <c r="BV30" i="45"/>
  <c r="AR48" i="32"/>
  <c r="BF48" i="32"/>
  <c r="I48" i="32"/>
  <c r="R48" i="32" s="1"/>
  <c r="AY48" i="32"/>
  <c r="BL48" i="32"/>
  <c r="BM48" i="32" s="1"/>
  <c r="AR45" i="32"/>
  <c r="I45" i="32"/>
  <c r="R45" i="32" s="1"/>
  <c r="AN30" i="32"/>
  <c r="AR52" i="32"/>
  <c r="I30" i="32"/>
  <c r="R30" i="32" s="1"/>
  <c r="AR30" i="32"/>
  <c r="AY52" i="32"/>
  <c r="AY45" i="32"/>
  <c r="BJ52" i="32"/>
  <c r="BK52" i="32" s="1"/>
  <c r="BL52" i="32"/>
  <c r="BM52" i="32" s="1"/>
  <c r="BX52" i="32"/>
  <c r="BY52" i="32" s="1"/>
  <c r="BF52" i="32"/>
  <c r="I52" i="32"/>
  <c r="R52" i="32" s="1"/>
  <c r="BX48" i="32"/>
  <c r="BY48" i="32" s="1"/>
  <c r="BJ51" i="32"/>
  <c r="BK51" i="32" s="1"/>
  <c r="I43" i="32"/>
  <c r="R43" i="32" s="1"/>
  <c r="AY50" i="32"/>
  <c r="BF51" i="32"/>
  <c r="AY44" i="32"/>
  <c r="BJ45" i="32"/>
  <c r="BK45" i="32" s="1"/>
  <c r="I50" i="32"/>
  <c r="R50" i="32" s="1"/>
  <c r="I51" i="32"/>
  <c r="R51" i="32" s="1"/>
  <c r="I44" i="32"/>
  <c r="R44" i="32" s="1"/>
  <c r="AR50" i="32"/>
  <c r="AY51" i="32"/>
  <c r="AR43" i="32"/>
  <c r="AR51" i="32"/>
  <c r="BX28" i="32"/>
  <c r="BY28" i="32" s="1"/>
  <c r="BX35" i="32"/>
  <c r="BY35" i="32" s="1"/>
  <c r="BL35" i="32"/>
  <c r="BM35" i="32" s="1"/>
  <c r="BL41" i="32"/>
  <c r="BM41" i="32" s="1"/>
  <c r="BX41" i="32"/>
  <c r="BY41" i="32" s="1"/>
  <c r="BX42" i="32"/>
  <c r="BY42" i="32" s="1"/>
  <c r="BL42" i="32"/>
  <c r="BM42" i="32" s="1"/>
  <c r="BX40" i="32"/>
  <c r="BY40" i="32" s="1"/>
  <c r="BL40" i="32"/>
  <c r="BM40" i="32" s="1"/>
  <c r="BL47" i="32"/>
  <c r="BM47" i="32" s="1"/>
  <c r="BX47" i="32"/>
  <c r="BY47" i="32" s="1"/>
  <c r="BL51" i="32"/>
  <c r="BM51" i="32" s="1"/>
  <c r="BX51" i="32"/>
  <c r="BY51" i="32" s="1"/>
  <c r="BX25" i="32"/>
  <c r="BY25" i="32" s="1"/>
  <c r="BL39" i="32"/>
  <c r="BM39" i="32" s="1"/>
  <c r="BX39" i="32"/>
  <c r="BY39" i="32" s="1"/>
  <c r="BL49" i="32"/>
  <c r="BM49" i="32" s="1"/>
  <c r="BX49" i="32"/>
  <c r="BY49" i="32" s="1"/>
  <c r="BX34" i="32"/>
  <c r="BY34" i="32" s="1"/>
  <c r="BL34" i="32"/>
  <c r="BM34" i="32" s="1"/>
  <c r="BL33" i="32"/>
  <c r="BM33" i="32" s="1"/>
  <c r="BX33" i="32"/>
  <c r="BY33" i="32" s="1"/>
  <c r="BL37" i="32"/>
  <c r="BM37" i="32" s="1"/>
  <c r="BX37" i="32"/>
  <c r="BY37" i="32" s="1"/>
  <c r="BX38" i="32"/>
  <c r="BY38" i="32" s="1"/>
  <c r="BL38" i="32"/>
  <c r="BM38" i="32" s="1"/>
  <c r="BL36" i="32"/>
  <c r="BM36" i="32" s="1"/>
  <c r="BX36" i="32"/>
  <c r="BY36" i="32" s="1"/>
  <c r="BX46" i="32"/>
  <c r="BY46" i="32" s="1"/>
  <c r="BL46" i="32"/>
  <c r="BM46" i="32" s="1"/>
  <c r="BX30" i="32"/>
  <c r="BY30" i="32" s="1"/>
  <c r="BX26" i="32"/>
  <c r="BY26" i="32" s="1"/>
  <c r="BX27" i="32"/>
  <c r="BY27" i="32" s="1"/>
  <c r="BL32" i="32"/>
  <c r="BM32" i="32" s="1"/>
  <c r="BX32" i="32"/>
  <c r="BY32" i="32" s="1"/>
  <c r="BX29" i="32"/>
  <c r="BY29" i="32" s="1"/>
  <c r="BL31" i="32"/>
  <c r="BM31" i="32" s="1"/>
  <c r="BX31" i="32"/>
  <c r="BY31" i="32" s="1"/>
  <c r="BX43" i="32"/>
  <c r="BY43" i="32" s="1"/>
  <c r="BL43" i="32"/>
  <c r="BM43" i="32" s="1"/>
  <c r="BX44" i="32"/>
  <c r="BY44" i="32" s="1"/>
  <c r="BL44" i="32"/>
  <c r="BM44" i="32" s="1"/>
  <c r="BL50" i="32"/>
  <c r="BM50" i="32" s="1"/>
  <c r="BX50" i="32"/>
  <c r="BY50" i="32" s="1"/>
  <c r="BL45" i="32"/>
  <c r="BM45" i="32" s="1"/>
  <c r="BX45" i="32"/>
  <c r="BY45" i="32" s="1"/>
  <c r="AN33" i="32"/>
  <c r="AY38" i="32"/>
  <c r="I29" i="32"/>
  <c r="AN31" i="32"/>
  <c r="BF43" i="32"/>
  <c r="AR44" i="32"/>
  <c r="BF50" i="32"/>
  <c r="BF44" i="32"/>
  <c r="AY43" i="32"/>
  <c r="AR35" i="32"/>
  <c r="AR42" i="32"/>
  <c r="AR47" i="32"/>
  <c r="I38" i="32"/>
  <c r="R38" i="32" s="1"/>
  <c r="BF41" i="32"/>
  <c r="BF47" i="32"/>
  <c r="AY42" i="32"/>
  <c r="AY35" i="32"/>
  <c r="BF34" i="32"/>
  <c r="BJ34" i="32"/>
  <c r="BK34" i="32" s="1"/>
  <c r="I35" i="32"/>
  <c r="R35" i="32" s="1"/>
  <c r="BJ35" i="32"/>
  <c r="BK35" i="32" s="1"/>
  <c r="AR41" i="32"/>
  <c r="BJ41" i="32"/>
  <c r="BK41" i="32" s="1"/>
  <c r="I42" i="32"/>
  <c r="R42" i="32" s="1"/>
  <c r="BJ42" i="32"/>
  <c r="BK42" i="32" s="1"/>
  <c r="BF40" i="32"/>
  <c r="BJ40" i="32"/>
  <c r="BK40" i="32" s="1"/>
  <c r="AY47" i="32"/>
  <c r="BJ47" i="32"/>
  <c r="BK47" i="32" s="1"/>
  <c r="AR33" i="32"/>
  <c r="I37" i="32"/>
  <c r="R37" i="32" s="1"/>
  <c r="BJ37" i="32"/>
  <c r="BK37" i="32" s="1"/>
  <c r="AN38" i="32"/>
  <c r="BJ38" i="32"/>
  <c r="BK38" i="32" s="1"/>
  <c r="AR36" i="32"/>
  <c r="BJ36" i="32"/>
  <c r="BK36" i="32" s="1"/>
  <c r="AY46" i="32"/>
  <c r="BJ46" i="32"/>
  <c r="BK46" i="32" s="1"/>
  <c r="AY36" i="32"/>
  <c r="BF39" i="32"/>
  <c r="BJ39" i="32"/>
  <c r="BK39" i="32" s="1"/>
  <c r="BF49" i="32"/>
  <c r="BJ49" i="32"/>
  <c r="BK49" i="32" s="1"/>
  <c r="AN32" i="32"/>
  <c r="BJ43" i="32"/>
  <c r="BK43" i="32" s="1"/>
  <c r="BJ44" i="32"/>
  <c r="BK44" i="32" s="1"/>
  <c r="BJ50" i="32"/>
  <c r="BK50" i="32" s="1"/>
  <c r="AY49" i="32"/>
  <c r="AR39" i="32"/>
  <c r="I49" i="32"/>
  <c r="R49" i="32" s="1"/>
  <c r="AR49" i="32"/>
  <c r="I39" i="32"/>
  <c r="R39" i="32" s="1"/>
  <c r="I41" i="32"/>
  <c r="R41" i="32" s="1"/>
  <c r="AR40" i="32"/>
  <c r="AY41" i="32"/>
  <c r="I47" i="32"/>
  <c r="R47" i="32" s="1"/>
  <c r="AN35" i="32"/>
  <c r="AY40" i="32"/>
  <c r="BF42" i="32"/>
  <c r="BF35" i="32"/>
  <c r="I40" i="32"/>
  <c r="R40" i="32" s="1"/>
  <c r="I36" i="32"/>
  <c r="R36" i="32" s="1"/>
  <c r="AR38" i="32"/>
  <c r="BF46" i="32"/>
  <c r="I46" i="32"/>
  <c r="R46" i="32" s="1"/>
  <c r="BF36" i="32"/>
  <c r="AN36" i="32"/>
  <c r="BF38" i="32"/>
  <c r="AR46" i="32"/>
  <c r="AR34" i="32"/>
  <c r="AN37" i="32"/>
  <c r="AY39" i="32"/>
  <c r="AR32" i="32"/>
  <c r="I31" i="32"/>
  <c r="I32" i="32"/>
  <c r="AR29" i="32"/>
  <c r="AY34" i="32"/>
  <c r="BF33" i="32"/>
  <c r="BF37" i="32"/>
  <c r="AY37" i="32"/>
  <c r="AN34" i="32"/>
  <c r="I33" i="32"/>
  <c r="R33" i="32" s="1"/>
  <c r="AR37" i="32"/>
  <c r="I34" i="32"/>
  <c r="R34" i="32" s="1"/>
  <c r="AN29" i="32"/>
  <c r="AY33" i="32"/>
  <c r="Z24" i="32"/>
  <c r="Z23" i="32"/>
  <c r="AN26" i="32"/>
  <c r="AR26" i="32"/>
  <c r="I26" i="32"/>
  <c r="AN25" i="32"/>
  <c r="AR25" i="32"/>
  <c r="I25" i="32"/>
  <c r="AN27" i="32"/>
  <c r="I27" i="32"/>
  <c r="AR27" i="32"/>
  <c r="AN24" i="32"/>
  <c r="I24" i="32"/>
  <c r="AR24" i="32"/>
  <c r="BE24" i="32" s="1"/>
  <c r="AR23" i="32"/>
  <c r="AX23" i="32" s="1"/>
  <c r="AN23" i="32"/>
  <c r="I23" i="32"/>
  <c r="I28" i="32"/>
  <c r="AR28" i="32"/>
  <c r="AN28" i="32"/>
  <c r="I22" i="32"/>
  <c r="AN22" i="32"/>
  <c r="J20" i="32"/>
  <c r="AR22" i="32"/>
  <c r="AF36" i="45"/>
  <c r="Z36" i="45"/>
  <c r="AB36" i="45"/>
  <c r="X36" i="45"/>
  <c r="AD36" i="45"/>
  <c r="AL36" i="45"/>
  <c r="AN36" i="45"/>
  <c r="AH36" i="45"/>
  <c r="AJ36" i="45"/>
  <c r="V36" i="45"/>
  <c r="P36" i="45"/>
  <c r="R36" i="45"/>
  <c r="T36" i="45"/>
  <c r="AF38" i="45"/>
  <c r="AL38" i="45"/>
  <c r="Z38" i="45"/>
  <c r="P38" i="45"/>
  <c r="X38" i="45"/>
  <c r="T38" i="45"/>
  <c r="V38" i="45"/>
  <c r="AN38" i="45"/>
  <c r="R38" i="45"/>
  <c r="AB38" i="45"/>
  <c r="AH38" i="45"/>
  <c r="AD38" i="45"/>
  <c r="AJ38" i="45"/>
  <c r="S11" i="53" l="1"/>
  <c r="U11" i="53" s="1"/>
  <c r="AM23" i="51"/>
  <c r="Q11" i="60"/>
  <c r="S97" i="5" s="1"/>
  <c r="Y97" i="5" s="1"/>
  <c r="O97" i="5"/>
  <c r="O99" i="5"/>
  <c r="AK23" i="51"/>
  <c r="AA10" i="55"/>
  <c r="AB10" i="55" s="1"/>
  <c r="AD10" i="55"/>
  <c r="I10" i="55"/>
  <c r="S10" i="55" s="1"/>
  <c r="U10" i="55" s="1"/>
  <c r="AJ23" i="51"/>
  <c r="AN23" i="51"/>
  <c r="AI23" i="51"/>
  <c r="AL23" i="51"/>
  <c r="AO23" i="51" s="1"/>
  <c r="AH13" i="54"/>
  <c r="H21" i="56"/>
  <c r="I21" i="56"/>
  <c r="I19" i="56"/>
  <c r="H19" i="56"/>
  <c r="I20" i="56"/>
  <c r="H20" i="56"/>
  <c r="M32" i="32"/>
  <c r="M37" i="32"/>
  <c r="M38" i="32"/>
  <c r="V22" i="32"/>
  <c r="N18" i="43" s="1"/>
  <c r="P18" i="43" s="1"/>
  <c r="R22" i="32"/>
  <c r="G18" i="42" s="1"/>
  <c r="R28" i="32"/>
  <c r="R25" i="32"/>
  <c r="R26" i="32"/>
  <c r="AB23" i="51"/>
  <c r="R27" i="32"/>
  <c r="R31" i="32"/>
  <c r="R23" i="32"/>
  <c r="G20" i="42" s="1"/>
  <c r="V24" i="32"/>
  <c r="N19" i="43" s="1"/>
  <c r="R24" i="32"/>
  <c r="R32" i="32"/>
  <c r="R29" i="32"/>
  <c r="AB22" i="51"/>
  <c r="AS64" i="51"/>
  <c r="BH64" i="51" s="1"/>
  <c r="I64" i="51" s="1"/>
  <c r="Z96" i="51"/>
  <c r="B41" i="51"/>
  <c r="Z89" i="51"/>
  <c r="Z144" i="51" s="1"/>
  <c r="B34" i="51"/>
  <c r="Z86" i="51"/>
  <c r="Z141" i="51" s="1"/>
  <c r="B31" i="51"/>
  <c r="Z102" i="51"/>
  <c r="Z157" i="51" s="1"/>
  <c r="B47" i="51"/>
  <c r="Z101" i="51"/>
  <c r="Z156" i="51" s="1"/>
  <c r="B46" i="51"/>
  <c r="Z91" i="51"/>
  <c r="Z146" i="51" s="1"/>
  <c r="B36" i="51"/>
  <c r="Z82" i="51"/>
  <c r="Z137" i="51" s="1"/>
  <c r="B27" i="51"/>
  <c r="Z79" i="51"/>
  <c r="Z134" i="51" s="1"/>
  <c r="B24" i="51"/>
  <c r="Z83" i="51"/>
  <c r="Z138" i="51" s="1"/>
  <c r="B28" i="51"/>
  <c r="Z90" i="51"/>
  <c r="Z145" i="51" s="1"/>
  <c r="B35" i="51"/>
  <c r="Z100" i="51"/>
  <c r="Z155" i="51" s="1"/>
  <c r="B45" i="51"/>
  <c r="Z92" i="51"/>
  <c r="Z147" i="51" s="1"/>
  <c r="B37" i="51"/>
  <c r="Z85" i="51"/>
  <c r="Z140" i="51" s="1"/>
  <c r="B30" i="51"/>
  <c r="Z98" i="51"/>
  <c r="Z153" i="51" s="1"/>
  <c r="B43" i="51"/>
  <c r="Z93" i="51"/>
  <c r="Z148" i="51" s="1"/>
  <c r="B38" i="51"/>
  <c r="Z87" i="51"/>
  <c r="Z142" i="51" s="1"/>
  <c r="B32" i="51"/>
  <c r="Z99" i="51"/>
  <c r="Z154" i="51" s="1"/>
  <c r="B44" i="51"/>
  <c r="Z97" i="51"/>
  <c r="Z152" i="51" s="1"/>
  <c r="B42" i="51"/>
  <c r="Z94" i="51"/>
  <c r="Z149" i="51" s="1"/>
  <c r="B39" i="51"/>
  <c r="Z104" i="51"/>
  <c r="Z159" i="51" s="1"/>
  <c r="B49" i="51"/>
  <c r="Z80" i="51"/>
  <c r="Z135" i="51" s="1"/>
  <c r="B25" i="51"/>
  <c r="Z103" i="51"/>
  <c r="Z158" i="51" s="1"/>
  <c r="B48" i="51"/>
  <c r="Z84" i="51"/>
  <c r="Z139" i="51" s="1"/>
  <c r="B29" i="51"/>
  <c r="Z95" i="51"/>
  <c r="Z150" i="51" s="1"/>
  <c r="B40" i="51"/>
  <c r="Z88" i="51"/>
  <c r="Z143" i="51" s="1"/>
  <c r="B33" i="51"/>
  <c r="Z81" i="51"/>
  <c r="Z136" i="51" s="1"/>
  <c r="B26" i="51"/>
  <c r="BM171" i="51"/>
  <c r="BM166" i="51"/>
  <c r="BM170" i="51"/>
  <c r="BM165" i="51"/>
  <c r="BM173" i="51"/>
  <c r="AL25" i="51"/>
  <c r="BM177" i="51"/>
  <c r="BM167" i="51"/>
  <c r="BM160" i="51"/>
  <c r="BM176" i="51"/>
  <c r="BM169" i="51"/>
  <c r="AJ49" i="51"/>
  <c r="BM175" i="51"/>
  <c r="BM162" i="51"/>
  <c r="BM164" i="51"/>
  <c r="BM174" i="51"/>
  <c r="BM161" i="51"/>
  <c r="BM168" i="51"/>
  <c r="BM172" i="51"/>
  <c r="BM163" i="51"/>
  <c r="Z151" i="51"/>
  <c r="Z78" i="51"/>
  <c r="Z77" i="51"/>
  <c r="Z74" i="51"/>
  <c r="Z76" i="51"/>
  <c r="Z75" i="51"/>
  <c r="Z73" i="51"/>
  <c r="AJ22" i="51"/>
  <c r="AR49" i="51"/>
  <c r="AK25" i="51"/>
  <c r="AN26" i="51"/>
  <c r="AM18" i="51"/>
  <c r="AM24" i="51"/>
  <c r="AK19" i="51"/>
  <c r="AK21" i="51"/>
  <c r="AK20" i="51"/>
  <c r="DM16" i="51"/>
  <c r="W13" i="54"/>
  <c r="X23" i="54" s="1"/>
  <c r="AA13" i="54"/>
  <c r="AB23" i="54" s="1"/>
  <c r="AB24" i="51"/>
  <c r="AI18" i="51"/>
  <c r="AJ24" i="51"/>
  <c r="AN18" i="51"/>
  <c r="AN24" i="51"/>
  <c r="AL49" i="51"/>
  <c r="BI31" i="32"/>
  <c r="AB19" i="51"/>
  <c r="Z11" i="55"/>
  <c r="AD11" i="55"/>
  <c r="AA11" i="55"/>
  <c r="I11" i="55"/>
  <c r="S11" i="55" s="1"/>
  <c r="U11" i="55" s="1"/>
  <c r="J19" i="56" s="1"/>
  <c r="R6" i="55"/>
  <c r="Q63" i="5" s="1"/>
  <c r="AD23" i="54"/>
  <c r="AA52" i="53"/>
  <c r="AA51" i="53"/>
  <c r="AH51" i="53" s="1"/>
  <c r="Z23" i="54"/>
  <c r="AL24" i="51"/>
  <c r="AK24" i="51"/>
  <c r="AJ18" i="51"/>
  <c r="AK18" i="51"/>
  <c r="AI24" i="51"/>
  <c r="AL18" i="51"/>
  <c r="AJ19" i="51"/>
  <c r="AU51" i="51"/>
  <c r="AV51" i="51" s="1"/>
  <c r="BD51" i="51"/>
  <c r="AZ50" i="51"/>
  <c r="BD50" i="51"/>
  <c r="AU66" i="51"/>
  <c r="AV66" i="51" s="1"/>
  <c r="BD66" i="51"/>
  <c r="AU59" i="51"/>
  <c r="AV59" i="51" s="1"/>
  <c r="BD59" i="51"/>
  <c r="AN25" i="51"/>
  <c r="AI49" i="51"/>
  <c r="AN49" i="51"/>
  <c r="AZ61" i="51"/>
  <c r="BD61" i="51"/>
  <c r="AW56" i="51"/>
  <c r="BD56" i="51"/>
  <c r="AW60" i="51"/>
  <c r="BD60" i="51"/>
  <c r="AU54" i="51"/>
  <c r="AV54" i="51" s="1"/>
  <c r="BD54" i="51"/>
  <c r="AW64" i="51"/>
  <c r="BD64" i="51"/>
  <c r="AH27" i="54"/>
  <c r="AJ25" i="51"/>
  <c r="AI25" i="51"/>
  <c r="AD49" i="51"/>
  <c r="AO49" i="51"/>
  <c r="AK49" i="51"/>
  <c r="AW67" i="51"/>
  <c r="BD67" i="51"/>
  <c r="AZ57" i="51"/>
  <c r="BD57" i="51"/>
  <c r="AZ62" i="51"/>
  <c r="BD62" i="51"/>
  <c r="AZ53" i="51"/>
  <c r="BD53" i="51"/>
  <c r="AZ58" i="51"/>
  <c r="BD58" i="51"/>
  <c r="AB49" i="51"/>
  <c r="AM25" i="51"/>
  <c r="AE49" i="51"/>
  <c r="AM49" i="51"/>
  <c r="AZ65" i="51"/>
  <c r="BD65" i="51"/>
  <c r="AU52" i="51"/>
  <c r="AV52" i="51" s="1"/>
  <c r="BD52" i="51"/>
  <c r="AU55" i="51"/>
  <c r="AV55" i="51" s="1"/>
  <c r="BD55" i="51"/>
  <c r="AW63" i="51"/>
  <c r="BD63" i="51"/>
  <c r="BI65" i="34" a="1"/>
  <c r="BI65" i="34" s="1"/>
  <c r="BK65" i="34" s="1"/>
  <c r="BI82" i="34" a="1"/>
  <c r="BI82" i="34" s="1"/>
  <c r="BJ82" i="34" s="1"/>
  <c r="AA38" i="53"/>
  <c r="AA54" i="53"/>
  <c r="AA42" i="53"/>
  <c r="AA56" i="53"/>
  <c r="AA59" i="53"/>
  <c r="AA55" i="53"/>
  <c r="AA48" i="53"/>
  <c r="AA35" i="53"/>
  <c r="AA26" i="53"/>
  <c r="AA21" i="53"/>
  <c r="X33" i="53"/>
  <c r="Y33" i="53" s="1"/>
  <c r="AA33" i="53" s="1"/>
  <c r="AL33" i="53"/>
  <c r="Z32" i="53"/>
  <c r="AA32" i="53" s="1"/>
  <c r="X28" i="53"/>
  <c r="Y28" i="53" s="1"/>
  <c r="AA28" i="53" s="1"/>
  <c r="Z37" i="53"/>
  <c r="AC36" i="53"/>
  <c r="Z36" i="53"/>
  <c r="AA36" i="53" s="1"/>
  <c r="Z23" i="53"/>
  <c r="AH44" i="53"/>
  <c r="BI50" i="34" a="1"/>
  <c r="BI50" i="34" s="1"/>
  <c r="BK50" i="34" s="1"/>
  <c r="BI80" i="34" a="1"/>
  <c r="BI80" i="34" s="1"/>
  <c r="BK80" i="34" s="1"/>
  <c r="BI34" i="34" a="1"/>
  <c r="BI34" i="34" s="1"/>
  <c r="BK34" i="34" s="1"/>
  <c r="X19" i="53"/>
  <c r="Y19" i="53" s="1"/>
  <c r="AC19" i="53"/>
  <c r="Z19" i="53"/>
  <c r="X18" i="53"/>
  <c r="Y18" i="53" s="1"/>
  <c r="AC18" i="53"/>
  <c r="AK54" i="53"/>
  <c r="AM54" i="53" s="1"/>
  <c r="AD54" i="53"/>
  <c r="AE54" i="53" s="1"/>
  <c r="AK23" i="53"/>
  <c r="AM23" i="53" s="1"/>
  <c r="AD23" i="53"/>
  <c r="AE23" i="53" s="1"/>
  <c r="AK32" i="53"/>
  <c r="AM32" i="53" s="1"/>
  <c r="AD32" i="53"/>
  <c r="AE32" i="53" s="1"/>
  <c r="X34" i="53"/>
  <c r="Y34" i="53" s="1"/>
  <c r="AC34" i="53"/>
  <c r="Z34" i="53"/>
  <c r="AK20" i="53"/>
  <c r="AM20" i="53" s="1"/>
  <c r="AD20" i="53"/>
  <c r="AK26" i="51"/>
  <c r="AJ26" i="51"/>
  <c r="AI26" i="51"/>
  <c r="AL26" i="51"/>
  <c r="BI28" i="34" a="1"/>
  <c r="BI28" i="34" s="1"/>
  <c r="BM28" i="34" s="1"/>
  <c r="BI93" i="34" a="1"/>
  <c r="BI93" i="34" s="1"/>
  <c r="BJ93" i="34" s="1"/>
  <c r="BI84" i="34" a="1"/>
  <c r="BI84" i="34" s="1"/>
  <c r="BL84" i="34" s="1"/>
  <c r="BI98" i="34" a="1"/>
  <c r="BI98" i="34" s="1"/>
  <c r="BM98" i="34" s="1"/>
  <c r="BI90" i="34" a="1"/>
  <c r="BI90" i="34" s="1"/>
  <c r="BM90" i="34" s="1"/>
  <c r="BI105" i="34" a="1"/>
  <c r="BI105" i="34" s="1"/>
  <c r="BJ105" i="34" s="1"/>
  <c r="BI48" i="34" a="1"/>
  <c r="BI48" i="34" s="1"/>
  <c r="BJ48" i="34" s="1"/>
  <c r="BI55" i="34" a="1"/>
  <c r="BI55" i="34" s="1"/>
  <c r="BK55" i="34" s="1"/>
  <c r="BI36" i="34" a="1"/>
  <c r="BI36" i="34" s="1"/>
  <c r="BL36" i="34" s="1"/>
  <c r="BI99" i="34" a="1"/>
  <c r="BI99" i="34" s="1"/>
  <c r="BJ99" i="34" s="1"/>
  <c r="BI77" i="34" a="1"/>
  <c r="BI77" i="34" s="1"/>
  <c r="BK77" i="34" s="1"/>
  <c r="BI56" i="34" a="1"/>
  <c r="BI56" i="34" s="1"/>
  <c r="BL56" i="34" s="1"/>
  <c r="BI25" i="34" a="1"/>
  <c r="BI25" i="34" s="1"/>
  <c r="BL25" i="34" s="1"/>
  <c r="BI104" i="34" a="1"/>
  <c r="BI104" i="34" s="1"/>
  <c r="BM104" i="34" s="1"/>
  <c r="BI32" i="34" a="1"/>
  <c r="BI32" i="34" s="1"/>
  <c r="BK32" i="34" s="1"/>
  <c r="BI87" i="34" a="1"/>
  <c r="BI87" i="34" s="1"/>
  <c r="BL87" i="34" s="1"/>
  <c r="BI94" i="34" a="1"/>
  <c r="BI94" i="34" s="1"/>
  <c r="BK94" i="34" s="1"/>
  <c r="AA43" i="53"/>
  <c r="AK59" i="53"/>
  <c r="AM59" i="53" s="1"/>
  <c r="AD59" i="53"/>
  <c r="AE59" i="53" s="1"/>
  <c r="AK41" i="53"/>
  <c r="AM41" i="53" s="1"/>
  <c r="AD41" i="53"/>
  <c r="AL24" i="53"/>
  <c r="X24" i="53"/>
  <c r="Y24" i="53" s="1"/>
  <c r="Z24" i="53"/>
  <c r="Z18" i="53"/>
  <c r="AJ21" i="51"/>
  <c r="AM21" i="51"/>
  <c r="AL21" i="51"/>
  <c r="AI21" i="51"/>
  <c r="AN21" i="51"/>
  <c r="AK42" i="53"/>
  <c r="AM42" i="53" s="1"/>
  <c r="AD42" i="53"/>
  <c r="AE42" i="53" s="1"/>
  <c r="AK28" i="53"/>
  <c r="AM28" i="53" s="1"/>
  <c r="AD28" i="53"/>
  <c r="AE28" i="53" s="1"/>
  <c r="AK27" i="53"/>
  <c r="AM27" i="53" s="1"/>
  <c r="AD27" i="53"/>
  <c r="AN44" i="53"/>
  <c r="AK52" i="53"/>
  <c r="AM52" i="53" s="1"/>
  <c r="AD52" i="53"/>
  <c r="AE52" i="53" s="1"/>
  <c r="AM26" i="51"/>
  <c r="AH58" i="53"/>
  <c r="BI30" i="32"/>
  <c r="BR30" i="32" s="1"/>
  <c r="AN19" i="51"/>
  <c r="AI19" i="51"/>
  <c r="AL19" i="51"/>
  <c r="AM19" i="51"/>
  <c r="AK22" i="51"/>
  <c r="AL22" i="51"/>
  <c r="AM22" i="51"/>
  <c r="AI22" i="51"/>
  <c r="AN22" i="51"/>
  <c r="Z29" i="53"/>
  <c r="X29" i="53"/>
  <c r="Y29" i="53" s="1"/>
  <c r="AK48" i="53"/>
  <c r="AM48" i="53" s="1"/>
  <c r="AD48" i="53"/>
  <c r="AE48" i="53" s="1"/>
  <c r="AL34" i="53"/>
  <c r="AK37" i="53"/>
  <c r="AM37" i="53" s="1"/>
  <c r="AD37" i="53"/>
  <c r="AL25" i="53"/>
  <c r="AB20" i="51"/>
  <c r="AI20" i="51"/>
  <c r="BI71" i="34" a="1"/>
  <c r="BI71" i="34" s="1"/>
  <c r="BK71" i="34" s="1"/>
  <c r="AK47" i="53"/>
  <c r="AM47" i="53" s="1"/>
  <c r="AD47" i="53"/>
  <c r="AE47" i="53" s="1"/>
  <c r="AN51" i="53"/>
  <c r="AL35" i="53"/>
  <c r="AL26" i="53"/>
  <c r="X30" i="53"/>
  <c r="Y30" i="53" s="1"/>
  <c r="AA30" i="53" s="1"/>
  <c r="X23" i="53"/>
  <c r="Y23" i="53" s="1"/>
  <c r="Z39" i="53"/>
  <c r="AK56" i="53"/>
  <c r="AM56" i="53" s="1"/>
  <c r="AD56" i="53"/>
  <c r="AE56" i="53" s="1"/>
  <c r="AK50" i="53"/>
  <c r="AM50" i="53" s="1"/>
  <c r="AD50" i="53"/>
  <c r="AE50" i="53" s="1"/>
  <c r="Z40" i="53"/>
  <c r="AA40" i="53" s="1"/>
  <c r="AC20" i="53"/>
  <c r="AC37" i="53"/>
  <c r="X25" i="53"/>
  <c r="Y25" i="53" s="1"/>
  <c r="AA25" i="53" s="1"/>
  <c r="AM20" i="51"/>
  <c r="AL20" i="51"/>
  <c r="AN20" i="51"/>
  <c r="AL36" i="53"/>
  <c r="AC27" i="53"/>
  <c r="Q10" i="53"/>
  <c r="AL30" i="53"/>
  <c r="AN58" i="53"/>
  <c r="AL39" i="53"/>
  <c r="AK57" i="53"/>
  <c r="AM57" i="53" s="1"/>
  <c r="AD57" i="53"/>
  <c r="AE57" i="53" s="1"/>
  <c r="AH57" i="53" s="1"/>
  <c r="AK45" i="53"/>
  <c r="AM45" i="53" s="1"/>
  <c r="AD45" i="53"/>
  <c r="AE45" i="53" s="1"/>
  <c r="AK53" i="53"/>
  <c r="AM53" i="53" s="1"/>
  <c r="AD53" i="53"/>
  <c r="AE53" i="53" s="1"/>
  <c r="AK55" i="53"/>
  <c r="AM55" i="53" s="1"/>
  <c r="AD55" i="53"/>
  <c r="AE55" i="53" s="1"/>
  <c r="AL40" i="53"/>
  <c r="AK38" i="53"/>
  <c r="AM38" i="53" s="1"/>
  <c r="AD38" i="53"/>
  <c r="AE38" i="53" s="1"/>
  <c r="AK19" i="53"/>
  <c r="AM19" i="53" s="1"/>
  <c r="AD19" i="53"/>
  <c r="AC25" i="53"/>
  <c r="AB21" i="51"/>
  <c r="AJ20" i="51"/>
  <c r="AK43" i="53"/>
  <c r="AM43" i="53" s="1"/>
  <c r="AD43" i="53"/>
  <c r="AE43" i="53" s="1"/>
  <c r="X41" i="53"/>
  <c r="Y41" i="53" s="1"/>
  <c r="AA41" i="53" s="1"/>
  <c r="AC41" i="53"/>
  <c r="X27" i="53"/>
  <c r="Y27" i="53" s="1"/>
  <c r="Z27" i="53"/>
  <c r="AL21" i="53"/>
  <c r="AA22" i="53"/>
  <c r="AL22" i="53"/>
  <c r="AK49" i="53"/>
  <c r="AM49" i="53" s="1"/>
  <c r="AD49" i="53"/>
  <c r="AE49" i="53" s="1"/>
  <c r="X39" i="53"/>
  <c r="Y39" i="53" s="1"/>
  <c r="AA45" i="53"/>
  <c r="AK46" i="53"/>
  <c r="AM46" i="53" s="1"/>
  <c r="AD46" i="53"/>
  <c r="AE46" i="53" s="1"/>
  <c r="AH46" i="53" s="1"/>
  <c r="X31" i="53"/>
  <c r="Y31" i="53" s="1"/>
  <c r="AA31" i="53" s="1"/>
  <c r="AL31" i="53"/>
  <c r="X20" i="53"/>
  <c r="Y20" i="53" s="1"/>
  <c r="AA20" i="53" s="1"/>
  <c r="X37" i="53"/>
  <c r="Y37" i="53" s="1"/>
  <c r="BK37" i="45"/>
  <c r="BQ37" i="45"/>
  <c r="BM29" i="45"/>
  <c r="BK34" i="45"/>
  <c r="BT34" i="45"/>
  <c r="BL34" i="45"/>
  <c r="BS29" i="45"/>
  <c r="BP34" i="45"/>
  <c r="BQ29" i="45"/>
  <c r="BO37" i="45"/>
  <c r="BT29" i="45"/>
  <c r="BJ34" i="45"/>
  <c r="BL29" i="45"/>
  <c r="BN37" i="45"/>
  <c r="BP37" i="45"/>
  <c r="BP29" i="45"/>
  <c r="BV34" i="45"/>
  <c r="BS34" i="45"/>
  <c r="BO29" i="45"/>
  <c r="BJ29" i="45"/>
  <c r="BQ34" i="45"/>
  <c r="BV29" i="45"/>
  <c r="BU34" i="45"/>
  <c r="BV37" i="45"/>
  <c r="BM37" i="45"/>
  <c r="BN34" i="45"/>
  <c r="BS37" i="45"/>
  <c r="BU29" i="45"/>
  <c r="BR37" i="45"/>
  <c r="BJ37" i="45"/>
  <c r="BO34" i="45"/>
  <c r="BR34" i="45"/>
  <c r="BN29" i="45"/>
  <c r="BU37" i="45"/>
  <c r="BT37" i="45"/>
  <c r="BR29" i="45"/>
  <c r="BL37" i="45"/>
  <c r="BM34" i="45"/>
  <c r="BK29" i="45"/>
  <c r="BI42" i="34" a="1"/>
  <c r="BI42" i="34" s="1"/>
  <c r="BJ42" i="34" s="1"/>
  <c r="BI58" i="34" a="1"/>
  <c r="BI58" i="34" s="1"/>
  <c r="BL58" i="34" s="1"/>
  <c r="BI69" i="34" a="1"/>
  <c r="BI69" i="34" s="1"/>
  <c r="BM69" i="34" s="1"/>
  <c r="BI62" i="34" a="1"/>
  <c r="BI62" i="34" s="1"/>
  <c r="BL62" i="34" s="1"/>
  <c r="BI61" i="34" a="1"/>
  <c r="BI61" i="34" s="1"/>
  <c r="BK61" i="34" s="1"/>
  <c r="BI43" i="34" a="1"/>
  <c r="BI43" i="34" s="1"/>
  <c r="BJ43" i="34" s="1"/>
  <c r="BI86" i="34" a="1"/>
  <c r="BI86" i="34" s="1"/>
  <c r="BJ86" i="34" s="1"/>
  <c r="BI101" i="34" a="1"/>
  <c r="BI101" i="34" s="1"/>
  <c r="BL101" i="34" s="1"/>
  <c r="BI60" i="34" a="1"/>
  <c r="BI60" i="34" s="1"/>
  <c r="BK60" i="34" s="1"/>
  <c r="BI40" i="34" a="1"/>
  <c r="BI40" i="34" s="1"/>
  <c r="BK40" i="34" s="1"/>
  <c r="BI41" i="34" a="1"/>
  <c r="BI41" i="34" s="1"/>
  <c r="BK41" i="34" s="1"/>
  <c r="BI88" i="34" a="1"/>
  <c r="BI88" i="34" s="1"/>
  <c r="BK88" i="34" s="1"/>
  <c r="BI46" i="34" a="1"/>
  <c r="BI46" i="34" s="1"/>
  <c r="BL46" i="34" s="1"/>
  <c r="BI95" i="34" a="1"/>
  <c r="BI95" i="34" s="1"/>
  <c r="BJ95" i="34" s="1"/>
  <c r="BI67" i="34" a="1"/>
  <c r="BI67" i="34" s="1"/>
  <c r="BJ67" i="34" s="1"/>
  <c r="BI83" i="34" a="1"/>
  <c r="BI83" i="34" s="1"/>
  <c r="BL83" i="34" s="1"/>
  <c r="BI33" i="34" a="1"/>
  <c r="BI33" i="34" s="1"/>
  <c r="BK33" i="34" s="1"/>
  <c r="BI74" i="34" a="1"/>
  <c r="BI74" i="34" s="1"/>
  <c r="BL74" i="34" s="1"/>
  <c r="BI68" i="34" a="1"/>
  <c r="BI68" i="34" s="1"/>
  <c r="BM68" i="34" s="1"/>
  <c r="BI24" i="34" a="1"/>
  <c r="BI24" i="34" s="1"/>
  <c r="BM24" i="34" s="1"/>
  <c r="BI70" i="34" a="1"/>
  <c r="BI70" i="34" s="1"/>
  <c r="BL70" i="34" s="1"/>
  <c r="BI49" i="34" a="1"/>
  <c r="BI49" i="34" s="1"/>
  <c r="BJ49" i="34" s="1"/>
  <c r="BI52" i="34" a="1"/>
  <c r="BI52" i="34" s="1"/>
  <c r="BJ52" i="34" s="1"/>
  <c r="BI45" i="34" a="1"/>
  <c r="BI45" i="34" s="1"/>
  <c r="BM45" i="34" s="1"/>
  <c r="BI29" i="34" a="1"/>
  <c r="BI29" i="34" s="1"/>
  <c r="BL29" i="34" s="1"/>
  <c r="BI22" i="34" a="1"/>
  <c r="BI22" i="34" s="1"/>
  <c r="BJ22" i="34" s="1"/>
  <c r="BI20" i="34" a="1"/>
  <c r="BI20" i="34" s="1"/>
  <c r="BL20" i="34" s="1"/>
  <c r="BI37" i="34" a="1"/>
  <c r="BI37" i="34" s="1"/>
  <c r="BM37" i="34" s="1"/>
  <c r="BI103" i="34" a="1"/>
  <c r="BI103" i="34" s="1"/>
  <c r="BL103" i="34" s="1"/>
  <c r="BI19" i="34" a="1"/>
  <c r="BI19" i="34" s="1"/>
  <c r="BK19" i="34" s="1"/>
  <c r="BI57" i="34" a="1"/>
  <c r="BI57" i="34" s="1"/>
  <c r="BL57" i="34" s="1"/>
  <c r="BI76" i="34" a="1"/>
  <c r="BI76" i="34" s="1"/>
  <c r="BJ76" i="34" s="1"/>
  <c r="BI53" i="34" a="1"/>
  <c r="BI53" i="34" s="1"/>
  <c r="BK53" i="34" s="1"/>
  <c r="BI85" i="34" a="1"/>
  <c r="BI85" i="34" s="1"/>
  <c r="BJ85" i="34" s="1"/>
  <c r="BI64" i="34" a="1"/>
  <c r="BI64" i="34" s="1"/>
  <c r="BL64" i="34" s="1"/>
  <c r="BI17" i="34" a="1"/>
  <c r="BI17" i="34" s="1"/>
  <c r="BM17" i="34" s="1"/>
  <c r="BI66" i="34" a="1"/>
  <c r="BI66" i="34" s="1"/>
  <c r="BK66" i="34" s="1"/>
  <c r="BI92" i="34" a="1"/>
  <c r="BI92" i="34" s="1"/>
  <c r="BL92" i="34" s="1"/>
  <c r="BI39" i="34" a="1"/>
  <c r="BI39" i="34" s="1"/>
  <c r="BL39" i="34" s="1"/>
  <c r="BI79" i="34" a="1"/>
  <c r="BI79" i="34" s="1"/>
  <c r="BJ79" i="34" s="1"/>
  <c r="BI38" i="34" a="1"/>
  <c r="BI38" i="34" s="1"/>
  <c r="BJ38" i="34" s="1"/>
  <c r="BI97" i="34" a="1"/>
  <c r="BI97" i="34" s="1"/>
  <c r="BL97" i="34" s="1"/>
  <c r="BI16" i="34" a="1"/>
  <c r="BI16" i="34" s="1"/>
  <c r="BK16" i="34" s="1"/>
  <c r="BI27" i="34" a="1"/>
  <c r="BI27" i="34" s="1"/>
  <c r="BK27" i="34" s="1"/>
  <c r="BI26" i="34" a="1"/>
  <c r="BI26" i="34" s="1"/>
  <c r="BK26" i="34" s="1"/>
  <c r="BI75" i="34" a="1"/>
  <c r="BI75" i="34" s="1"/>
  <c r="BM75" i="34" s="1"/>
  <c r="BI63" i="34" a="1"/>
  <c r="BI63" i="34" s="1"/>
  <c r="BI96" i="34" a="1"/>
  <c r="BI96" i="34" s="1"/>
  <c r="BL96" i="34" s="1"/>
  <c r="BI54" i="34" a="1"/>
  <c r="BI54" i="34" s="1"/>
  <c r="BL54" i="34" s="1"/>
  <c r="BI73" i="34" a="1"/>
  <c r="BI73" i="34" s="1"/>
  <c r="BM73" i="34" s="1"/>
  <c r="BI81" i="34" a="1"/>
  <c r="BI81" i="34" s="1"/>
  <c r="BL81" i="34" s="1"/>
  <c r="BI102" i="34" a="1"/>
  <c r="BI102" i="34" s="1"/>
  <c r="BJ102" i="34" s="1"/>
  <c r="BI78" i="34" a="1"/>
  <c r="BI78" i="34" s="1"/>
  <c r="BL78" i="34" s="1"/>
  <c r="BI23" i="34" a="1"/>
  <c r="BI23" i="34" s="1"/>
  <c r="BJ23" i="34" s="1"/>
  <c r="BI72" i="34" a="1"/>
  <c r="BI72" i="34" s="1"/>
  <c r="BK72" i="34" s="1"/>
  <c r="BI18" i="34" a="1"/>
  <c r="BI18" i="34" s="1"/>
  <c r="BK18" i="34" s="1"/>
  <c r="BI31" i="34" a="1"/>
  <c r="BI31" i="34" s="1"/>
  <c r="BM31" i="34" s="1"/>
  <c r="BI91" i="34" a="1"/>
  <c r="BI91" i="34" s="1"/>
  <c r="BM91" i="34" s="1"/>
  <c r="BI51" i="34" a="1"/>
  <c r="BI51" i="34" s="1"/>
  <c r="BJ51" i="34" s="1"/>
  <c r="BI59" i="34" a="1"/>
  <c r="BI59" i="34" s="1"/>
  <c r="BM59" i="34" s="1"/>
  <c r="BI100" i="34" a="1"/>
  <c r="BI100" i="34" s="1"/>
  <c r="BM100" i="34" s="1"/>
  <c r="BI47" i="34" a="1"/>
  <c r="BI47" i="34" s="1"/>
  <c r="BJ47" i="34" s="1"/>
  <c r="BI44" i="34" a="1"/>
  <c r="BI44" i="34" s="1"/>
  <c r="BM44" i="34" s="1"/>
  <c r="BI30" i="34" a="1"/>
  <c r="BI30" i="34" s="1"/>
  <c r="BK30" i="34" s="1"/>
  <c r="BI21" i="34" a="1"/>
  <c r="BI21" i="34" s="1"/>
  <c r="BK21" i="34" s="1"/>
  <c r="BI35" i="34" a="1"/>
  <c r="BI35" i="34" s="1"/>
  <c r="BJ35" i="34" s="1"/>
  <c r="BI106" i="34" a="1"/>
  <c r="BI106" i="34" s="1"/>
  <c r="BL106" i="34" s="1"/>
  <c r="BI89" i="34" a="1"/>
  <c r="BI89" i="34" s="1"/>
  <c r="BJ89" i="34" s="1"/>
  <c r="AG60" i="51"/>
  <c r="AG54" i="51"/>
  <c r="AG64" i="51"/>
  <c r="AS61" i="51"/>
  <c r="BH61" i="51" s="1"/>
  <c r="AS56" i="51"/>
  <c r="BH56" i="51" s="1"/>
  <c r="AW50" i="51"/>
  <c r="AW51" i="51"/>
  <c r="AG61" i="51"/>
  <c r="AG56" i="51"/>
  <c r="AU64" i="51"/>
  <c r="AV64" i="51" s="1"/>
  <c r="AU57" i="51"/>
  <c r="AV57" i="51" s="1"/>
  <c r="AS67" i="51"/>
  <c r="BH67" i="51" s="1"/>
  <c r="AG67" i="51"/>
  <c r="AU56" i="51"/>
  <c r="AV56" i="51" s="1"/>
  <c r="AW58" i="51"/>
  <c r="AG57" i="51"/>
  <c r="AW53" i="51"/>
  <c r="AW62" i="51"/>
  <c r="AZ54" i="51"/>
  <c r="AZ64" i="51"/>
  <c r="AW54" i="51"/>
  <c r="AU67" i="51"/>
  <c r="AV67" i="51" s="1"/>
  <c r="AS58" i="51"/>
  <c r="AS50" i="51"/>
  <c r="BH50" i="51" s="1"/>
  <c r="AG66" i="51"/>
  <c r="AG51" i="51"/>
  <c r="AU50" i="51"/>
  <c r="AV50" i="51" s="1"/>
  <c r="AG58" i="51"/>
  <c r="AG59" i="51"/>
  <c r="AW61" i="51"/>
  <c r="AU61" i="51"/>
  <c r="AV61" i="51" s="1"/>
  <c r="AS51" i="51"/>
  <c r="AZ66" i="51"/>
  <c r="AW59" i="51"/>
  <c r="AZ51" i="51"/>
  <c r="AU58" i="51"/>
  <c r="AV58" i="51" s="1"/>
  <c r="AG52" i="51"/>
  <c r="AS55" i="51"/>
  <c r="AG63" i="51"/>
  <c r="AS63" i="51"/>
  <c r="AU60" i="51"/>
  <c r="AV60" i="51" s="1"/>
  <c r="AZ56" i="51"/>
  <c r="AZ60" i="51"/>
  <c r="AS59" i="51"/>
  <c r="AW66" i="51"/>
  <c r="AZ59" i="51"/>
  <c r="AG50" i="51"/>
  <c r="AG55" i="51"/>
  <c r="AG65" i="51"/>
  <c r="AW55" i="51"/>
  <c r="AZ63" i="51"/>
  <c r="AU65" i="51"/>
  <c r="AV65" i="51" s="1"/>
  <c r="AW52" i="51"/>
  <c r="AP46" i="51"/>
  <c r="AP36" i="51"/>
  <c r="AP28" i="51"/>
  <c r="AP41" i="51"/>
  <c r="AP34" i="51"/>
  <c r="AP31" i="51"/>
  <c r="AP32" i="51"/>
  <c r="AP48" i="51"/>
  <c r="AP29" i="51"/>
  <c r="AP45" i="51"/>
  <c r="AP37" i="51"/>
  <c r="AP30" i="51"/>
  <c r="AU62" i="51"/>
  <c r="AV62" i="51" s="1"/>
  <c r="AU53" i="51"/>
  <c r="AV53" i="51" s="1"/>
  <c r="AG62" i="51"/>
  <c r="AS62" i="51"/>
  <c r="AP44" i="51"/>
  <c r="AP42" i="51"/>
  <c r="AP39" i="51"/>
  <c r="AZ55" i="51"/>
  <c r="AU63" i="51"/>
  <c r="AV63" i="51" s="1"/>
  <c r="AZ67" i="51"/>
  <c r="AW65" i="51"/>
  <c r="AW57" i="51"/>
  <c r="AZ52" i="51"/>
  <c r="AP49" i="51"/>
  <c r="AP43" i="51"/>
  <c r="AP38" i="51"/>
  <c r="AP47" i="51"/>
  <c r="AP35" i="51"/>
  <c r="AG53" i="51"/>
  <c r="AP40" i="51"/>
  <c r="AP33" i="51"/>
  <c r="BJ41" i="45"/>
  <c r="BP41" i="45"/>
  <c r="BO41" i="45"/>
  <c r="BN41" i="45"/>
  <c r="BL41" i="45"/>
  <c r="BT41" i="45"/>
  <c r="BS41" i="45"/>
  <c r="BR41" i="45"/>
  <c r="BK41" i="45"/>
  <c r="BU41" i="45"/>
  <c r="BM41" i="45"/>
  <c r="BQ41" i="45"/>
  <c r="BV41" i="45"/>
  <c r="AS54" i="51"/>
  <c r="BH54" i="51" s="1"/>
  <c r="I54" i="51" s="1"/>
  <c r="AS52" i="51"/>
  <c r="BH52" i="51" s="1"/>
  <c r="I52" i="51" s="1"/>
  <c r="AK47" i="51"/>
  <c r="AR47" i="51"/>
  <c r="AN47" i="51"/>
  <c r="AJ47" i="51"/>
  <c r="AL47" i="51"/>
  <c r="AI47" i="51"/>
  <c r="AE47" i="51"/>
  <c r="AO47" i="51"/>
  <c r="AM47" i="51"/>
  <c r="AB47" i="51"/>
  <c r="AD47" i="51"/>
  <c r="AB54" i="51"/>
  <c r="AB55" i="51"/>
  <c r="AS66" i="51"/>
  <c r="BH66" i="51" s="1"/>
  <c r="I66" i="51" s="1"/>
  <c r="AR46" i="51"/>
  <c r="AN46" i="51"/>
  <c r="AI46" i="51"/>
  <c r="AL46" i="51"/>
  <c r="AD46" i="51"/>
  <c r="AM46" i="51"/>
  <c r="AJ46" i="51"/>
  <c r="AO46" i="51"/>
  <c r="AK46" i="51"/>
  <c r="AE46" i="51"/>
  <c r="AB46" i="51"/>
  <c r="AR36" i="51"/>
  <c r="AJ36" i="51"/>
  <c r="AO36" i="51"/>
  <c r="AL36" i="51"/>
  <c r="AN36" i="51"/>
  <c r="AK36" i="51"/>
  <c r="AM36" i="51"/>
  <c r="AD36" i="51"/>
  <c r="AB36" i="51"/>
  <c r="AI36" i="51"/>
  <c r="AE36" i="51"/>
  <c r="AI27" i="51"/>
  <c r="AN27" i="51"/>
  <c r="AM27" i="51"/>
  <c r="AK27" i="51"/>
  <c r="AJ27" i="51"/>
  <c r="AL27" i="51"/>
  <c r="AB27" i="51"/>
  <c r="AB25" i="51"/>
  <c r="AR28" i="51"/>
  <c r="AK28" i="51"/>
  <c r="AM28" i="51"/>
  <c r="AI28" i="51"/>
  <c r="AN28" i="51"/>
  <c r="AJ28" i="51"/>
  <c r="AE28" i="51"/>
  <c r="AL28" i="51"/>
  <c r="AB28" i="51"/>
  <c r="AO28" i="51"/>
  <c r="AD28" i="51"/>
  <c r="AK35" i="51"/>
  <c r="AR35" i="51"/>
  <c r="AN35" i="51"/>
  <c r="AE35" i="51"/>
  <c r="AO35" i="51"/>
  <c r="AI35" i="51"/>
  <c r="AL35" i="51"/>
  <c r="AD35" i="51"/>
  <c r="AM35" i="51"/>
  <c r="AB35" i="51"/>
  <c r="AJ35" i="51"/>
  <c r="AB64" i="51"/>
  <c r="AB53" i="51"/>
  <c r="AS53" i="51"/>
  <c r="BH53" i="51" s="1"/>
  <c r="I53" i="51" s="1"/>
  <c r="AR40" i="51"/>
  <c r="AI40" i="51"/>
  <c r="AN40" i="51"/>
  <c r="AJ40" i="51"/>
  <c r="AK40" i="51"/>
  <c r="AO40" i="51"/>
  <c r="AL40" i="51"/>
  <c r="AD40" i="51"/>
  <c r="AM40" i="51"/>
  <c r="AE40" i="51"/>
  <c r="AB40" i="51"/>
  <c r="AR33" i="51"/>
  <c r="AB33" i="51"/>
  <c r="AK33" i="51"/>
  <c r="AO33" i="51"/>
  <c r="AJ33" i="51"/>
  <c r="AM33" i="51"/>
  <c r="AI33" i="51"/>
  <c r="AL33" i="51"/>
  <c r="AN33" i="51"/>
  <c r="AE33" i="51"/>
  <c r="AD33" i="51"/>
  <c r="AB61" i="51"/>
  <c r="AB67" i="51"/>
  <c r="AS65" i="51"/>
  <c r="BH65" i="51" s="1"/>
  <c r="I65" i="51" s="1"/>
  <c r="AB57" i="51"/>
  <c r="AS57" i="51"/>
  <c r="BH57" i="51" s="1"/>
  <c r="I57" i="51" s="1"/>
  <c r="AB58" i="51"/>
  <c r="AB60" i="51"/>
  <c r="AS60" i="51"/>
  <c r="BH60" i="51" s="1"/>
  <c r="I60" i="51" s="1"/>
  <c r="AR41" i="51"/>
  <c r="AN41" i="51"/>
  <c r="AK41" i="51"/>
  <c r="AE41" i="51"/>
  <c r="AL41" i="51"/>
  <c r="AB41" i="51"/>
  <c r="AM41" i="51"/>
  <c r="AI41" i="51"/>
  <c r="AO41" i="51"/>
  <c r="AJ41" i="51"/>
  <c r="AD41" i="51"/>
  <c r="AR34" i="51"/>
  <c r="AN34" i="51"/>
  <c r="AL34" i="51"/>
  <c r="AO34" i="51"/>
  <c r="AM34" i="51"/>
  <c r="AK34" i="51"/>
  <c r="AD34" i="51"/>
  <c r="AJ34" i="51"/>
  <c r="AI34" i="51"/>
  <c r="AB34" i="51"/>
  <c r="AE34" i="51"/>
  <c r="AK31" i="51"/>
  <c r="AR31" i="51"/>
  <c r="AN31" i="51"/>
  <c r="AE31" i="51"/>
  <c r="AD31" i="51"/>
  <c r="AI31" i="51"/>
  <c r="AM31" i="51"/>
  <c r="AO31" i="51"/>
  <c r="AJ31" i="51"/>
  <c r="AL31" i="51"/>
  <c r="AB31" i="51"/>
  <c r="AB50" i="51"/>
  <c r="AB62" i="51"/>
  <c r="AB63" i="51"/>
  <c r="AB56" i="51"/>
  <c r="AR32" i="51"/>
  <c r="AI32" i="51"/>
  <c r="AN32" i="51"/>
  <c r="AO32" i="51"/>
  <c r="AM32" i="51"/>
  <c r="AJ32" i="51"/>
  <c r="AK32" i="51"/>
  <c r="AE32" i="51"/>
  <c r="AL32" i="51"/>
  <c r="AD32" i="51"/>
  <c r="AB32" i="51"/>
  <c r="AB66" i="51"/>
  <c r="AR44" i="51"/>
  <c r="AK44" i="51"/>
  <c r="AL44" i="51"/>
  <c r="AN44" i="51"/>
  <c r="AO44" i="51"/>
  <c r="AM44" i="51"/>
  <c r="AJ44" i="51"/>
  <c r="AB44" i="51"/>
  <c r="AI44" i="51"/>
  <c r="AE44" i="51"/>
  <c r="AD44" i="51"/>
  <c r="AR42" i="51"/>
  <c r="AN42" i="51"/>
  <c r="AK42" i="51"/>
  <c r="AB42" i="51"/>
  <c r="AL42" i="51"/>
  <c r="AD42" i="51"/>
  <c r="AE42" i="51"/>
  <c r="AO42" i="51"/>
  <c r="AJ42" i="51"/>
  <c r="AM42" i="51"/>
  <c r="AI42" i="51"/>
  <c r="AK39" i="51"/>
  <c r="AR39" i="51"/>
  <c r="AI39" i="51"/>
  <c r="AO39" i="51"/>
  <c r="AL39" i="51"/>
  <c r="AN39" i="51"/>
  <c r="AM39" i="51"/>
  <c r="AE39" i="51"/>
  <c r="AD39" i="51"/>
  <c r="AB39" i="51"/>
  <c r="AJ39" i="51"/>
  <c r="AR48" i="51"/>
  <c r="AN48" i="51"/>
  <c r="AJ48" i="51"/>
  <c r="AI48" i="51"/>
  <c r="AL48" i="51"/>
  <c r="AM48" i="51"/>
  <c r="AO48" i="51"/>
  <c r="AD48" i="51"/>
  <c r="AE48" i="51"/>
  <c r="AK48" i="51"/>
  <c r="AB48" i="51"/>
  <c r="AR29" i="51"/>
  <c r="AB29" i="51"/>
  <c r="AL29" i="51"/>
  <c r="AK29" i="51"/>
  <c r="AO29" i="51"/>
  <c r="AN29" i="51"/>
  <c r="AM29" i="51"/>
  <c r="AJ29" i="51"/>
  <c r="AI29" i="51"/>
  <c r="AE29" i="51"/>
  <c r="AD29" i="51"/>
  <c r="AB26" i="51"/>
  <c r="AR45" i="51"/>
  <c r="AO45" i="51"/>
  <c r="AK45" i="51"/>
  <c r="AN45" i="51"/>
  <c r="AJ45" i="51"/>
  <c r="AL45" i="51"/>
  <c r="AM45" i="51"/>
  <c r="AI45" i="51"/>
  <c r="AD45" i="51"/>
  <c r="AB45" i="51"/>
  <c r="AE45" i="51"/>
  <c r="AR37" i="51"/>
  <c r="AB37" i="51"/>
  <c r="AN37" i="51"/>
  <c r="AM37" i="51"/>
  <c r="AL37" i="51"/>
  <c r="AE37" i="51"/>
  <c r="AI37" i="51"/>
  <c r="AK37" i="51"/>
  <c r="AJ37" i="51"/>
  <c r="AD37" i="51"/>
  <c r="AO37" i="51"/>
  <c r="AR30" i="51"/>
  <c r="AN30" i="51"/>
  <c r="AE30" i="51"/>
  <c r="AD30" i="51"/>
  <c r="AM30" i="51"/>
  <c r="AJ30" i="51"/>
  <c r="AO30" i="51"/>
  <c r="AI30" i="51"/>
  <c r="AL30" i="51"/>
  <c r="AK30" i="51"/>
  <c r="AB30" i="51"/>
  <c r="AB65" i="51"/>
  <c r="AB51" i="51"/>
  <c r="AB52" i="51"/>
  <c r="AK43" i="51"/>
  <c r="AR43" i="51"/>
  <c r="AI43" i="51"/>
  <c r="AN43" i="51"/>
  <c r="AL43" i="51"/>
  <c r="AM43" i="51"/>
  <c r="AD43" i="51"/>
  <c r="AO43" i="51"/>
  <c r="AJ43" i="51"/>
  <c r="AE43" i="51"/>
  <c r="AB43" i="51"/>
  <c r="AR38" i="51"/>
  <c r="AN38" i="51"/>
  <c r="AO38" i="51"/>
  <c r="AI38" i="51"/>
  <c r="AB38" i="51"/>
  <c r="AD38" i="51"/>
  <c r="AK38" i="51"/>
  <c r="AM38" i="51"/>
  <c r="AJ38" i="51"/>
  <c r="AE38" i="51"/>
  <c r="AL38" i="51"/>
  <c r="AB18" i="51"/>
  <c r="AB59" i="51"/>
  <c r="BX30" i="45"/>
  <c r="AQ30" i="45" s="1"/>
  <c r="S142" i="5"/>
  <c r="AX22" i="32"/>
  <c r="BE22" i="32"/>
  <c r="S141" i="5"/>
  <c r="S147" i="5"/>
  <c r="S138" i="5"/>
  <c r="S137" i="5"/>
  <c r="S136" i="5"/>
  <c r="S139" i="5"/>
  <c r="S140" i="5"/>
  <c r="S135" i="5"/>
  <c r="S146" i="5"/>
  <c r="S145" i="5"/>
  <c r="S144" i="5"/>
  <c r="S143" i="5"/>
  <c r="S134" i="5"/>
  <c r="M35" i="32"/>
  <c r="M34" i="32"/>
  <c r="H60" i="51" l="1"/>
  <c r="G60" i="51"/>
  <c r="H54" i="51"/>
  <c r="G54" i="51"/>
  <c r="G65" i="51"/>
  <c r="H65" i="51"/>
  <c r="L65" i="51" s="1"/>
  <c r="H66" i="51"/>
  <c r="G66" i="51"/>
  <c r="G53" i="51"/>
  <c r="H53" i="51"/>
  <c r="G57" i="51"/>
  <c r="H57" i="51"/>
  <c r="H52" i="51"/>
  <c r="G52" i="51"/>
  <c r="G64" i="51"/>
  <c r="H64" i="51"/>
  <c r="K64" i="51" s="1"/>
  <c r="CS69" i="32"/>
  <c r="CS57" i="32"/>
  <c r="CS61" i="32"/>
  <c r="CS68" i="32"/>
  <c r="CS70" i="32"/>
  <c r="CS56" i="32"/>
  <c r="CS64" i="32"/>
  <c r="CS58" i="32"/>
  <c r="AO25" i="51"/>
  <c r="V17" i="32"/>
  <c r="P14" i="43" s="1"/>
  <c r="AP23" i="51"/>
  <c r="BD23" i="51" s="1"/>
  <c r="P19" i="43"/>
  <c r="AH10" i="55"/>
  <c r="BJ64" i="51"/>
  <c r="T64" i="51" s="1"/>
  <c r="BA64" i="51"/>
  <c r="BB64" i="51" s="1"/>
  <c r="AO24" i="51"/>
  <c r="AP24" i="51" s="1"/>
  <c r="BD49" i="51"/>
  <c r="BK50" i="51"/>
  <c r="I50" i="51"/>
  <c r="BJ67" i="51"/>
  <c r="T67" i="51" s="1"/>
  <c r="I67" i="51"/>
  <c r="BJ61" i="51"/>
  <c r="T61" i="51" s="1"/>
  <c r="I61" i="51"/>
  <c r="BJ56" i="51"/>
  <c r="T56" i="51" s="1"/>
  <c r="I56" i="51"/>
  <c r="BM140" i="51"/>
  <c r="BM145" i="51"/>
  <c r="BM154" i="51"/>
  <c r="BM150" i="51"/>
  <c r="BM159" i="51"/>
  <c r="BM146" i="51"/>
  <c r="BM144" i="51"/>
  <c r="BM147" i="51"/>
  <c r="BM138" i="51"/>
  <c r="BM142" i="51"/>
  <c r="BM135" i="51"/>
  <c r="BM139" i="51"/>
  <c r="BM156" i="51"/>
  <c r="BM151" i="51"/>
  <c r="BM155" i="51"/>
  <c r="BM149" i="51"/>
  <c r="BM148" i="51"/>
  <c r="BM136" i="51"/>
  <c r="BM158" i="51"/>
  <c r="BM157" i="51"/>
  <c r="BM134" i="51"/>
  <c r="BM152" i="51"/>
  <c r="BM153" i="51"/>
  <c r="BM143" i="51"/>
  <c r="BM137" i="51"/>
  <c r="BM141" i="51"/>
  <c r="Z128" i="51"/>
  <c r="Z131" i="51"/>
  <c r="Z130" i="51"/>
  <c r="Z129" i="51"/>
  <c r="Z132" i="51"/>
  <c r="Z133" i="51"/>
  <c r="AO18" i="51"/>
  <c r="AP18" i="51" s="1"/>
  <c r="BM71" i="34"/>
  <c r="U18" i="43"/>
  <c r="Q18" i="43" s="1"/>
  <c r="AX59" i="51"/>
  <c r="AX64" i="51"/>
  <c r="BJ71" i="34"/>
  <c r="AO27" i="51"/>
  <c r="AP27" i="51" s="1"/>
  <c r="CF31" i="32"/>
  <c r="CG31" i="32" s="1"/>
  <c r="CD31" i="32"/>
  <c r="CE31" i="32" s="1"/>
  <c r="CH31" i="32"/>
  <c r="CI31" i="32" s="1"/>
  <c r="BM41" i="34"/>
  <c r="BL71" i="34"/>
  <c r="AO19" i="51"/>
  <c r="AX60" i="51"/>
  <c r="AO22" i="51"/>
  <c r="AP22" i="51" s="1"/>
  <c r="AO26" i="51"/>
  <c r="AP26" i="51" s="1"/>
  <c r="AB11" i="55"/>
  <c r="AH11" i="55" s="1"/>
  <c r="I6" i="55"/>
  <c r="BJ30" i="32"/>
  <c r="BK30" i="32" s="1"/>
  <c r="AX55" i="51"/>
  <c r="AX67" i="51"/>
  <c r="AX52" i="51"/>
  <c r="AX63" i="51"/>
  <c r="BK54" i="34"/>
  <c r="BU44" i="45"/>
  <c r="BK44" i="45"/>
  <c r="BR44" i="45"/>
  <c r="BQ44" i="45"/>
  <c r="BO44" i="45"/>
  <c r="BJ44" i="45"/>
  <c r="BN44" i="45"/>
  <c r="BP44" i="45"/>
  <c r="BT44" i="45"/>
  <c r="BL44" i="45"/>
  <c r="BM44" i="45"/>
  <c r="BS44" i="45"/>
  <c r="BV44" i="45"/>
  <c r="AX56" i="51"/>
  <c r="AX66" i="51"/>
  <c r="AX54" i="51"/>
  <c r="BM88" i="34"/>
  <c r="BM30" i="34"/>
  <c r="BA67" i="51"/>
  <c r="BB67" i="51" s="1"/>
  <c r="AX51" i="51"/>
  <c r="AA37" i="53"/>
  <c r="AH56" i="53"/>
  <c r="AD33" i="53"/>
  <c r="AE33" i="53" s="1"/>
  <c r="AH33" i="53" s="1"/>
  <c r="AK33" i="53"/>
  <c r="AM33" i="53" s="1"/>
  <c r="BA56" i="51"/>
  <c r="BB56" i="51" s="1"/>
  <c r="AH48" i="53"/>
  <c r="AP25" i="51"/>
  <c r="BT30" i="32"/>
  <c r="AO20" i="51"/>
  <c r="AP20" i="51" s="1"/>
  <c r="AU30" i="51"/>
  <c r="AV30" i="51" s="1"/>
  <c r="BD30" i="51"/>
  <c r="AU46" i="51"/>
  <c r="AV46" i="51" s="1"/>
  <c r="BD46" i="51"/>
  <c r="AZ38" i="51"/>
  <c r="BD38" i="51"/>
  <c r="AW48" i="51"/>
  <c r="BD48" i="51"/>
  <c r="AW41" i="51"/>
  <c r="BD41" i="51"/>
  <c r="AU43" i="51"/>
  <c r="AV43" i="51" s="1"/>
  <c r="BD43" i="51"/>
  <c r="AU39" i="51"/>
  <c r="AV39" i="51" s="1"/>
  <c r="BD39" i="51"/>
  <c r="AW37" i="51"/>
  <c r="BD37" i="51"/>
  <c r="AW32" i="51"/>
  <c r="BD32" i="51"/>
  <c r="AZ28" i="51"/>
  <c r="BD28" i="51"/>
  <c r="AA23" i="53"/>
  <c r="AH23" i="53" s="1"/>
  <c r="AW40" i="51"/>
  <c r="BD40" i="51"/>
  <c r="AZ35" i="51"/>
  <c r="BD35" i="51"/>
  <c r="AZ42" i="51"/>
  <c r="BD42" i="51"/>
  <c r="AU45" i="51"/>
  <c r="AV45" i="51" s="1"/>
  <c r="BD45" i="51"/>
  <c r="AZ31" i="51"/>
  <c r="BD31" i="51"/>
  <c r="AU33" i="51"/>
  <c r="AV33" i="51" s="1"/>
  <c r="BD33" i="51"/>
  <c r="AU47" i="51"/>
  <c r="AV47" i="51" s="1"/>
  <c r="BD47" i="51"/>
  <c r="AW44" i="51"/>
  <c r="BD44" i="51"/>
  <c r="AU29" i="51"/>
  <c r="AV29" i="51" s="1"/>
  <c r="BD29" i="51"/>
  <c r="AU34" i="51"/>
  <c r="AV34" i="51" s="1"/>
  <c r="BD34" i="51"/>
  <c r="AZ36" i="51"/>
  <c r="BD36" i="51"/>
  <c r="AK29" i="53"/>
  <c r="AM29" i="53" s="1"/>
  <c r="AL29" i="53"/>
  <c r="BL30" i="32"/>
  <c r="BM30" i="32" s="1"/>
  <c r="AE41" i="53"/>
  <c r="AH41" i="53" s="1"/>
  <c r="AD29" i="53"/>
  <c r="AE29" i="53" s="1"/>
  <c r="AE19" i="53"/>
  <c r="AA19" i="53"/>
  <c r="AE27" i="53"/>
  <c r="AA29" i="53"/>
  <c r="AA24" i="53"/>
  <c r="AH52" i="53"/>
  <c r="AP19" i="51"/>
  <c r="AE20" i="53"/>
  <c r="AH20" i="53" s="1"/>
  <c r="AE37" i="53"/>
  <c r="AH55" i="53"/>
  <c r="AO21" i="51"/>
  <c r="AP21" i="51" s="1"/>
  <c r="Z12" i="53"/>
  <c r="Q6" i="53"/>
  <c r="AL18" i="53"/>
  <c r="X14" i="53"/>
  <c r="Y14" i="53" s="1"/>
  <c r="Z14" i="53"/>
  <c r="AC14" i="53"/>
  <c r="AL14" i="53"/>
  <c r="AK31" i="53"/>
  <c r="AM31" i="53" s="1"/>
  <c r="AD31" i="53"/>
  <c r="AE31" i="53" s="1"/>
  <c r="X13" i="53"/>
  <c r="Y13" i="53" s="1"/>
  <c r="AL13" i="53"/>
  <c r="Z13" i="53"/>
  <c r="AH53" i="53"/>
  <c r="AN38" i="53"/>
  <c r="AN55" i="53"/>
  <c r="BA50" i="51"/>
  <c r="BB50" i="51" s="1"/>
  <c r="BA61" i="51"/>
  <c r="BB61" i="51" s="1"/>
  <c r="X12" i="53"/>
  <c r="Y12" i="53" s="1"/>
  <c r="AH49" i="53"/>
  <c r="AH42" i="53"/>
  <c r="AN43" i="53"/>
  <c r="AH59" i="53"/>
  <c r="X17" i="53"/>
  <c r="Y17" i="53" s="1"/>
  <c r="AH28" i="53"/>
  <c r="AH45" i="53"/>
  <c r="K6" i="53"/>
  <c r="R10" i="53"/>
  <c r="AH50" i="53"/>
  <c r="AC13" i="53"/>
  <c r="AH38" i="53"/>
  <c r="Z16" i="53"/>
  <c r="AC16" i="53"/>
  <c r="AL16" i="53"/>
  <c r="X16" i="53"/>
  <c r="Y16" i="53" s="1"/>
  <c r="AH54" i="53"/>
  <c r="AN45" i="53"/>
  <c r="N6" i="53"/>
  <c r="O6" i="53"/>
  <c r="AK36" i="53"/>
  <c r="AM36" i="53" s="1"/>
  <c r="AD36" i="53"/>
  <c r="AE36" i="53" s="1"/>
  <c r="AK26" i="53"/>
  <c r="AM26" i="53" s="1"/>
  <c r="AD26" i="53"/>
  <c r="AE26" i="53" s="1"/>
  <c r="AK25" i="53"/>
  <c r="AM25" i="53" s="1"/>
  <c r="AD25" i="53"/>
  <c r="AE25" i="53" s="1"/>
  <c r="AH25" i="53" s="1"/>
  <c r="AN28" i="53"/>
  <c r="AH32" i="53"/>
  <c r="AK24" i="53"/>
  <c r="AM24" i="53" s="1"/>
  <c r="AD24" i="53"/>
  <c r="AE24" i="53" s="1"/>
  <c r="AH43" i="53"/>
  <c r="AN32" i="53"/>
  <c r="AA18" i="53"/>
  <c r="AA39" i="53"/>
  <c r="AN49" i="53"/>
  <c r="AA27" i="53"/>
  <c r="AK40" i="53"/>
  <c r="AM40" i="53" s="1"/>
  <c r="AD40" i="53"/>
  <c r="AE40" i="53" s="1"/>
  <c r="AH40" i="53" s="1"/>
  <c r="AK39" i="53"/>
  <c r="AM39" i="53" s="1"/>
  <c r="AD39" i="53"/>
  <c r="AE39" i="53" s="1"/>
  <c r="L6" i="53"/>
  <c r="AN50" i="53"/>
  <c r="AN56" i="53"/>
  <c r="AH47" i="53"/>
  <c r="AN59" i="53"/>
  <c r="AN46" i="53"/>
  <c r="AK22" i="53"/>
  <c r="AM22" i="53" s="1"/>
  <c r="AD22" i="53"/>
  <c r="AE22" i="53" s="1"/>
  <c r="AK21" i="53"/>
  <c r="AM21" i="53" s="1"/>
  <c r="AD21" i="53"/>
  <c r="AE21" i="53" s="1"/>
  <c r="AN19" i="53"/>
  <c r="AN53" i="53"/>
  <c r="AN57" i="53"/>
  <c r="AK30" i="53"/>
  <c r="AM30" i="53" s="1"/>
  <c r="AD30" i="53"/>
  <c r="AE30" i="53" s="1"/>
  <c r="AH30" i="53" s="1"/>
  <c r="AN47" i="53"/>
  <c r="AN37" i="53"/>
  <c r="AK34" i="53"/>
  <c r="AM34" i="53" s="1"/>
  <c r="AD34" i="53"/>
  <c r="AE34" i="53" s="1"/>
  <c r="AN27" i="53"/>
  <c r="AN42" i="53"/>
  <c r="AA34" i="53"/>
  <c r="AN23" i="53"/>
  <c r="AN54" i="53"/>
  <c r="AK35" i="53"/>
  <c r="AM35" i="53" s="1"/>
  <c r="AD35" i="53"/>
  <c r="AE35" i="53" s="1"/>
  <c r="AN48" i="53"/>
  <c r="AN52" i="53"/>
  <c r="AN41" i="53"/>
  <c r="AN20" i="53"/>
  <c r="BX37" i="45"/>
  <c r="AQ37" i="45" s="1"/>
  <c r="BX34" i="45"/>
  <c r="AQ34" i="45" s="1"/>
  <c r="BX29" i="45"/>
  <c r="AQ29" i="45" s="1"/>
  <c r="BK62" i="34"/>
  <c r="BJ62" i="34"/>
  <c r="AX58" i="51"/>
  <c r="AS30" i="51"/>
  <c r="BH30" i="51" s="1"/>
  <c r="AG46" i="51"/>
  <c r="AG41" i="51"/>
  <c r="AU28" i="51"/>
  <c r="AV28" i="51" s="1"/>
  <c r="AG43" i="51"/>
  <c r="AX57" i="51"/>
  <c r="AX50" i="51"/>
  <c r="BH58" i="51"/>
  <c r="BH55" i="51"/>
  <c r="BA62" i="51"/>
  <c r="BB62" i="51" s="1"/>
  <c r="BH62" i="51"/>
  <c r="BH59" i="51"/>
  <c r="BH63" i="51"/>
  <c r="BH51" i="51"/>
  <c r="AX62" i="51"/>
  <c r="AG34" i="51"/>
  <c r="AS29" i="51"/>
  <c r="BA29" i="51" s="1"/>
  <c r="AG36" i="51"/>
  <c r="AU41" i="51"/>
  <c r="AV41" i="51" s="1"/>
  <c r="BA51" i="51"/>
  <c r="BB51" i="51" s="1"/>
  <c r="AS33" i="51"/>
  <c r="BA33" i="51" s="1"/>
  <c r="AG29" i="51"/>
  <c r="BA59" i="51"/>
  <c r="BB59" i="51" s="1"/>
  <c r="AX53" i="51"/>
  <c r="AZ37" i="51"/>
  <c r="AZ43" i="51"/>
  <c r="BA58" i="51"/>
  <c r="BB58" i="51" s="1"/>
  <c r="AG37" i="51"/>
  <c r="AS32" i="51"/>
  <c r="BA32" i="51" s="1"/>
  <c r="AZ32" i="51"/>
  <c r="AX61" i="51"/>
  <c r="AW38" i="51"/>
  <c r="AG42" i="51"/>
  <c r="AG31" i="51"/>
  <c r="AG35" i="51"/>
  <c r="AS35" i="51"/>
  <c r="BA35" i="51" s="1"/>
  <c r="AW42" i="51"/>
  <c r="AW31" i="51"/>
  <c r="AS45" i="51"/>
  <c r="AG44" i="51"/>
  <c r="AG47" i="51"/>
  <c r="AS47" i="51"/>
  <c r="AZ45" i="51"/>
  <c r="AG45" i="51"/>
  <c r="AS42" i="51"/>
  <c r="AG33" i="51"/>
  <c r="AZ29" i="51"/>
  <c r="AU42" i="51"/>
  <c r="AV42" i="51" s="1"/>
  <c r="BA55" i="51"/>
  <c r="BB55" i="51" s="1"/>
  <c r="AZ30" i="51"/>
  <c r="AW45" i="51"/>
  <c r="AU31" i="51"/>
  <c r="AV31" i="51" s="1"/>
  <c r="AW35" i="51"/>
  <c r="AU48" i="51"/>
  <c r="AV48" i="51" s="1"/>
  <c r="AS48" i="51"/>
  <c r="AW30" i="51"/>
  <c r="AZ48" i="51"/>
  <c r="AW46" i="51"/>
  <c r="AU40" i="51"/>
  <c r="AV40" i="51" s="1"/>
  <c r="AX65" i="51"/>
  <c r="AG30" i="51"/>
  <c r="AG48" i="51"/>
  <c r="AG40" i="51"/>
  <c r="AZ41" i="51"/>
  <c r="AZ46" i="51"/>
  <c r="AZ40" i="51"/>
  <c r="BA63" i="51"/>
  <c r="BB63" i="51" s="1"/>
  <c r="AG38" i="51"/>
  <c r="AS40" i="51"/>
  <c r="AS46" i="51"/>
  <c r="BK64" i="51"/>
  <c r="AG39" i="51"/>
  <c r="AG32" i="51"/>
  <c r="AS36" i="51"/>
  <c r="AU32" i="51"/>
  <c r="AV32" i="51" s="1"/>
  <c r="AW28" i="51"/>
  <c r="AU36" i="51"/>
  <c r="AV36" i="51" s="1"/>
  <c r="AZ47" i="51"/>
  <c r="AW43" i="51"/>
  <c r="AZ39" i="51"/>
  <c r="AS37" i="51"/>
  <c r="AS39" i="51"/>
  <c r="AG28" i="51"/>
  <c r="AU37" i="51"/>
  <c r="AV37" i="51" s="1"/>
  <c r="AW34" i="51"/>
  <c r="AW33" i="51"/>
  <c r="AW47" i="51"/>
  <c r="AZ34" i="51"/>
  <c r="AZ33" i="51"/>
  <c r="AU44" i="51"/>
  <c r="AV44" i="51" s="1"/>
  <c r="AW29" i="51"/>
  <c r="AW36" i="51"/>
  <c r="AS49" i="51"/>
  <c r="BH49" i="51" s="1"/>
  <c r="I49" i="51" s="1"/>
  <c r="AZ49" i="51"/>
  <c r="AU49" i="51"/>
  <c r="AV49" i="51" s="1"/>
  <c r="AW49" i="51"/>
  <c r="AU35" i="51"/>
  <c r="AV35" i="51" s="1"/>
  <c r="AU38" i="51"/>
  <c r="AV38" i="51" s="1"/>
  <c r="AW39" i="51"/>
  <c r="AZ44" i="51"/>
  <c r="AG49" i="51"/>
  <c r="BK61" i="51"/>
  <c r="BJ50" i="51"/>
  <c r="T50" i="51" s="1"/>
  <c r="BK56" i="51"/>
  <c r="BK67" i="51"/>
  <c r="BJ60" i="51"/>
  <c r="T60" i="51" s="1"/>
  <c r="BA60" i="51"/>
  <c r="BB60" i="51" s="1"/>
  <c r="BJ53" i="51"/>
  <c r="T53" i="51" s="1"/>
  <c r="BA53" i="51"/>
  <c r="BB53" i="51" s="1"/>
  <c r="BK65" i="51"/>
  <c r="BA65" i="51"/>
  <c r="BB65" i="51" s="1"/>
  <c r="BJ54" i="51"/>
  <c r="T54" i="51" s="1"/>
  <c r="BA54" i="51"/>
  <c r="BB54" i="51" s="1"/>
  <c r="BJ52" i="51"/>
  <c r="T52" i="51" s="1"/>
  <c r="BA52" i="51"/>
  <c r="BB52" i="51" s="1"/>
  <c r="BJ57" i="51"/>
  <c r="T57" i="51" s="1"/>
  <c r="BA57" i="51"/>
  <c r="BB57" i="51" s="1"/>
  <c r="BJ66" i="51"/>
  <c r="T66" i="51" s="1"/>
  <c r="BA66" i="51"/>
  <c r="BB66" i="51" s="1"/>
  <c r="AM11" i="51"/>
  <c r="AI11" i="51"/>
  <c r="AL11" i="51"/>
  <c r="AJ11" i="51"/>
  <c r="AS34" i="51"/>
  <c r="BH34" i="51" s="1"/>
  <c r="I34" i="51" s="1"/>
  <c r="CD30" i="32"/>
  <c r="CE30" i="32" s="1"/>
  <c r="BX41" i="45"/>
  <c r="AQ41" i="45" s="1"/>
  <c r="AS28" i="51"/>
  <c r="BH28" i="51" s="1"/>
  <c r="I28" i="51" s="1"/>
  <c r="AS44" i="51"/>
  <c r="BH44" i="51" s="1"/>
  <c r="I44" i="51" s="1"/>
  <c r="AS38" i="51"/>
  <c r="BH38" i="51" s="1"/>
  <c r="I38" i="51" s="1"/>
  <c r="AS31" i="51"/>
  <c r="BH31" i="51" s="1"/>
  <c r="I31" i="51" s="1"/>
  <c r="AS43" i="51"/>
  <c r="BH43" i="51" s="1"/>
  <c r="I43" i="51" s="1"/>
  <c r="AS41" i="51"/>
  <c r="BH41" i="51" s="1"/>
  <c r="I41" i="51" s="1"/>
  <c r="V18" i="32"/>
  <c r="M43" i="5" s="1"/>
  <c r="Q43" i="5" s="1"/>
  <c r="BG48" i="32" a="1"/>
  <c r="BG48" i="32" s="1"/>
  <c r="BG38" i="32" a="1"/>
  <c r="BG38" i="32" s="1"/>
  <c r="BG59" i="32" a="1"/>
  <c r="BG59" i="32" s="1"/>
  <c r="BG27" i="32" a="1"/>
  <c r="BG27" i="32" s="1"/>
  <c r="BF27" i="32" s="1"/>
  <c r="BG30" i="32" a="1"/>
  <c r="BG30" i="32" s="1"/>
  <c r="BF30" i="32" s="1"/>
  <c r="BG22" i="32" a="1"/>
  <c r="BG22" i="32" s="1"/>
  <c r="BF22" i="32" s="1"/>
  <c r="BG68" i="32" a="1"/>
  <c r="BG68" i="32" s="1"/>
  <c r="BG45" i="32" a="1"/>
  <c r="BG45" i="32" s="1"/>
  <c r="BG41" i="32" a="1"/>
  <c r="BG41" i="32" s="1"/>
  <c r="BG66" i="32" a="1"/>
  <c r="BG66" i="32" s="1"/>
  <c r="BG28" i="32" a="1"/>
  <c r="BG28" i="32" s="1"/>
  <c r="BF28" i="32" s="1"/>
  <c r="BG37" i="32" a="1"/>
  <c r="BG37" i="32" s="1"/>
  <c r="BG71" i="32" a="1"/>
  <c r="BG71" i="32" s="1"/>
  <c r="BG52" i="32" a="1"/>
  <c r="BG52" i="32" s="1"/>
  <c r="BG62" i="32" a="1"/>
  <c r="BG62" i="32" s="1"/>
  <c r="BG51" i="32" a="1"/>
  <c r="BG51" i="32" s="1"/>
  <c r="BG33" i="32" a="1"/>
  <c r="BG33" i="32" s="1"/>
  <c r="BG50" i="32" a="1"/>
  <c r="BG50" i="32" s="1"/>
  <c r="BG64" i="32" a="1"/>
  <c r="BG64" i="32" s="1"/>
  <c r="BG32" i="32" a="1"/>
  <c r="BG32" i="32" s="1"/>
  <c r="BF32" i="32" s="1"/>
  <c r="BG55" i="32" a="1"/>
  <c r="BG55" i="32" s="1"/>
  <c r="BG25" i="32" a="1"/>
  <c r="BG25" i="32" s="1"/>
  <c r="BF25" i="32" s="1"/>
  <c r="BG49" i="32" a="1"/>
  <c r="BG49" i="32" s="1"/>
  <c r="BG67" i="32" a="1"/>
  <c r="BG67" i="32" s="1"/>
  <c r="BG47" i="32" a="1"/>
  <c r="BG47" i="32" s="1"/>
  <c r="BG57" i="32" a="1"/>
  <c r="BG57" i="32" s="1"/>
  <c r="BG34" i="32" a="1"/>
  <c r="BG34" i="32" s="1"/>
  <c r="BG63" i="32" a="1"/>
  <c r="BG63" i="32" s="1"/>
  <c r="BG40" i="32" a="1"/>
  <c r="BG40" i="32" s="1"/>
  <c r="BG42" i="32" a="1"/>
  <c r="BG42" i="32" s="1"/>
  <c r="BG36" i="32" a="1"/>
  <c r="BG36" i="32" s="1"/>
  <c r="BG26" i="32" a="1"/>
  <c r="BG26" i="32" s="1"/>
  <c r="BF26" i="32" s="1"/>
  <c r="BG58" i="32" a="1"/>
  <c r="BG58" i="32" s="1"/>
  <c r="BG54" i="32" a="1"/>
  <c r="BG54" i="32" s="1"/>
  <c r="BG53" i="32" a="1"/>
  <c r="BG53" i="32" s="1"/>
  <c r="BG56" i="32" a="1"/>
  <c r="BG56" i="32" s="1"/>
  <c r="BG46" i="32" a="1"/>
  <c r="BG46" i="32" s="1"/>
  <c r="BG44" i="32" a="1"/>
  <c r="BG44" i="32" s="1"/>
  <c r="BG35" i="32" a="1"/>
  <c r="BG35" i="32" s="1"/>
  <c r="BG24" i="32" a="1"/>
  <c r="BG24" i="32" s="1"/>
  <c r="BF24" i="32" s="1"/>
  <c r="BG23" i="32" a="1"/>
  <c r="BG23" i="32" s="1"/>
  <c r="BF23" i="32" s="1"/>
  <c r="BG70" i="32" a="1"/>
  <c r="BG70" i="32" s="1"/>
  <c r="BG29" i="32" a="1"/>
  <c r="BG29" i="32" s="1"/>
  <c r="BF29" i="32" s="1"/>
  <c r="BG60" i="32" a="1"/>
  <c r="BG60" i="32" s="1"/>
  <c r="BG31" i="32" a="1"/>
  <c r="BG31" i="32" s="1"/>
  <c r="BF31" i="32" s="1"/>
  <c r="BG69" i="32" a="1"/>
  <c r="BG69" i="32" s="1"/>
  <c r="BG61" i="32" a="1"/>
  <c r="BG61" i="32" s="1"/>
  <c r="BG39" i="32" a="1"/>
  <c r="BG39" i="32" s="1"/>
  <c r="BG65" i="32" a="1"/>
  <c r="BG65" i="32" s="1"/>
  <c r="BG43" i="32" a="1"/>
  <c r="BG43" i="32" s="1"/>
  <c r="AZ39" i="32" a="1"/>
  <c r="AZ39" i="32" s="1"/>
  <c r="AZ30" i="32" a="1"/>
  <c r="AZ30" i="32" s="1"/>
  <c r="BA30" i="32" s="1"/>
  <c r="AZ70" i="32" a="1"/>
  <c r="AZ70" i="32" s="1"/>
  <c r="AZ51" i="32" a="1"/>
  <c r="AZ51" i="32" s="1"/>
  <c r="AZ24" i="32" a="1"/>
  <c r="AZ24" i="32" s="1"/>
  <c r="BA24" i="32" s="1"/>
  <c r="AZ48" i="32" a="1"/>
  <c r="AZ48" i="32" s="1"/>
  <c r="AZ44" i="32" a="1"/>
  <c r="AZ44" i="32" s="1"/>
  <c r="AZ68" i="32" a="1"/>
  <c r="AZ68" i="32" s="1"/>
  <c r="AZ45" i="32" a="1"/>
  <c r="AZ45" i="32" s="1"/>
  <c r="AZ35" i="32" a="1"/>
  <c r="AZ35" i="32" s="1"/>
  <c r="AZ27" i="32" a="1"/>
  <c r="AZ27" i="32" s="1"/>
  <c r="BA27" i="32" s="1"/>
  <c r="AZ43" i="32" a="1"/>
  <c r="AZ43" i="32" s="1"/>
  <c r="AZ69" i="32" a="1"/>
  <c r="AZ69" i="32" s="1"/>
  <c r="AZ59" i="32" a="1"/>
  <c r="AZ59" i="32" s="1"/>
  <c r="AZ54" i="32" a="1"/>
  <c r="AZ54" i="32" s="1"/>
  <c r="AZ23" i="32" a="1"/>
  <c r="AZ23" i="32" s="1"/>
  <c r="BA23" i="32" s="1"/>
  <c r="AZ66" i="32" a="1"/>
  <c r="AZ66" i="32" s="1"/>
  <c r="AZ46" i="32" a="1"/>
  <c r="AZ46" i="32" s="1"/>
  <c r="AZ34" i="32" a="1"/>
  <c r="AZ34" i="32" s="1"/>
  <c r="AZ58" i="32" a="1"/>
  <c r="AZ58" i="32" s="1"/>
  <c r="AZ56" i="32" a="1"/>
  <c r="AZ56" i="32" s="1"/>
  <c r="AZ64" i="32" a="1"/>
  <c r="AZ64" i="32" s="1"/>
  <c r="AZ32" i="32" a="1"/>
  <c r="AZ32" i="32" s="1"/>
  <c r="BA32" i="32" s="1"/>
  <c r="AZ52" i="32" a="1"/>
  <c r="AZ52" i="32" s="1"/>
  <c r="AZ31" i="32" a="1"/>
  <c r="AZ31" i="32" s="1"/>
  <c r="BA31" i="32" s="1"/>
  <c r="AZ25" i="32" a="1"/>
  <c r="AZ25" i="32" s="1"/>
  <c r="BA25" i="32" s="1"/>
  <c r="AZ67" i="32" a="1"/>
  <c r="AZ67" i="32" s="1"/>
  <c r="AZ61" i="32" a="1"/>
  <c r="AZ61" i="32" s="1"/>
  <c r="AZ41" i="32" a="1"/>
  <c r="AZ41" i="32" s="1"/>
  <c r="AZ29" i="32" a="1"/>
  <c r="AZ29" i="32" s="1"/>
  <c r="BA29" i="32" s="1"/>
  <c r="AZ50" i="32" a="1"/>
  <c r="AZ50" i="32" s="1"/>
  <c r="AZ55" i="32" a="1"/>
  <c r="AZ55" i="32" s="1"/>
  <c r="AZ63" i="32" a="1"/>
  <c r="AZ63" i="32" s="1"/>
  <c r="AZ57" i="32" a="1"/>
  <c r="AZ57" i="32" s="1"/>
  <c r="AZ40" i="32" a="1"/>
  <c r="AZ40" i="32" s="1"/>
  <c r="AZ49" i="32" a="1"/>
  <c r="AZ49" i="32" s="1"/>
  <c r="AZ28" i="32" a="1"/>
  <c r="AZ28" i="32" s="1"/>
  <c r="BA28" i="32" s="1"/>
  <c r="AZ62" i="32" a="1"/>
  <c r="AZ62" i="32" s="1"/>
  <c r="AZ38" i="32" a="1"/>
  <c r="AZ38" i="32" s="1"/>
  <c r="AZ53" i="32" a="1"/>
  <c r="AZ53" i="32" s="1"/>
  <c r="AZ26" i="32" a="1"/>
  <c r="AZ26" i="32" s="1"/>
  <c r="BA26" i="32" s="1"/>
  <c r="AZ22" i="32" a="1"/>
  <c r="AZ22" i="32" s="1"/>
  <c r="BA22" i="32" s="1"/>
  <c r="AZ47" i="32" a="1"/>
  <c r="AZ47" i="32" s="1"/>
  <c r="AZ33" i="32" a="1"/>
  <c r="AZ33" i="32" s="1"/>
  <c r="AZ37" i="32" a="1"/>
  <c r="AZ37" i="32" s="1"/>
  <c r="AZ71" i="32" a="1"/>
  <c r="AZ71" i="32" s="1"/>
  <c r="AZ42" i="32" a="1"/>
  <c r="AZ42" i="32" s="1"/>
  <c r="AZ60" i="32" a="1"/>
  <c r="AZ60" i="32" s="1"/>
  <c r="AZ65" i="32" a="1"/>
  <c r="AZ65" i="32" s="1"/>
  <c r="AZ36" i="32" a="1"/>
  <c r="AZ36" i="32" s="1"/>
  <c r="V145" i="5"/>
  <c r="V146" i="5"/>
  <c r="V147" i="5"/>
  <c r="V143" i="5"/>
  <c r="Y147" i="5"/>
  <c r="Y145" i="5"/>
  <c r="Y146" i="5"/>
  <c r="BL88" i="34"/>
  <c r="BM62" i="34"/>
  <c r="BJ88" i="34"/>
  <c r="BL69" i="34"/>
  <c r="BJ40" i="34"/>
  <c r="BK56" i="34"/>
  <c r="BK20" i="34"/>
  <c r="BM40" i="34"/>
  <c r="BK69" i="34"/>
  <c r="BL40" i="34"/>
  <c r="BL38" i="34"/>
  <c r="BJ69" i="34"/>
  <c r="BJ41" i="34"/>
  <c r="BL82" i="34"/>
  <c r="BL91" i="34"/>
  <c r="BM29" i="34"/>
  <c r="BL41" i="34"/>
  <c r="BM64" i="34"/>
  <c r="BJ17" i="34"/>
  <c r="BM86" i="34"/>
  <c r="BK89" i="34"/>
  <c r="BM106" i="34"/>
  <c r="BM89" i="34"/>
  <c r="BJ75" i="34"/>
  <c r="BL27" i="34"/>
  <c r="BM78" i="34"/>
  <c r="BJ16" i="34"/>
  <c r="BL24" i="34"/>
  <c r="BJ81" i="34"/>
  <c r="BL76" i="34"/>
  <c r="BL75" i="34"/>
  <c r="BJ72" i="34"/>
  <c r="BK23" i="34"/>
  <c r="BM93" i="34"/>
  <c r="BJ66" i="34"/>
  <c r="BK75" i="34"/>
  <c r="BM60" i="34"/>
  <c r="BK97" i="34"/>
  <c r="BJ84" i="34"/>
  <c r="BM32" i="34"/>
  <c r="BJ26" i="34"/>
  <c r="BJ101" i="34"/>
  <c r="BJ45" i="34"/>
  <c r="BM22" i="34"/>
  <c r="BK31" i="34"/>
  <c r="BM76" i="34"/>
  <c r="BM50" i="34"/>
  <c r="BM33" i="34"/>
  <c r="BM53" i="34"/>
  <c r="BK48" i="34"/>
  <c r="BL73" i="34"/>
  <c r="BL19" i="34"/>
  <c r="BL44" i="34"/>
  <c r="BM25" i="34"/>
  <c r="BK49" i="34"/>
  <c r="BM99" i="34"/>
  <c r="BJ65" i="34"/>
  <c r="BK28" i="34"/>
  <c r="BM65" i="34"/>
  <c r="BM105" i="34"/>
  <c r="BM23" i="34"/>
  <c r="BJ91" i="34"/>
  <c r="BM51" i="34"/>
  <c r="BK44" i="34"/>
  <c r="BJ34" i="34"/>
  <c r="BL28" i="34"/>
  <c r="BL18" i="34"/>
  <c r="BK99" i="34"/>
  <c r="BL65" i="34"/>
  <c r="BL31" i="34"/>
  <c r="BJ25" i="34"/>
  <c r="BK51" i="34"/>
  <c r="BJ28" i="34"/>
  <c r="BK67" i="34"/>
  <c r="BL99" i="34"/>
  <c r="BK104" i="34"/>
  <c r="BK82" i="34"/>
  <c r="BJ44" i="34"/>
  <c r="BM34" i="34"/>
  <c r="BL68" i="34"/>
  <c r="BK25" i="34"/>
  <c r="BL72" i="34"/>
  <c r="BL104" i="34"/>
  <c r="BK105" i="34"/>
  <c r="BM82" i="34"/>
  <c r="BK106" i="34"/>
  <c r="BJ57" i="34"/>
  <c r="BL102" i="34"/>
  <c r="BK35" i="34"/>
  <c r="BM79" i="34"/>
  <c r="BJ37" i="34"/>
  <c r="BM57" i="34"/>
  <c r="BL52" i="34"/>
  <c r="BJ59" i="34"/>
  <c r="BK100" i="34"/>
  <c r="BJ103" i="34"/>
  <c r="BK76" i="34"/>
  <c r="BK57" i="34"/>
  <c r="BL80" i="34"/>
  <c r="BL85" i="34"/>
  <c r="BL61" i="34"/>
  <c r="BJ94" i="34"/>
  <c r="BL42" i="34"/>
  <c r="BM43" i="34"/>
  <c r="BL37" i="34"/>
  <c r="BM103" i="34"/>
  <c r="BJ58" i="34"/>
  <c r="BK37" i="34"/>
  <c r="BK103" i="34"/>
  <c r="BM74" i="34"/>
  <c r="BM58" i="34"/>
  <c r="BM42" i="34"/>
  <c r="BK58" i="34"/>
  <c r="BM19" i="34"/>
  <c r="BK42" i="34"/>
  <c r="BJ19" i="34"/>
  <c r="BJ92" i="34"/>
  <c r="BJ39" i="34"/>
  <c r="BK70" i="34"/>
  <c r="BK47" i="34"/>
  <c r="BJ83" i="34"/>
  <c r="BL95" i="34"/>
  <c r="BM46" i="34"/>
  <c r="BJ96" i="34"/>
  <c r="BM70" i="34"/>
  <c r="BM47" i="34"/>
  <c r="BK52" i="34"/>
  <c r="BM102" i="34"/>
  <c r="BM92" i="34"/>
  <c r="BK78" i="34"/>
  <c r="BK59" i="34"/>
  <c r="BM39" i="34"/>
  <c r="BL49" i="34"/>
  <c r="BM81" i="34"/>
  <c r="BL89" i="34"/>
  <c r="BL100" i="34"/>
  <c r="BL79" i="34"/>
  <c r="BM96" i="34"/>
  <c r="BJ70" i="34"/>
  <c r="BK73" i="34"/>
  <c r="BL47" i="34"/>
  <c r="BM52" i="34"/>
  <c r="BK102" i="34"/>
  <c r="BK92" i="34"/>
  <c r="BJ78" i="34"/>
  <c r="BL59" i="34"/>
  <c r="BK39" i="34"/>
  <c r="BM49" i="34"/>
  <c r="BJ100" i="34"/>
  <c r="BK79" i="34"/>
  <c r="BJ73" i="34"/>
  <c r="BM54" i="34"/>
  <c r="BM21" i="34"/>
  <c r="BK81" i="34"/>
  <c r="BK74" i="34"/>
  <c r="BM67" i="34"/>
  <c r="BK95" i="34"/>
  <c r="BK46" i="34"/>
  <c r="BK96" i="34"/>
  <c r="BJ74" i="34"/>
  <c r="BJ33" i="34"/>
  <c r="BL67" i="34"/>
  <c r="BK83" i="34"/>
  <c r="BJ68" i="34"/>
  <c r="BJ54" i="34"/>
  <c r="BM95" i="34"/>
  <c r="BJ46" i="34"/>
  <c r="BL33" i="34"/>
  <c r="BM83" i="34"/>
  <c r="BK68" i="34"/>
  <c r="BK101" i="34"/>
  <c r="BL90" i="34"/>
  <c r="BM48" i="34"/>
  <c r="BM27" i="34"/>
  <c r="BL26" i="34"/>
  <c r="BM26" i="34"/>
  <c r="BL93" i="34"/>
  <c r="BL66" i="34"/>
  <c r="BM20" i="34"/>
  <c r="BJ56" i="34"/>
  <c r="BJ60" i="34"/>
  <c r="BM84" i="34"/>
  <c r="BM16" i="34"/>
  <c r="BM55" i="34"/>
  <c r="BJ32" i="34"/>
  <c r="BK93" i="34"/>
  <c r="BL48" i="34"/>
  <c r="BJ20" i="34"/>
  <c r="BM56" i="34"/>
  <c r="BL60" i="34"/>
  <c r="BJ27" i="34"/>
  <c r="BK22" i="34"/>
  <c r="BK84" i="34"/>
  <c r="BL16" i="34"/>
  <c r="BL98" i="34"/>
  <c r="BL32" i="34"/>
  <c r="BJ29" i="34"/>
  <c r="BJ36" i="34"/>
  <c r="BJ50" i="34"/>
  <c r="BL22" i="34"/>
  <c r="BM101" i="34"/>
  <c r="BK29" i="34"/>
  <c r="BL50" i="34"/>
  <c r="BM66" i="34"/>
  <c r="BJ106" i="34"/>
  <c r="BK38" i="34"/>
  <c r="BK85" i="34"/>
  <c r="BL86" i="34"/>
  <c r="BM61" i="34"/>
  <c r="BK45" i="34"/>
  <c r="BJ77" i="34"/>
  <c r="BJ97" i="34"/>
  <c r="BL94" i="34"/>
  <c r="BL21" i="34"/>
  <c r="BJ64" i="34"/>
  <c r="BJ87" i="34"/>
  <c r="BL35" i="34"/>
  <c r="BK43" i="34"/>
  <c r="BL30" i="34"/>
  <c r="BK17" i="34"/>
  <c r="BM38" i="34"/>
  <c r="BM85" i="34"/>
  <c r="BK86" i="34"/>
  <c r="BJ61" i="34"/>
  <c r="BL45" i="34"/>
  <c r="BM77" i="34"/>
  <c r="BM97" i="34"/>
  <c r="BJ21" i="34"/>
  <c r="BK64" i="34"/>
  <c r="BM87" i="34"/>
  <c r="BM35" i="34"/>
  <c r="BL43" i="34"/>
  <c r="BJ30" i="34"/>
  <c r="BL17" i="34"/>
  <c r="BJ24" i="34"/>
  <c r="BI14" i="34"/>
  <c r="BK90" i="34"/>
  <c r="BM80" i="34"/>
  <c r="BK36" i="34"/>
  <c r="BJ98" i="34"/>
  <c r="BL55" i="34"/>
  <c r="BK24" i="34"/>
  <c r="BL51" i="34"/>
  <c r="BL34" i="34"/>
  <c r="BM36" i="34"/>
  <c r="BJ18" i="34"/>
  <c r="BL77" i="34"/>
  <c r="BM94" i="34"/>
  <c r="BM72" i="34"/>
  <c r="BJ104" i="34"/>
  <c r="BJ31" i="34"/>
  <c r="BK87" i="34"/>
  <c r="BK98" i="34"/>
  <c r="BL105" i="34"/>
  <c r="BJ55" i="34"/>
  <c r="BJ53" i="34"/>
  <c r="BM63" i="34"/>
  <c r="BL63" i="34"/>
  <c r="BJ63" i="34"/>
  <c r="BK63" i="34"/>
  <c r="BL23" i="34"/>
  <c r="BJ90" i="34"/>
  <c r="BJ80" i="34"/>
  <c r="BK91" i="34"/>
  <c r="BM18" i="34"/>
  <c r="BL53" i="34"/>
  <c r="R18" i="32"/>
  <c r="M41" i="5" s="1"/>
  <c r="I18" i="32"/>
  <c r="L57" i="51"/>
  <c r="L53" i="51"/>
  <c r="L66" i="51"/>
  <c r="L52" i="51"/>
  <c r="L60" i="51"/>
  <c r="L54" i="51"/>
  <c r="L64" i="51" l="1"/>
  <c r="M64" i="51" s="1"/>
  <c r="AG42" i="34"/>
  <c r="AG36" i="34"/>
  <c r="AG47" i="34"/>
  <c r="AG51" i="34"/>
  <c r="AG61" i="34"/>
  <c r="AG29" i="34"/>
  <c r="AG46" i="34"/>
  <c r="AG64" i="34"/>
  <c r="AG63" i="34"/>
  <c r="AG57" i="34"/>
  <c r="AG22" i="34"/>
  <c r="AG48" i="34"/>
  <c r="AG27" i="34"/>
  <c r="AG60" i="34"/>
  <c r="AG26" i="34"/>
  <c r="AG50" i="34"/>
  <c r="AG33" i="34"/>
  <c r="AG38" i="34"/>
  <c r="AG28" i="34"/>
  <c r="AG21" i="34"/>
  <c r="AG40" i="34"/>
  <c r="AG56" i="34"/>
  <c r="AG24" i="34"/>
  <c r="AG52" i="34"/>
  <c r="AG17" i="34"/>
  <c r="AG45" i="34"/>
  <c r="AG25" i="34"/>
  <c r="AG18" i="34"/>
  <c r="AG19" i="34"/>
  <c r="AG49" i="34"/>
  <c r="AG53" i="34"/>
  <c r="AG43" i="34"/>
  <c r="AG30" i="34"/>
  <c r="AG35" i="34"/>
  <c r="AG58" i="34"/>
  <c r="AG62" i="34"/>
  <c r="AG32" i="34"/>
  <c r="AG55" i="34"/>
  <c r="AG37" i="34"/>
  <c r="AG34" i="34"/>
  <c r="AG54" i="34"/>
  <c r="AG59" i="34"/>
  <c r="AG23" i="34"/>
  <c r="AG39" i="34"/>
  <c r="AG44" i="34"/>
  <c r="AG65" i="34"/>
  <c r="AG20" i="34"/>
  <c r="AG31" i="34"/>
  <c r="AG41" i="34"/>
  <c r="G43" i="51"/>
  <c r="H43" i="51"/>
  <c r="H31" i="51"/>
  <c r="G31" i="51"/>
  <c r="G61" i="51"/>
  <c r="H61" i="51"/>
  <c r="L61" i="51" s="1"/>
  <c r="H50" i="51"/>
  <c r="G50" i="51"/>
  <c r="H38" i="51"/>
  <c r="G38" i="51"/>
  <c r="G49" i="51"/>
  <c r="H49" i="51"/>
  <c r="Q49" i="51" s="1"/>
  <c r="G56" i="51"/>
  <c r="H56" i="51"/>
  <c r="L56" i="51" s="1"/>
  <c r="H67" i="51"/>
  <c r="G67" i="51"/>
  <c r="H28" i="51"/>
  <c r="G28" i="51"/>
  <c r="G41" i="51"/>
  <c r="H41" i="51"/>
  <c r="H44" i="51"/>
  <c r="G44" i="51"/>
  <c r="H34" i="51"/>
  <c r="G34" i="51"/>
  <c r="M54" i="51"/>
  <c r="M65" i="51"/>
  <c r="M52" i="51"/>
  <c r="M66" i="51"/>
  <c r="M53" i="51"/>
  <c r="M60" i="51"/>
  <c r="M57" i="51"/>
  <c r="CS42" i="32"/>
  <c r="CS53" i="32"/>
  <c r="CS60" i="32"/>
  <c r="U64" i="51"/>
  <c r="CS45" i="32"/>
  <c r="CS48" i="32"/>
  <c r="CS38" i="32"/>
  <c r="Q64" i="51"/>
  <c r="O64" i="51"/>
  <c r="K54" i="51"/>
  <c r="P54" i="51"/>
  <c r="R54" i="51" s="1"/>
  <c r="Q54" i="51"/>
  <c r="O54" i="51"/>
  <c r="U54" i="51"/>
  <c r="O65" i="51"/>
  <c r="P65" i="51"/>
  <c r="R65" i="51" s="1"/>
  <c r="K65" i="51"/>
  <c r="U65" i="51"/>
  <c r="Q65" i="51"/>
  <c r="CS47" i="32"/>
  <c r="CS32" i="32"/>
  <c r="CS65" i="32"/>
  <c r="CS54" i="32"/>
  <c r="P64" i="51"/>
  <c r="R64" i="51" s="1"/>
  <c r="Q52" i="51"/>
  <c r="U52" i="51"/>
  <c r="O52" i="51"/>
  <c r="K52" i="51"/>
  <c r="P52" i="51"/>
  <c r="R52" i="51" s="1"/>
  <c r="O66" i="51"/>
  <c r="U66" i="51"/>
  <c r="P66" i="51"/>
  <c r="R66" i="51" s="1"/>
  <c r="K66" i="51"/>
  <c r="Q66" i="51"/>
  <c r="P53" i="51"/>
  <c r="R53" i="51" s="1"/>
  <c r="K53" i="51"/>
  <c r="Q53" i="51"/>
  <c r="O53" i="51"/>
  <c r="U53" i="51"/>
  <c r="CS71" i="32"/>
  <c r="CS35" i="32"/>
  <c r="K60" i="51"/>
  <c r="Q60" i="51"/>
  <c r="P60" i="51"/>
  <c r="R60" i="51" s="1"/>
  <c r="O60" i="51"/>
  <c r="U60" i="51"/>
  <c r="K57" i="51"/>
  <c r="Q57" i="51"/>
  <c r="O57" i="51"/>
  <c r="U57" i="51"/>
  <c r="P57" i="51"/>
  <c r="R57" i="51" s="1"/>
  <c r="AR23" i="51"/>
  <c r="AZ23" i="51"/>
  <c r="AU23" i="51"/>
  <c r="AV23" i="51" s="1"/>
  <c r="AW23" i="51"/>
  <c r="X10" i="53"/>
  <c r="Y10" i="53" s="1"/>
  <c r="I18" i="56"/>
  <c r="I13" i="56" s="1"/>
  <c r="BA36" i="32"/>
  <c r="BB36" i="32" s="1"/>
  <c r="BC36" i="32" s="1"/>
  <c r="BA71" i="32"/>
  <c r="BB71" i="32" s="1"/>
  <c r="BC71" i="32" s="1"/>
  <c r="BA62" i="32"/>
  <c r="BB62" i="32" s="1"/>
  <c r="BC62" i="32" s="1"/>
  <c r="BA57" i="32"/>
  <c r="BB57" i="32" s="1"/>
  <c r="BC57" i="32" s="1"/>
  <c r="BA64" i="32"/>
  <c r="BB64" i="32" s="1"/>
  <c r="BC64" i="32" s="1"/>
  <c r="BA46" i="32"/>
  <c r="BB46" i="32" s="1"/>
  <c r="BC46" i="32" s="1"/>
  <c r="BA59" i="32"/>
  <c r="BB59" i="32" s="1"/>
  <c r="BC59" i="32" s="1"/>
  <c r="BA35" i="32"/>
  <c r="BB35" i="32" s="1"/>
  <c r="BC35" i="32" s="1"/>
  <c r="BA48" i="32"/>
  <c r="BB48" i="32" s="1"/>
  <c r="BC48" i="32" s="1"/>
  <c r="BA65" i="32"/>
  <c r="BB65" i="32" s="1"/>
  <c r="BC65" i="32" s="1"/>
  <c r="BA37" i="32"/>
  <c r="BB37" i="32" s="1"/>
  <c r="BC37" i="32" s="1"/>
  <c r="BA63" i="32"/>
  <c r="BB63" i="32" s="1"/>
  <c r="BC63" i="32" s="1"/>
  <c r="BA41" i="32"/>
  <c r="BB41" i="32" s="1"/>
  <c r="BC41" i="32" s="1"/>
  <c r="BA56" i="32"/>
  <c r="BB56" i="32" s="1"/>
  <c r="BC56" i="32" s="1"/>
  <c r="BA66" i="32"/>
  <c r="BB66" i="32" s="1"/>
  <c r="BC66" i="32" s="1"/>
  <c r="BA69" i="32"/>
  <c r="BB69" i="32" s="1"/>
  <c r="BC69" i="32" s="1"/>
  <c r="BA45" i="32"/>
  <c r="BB45" i="32" s="1"/>
  <c r="BC45" i="32" s="1"/>
  <c r="BA39" i="32"/>
  <c r="BB39" i="32" s="1"/>
  <c r="BC39" i="32" s="1"/>
  <c r="BA60" i="32"/>
  <c r="BB60" i="32" s="1"/>
  <c r="BC60" i="32" s="1"/>
  <c r="BA33" i="32"/>
  <c r="BB33" i="32" s="1"/>
  <c r="BC33" i="32" s="1"/>
  <c r="BA53" i="32"/>
  <c r="BB53" i="32" s="1"/>
  <c r="BC53" i="32" s="1"/>
  <c r="BA49" i="32"/>
  <c r="BB49" i="32" s="1"/>
  <c r="BC49" i="32" s="1"/>
  <c r="BA55" i="32"/>
  <c r="BB55" i="32" s="1"/>
  <c r="BC55" i="32" s="1"/>
  <c r="BA61" i="32"/>
  <c r="BB61" i="32" s="1"/>
  <c r="BC61" i="32" s="1"/>
  <c r="BA52" i="32"/>
  <c r="BB52" i="32" s="1"/>
  <c r="BC52" i="32" s="1"/>
  <c r="BA58" i="32"/>
  <c r="BB58" i="32" s="1"/>
  <c r="BC58" i="32" s="1"/>
  <c r="BA43" i="32"/>
  <c r="BB43" i="32" s="1"/>
  <c r="BC43" i="32" s="1"/>
  <c r="BA68" i="32"/>
  <c r="BB68" i="32" s="1"/>
  <c r="BC68" i="32" s="1"/>
  <c r="BA51" i="32"/>
  <c r="BB51" i="32" s="1"/>
  <c r="BC51" i="32" s="1"/>
  <c r="AS18" i="43"/>
  <c r="BA42" i="32"/>
  <c r="BB42" i="32" s="1"/>
  <c r="BC42" i="32" s="1"/>
  <c r="BA47" i="32"/>
  <c r="BB47" i="32" s="1"/>
  <c r="BC47" i="32" s="1"/>
  <c r="BA38" i="32"/>
  <c r="BB38" i="32" s="1"/>
  <c r="BC38" i="32" s="1"/>
  <c r="BA40" i="32"/>
  <c r="BB40" i="32" s="1"/>
  <c r="BC40" i="32" s="1"/>
  <c r="BA50" i="32"/>
  <c r="BB50" i="32" s="1"/>
  <c r="BC50" i="32" s="1"/>
  <c r="BA67" i="32"/>
  <c r="BB67" i="32" s="1"/>
  <c r="BC67" i="32" s="1"/>
  <c r="BA34" i="32"/>
  <c r="BB34" i="32" s="1"/>
  <c r="BC34" i="32" s="1"/>
  <c r="BA54" i="32"/>
  <c r="BB54" i="32" s="1"/>
  <c r="BC54" i="32" s="1"/>
  <c r="BA44" i="32"/>
  <c r="BB44" i="32" s="1"/>
  <c r="BC44" i="32" s="1"/>
  <c r="BA70" i="32"/>
  <c r="BB70" i="32" s="1"/>
  <c r="BC70" i="32" s="1"/>
  <c r="AX37" i="51"/>
  <c r="AW25" i="51"/>
  <c r="AU26" i="51"/>
  <c r="AV26" i="51" s="1"/>
  <c r="AU22" i="51"/>
  <c r="AV22" i="51" s="1"/>
  <c r="AW21" i="51"/>
  <c r="AU19" i="51"/>
  <c r="AV19" i="51" s="1"/>
  <c r="AZ24" i="51"/>
  <c r="AU18" i="51"/>
  <c r="AV18" i="51" s="1"/>
  <c r="BJ63" i="51"/>
  <c r="T63" i="51" s="1"/>
  <c r="I63" i="51"/>
  <c r="BK55" i="51"/>
  <c r="I55" i="51"/>
  <c r="BJ59" i="51"/>
  <c r="T59" i="51" s="1"/>
  <c r="I59" i="51"/>
  <c r="BJ58" i="51"/>
  <c r="T58" i="51" s="1"/>
  <c r="I58" i="51"/>
  <c r="BJ30" i="51"/>
  <c r="T30" i="51" s="1"/>
  <c r="I30" i="51"/>
  <c r="BJ62" i="51"/>
  <c r="T62" i="51" s="1"/>
  <c r="I62" i="51"/>
  <c r="BJ51" i="51"/>
  <c r="T51" i="51" s="1"/>
  <c r="I51" i="51"/>
  <c r="BM133" i="51"/>
  <c r="BM131" i="51"/>
  <c r="BM132" i="51"/>
  <c r="BM128" i="51"/>
  <c r="BM129" i="51"/>
  <c r="BM130" i="51"/>
  <c r="BA30" i="51"/>
  <c r="BB30" i="51" s="1"/>
  <c r="AX46" i="51"/>
  <c r="AX48" i="51"/>
  <c r="U19" i="43"/>
  <c r="Q19" i="43" s="1"/>
  <c r="AR18" i="51"/>
  <c r="AZ18" i="51"/>
  <c r="AW18" i="51"/>
  <c r="AR27" i="51"/>
  <c r="BD27" i="51"/>
  <c r="AW27" i="51"/>
  <c r="AS27" i="51"/>
  <c r="BA27" i="51" s="1"/>
  <c r="AU27" i="51"/>
  <c r="AV27" i="51" s="1"/>
  <c r="AZ27" i="51"/>
  <c r="AX43" i="51"/>
  <c r="BK63" i="51"/>
  <c r="AX41" i="51"/>
  <c r="BK58" i="51"/>
  <c r="AX44" i="51"/>
  <c r="AX33" i="51"/>
  <c r="AX29" i="51"/>
  <c r="AX47" i="51"/>
  <c r="BB35" i="51"/>
  <c r="AX45" i="51"/>
  <c r="AX34" i="51"/>
  <c r="AH37" i="53"/>
  <c r="AX40" i="51"/>
  <c r="AN33" i="53"/>
  <c r="AG16" i="34"/>
  <c r="AN29" i="53"/>
  <c r="I10" i="53"/>
  <c r="S10" i="53" s="1"/>
  <c r="BX44" i="45"/>
  <c r="AQ44" i="45" s="1"/>
  <c r="AX32" i="51"/>
  <c r="AX39" i="51"/>
  <c r="AX30" i="51"/>
  <c r="AW20" i="51"/>
  <c r="AU24" i="51"/>
  <c r="AV24" i="51" s="1"/>
  <c r="AU25" i="51"/>
  <c r="AV25" i="51" s="1"/>
  <c r="AZ25" i="51"/>
  <c r="AR24" i="51"/>
  <c r="AW24" i="51"/>
  <c r="AR25" i="51"/>
  <c r="AW26" i="51"/>
  <c r="AR26" i="51"/>
  <c r="AZ26" i="51"/>
  <c r="AX28" i="51"/>
  <c r="AH29" i="53"/>
  <c r="AR21" i="51"/>
  <c r="AZ21" i="51"/>
  <c r="AZ20" i="51"/>
  <c r="AR19" i="51"/>
  <c r="AW19" i="51"/>
  <c r="AA12" i="53"/>
  <c r="AH24" i="53"/>
  <c r="AR20" i="51"/>
  <c r="AZ19" i="51"/>
  <c r="AH19" i="53"/>
  <c r="AH31" i="53"/>
  <c r="AP11" i="51"/>
  <c r="L13" i="45" s="1"/>
  <c r="AU20" i="51"/>
  <c r="AV20" i="51" s="1"/>
  <c r="AW22" i="51"/>
  <c r="AZ22" i="51"/>
  <c r="AR22" i="51"/>
  <c r="AC11" i="53"/>
  <c r="X11" i="53"/>
  <c r="Y11" i="53" s="1"/>
  <c r="Z11" i="53"/>
  <c r="AO11" i="51"/>
  <c r="AU21" i="51"/>
  <c r="AV21" i="51" s="1"/>
  <c r="AH22" i="53"/>
  <c r="AA14" i="53"/>
  <c r="AC12" i="53"/>
  <c r="AA13" i="53"/>
  <c r="Z17" i="53"/>
  <c r="AA17" i="53" s="1"/>
  <c r="AC17" i="53"/>
  <c r="AK13" i="53"/>
  <c r="AM13" i="53" s="1"/>
  <c r="AD13" i="53"/>
  <c r="AE13" i="53" s="1"/>
  <c r="AD16" i="53"/>
  <c r="AE16" i="53" s="1"/>
  <c r="AN35" i="53"/>
  <c r="AN30" i="53"/>
  <c r="AN39" i="53"/>
  <c r="AN25" i="53"/>
  <c r="AH36" i="53"/>
  <c r="AA16" i="53"/>
  <c r="AD18" i="53"/>
  <c r="AE18" i="53" s="1"/>
  <c r="AN22" i="53"/>
  <c r="Z15" i="53"/>
  <c r="X15" i="53"/>
  <c r="Y15" i="53" s="1"/>
  <c r="AL15" i="53"/>
  <c r="AC15" i="53"/>
  <c r="AN36" i="53"/>
  <c r="AN31" i="53"/>
  <c r="AN34" i="53"/>
  <c r="AH21" i="53"/>
  <c r="AN40" i="53"/>
  <c r="AH39" i="53"/>
  <c r="AH26" i="53"/>
  <c r="AH35" i="53"/>
  <c r="AH34" i="53"/>
  <c r="AN21" i="53"/>
  <c r="AH27" i="53"/>
  <c r="AN24" i="53"/>
  <c r="AN26" i="53"/>
  <c r="R6" i="53"/>
  <c r="AC10" i="53"/>
  <c r="Z10" i="53"/>
  <c r="AD14" i="53"/>
  <c r="AE14" i="53" s="1"/>
  <c r="BJ55" i="51"/>
  <c r="T55" i="51" s="1"/>
  <c r="BB29" i="51"/>
  <c r="BK59" i="51"/>
  <c r="BK51" i="51"/>
  <c r="AX35" i="51"/>
  <c r="BH39" i="51"/>
  <c r="BA36" i="51"/>
  <c r="BB36" i="51" s="1"/>
  <c r="BH36" i="51"/>
  <c r="BH46" i="51"/>
  <c r="BH47" i="51"/>
  <c r="BH35" i="51"/>
  <c r="BH32" i="51"/>
  <c r="BH33" i="51"/>
  <c r="BH29" i="51"/>
  <c r="BH37" i="51"/>
  <c r="BH40" i="51"/>
  <c r="BH48" i="51"/>
  <c r="BA42" i="51"/>
  <c r="BB42" i="51" s="1"/>
  <c r="BH42" i="51"/>
  <c r="BH45" i="51"/>
  <c r="BB32" i="51"/>
  <c r="AX31" i="51"/>
  <c r="AX38" i="51"/>
  <c r="BK62" i="51"/>
  <c r="AX42" i="51"/>
  <c r="BA47" i="51"/>
  <c r="BB47" i="51" s="1"/>
  <c r="AX36" i="51"/>
  <c r="BA45" i="51"/>
  <c r="BB45" i="51" s="1"/>
  <c r="BA40" i="51"/>
  <c r="BB40" i="51" s="1"/>
  <c r="BA46" i="51"/>
  <c r="BB46" i="51" s="1"/>
  <c r="BA48" i="51"/>
  <c r="BB48" i="51" s="1"/>
  <c r="BB33" i="51"/>
  <c r="BA37" i="51"/>
  <c r="BB37" i="51" s="1"/>
  <c r="BA39" i="51"/>
  <c r="BB39" i="51" s="1"/>
  <c r="AX49" i="51"/>
  <c r="BA49" i="51"/>
  <c r="BB49" i="51" s="1"/>
  <c r="BJ65" i="51"/>
  <c r="T65" i="51" s="1"/>
  <c r="BK30" i="51"/>
  <c r="BK52" i="51"/>
  <c r="BK53" i="51"/>
  <c r="BK60" i="51"/>
  <c r="BJ38" i="51"/>
  <c r="T38" i="51" s="1"/>
  <c r="BA38" i="51"/>
  <c r="BB38" i="51" s="1"/>
  <c r="BK41" i="51"/>
  <c r="BA41" i="51"/>
  <c r="BB41" i="51" s="1"/>
  <c r="BJ43" i="51"/>
  <c r="T43" i="51" s="1"/>
  <c r="BA43" i="51"/>
  <c r="BB43" i="51" s="1"/>
  <c r="BJ44" i="51"/>
  <c r="T44" i="51" s="1"/>
  <c r="BA44" i="51"/>
  <c r="BB44" i="51" s="1"/>
  <c r="BJ31" i="51"/>
  <c r="T31" i="51" s="1"/>
  <c r="BA31" i="51"/>
  <c r="BB31" i="51" s="1"/>
  <c r="BK28" i="51"/>
  <c r="BA28" i="51"/>
  <c r="BB28" i="51" s="1"/>
  <c r="BJ34" i="51"/>
  <c r="T34" i="51" s="1"/>
  <c r="BA34" i="51"/>
  <c r="BB34" i="51" s="1"/>
  <c r="BK66" i="51"/>
  <c r="BK57" i="51"/>
  <c r="BK54" i="51"/>
  <c r="BL36" i="45"/>
  <c r="BR36" i="45"/>
  <c r="BP36" i="45"/>
  <c r="BM36" i="45"/>
  <c r="BN36" i="45"/>
  <c r="BK36" i="45"/>
  <c r="BO36" i="45"/>
  <c r="BT36" i="45"/>
  <c r="BQ36" i="45"/>
  <c r="BJ36" i="45"/>
  <c r="BS36" i="45"/>
  <c r="BV36" i="45"/>
  <c r="BU36" i="45"/>
  <c r="CF30" i="32"/>
  <c r="CG30" i="32" s="1"/>
  <c r="CH30" i="32"/>
  <c r="CI30" i="32" s="1"/>
  <c r="U142" i="5"/>
  <c r="BB32" i="32"/>
  <c r="BC32" i="32" s="1"/>
  <c r="AY32" i="32"/>
  <c r="BF20" i="32"/>
  <c r="BB30" i="32"/>
  <c r="BC30" i="32" s="1"/>
  <c r="AY30" i="32"/>
  <c r="BB26" i="32"/>
  <c r="BC26" i="32" s="1"/>
  <c r="AY26" i="32"/>
  <c r="BB28" i="32"/>
  <c r="BC28" i="32" s="1"/>
  <c r="AY28" i="32"/>
  <c r="BB31" i="32"/>
  <c r="BC31" i="32" s="1"/>
  <c r="AY31" i="32"/>
  <c r="BB24" i="32"/>
  <c r="BC24" i="32" s="1"/>
  <c r="AY24" i="32"/>
  <c r="BB25" i="32"/>
  <c r="BC25" i="32" s="1"/>
  <c r="AY25" i="32"/>
  <c r="BB23" i="32"/>
  <c r="AY23" i="32"/>
  <c r="AT53" i="43"/>
  <c r="AT32" i="43"/>
  <c r="X40" i="42"/>
  <c r="AT38" i="43"/>
  <c r="AT23" i="43"/>
  <c r="X50" i="42"/>
  <c r="X45" i="42"/>
  <c r="X34" i="42"/>
  <c r="AT31" i="43"/>
  <c r="X33" i="42"/>
  <c r="X62" i="42"/>
  <c r="AT39" i="43"/>
  <c r="AT28" i="43"/>
  <c r="X67" i="42"/>
  <c r="AT65" i="43"/>
  <c r="AT25" i="43"/>
  <c r="X56" i="42"/>
  <c r="AT20" i="43"/>
  <c r="AT50" i="43"/>
  <c r="AT44" i="43"/>
  <c r="X61" i="42"/>
  <c r="AT56" i="43"/>
  <c r="AT27" i="43"/>
  <c r="AT62" i="43"/>
  <c r="X53" i="42"/>
  <c r="X57" i="42"/>
  <c r="X32" i="42"/>
  <c r="AT33" i="43"/>
  <c r="X47" i="42"/>
  <c r="AT58" i="43"/>
  <c r="AT42" i="43"/>
  <c r="X60" i="42"/>
  <c r="X35" i="42"/>
  <c r="AT60" i="43"/>
  <c r="AT57" i="43"/>
  <c r="X66" i="42"/>
  <c r="AT19" i="43"/>
  <c r="AT45" i="43"/>
  <c r="AT22" i="43"/>
  <c r="AT40" i="43"/>
  <c r="X24" i="42"/>
  <c r="X63" i="42"/>
  <c r="X58" i="42"/>
  <c r="AT59" i="43"/>
  <c r="AT34" i="43"/>
  <c r="X28" i="42"/>
  <c r="X51" i="42"/>
  <c r="X52" i="42"/>
  <c r="X65" i="42"/>
  <c r="AT43" i="43"/>
  <c r="AT37" i="43"/>
  <c r="AT26" i="43"/>
  <c r="X49" i="42"/>
  <c r="X59" i="42"/>
  <c r="X48" i="42"/>
  <c r="AT67" i="43"/>
  <c r="AT21" i="43"/>
  <c r="X30" i="42"/>
  <c r="X25" i="42"/>
  <c r="AT24" i="43"/>
  <c r="X55" i="42"/>
  <c r="AT52" i="43"/>
  <c r="X39" i="42"/>
  <c r="AT47" i="43"/>
  <c r="AT54" i="43"/>
  <c r="AT49" i="43"/>
  <c r="AT30" i="43"/>
  <c r="AT29" i="43"/>
  <c r="AT61" i="43"/>
  <c r="X43" i="42"/>
  <c r="AT66" i="43"/>
  <c r="AT35" i="43"/>
  <c r="X42" i="42"/>
  <c r="X46" i="42"/>
  <c r="X36" i="42"/>
  <c r="AT48" i="43"/>
  <c r="AT55" i="43"/>
  <c r="X26" i="42"/>
  <c r="AT41" i="43"/>
  <c r="X54" i="42"/>
  <c r="X21" i="42"/>
  <c r="X29" i="42"/>
  <c r="X31" i="42"/>
  <c r="X64" i="42"/>
  <c r="X22" i="42"/>
  <c r="AT46" i="43"/>
  <c r="AT63" i="43"/>
  <c r="X41" i="42"/>
  <c r="AT64" i="43"/>
  <c r="AT36" i="43"/>
  <c r="X38" i="42"/>
  <c r="X37" i="42"/>
  <c r="X44" i="42"/>
  <c r="X27" i="42"/>
  <c r="AT51" i="43"/>
  <c r="X23" i="42"/>
  <c r="AY22" i="32"/>
  <c r="BB29" i="32"/>
  <c r="BC29" i="32" s="1"/>
  <c r="AY29" i="32"/>
  <c r="BB27" i="32"/>
  <c r="BC27" i="32" s="1"/>
  <c r="AY27" i="32"/>
  <c r="U138" i="5"/>
  <c r="U145" i="5"/>
  <c r="U140" i="5"/>
  <c r="U139" i="5"/>
  <c r="U147" i="5"/>
  <c r="U144" i="5"/>
  <c r="U137" i="5"/>
  <c r="U146" i="5"/>
  <c r="U141" i="5"/>
  <c r="U136" i="5"/>
  <c r="U135" i="5"/>
  <c r="U134" i="5"/>
  <c r="BP51" i="32"/>
  <c r="BQ51" i="32" s="1"/>
  <c r="BT51" i="32"/>
  <c r="BU51" i="32" s="1"/>
  <c r="BZ51" i="32"/>
  <c r="CA51" i="32" s="1"/>
  <c r="BN51" i="32"/>
  <c r="BO51" i="32" s="1"/>
  <c r="BR51" i="32"/>
  <c r="BS51" i="32" s="1"/>
  <c r="BV51" i="32"/>
  <c r="BW51" i="32" s="1"/>
  <c r="CB51" i="32"/>
  <c r="CC51" i="32" s="1"/>
  <c r="BP52" i="32"/>
  <c r="BQ52" i="32" s="1"/>
  <c r="BT52" i="32"/>
  <c r="BU52" i="32" s="1"/>
  <c r="BZ52" i="32"/>
  <c r="CA52" i="32" s="1"/>
  <c r="BN52" i="32"/>
  <c r="BO52" i="32" s="1"/>
  <c r="BV52" i="32"/>
  <c r="BW52" i="32" s="1"/>
  <c r="CB52" i="32"/>
  <c r="CC52" i="32" s="1"/>
  <c r="BR52" i="32"/>
  <c r="BS52" i="32" s="1"/>
  <c r="BN45" i="32"/>
  <c r="BO45" i="32" s="1"/>
  <c r="BR45" i="32"/>
  <c r="BS45" i="32" s="1"/>
  <c r="BV45" i="32"/>
  <c r="BW45" i="32" s="1"/>
  <c r="CB45" i="32"/>
  <c r="CC45" i="32" s="1"/>
  <c r="BP45" i="32"/>
  <c r="BQ45" i="32" s="1"/>
  <c r="BT45" i="32"/>
  <c r="BU45" i="32" s="1"/>
  <c r="BZ45" i="32"/>
  <c r="CA45" i="32" s="1"/>
  <c r="BP48" i="32"/>
  <c r="BQ48" i="32" s="1"/>
  <c r="BT48" i="32"/>
  <c r="BU48" i="32" s="1"/>
  <c r="BZ48" i="32"/>
  <c r="CA48" i="32" s="1"/>
  <c r="BN48" i="32"/>
  <c r="BO48" i="32" s="1"/>
  <c r="BV48" i="32"/>
  <c r="BW48" i="32" s="1"/>
  <c r="BR48" i="32"/>
  <c r="BS48" i="32" s="1"/>
  <c r="CB48" i="32"/>
  <c r="CC48" i="32" s="1"/>
  <c r="L44" i="51"/>
  <c r="L38" i="51"/>
  <c r="L50" i="51"/>
  <c r="L34" i="51"/>
  <c r="L41" i="51"/>
  <c r="L43" i="51"/>
  <c r="L31" i="51"/>
  <c r="L28" i="51"/>
  <c r="L67" i="51"/>
  <c r="L49" i="51" l="1"/>
  <c r="M49" i="51" s="1"/>
  <c r="AG14" i="34"/>
  <c r="K11" i="37" s="1"/>
  <c r="H62" i="51"/>
  <c r="G62" i="51"/>
  <c r="H58" i="51"/>
  <c r="G58" i="51"/>
  <c r="H55" i="51"/>
  <c r="G55" i="51"/>
  <c r="K49" i="51"/>
  <c r="H51" i="51"/>
  <c r="G51" i="51"/>
  <c r="H30" i="51"/>
  <c r="G30" i="51"/>
  <c r="H59" i="51"/>
  <c r="G59" i="51"/>
  <c r="H63" i="51"/>
  <c r="L63" i="51" s="1"/>
  <c r="G63" i="51"/>
  <c r="P49" i="51"/>
  <c r="R49" i="51" s="1"/>
  <c r="U49" i="51"/>
  <c r="O49" i="51"/>
  <c r="M56" i="51"/>
  <c r="M61" i="51"/>
  <c r="M28" i="51"/>
  <c r="M31" i="51"/>
  <c r="M44" i="51"/>
  <c r="M41" i="51"/>
  <c r="M67" i="51"/>
  <c r="M50" i="51"/>
  <c r="M43" i="51"/>
  <c r="M34" i="51"/>
  <c r="M38" i="51"/>
  <c r="CS66" i="32"/>
  <c r="CS62" i="32"/>
  <c r="CS59" i="32"/>
  <c r="Q56" i="51"/>
  <c r="K56" i="51"/>
  <c r="O56" i="51"/>
  <c r="P56" i="51"/>
  <c r="R56" i="51" s="1"/>
  <c r="U56" i="51"/>
  <c r="O61" i="51"/>
  <c r="U61" i="51"/>
  <c r="P61" i="51"/>
  <c r="R61" i="51" s="1"/>
  <c r="K61" i="51"/>
  <c r="Q61" i="51"/>
  <c r="U28" i="51"/>
  <c r="K28" i="51"/>
  <c r="P28" i="51"/>
  <c r="R28" i="51" s="1"/>
  <c r="Q28" i="51"/>
  <c r="O28" i="51"/>
  <c r="P31" i="51"/>
  <c r="R31" i="51" s="1"/>
  <c r="K31" i="51"/>
  <c r="Q31" i="51"/>
  <c r="O31" i="51"/>
  <c r="U31" i="51"/>
  <c r="CS55" i="32"/>
  <c r="CS34" i="32"/>
  <c r="CS63" i="32"/>
  <c r="CS67" i="32"/>
  <c r="O44" i="51"/>
  <c r="P44" i="51"/>
  <c r="R44" i="51" s="1"/>
  <c r="Q44" i="51"/>
  <c r="K44" i="51"/>
  <c r="U44" i="51"/>
  <c r="O41" i="51"/>
  <c r="P41" i="51"/>
  <c r="R41" i="51" s="1"/>
  <c r="U41" i="51"/>
  <c r="K41" i="51"/>
  <c r="Q41" i="51"/>
  <c r="O67" i="51"/>
  <c r="K67" i="51"/>
  <c r="P67" i="51"/>
  <c r="R67" i="51" s="1"/>
  <c r="Q67" i="51"/>
  <c r="U67" i="51"/>
  <c r="Q50" i="51"/>
  <c r="O50" i="51"/>
  <c r="U50" i="51"/>
  <c r="K50" i="51"/>
  <c r="P50" i="51"/>
  <c r="R50" i="51" s="1"/>
  <c r="K43" i="51"/>
  <c r="Q43" i="51"/>
  <c r="P43" i="51"/>
  <c r="R43" i="51" s="1"/>
  <c r="O43" i="51"/>
  <c r="U43" i="51"/>
  <c r="Q34" i="51"/>
  <c r="O34" i="51"/>
  <c r="U34" i="51"/>
  <c r="P34" i="51"/>
  <c r="R34" i="51" s="1"/>
  <c r="K34" i="51"/>
  <c r="K38" i="51"/>
  <c r="Q38" i="51"/>
  <c r="O38" i="51"/>
  <c r="U38" i="51"/>
  <c r="P38" i="51"/>
  <c r="R38" i="51" s="1"/>
  <c r="AX23" i="51"/>
  <c r="J18" i="56"/>
  <c r="T10" i="53"/>
  <c r="T11" i="53" s="1"/>
  <c r="T12" i="53" s="1"/>
  <c r="T13" i="53" s="1"/>
  <c r="T14" i="53" s="1"/>
  <c r="T15" i="53" s="1"/>
  <c r="T16" i="53" s="1"/>
  <c r="T17" i="53" s="1"/>
  <c r="T18" i="53" s="1"/>
  <c r="T19" i="53" s="1"/>
  <c r="T20" i="53" s="1"/>
  <c r="BV40" i="45"/>
  <c r="BV42" i="45"/>
  <c r="AX25" i="51"/>
  <c r="AX22" i="51"/>
  <c r="AX19" i="51"/>
  <c r="AS19" i="43"/>
  <c r="AS68" i="43" s="1"/>
  <c r="AS69" i="43" s="1"/>
  <c r="Q14" i="43" s="1"/>
  <c r="AX26" i="51"/>
  <c r="AX18" i="51"/>
  <c r="AX21" i="51"/>
  <c r="BJ45" i="51"/>
  <c r="T45" i="51" s="1"/>
  <c r="I45" i="51"/>
  <c r="BK40" i="51"/>
  <c r="I40" i="51"/>
  <c r="BJ32" i="51"/>
  <c r="T32" i="51" s="1"/>
  <c r="I32" i="51"/>
  <c r="BJ36" i="51"/>
  <c r="T36" i="51" s="1"/>
  <c r="I36" i="51"/>
  <c r="BJ42" i="51"/>
  <c r="T42" i="51" s="1"/>
  <c r="I42" i="51"/>
  <c r="BK37" i="51"/>
  <c r="I37" i="51"/>
  <c r="BJ35" i="51"/>
  <c r="T35" i="51" s="1"/>
  <c r="I35" i="51"/>
  <c r="BJ29" i="51"/>
  <c r="T29" i="51" s="1"/>
  <c r="I29" i="51"/>
  <c r="BK47" i="51"/>
  <c r="I47" i="51"/>
  <c r="BK39" i="51"/>
  <c r="I39" i="51"/>
  <c r="BJ48" i="51"/>
  <c r="T48" i="51" s="1"/>
  <c r="I48" i="51"/>
  <c r="BJ33" i="51"/>
  <c r="T33" i="51" s="1"/>
  <c r="I33" i="51"/>
  <c r="BJ46" i="51"/>
  <c r="T46" i="51" s="1"/>
  <c r="I46" i="51"/>
  <c r="AX27" i="51"/>
  <c r="BH27" i="51"/>
  <c r="BJ27" i="51" s="1"/>
  <c r="T27" i="51" s="1"/>
  <c r="K13" i="37"/>
  <c r="M11" i="37" s="1"/>
  <c r="BB27" i="51"/>
  <c r="BC23" i="32"/>
  <c r="X20" i="42" s="1"/>
  <c r="N20" i="42" s="1"/>
  <c r="S6" i="53"/>
  <c r="U10" i="53"/>
  <c r="AX20" i="51"/>
  <c r="AX24" i="51"/>
  <c r="AD17" i="53"/>
  <c r="AE17" i="53" s="1"/>
  <c r="AH17" i="53" s="1"/>
  <c r="AL17" i="53"/>
  <c r="AD12" i="53"/>
  <c r="AE12" i="53" s="1"/>
  <c r="AH12" i="53" s="1"/>
  <c r="AL12" i="53"/>
  <c r="AA11" i="53"/>
  <c r="AG11" i="53" s="1"/>
  <c r="AA15" i="53"/>
  <c r="AA10" i="53"/>
  <c r="AH14" i="53"/>
  <c r="I6" i="53"/>
  <c r="AH13" i="53"/>
  <c r="AH16" i="53"/>
  <c r="AK15" i="53"/>
  <c r="AM15" i="53" s="1"/>
  <c r="AD15" i="53"/>
  <c r="AE15" i="53" s="1"/>
  <c r="AK16" i="53"/>
  <c r="AM16" i="53" s="1"/>
  <c r="AN13" i="53"/>
  <c r="AH18" i="53"/>
  <c r="BK35" i="51"/>
  <c r="BK33" i="51"/>
  <c r="BK45" i="51"/>
  <c r="BJ39" i="51"/>
  <c r="T39" i="51" s="1"/>
  <c r="BK32" i="51"/>
  <c r="BJ47" i="51"/>
  <c r="T47" i="51" s="1"/>
  <c r="BK36" i="51"/>
  <c r="BK48" i="51"/>
  <c r="BJ37" i="51"/>
  <c r="T37" i="51" s="1"/>
  <c r="BK46" i="51"/>
  <c r="BK29" i="51"/>
  <c r="BK42" i="51"/>
  <c r="BJ40" i="51"/>
  <c r="T40" i="51" s="1"/>
  <c r="BJ41" i="51"/>
  <c r="T41" i="51" s="1"/>
  <c r="BJ49" i="51"/>
  <c r="T49" i="51" s="1"/>
  <c r="BK49" i="51"/>
  <c r="BK44" i="51"/>
  <c r="BJ28" i="51"/>
  <c r="T28" i="51" s="1"/>
  <c r="BK43" i="51"/>
  <c r="BK31" i="51"/>
  <c r="BK34" i="51"/>
  <c r="BK38" i="51"/>
  <c r="BV32" i="45"/>
  <c r="BX36" i="45"/>
  <c r="AQ36" i="45" s="1"/>
  <c r="Y143" i="5"/>
  <c r="U143" i="5"/>
  <c r="Y139" i="5"/>
  <c r="Y135" i="5"/>
  <c r="Y141" i="5"/>
  <c r="Y137" i="5"/>
  <c r="Y140" i="5"/>
  <c r="Y136" i="5"/>
  <c r="Y138" i="5"/>
  <c r="Y142" i="5"/>
  <c r="Y144" i="5"/>
  <c r="AY20" i="32"/>
  <c r="Y134" i="5"/>
  <c r="BP43" i="32"/>
  <c r="BQ43" i="32" s="1"/>
  <c r="BT43" i="32"/>
  <c r="BU43" i="32" s="1"/>
  <c r="BZ43" i="32"/>
  <c r="CA43" i="32" s="1"/>
  <c r="BN43" i="32"/>
  <c r="BO43" i="32" s="1"/>
  <c r="BR43" i="32"/>
  <c r="BS43" i="32" s="1"/>
  <c r="BV43" i="32"/>
  <c r="BW43" i="32" s="1"/>
  <c r="CB43" i="32"/>
  <c r="CC43" i="32" s="1"/>
  <c r="BN49" i="32"/>
  <c r="BO49" i="32" s="1"/>
  <c r="BR49" i="32"/>
  <c r="BS49" i="32" s="1"/>
  <c r="BV49" i="32"/>
  <c r="BW49" i="32" s="1"/>
  <c r="CB49" i="32"/>
  <c r="CC49" i="32" s="1"/>
  <c r="BP49" i="32"/>
  <c r="BQ49" i="32" s="1"/>
  <c r="BT49" i="32"/>
  <c r="BU49" i="32" s="1"/>
  <c r="BZ49" i="32"/>
  <c r="CA49" i="32" s="1"/>
  <c r="BP47" i="32"/>
  <c r="BQ47" i="32" s="1"/>
  <c r="BT47" i="32"/>
  <c r="BU47" i="32" s="1"/>
  <c r="BZ47" i="32"/>
  <c r="CA47" i="32" s="1"/>
  <c r="BN47" i="32"/>
  <c r="BO47" i="32" s="1"/>
  <c r="BR47" i="32"/>
  <c r="BS47" i="32" s="1"/>
  <c r="BV47" i="32"/>
  <c r="BW47" i="32" s="1"/>
  <c r="CB47" i="32"/>
  <c r="CC47" i="32" s="1"/>
  <c r="BP32" i="32"/>
  <c r="BQ32" i="32" s="1"/>
  <c r="BT32" i="32"/>
  <c r="BU32" i="32" s="1"/>
  <c r="BZ32" i="32"/>
  <c r="CA32" i="32" s="1"/>
  <c r="BN32" i="32"/>
  <c r="BO32" i="32" s="1"/>
  <c r="BV32" i="32"/>
  <c r="BW32" i="32" s="1"/>
  <c r="CB32" i="32"/>
  <c r="CC32" i="32" s="1"/>
  <c r="BR32" i="32"/>
  <c r="BS32" i="32" s="1"/>
  <c r="BP36" i="32"/>
  <c r="BQ36" i="32" s="1"/>
  <c r="BT36" i="32"/>
  <c r="BU36" i="32" s="1"/>
  <c r="BZ36" i="32"/>
  <c r="CA36" i="32" s="1"/>
  <c r="BN36" i="32"/>
  <c r="BO36" i="32" s="1"/>
  <c r="BV36" i="32"/>
  <c r="BW36" i="32" s="1"/>
  <c r="BR36" i="32"/>
  <c r="BS36" i="32" s="1"/>
  <c r="CB36" i="32"/>
  <c r="CC36" i="32" s="1"/>
  <c r="BN38" i="32"/>
  <c r="BO38" i="32" s="1"/>
  <c r="BR38" i="32"/>
  <c r="BS38" i="32" s="1"/>
  <c r="BV38" i="32"/>
  <c r="BW38" i="32" s="1"/>
  <c r="CB38" i="32"/>
  <c r="CC38" i="32" s="1"/>
  <c r="BT38" i="32"/>
  <c r="BU38" i="32" s="1"/>
  <c r="BP38" i="32"/>
  <c r="BQ38" i="32" s="1"/>
  <c r="BZ38" i="32"/>
  <c r="CA38" i="32" s="1"/>
  <c r="BN34" i="32"/>
  <c r="BO34" i="32" s="1"/>
  <c r="BR34" i="32"/>
  <c r="BS34" i="32" s="1"/>
  <c r="BV34" i="32"/>
  <c r="BW34" i="32" s="1"/>
  <c r="CB34" i="32"/>
  <c r="CC34" i="32" s="1"/>
  <c r="BT34" i="32"/>
  <c r="BU34" i="32" s="1"/>
  <c r="BP34" i="32"/>
  <c r="BQ34" i="32" s="1"/>
  <c r="BZ34" i="32"/>
  <c r="CA34" i="32" s="1"/>
  <c r="BP39" i="32"/>
  <c r="BQ39" i="32" s="1"/>
  <c r="BT39" i="32"/>
  <c r="BU39" i="32" s="1"/>
  <c r="BZ39" i="32"/>
  <c r="CA39" i="32" s="1"/>
  <c r="BN39" i="32"/>
  <c r="BO39" i="32" s="1"/>
  <c r="BR39" i="32"/>
  <c r="BS39" i="32" s="1"/>
  <c r="BV39" i="32"/>
  <c r="BW39" i="32" s="1"/>
  <c r="CB39" i="32"/>
  <c r="CC39" i="32" s="1"/>
  <c r="BN42" i="32"/>
  <c r="BO42" i="32" s="1"/>
  <c r="BR42" i="32"/>
  <c r="BS42" i="32" s="1"/>
  <c r="BV42" i="32"/>
  <c r="BW42" i="32" s="1"/>
  <c r="CB42" i="32"/>
  <c r="CC42" i="32" s="1"/>
  <c r="BP42" i="32"/>
  <c r="BQ42" i="32" s="1"/>
  <c r="BZ42" i="32"/>
  <c r="CA42" i="32" s="1"/>
  <c r="BT42" i="32"/>
  <c r="BU42" i="32" s="1"/>
  <c r="BP40" i="32"/>
  <c r="BQ40" i="32" s="1"/>
  <c r="BT40" i="32"/>
  <c r="BU40" i="32" s="1"/>
  <c r="BZ40" i="32"/>
  <c r="CA40" i="32" s="1"/>
  <c r="BR40" i="32"/>
  <c r="BS40" i="32" s="1"/>
  <c r="CB40" i="32"/>
  <c r="CC40" i="32" s="1"/>
  <c r="BN40" i="32"/>
  <c r="BO40" i="32" s="1"/>
  <c r="BV40" i="32"/>
  <c r="BW40" i="32" s="1"/>
  <c r="BP35" i="32"/>
  <c r="BQ35" i="32" s="1"/>
  <c r="BT35" i="32"/>
  <c r="BU35" i="32" s="1"/>
  <c r="BZ35" i="32"/>
  <c r="CA35" i="32" s="1"/>
  <c r="BN35" i="32"/>
  <c r="BO35" i="32" s="1"/>
  <c r="BR35" i="32"/>
  <c r="BS35" i="32" s="1"/>
  <c r="BV35" i="32"/>
  <c r="BW35" i="32" s="1"/>
  <c r="CB35" i="32"/>
  <c r="CC35" i="32" s="1"/>
  <c r="BN37" i="32"/>
  <c r="BO37" i="32" s="1"/>
  <c r="BR37" i="32"/>
  <c r="BS37" i="32" s="1"/>
  <c r="BV37" i="32"/>
  <c r="BW37" i="32" s="1"/>
  <c r="CB37" i="32"/>
  <c r="CC37" i="32" s="1"/>
  <c r="BP37" i="32"/>
  <c r="BQ37" i="32" s="1"/>
  <c r="BT37" i="32"/>
  <c r="BU37" i="32" s="1"/>
  <c r="BZ37" i="32"/>
  <c r="CA37" i="32" s="1"/>
  <c r="BN33" i="32"/>
  <c r="BO33" i="32" s="1"/>
  <c r="BR33" i="32"/>
  <c r="BS33" i="32" s="1"/>
  <c r="BV33" i="32"/>
  <c r="BW33" i="32" s="1"/>
  <c r="CB33" i="32"/>
  <c r="CC33" i="32" s="1"/>
  <c r="BP33" i="32"/>
  <c r="BQ33" i="32" s="1"/>
  <c r="BT33" i="32"/>
  <c r="BU33" i="32" s="1"/>
  <c r="BZ33" i="32"/>
  <c r="CA33" i="32" s="1"/>
  <c r="BN50" i="32"/>
  <c r="BO50" i="32" s="1"/>
  <c r="BR50" i="32"/>
  <c r="BS50" i="32" s="1"/>
  <c r="BV50" i="32"/>
  <c r="BW50" i="32" s="1"/>
  <c r="CB50" i="32"/>
  <c r="CC50" i="32" s="1"/>
  <c r="BT50" i="32"/>
  <c r="BU50" i="32" s="1"/>
  <c r="BP50" i="32"/>
  <c r="BQ50" i="32" s="1"/>
  <c r="BZ50" i="32"/>
  <c r="CA50" i="32" s="1"/>
  <c r="BP44" i="32"/>
  <c r="BQ44" i="32" s="1"/>
  <c r="BT44" i="32"/>
  <c r="BU44" i="32" s="1"/>
  <c r="BZ44" i="32"/>
  <c r="CA44" i="32" s="1"/>
  <c r="BR44" i="32"/>
  <c r="BS44" i="32" s="1"/>
  <c r="CB44" i="32"/>
  <c r="CC44" i="32" s="1"/>
  <c r="BN44" i="32"/>
  <c r="BO44" i="32" s="1"/>
  <c r="BV44" i="32"/>
  <c r="BW44" i="32" s="1"/>
  <c r="BN46" i="32"/>
  <c r="BO46" i="32" s="1"/>
  <c r="BR46" i="32"/>
  <c r="BS46" i="32" s="1"/>
  <c r="BV46" i="32"/>
  <c r="BW46" i="32" s="1"/>
  <c r="CB46" i="32"/>
  <c r="CC46" i="32" s="1"/>
  <c r="BP46" i="32"/>
  <c r="BQ46" i="32" s="1"/>
  <c r="BZ46" i="32"/>
  <c r="CA46" i="32" s="1"/>
  <c r="BT46" i="32"/>
  <c r="BU46" i="32" s="1"/>
  <c r="BN41" i="32"/>
  <c r="BO41" i="32" s="1"/>
  <c r="BR41" i="32"/>
  <c r="BS41" i="32" s="1"/>
  <c r="BV41" i="32"/>
  <c r="BW41" i="32" s="1"/>
  <c r="CB41" i="32"/>
  <c r="CC41" i="32" s="1"/>
  <c r="BP41" i="32"/>
  <c r="BQ41" i="32" s="1"/>
  <c r="BT41" i="32"/>
  <c r="BU41" i="32" s="1"/>
  <c r="BZ41" i="32"/>
  <c r="CA41" i="32" s="1"/>
  <c r="Z41" i="32"/>
  <c r="Z51" i="32"/>
  <c r="Z36" i="32"/>
  <c r="Z48" i="32"/>
  <c r="Z26" i="32"/>
  <c r="Z43" i="32"/>
  <c r="Z52" i="32"/>
  <c r="Z38" i="32"/>
  <c r="Z30" i="32"/>
  <c r="Z50" i="32"/>
  <c r="Z25" i="32"/>
  <c r="Z53" i="32"/>
  <c r="Z47" i="32"/>
  <c r="Z46" i="32"/>
  <c r="Z35" i="32"/>
  <c r="Z39" i="32"/>
  <c r="Z49" i="32"/>
  <c r="Z37" i="32"/>
  <c r="Z33" i="32"/>
  <c r="Z27" i="32"/>
  <c r="Z45" i="32"/>
  <c r="Z44" i="32"/>
  <c r="Z29" i="32"/>
  <c r="Z34" i="32"/>
  <c r="Z40" i="32"/>
  <c r="Z31" i="32"/>
  <c r="Z28" i="32"/>
  <c r="Z42" i="32"/>
  <c r="Z32" i="32"/>
  <c r="L62" i="51"/>
  <c r="L58" i="51"/>
  <c r="L59" i="51"/>
  <c r="L30" i="51"/>
  <c r="L51" i="51"/>
  <c r="L55" i="51"/>
  <c r="G39" i="51" l="1"/>
  <c r="H39" i="51"/>
  <c r="G37" i="51"/>
  <c r="H37" i="51"/>
  <c r="G40" i="51"/>
  <c r="H40" i="51"/>
  <c r="L40" i="51" s="1"/>
  <c r="H46" i="51"/>
  <c r="G46" i="51"/>
  <c r="G48" i="51"/>
  <c r="H48" i="51"/>
  <c r="H47" i="51"/>
  <c r="G47" i="51"/>
  <c r="G35" i="51"/>
  <c r="H35" i="51"/>
  <c r="L35" i="51" s="1"/>
  <c r="H42" i="51"/>
  <c r="G42" i="51"/>
  <c r="G32" i="51"/>
  <c r="H32" i="51"/>
  <c r="G45" i="51"/>
  <c r="H45" i="51"/>
  <c r="G33" i="51"/>
  <c r="H33" i="51"/>
  <c r="L33" i="51" s="1"/>
  <c r="G29" i="51"/>
  <c r="H29" i="51"/>
  <c r="L29" i="51" s="1"/>
  <c r="H36" i="51"/>
  <c r="L36" i="51" s="1"/>
  <c r="G36" i="51"/>
  <c r="M62" i="51"/>
  <c r="M63" i="51"/>
  <c r="M55" i="51"/>
  <c r="M51" i="51"/>
  <c r="M59" i="51"/>
  <c r="M30" i="51"/>
  <c r="M58" i="51"/>
  <c r="CS37" i="32"/>
  <c r="CS33" i="32"/>
  <c r="CS41" i="32"/>
  <c r="CS44" i="32"/>
  <c r="Q62" i="51"/>
  <c r="U62" i="51"/>
  <c r="P62" i="51"/>
  <c r="R62" i="51" s="1"/>
  <c r="O62" i="51"/>
  <c r="K62" i="51"/>
  <c r="O63" i="51"/>
  <c r="Q63" i="51"/>
  <c r="U63" i="51"/>
  <c r="P63" i="51"/>
  <c r="R63" i="51" s="1"/>
  <c r="K63" i="51"/>
  <c r="P55" i="51"/>
  <c r="R55" i="51" s="1"/>
  <c r="K55" i="51"/>
  <c r="Q55" i="51"/>
  <c r="O55" i="51"/>
  <c r="U55" i="51"/>
  <c r="CS43" i="32"/>
  <c r="CS40" i="32"/>
  <c r="O51" i="51"/>
  <c r="U51" i="51"/>
  <c r="P51" i="51"/>
  <c r="R51" i="51" s="1"/>
  <c r="K51" i="51"/>
  <c r="Q51" i="51"/>
  <c r="CS50" i="32"/>
  <c r="CS52" i="32"/>
  <c r="CS51" i="32"/>
  <c r="CS39" i="32"/>
  <c r="CS46" i="32"/>
  <c r="CS36" i="32"/>
  <c r="CS49" i="32"/>
  <c r="Q59" i="51"/>
  <c r="O59" i="51"/>
  <c r="U59" i="51"/>
  <c r="P59" i="51"/>
  <c r="R59" i="51" s="1"/>
  <c r="K59" i="51"/>
  <c r="K30" i="51"/>
  <c r="Q30" i="51"/>
  <c r="P30" i="51"/>
  <c r="R30" i="51" s="1"/>
  <c r="U30" i="51"/>
  <c r="O30" i="51"/>
  <c r="U58" i="51"/>
  <c r="P58" i="51"/>
  <c r="R58" i="51" s="1"/>
  <c r="O58" i="51"/>
  <c r="K58" i="51"/>
  <c r="Q58" i="51"/>
  <c r="AI12" i="53"/>
  <c r="AI16" i="53"/>
  <c r="AI13" i="53"/>
  <c r="AI17" i="53"/>
  <c r="AI18" i="53"/>
  <c r="AI14" i="53"/>
  <c r="AI19" i="53"/>
  <c r="T21" i="53"/>
  <c r="AI20" i="53"/>
  <c r="U4" i="55"/>
  <c r="V11" i="53"/>
  <c r="AD11" i="53" s="1"/>
  <c r="AE11" i="53" s="1"/>
  <c r="AH11" i="53" s="1"/>
  <c r="AI11" i="53" s="1"/>
  <c r="V10" i="53"/>
  <c r="AD10" i="53" s="1"/>
  <c r="AE10" i="53" s="1"/>
  <c r="AH10" i="53" s="1"/>
  <c r="AI10" i="53" s="1"/>
  <c r="W20" i="42"/>
  <c r="BK27" i="51"/>
  <c r="I27" i="51"/>
  <c r="M13" i="37"/>
  <c r="S9" i="54" s="1"/>
  <c r="O61" i="5"/>
  <c r="J21" i="56"/>
  <c r="AG10" i="53"/>
  <c r="BD25" i="51"/>
  <c r="AH15" i="53"/>
  <c r="AI15" i="53" s="1"/>
  <c r="AN15" i="53"/>
  <c r="AN16" i="53"/>
  <c r="V135" i="5"/>
  <c r="V139" i="5"/>
  <c r="V134" i="5"/>
  <c r="BE28" i="51"/>
  <c r="BF28" i="51" s="1"/>
  <c r="BE29" i="51"/>
  <c r="BF29" i="51" s="1"/>
  <c r="BN31" i="32"/>
  <c r="BO31" i="32" s="1"/>
  <c r="BV31" i="32"/>
  <c r="BW31" i="32" s="1"/>
  <c r="BT31" i="32"/>
  <c r="BU31" i="32" s="1"/>
  <c r="CB31" i="32"/>
  <c r="CC31" i="32" s="1"/>
  <c r="BZ31" i="32"/>
  <c r="CA31" i="32" s="1"/>
  <c r="BR31" i="32"/>
  <c r="BS31" i="32" s="1"/>
  <c r="BP31" i="32"/>
  <c r="BQ31" i="32" s="1"/>
  <c r="V137" i="5"/>
  <c r="V138" i="5"/>
  <c r="V140" i="5"/>
  <c r="V136" i="5"/>
  <c r="L39" i="51"/>
  <c r="L45" i="51"/>
  <c r="L48" i="51"/>
  <c r="L46" i="51"/>
  <c r="L37" i="51"/>
  <c r="L42" i="51"/>
  <c r="L32" i="51"/>
  <c r="L47" i="51"/>
  <c r="H27" i="51" l="1"/>
  <c r="L27" i="51" s="1"/>
  <c r="M45" i="51"/>
  <c r="M32" i="51"/>
  <c r="M47" i="51"/>
  <c r="M33" i="51"/>
  <c r="M37" i="51"/>
  <c r="M42" i="51"/>
  <c r="M48" i="51"/>
  <c r="M46" i="51"/>
  <c r="M36" i="51"/>
  <c r="M40" i="51"/>
  <c r="M35" i="51"/>
  <c r="M39" i="51"/>
  <c r="M29" i="51"/>
  <c r="CS31" i="32"/>
  <c r="Q45" i="51"/>
  <c r="O45" i="51"/>
  <c r="K45" i="51"/>
  <c r="P45" i="51"/>
  <c r="R45" i="51" s="1"/>
  <c r="U45" i="51"/>
  <c r="K32" i="51"/>
  <c r="P32" i="51"/>
  <c r="R32" i="51" s="1"/>
  <c r="O32" i="51"/>
  <c r="Q32" i="51"/>
  <c r="U32" i="51"/>
  <c r="Q47" i="51"/>
  <c r="O47" i="51"/>
  <c r="P47" i="51"/>
  <c r="R47" i="51" s="1"/>
  <c r="U47" i="51"/>
  <c r="K47" i="51"/>
  <c r="P33" i="51"/>
  <c r="R33" i="51" s="1"/>
  <c r="K33" i="51"/>
  <c r="U33" i="51"/>
  <c r="O33" i="51"/>
  <c r="Q33" i="51"/>
  <c r="P37" i="51"/>
  <c r="R37" i="51" s="1"/>
  <c r="K37" i="51"/>
  <c r="U37" i="51"/>
  <c r="O37" i="51"/>
  <c r="Q37" i="51"/>
  <c r="K42" i="51"/>
  <c r="O42" i="51"/>
  <c r="Q42" i="51"/>
  <c r="U42" i="51"/>
  <c r="P42" i="51"/>
  <c r="R42" i="51" s="1"/>
  <c r="Q48" i="51"/>
  <c r="P48" i="51"/>
  <c r="R48" i="51" s="1"/>
  <c r="U48" i="51"/>
  <c r="K48" i="51"/>
  <c r="O48" i="51"/>
  <c r="U46" i="51"/>
  <c r="K46" i="51"/>
  <c r="P46" i="51"/>
  <c r="R46" i="51" s="1"/>
  <c r="O46" i="51"/>
  <c r="Q46" i="51"/>
  <c r="O36" i="51"/>
  <c r="Q36" i="51"/>
  <c r="U36" i="51"/>
  <c r="P36" i="51"/>
  <c r="R36" i="51" s="1"/>
  <c r="K36" i="51"/>
  <c r="P40" i="51"/>
  <c r="R40" i="51" s="1"/>
  <c r="U40" i="51"/>
  <c r="Q40" i="51"/>
  <c r="O40" i="51"/>
  <c r="K40" i="51"/>
  <c r="K35" i="51"/>
  <c r="U35" i="51"/>
  <c r="Q35" i="51"/>
  <c r="O35" i="51"/>
  <c r="P35" i="51"/>
  <c r="R35" i="51" s="1"/>
  <c r="K39" i="51"/>
  <c r="U39" i="51"/>
  <c r="Q39" i="51"/>
  <c r="O39" i="51"/>
  <c r="P39" i="51"/>
  <c r="R39" i="51" s="1"/>
  <c r="O29" i="51"/>
  <c r="U29" i="51"/>
  <c r="P29" i="51"/>
  <c r="R29" i="51" s="1"/>
  <c r="K29" i="51"/>
  <c r="Q29" i="51"/>
  <c r="T22" i="53"/>
  <c r="AI21" i="53"/>
  <c r="M7" i="37"/>
  <c r="BV26" i="45"/>
  <c r="CL31" i="32"/>
  <c r="CM31" i="32" s="1"/>
  <c r="AH6" i="53"/>
  <c r="AZ34" i="45"/>
  <c r="AZ33" i="45"/>
  <c r="AZ38" i="45"/>
  <c r="AZ35" i="45"/>
  <c r="AZ41" i="45"/>
  <c r="AZ32" i="45"/>
  <c r="AZ31" i="45"/>
  <c r="AZ40" i="45"/>
  <c r="AZ29" i="45"/>
  <c r="AZ37" i="45"/>
  <c r="BE33" i="51"/>
  <c r="BF33" i="51" s="1"/>
  <c r="BE32" i="51"/>
  <c r="BF32" i="51" s="1"/>
  <c r="BE30" i="51"/>
  <c r="BF30" i="51" s="1"/>
  <c r="BE27" i="51"/>
  <c r="CB30" i="32"/>
  <c r="CC30" i="32" s="1"/>
  <c r="BN30" i="32"/>
  <c r="BO30" i="32" s="1"/>
  <c r="BP30" i="32"/>
  <c r="BQ30" i="32" s="1"/>
  <c r="BS30" i="32"/>
  <c r="BZ30" i="32"/>
  <c r="CA30" i="32" s="1"/>
  <c r="BV30" i="32"/>
  <c r="BW30" i="32" s="1"/>
  <c r="BU30" i="32"/>
  <c r="M27" i="51" l="1"/>
  <c r="Q27" i="51"/>
  <c r="K27" i="51"/>
  <c r="O27" i="51"/>
  <c r="U27" i="51"/>
  <c r="P27" i="51"/>
  <c r="R27" i="51" s="1"/>
  <c r="T23" i="53"/>
  <c r="AI22" i="53"/>
  <c r="S61" i="5"/>
  <c r="BD22" i="51"/>
  <c r="AZ27" i="45"/>
  <c r="BE36" i="51"/>
  <c r="BF36" i="51" s="1"/>
  <c r="BE31" i="51"/>
  <c r="BF31" i="51" s="1"/>
  <c r="BE37" i="51"/>
  <c r="BF37" i="51" s="1"/>
  <c r="BN33" i="45"/>
  <c r="BQ31" i="45"/>
  <c r="BO31" i="45"/>
  <c r="BJ31" i="45"/>
  <c r="BV31" i="45"/>
  <c r="BS33" i="45"/>
  <c r="BM31" i="45"/>
  <c r="BJ33" i="45"/>
  <c r="BU33" i="45"/>
  <c r="BT33" i="45"/>
  <c r="BR31" i="45"/>
  <c r="BO33" i="45"/>
  <c r="BV33" i="45"/>
  <c r="BT31" i="45"/>
  <c r="BQ33" i="45"/>
  <c r="BS31" i="45"/>
  <c r="BP33" i="45"/>
  <c r="BN31" i="45"/>
  <c r="BK33" i="45"/>
  <c r="BU31" i="45"/>
  <c r="BR33" i="45"/>
  <c r="BP31" i="45"/>
  <c r="BM33" i="45"/>
  <c r="BL33" i="45"/>
  <c r="CL30" i="32"/>
  <c r="CM30" i="32" s="1"/>
  <c r="BL31" i="45"/>
  <c r="BK31" i="45"/>
  <c r="Q31" i="5"/>
  <c r="T24" i="53" l="1"/>
  <c r="AI23" i="53"/>
  <c r="BD26" i="51"/>
  <c r="BV35" i="45"/>
  <c r="BV27" i="45"/>
  <c r="BE35" i="51"/>
  <c r="BF35" i="51" s="1"/>
  <c r="BE41" i="51"/>
  <c r="BF41" i="51" s="1"/>
  <c r="BE34" i="51"/>
  <c r="BF34" i="51" s="1"/>
  <c r="BE40" i="51"/>
  <c r="BF40" i="51" s="1"/>
  <c r="BE44" i="51"/>
  <c r="BF44" i="51" s="1"/>
  <c r="BE38" i="51"/>
  <c r="BF38" i="51" s="1"/>
  <c r="BE39" i="51"/>
  <c r="BF39" i="51" s="1"/>
  <c r="BX33" i="45"/>
  <c r="AQ33" i="45" s="1"/>
  <c r="BX31" i="45"/>
  <c r="AQ31" i="45" s="1"/>
  <c r="V35" i="45"/>
  <c r="R35" i="45"/>
  <c r="R32" i="45"/>
  <c r="T32" i="45"/>
  <c r="AJ32" i="45"/>
  <c r="X32" i="45"/>
  <c r="AD32" i="45"/>
  <c r="AL32" i="45"/>
  <c r="AB32" i="45"/>
  <c r="V32" i="45"/>
  <c r="AH35" i="45"/>
  <c r="X35" i="45"/>
  <c r="AD35" i="45"/>
  <c r="AF32" i="45"/>
  <c r="AJ35" i="45"/>
  <c r="T35" i="45"/>
  <c r="P32" i="45"/>
  <c r="Z32" i="45"/>
  <c r="AH32" i="45"/>
  <c r="Z35" i="45"/>
  <c r="AB35" i="45"/>
  <c r="AL35" i="45"/>
  <c r="AF35" i="45"/>
  <c r="P35" i="45"/>
  <c r="Z40" i="45"/>
  <c r="P42" i="45"/>
  <c r="AL40" i="45"/>
  <c r="X42" i="45"/>
  <c r="R40" i="45"/>
  <c r="T42" i="45"/>
  <c r="AF42" i="45"/>
  <c r="AH40" i="45"/>
  <c r="X40" i="45"/>
  <c r="AJ40" i="45"/>
  <c r="AD40" i="45"/>
  <c r="T40" i="45"/>
  <c r="Z42" i="45"/>
  <c r="AH42" i="45"/>
  <c r="V42" i="45"/>
  <c r="AJ42" i="45"/>
  <c r="AL42" i="45"/>
  <c r="AB42" i="45"/>
  <c r="P40" i="45"/>
  <c r="AF40" i="45"/>
  <c r="V40" i="45"/>
  <c r="R42" i="45"/>
  <c r="AB40" i="45"/>
  <c r="AD42" i="45"/>
  <c r="BN42" i="45" l="1"/>
  <c r="BP35" i="45"/>
  <c r="BT35" i="45"/>
  <c r="BL42" i="45"/>
  <c r="BP42" i="45"/>
  <c r="BN32" i="45"/>
  <c r="BR35" i="45"/>
  <c r="BJ40" i="45"/>
  <c r="BM42" i="45"/>
  <c r="BU32" i="45"/>
  <c r="BQ32" i="45"/>
  <c r="BN40" i="45"/>
  <c r="BT32" i="45"/>
  <c r="BJ42" i="45"/>
  <c r="BQ40" i="45"/>
  <c r="BL35" i="45"/>
  <c r="BO35" i="45"/>
  <c r="BR32" i="45"/>
  <c r="BL32" i="45"/>
  <c r="BU42" i="45"/>
  <c r="BM32" i="45"/>
  <c r="BK40" i="45"/>
  <c r="BK42" i="45"/>
  <c r="BS32" i="45"/>
  <c r="BQ35" i="45"/>
  <c r="BK32" i="45"/>
  <c r="BJ35" i="45"/>
  <c r="BS42" i="45"/>
  <c r="BR40" i="45"/>
  <c r="BM40" i="45"/>
  <c r="BL40" i="45"/>
  <c r="BT40" i="45"/>
  <c r="BT42" i="45"/>
  <c r="BU40" i="45"/>
  <c r="BO32" i="45"/>
  <c r="BQ42" i="45"/>
  <c r="BR42" i="45"/>
  <c r="BN35" i="45"/>
  <c r="BK35" i="45"/>
  <c r="BO42" i="45"/>
  <c r="BO40" i="45"/>
  <c r="BU35" i="45"/>
  <c r="BJ32" i="45"/>
  <c r="BS35" i="45"/>
  <c r="BP40" i="45"/>
  <c r="BM35" i="45"/>
  <c r="BS40" i="45"/>
  <c r="BP32" i="45"/>
  <c r="T25" i="53"/>
  <c r="AI24" i="53"/>
  <c r="H13" i="56"/>
  <c r="BE45" i="51"/>
  <c r="BF45" i="51" s="1"/>
  <c r="BE49" i="51"/>
  <c r="BF49" i="51" s="1"/>
  <c r="BE48" i="51"/>
  <c r="BF48" i="51" s="1"/>
  <c r="BE43" i="51"/>
  <c r="BF43" i="51" s="1"/>
  <c r="BD21" i="51" l="1"/>
  <c r="BX35" i="45"/>
  <c r="AQ35" i="45" s="1"/>
  <c r="BX32" i="45"/>
  <c r="AQ32" i="45" s="1"/>
  <c r="BX42" i="45"/>
  <c r="AQ42" i="45" s="1"/>
  <c r="BX40" i="45"/>
  <c r="AQ40" i="45" s="1"/>
  <c r="T26" i="53"/>
  <c r="AI25" i="53"/>
  <c r="BE42" i="51"/>
  <c r="BF42" i="51" s="1"/>
  <c r="BE47" i="51"/>
  <c r="BF47" i="51" s="1"/>
  <c r="T27" i="53" l="1"/>
  <c r="AI26" i="53"/>
  <c r="BE52" i="51"/>
  <c r="BF52" i="51" s="1"/>
  <c r="BE46" i="51"/>
  <c r="BF46" i="51" s="1"/>
  <c r="BE53" i="51"/>
  <c r="BF53" i="51" s="1"/>
  <c r="BE51" i="51"/>
  <c r="BF51" i="51" s="1"/>
  <c r="AE18" i="51" l="1"/>
  <c r="AS18" i="51" s="1"/>
  <c r="BA18" i="51" s="1"/>
  <c r="BB18" i="51" s="1"/>
  <c r="BD18" i="51" s="1"/>
  <c r="AE22" i="51"/>
  <c r="AS22" i="51" s="1"/>
  <c r="BA22" i="51" s="1"/>
  <c r="BB22" i="51" s="1"/>
  <c r="BE22" i="51" s="1"/>
  <c r="AE24" i="51"/>
  <c r="AS24" i="51" s="1"/>
  <c r="BA24" i="51" s="1"/>
  <c r="BB24" i="51" s="1"/>
  <c r="AE20" i="51"/>
  <c r="AS20" i="51" s="1"/>
  <c r="BA20" i="51" s="1"/>
  <c r="BB20" i="51" s="1"/>
  <c r="BD20" i="51" s="1"/>
  <c r="AE26" i="51"/>
  <c r="AS26" i="51" s="1"/>
  <c r="BA26" i="51" s="1"/>
  <c r="BB26" i="51" s="1"/>
  <c r="BE26" i="51" s="1"/>
  <c r="AE21" i="51"/>
  <c r="AS21" i="51" s="1"/>
  <c r="BA21" i="51" s="1"/>
  <c r="BB21" i="51" s="1"/>
  <c r="BE21" i="51" s="1"/>
  <c r="AE23" i="51"/>
  <c r="AS23" i="51" s="1"/>
  <c r="AE19" i="51"/>
  <c r="AS19" i="51" s="1"/>
  <c r="BA19" i="51" s="1"/>
  <c r="BB19" i="51" s="1"/>
  <c r="BE19" i="51" s="1"/>
  <c r="AE25" i="51"/>
  <c r="AS25" i="51" s="1"/>
  <c r="BA25" i="51" s="1"/>
  <c r="BB25" i="51" s="1"/>
  <c r="BE25" i="51" s="1"/>
  <c r="AE27" i="51"/>
  <c r="BI23" i="51"/>
  <c r="BI27" i="32" s="1"/>
  <c r="BA23" i="51"/>
  <c r="BB23" i="51" s="1"/>
  <c r="BE23" i="51" s="1"/>
  <c r="BD19" i="51"/>
  <c r="T28" i="53"/>
  <c r="AI27" i="53"/>
  <c r="BE50" i="51"/>
  <c r="BF50" i="51" s="1"/>
  <c r="BE57" i="51"/>
  <c r="BF57" i="51" s="1"/>
  <c r="BE60" i="51"/>
  <c r="BF60" i="51" s="1"/>
  <c r="BE56" i="51"/>
  <c r="BF56" i="51" s="1"/>
  <c r="L134" i="5"/>
  <c r="L140" i="5"/>
  <c r="L136" i="5"/>
  <c r="L141" i="5"/>
  <c r="L137" i="5"/>
  <c r="L145" i="5"/>
  <c r="L139" i="5"/>
  <c r="L138" i="5"/>
  <c r="L143" i="5"/>
  <c r="L144" i="5"/>
  <c r="L147" i="5"/>
  <c r="L142" i="5"/>
  <c r="L135" i="5"/>
  <c r="L146" i="5"/>
  <c r="AF27" i="45"/>
  <c r="AH27" i="45"/>
  <c r="AD27" i="45"/>
  <c r="X27" i="45"/>
  <c r="X26" i="45"/>
  <c r="R27" i="45"/>
  <c r="AB27" i="45"/>
  <c r="AL26" i="45"/>
  <c r="AF26" i="45"/>
  <c r="J31" i="32"/>
  <c r="V27" i="45"/>
  <c r="T26" i="45"/>
  <c r="K24" i="32"/>
  <c r="T27" i="45"/>
  <c r="AD26" i="45"/>
  <c r="P26" i="45"/>
  <c r="AL27" i="45"/>
  <c r="P27" i="45"/>
  <c r="K28" i="32"/>
  <c r="J29" i="32"/>
  <c r="R26" i="45"/>
  <c r="AJ27" i="45"/>
  <c r="K26" i="32"/>
  <c r="J27" i="32"/>
  <c r="J30" i="32"/>
  <c r="K31" i="32"/>
  <c r="J28" i="32"/>
  <c r="K23" i="32"/>
  <c r="Z27" i="45"/>
  <c r="AH26" i="45"/>
  <c r="J24" i="32"/>
  <c r="K29" i="32"/>
  <c r="K30" i="32"/>
  <c r="K25" i="32"/>
  <c r="V26" i="45"/>
  <c r="Z26" i="45"/>
  <c r="AJ26" i="45"/>
  <c r="AB26" i="45"/>
  <c r="J25" i="32"/>
  <c r="K27" i="32"/>
  <c r="K22" i="32"/>
  <c r="J26" i="32"/>
  <c r="J22" i="32"/>
  <c r="J23" i="32"/>
  <c r="BX107" i="51"/>
  <c r="CH54" i="51"/>
  <c r="CA65" i="51"/>
  <c r="BX65" i="51"/>
  <c r="DL119" i="51"/>
  <c r="CI62" i="51"/>
  <c r="CD59" i="51"/>
  <c r="BT55" i="51"/>
  <c r="BS66" i="51"/>
  <c r="DK98" i="51"/>
  <c r="DG118" i="51"/>
  <c r="CT110" i="51"/>
  <c r="DJ164" i="51"/>
  <c r="BV166" i="51"/>
  <c r="DG113" i="51"/>
  <c r="CR115" i="51"/>
  <c r="CL119" i="51"/>
  <c r="DC122" i="51"/>
  <c r="BX79" i="51"/>
  <c r="CD122" i="51"/>
  <c r="BT60" i="51"/>
  <c r="CZ119" i="51"/>
  <c r="DC50" i="51"/>
  <c r="DD108" i="51"/>
  <c r="DJ112" i="51"/>
  <c r="CY119" i="51"/>
  <c r="CG66" i="51"/>
  <c r="CA106" i="51"/>
  <c r="BQ113" i="51"/>
  <c r="CC116" i="51"/>
  <c r="BQ52" i="51"/>
  <c r="CF117" i="51"/>
  <c r="CX118" i="51"/>
  <c r="BX59" i="51"/>
  <c r="BR112" i="51"/>
  <c r="CF53" i="51"/>
  <c r="BW54" i="51"/>
  <c r="BT107" i="51"/>
  <c r="CR172" i="51"/>
  <c r="CX106" i="51"/>
  <c r="CZ106" i="51"/>
  <c r="CC52" i="51"/>
  <c r="CB121" i="51"/>
  <c r="CI53" i="51"/>
  <c r="BW60" i="51"/>
  <c r="CG113" i="51"/>
  <c r="BQ50" i="51"/>
  <c r="CP122" i="51"/>
  <c r="BV53" i="51"/>
  <c r="CT106" i="51"/>
  <c r="DF50" i="51"/>
  <c r="CN161" i="51"/>
  <c r="CQ51" i="51"/>
  <c r="CC111" i="51"/>
  <c r="CO88" i="51"/>
  <c r="CA116" i="51"/>
  <c r="CI61" i="51"/>
  <c r="CS106" i="51"/>
  <c r="CY55" i="51"/>
  <c r="DI62" i="51"/>
  <c r="DF120" i="51"/>
  <c r="CQ117" i="51"/>
  <c r="DH65" i="51"/>
  <c r="BR105" i="51"/>
  <c r="BZ171" i="51"/>
  <c r="DG54" i="51"/>
  <c r="DG120" i="51"/>
  <c r="BY121" i="51"/>
  <c r="CP64" i="51"/>
  <c r="DG112" i="51"/>
  <c r="BX119" i="51"/>
  <c r="DG115" i="51"/>
  <c r="BY62" i="51"/>
  <c r="BS170" i="51"/>
  <c r="CF114" i="51"/>
  <c r="BS58" i="51"/>
  <c r="CT56" i="51"/>
  <c r="BS169" i="51"/>
  <c r="CI35" i="51"/>
  <c r="CR79" i="51"/>
  <c r="CG30" i="51"/>
  <c r="DH60" i="51"/>
  <c r="CW67" i="51"/>
  <c r="CI33" i="51"/>
  <c r="CC62" i="51"/>
  <c r="DH100" i="51"/>
  <c r="CG118" i="51"/>
  <c r="DI60" i="51"/>
  <c r="CS52" i="51"/>
  <c r="CL112" i="51"/>
  <c r="DH109" i="51"/>
  <c r="BP64" i="51"/>
  <c r="CK163" i="51"/>
  <c r="CB61" i="51"/>
  <c r="CE60" i="51"/>
  <c r="DM106" i="51"/>
  <c r="CU58" i="51"/>
  <c r="DA105" i="51"/>
  <c r="CZ113" i="51"/>
  <c r="CP173" i="51"/>
  <c r="BW63" i="51"/>
  <c r="CD116" i="51"/>
  <c r="CP112" i="51"/>
  <c r="DJ92" i="51"/>
  <c r="CA108" i="51"/>
  <c r="BS64" i="51"/>
  <c r="CJ62" i="51"/>
  <c r="DG177" i="51"/>
  <c r="CT50" i="51"/>
  <c r="BQ51" i="51"/>
  <c r="BY160" i="51"/>
  <c r="BW167" i="51"/>
  <c r="CX100" i="51"/>
  <c r="BY112" i="51"/>
  <c r="CT120" i="51"/>
  <c r="CD106" i="51"/>
  <c r="CJ82" i="51"/>
  <c r="BW111" i="51"/>
  <c r="BS106" i="51"/>
  <c r="CD58" i="51"/>
  <c r="DD110" i="51"/>
  <c r="DG55" i="51"/>
  <c r="BY161" i="51"/>
  <c r="CT113" i="51"/>
  <c r="CB51" i="51"/>
  <c r="DC96" i="51"/>
  <c r="CD169" i="51"/>
  <c r="CD105" i="51"/>
  <c r="DC109" i="51"/>
  <c r="DK63" i="51"/>
  <c r="BS54" i="51"/>
  <c r="DD61" i="51"/>
  <c r="CI109" i="51"/>
  <c r="CT116" i="51"/>
  <c r="CU81" i="51"/>
  <c r="DC112" i="51"/>
  <c r="CK110" i="51"/>
  <c r="BR85" i="51"/>
  <c r="DF60" i="51"/>
  <c r="CF111" i="51"/>
  <c r="DM107" i="51"/>
  <c r="CB116" i="51"/>
  <c r="DI109" i="51"/>
  <c r="CA57" i="51"/>
  <c r="CR105" i="51"/>
  <c r="DH112" i="51"/>
  <c r="DF54" i="51"/>
  <c r="BU112" i="51"/>
  <c r="CC55" i="51"/>
  <c r="BZ116" i="51"/>
  <c r="CT108" i="51"/>
  <c r="DF117" i="51"/>
  <c r="CH55" i="51"/>
  <c r="CV58" i="51"/>
  <c r="CM166" i="51"/>
  <c r="CK61" i="51"/>
  <c r="CI52" i="51"/>
  <c r="CF119" i="51"/>
  <c r="BS116" i="51"/>
  <c r="DC115" i="51"/>
  <c r="BY51" i="51"/>
  <c r="DA119" i="51"/>
  <c r="DB53" i="51"/>
  <c r="CN66" i="51"/>
  <c r="CL66" i="51"/>
  <c r="CQ61" i="51"/>
  <c r="CR50" i="51"/>
  <c r="DJ173" i="51"/>
  <c r="DJ62" i="51"/>
  <c r="BQ112" i="51"/>
  <c r="CF112" i="51"/>
  <c r="CS114" i="51"/>
  <c r="CS56" i="51"/>
  <c r="BS114" i="51"/>
  <c r="DF168" i="51"/>
  <c r="CR66" i="51"/>
  <c r="CT109" i="51"/>
  <c r="CG112" i="51"/>
  <c r="BT58" i="51"/>
  <c r="BQ107" i="51"/>
  <c r="DG105" i="51"/>
  <c r="BX113" i="51"/>
  <c r="CU167" i="51"/>
  <c r="DK67" i="51"/>
  <c r="DJ87" i="51"/>
  <c r="CA60" i="51"/>
  <c r="CS122" i="51"/>
  <c r="CR60" i="51"/>
  <c r="DI119" i="51"/>
  <c r="CZ112" i="51"/>
  <c r="CH170" i="51"/>
  <c r="CB164" i="51"/>
  <c r="CE92" i="51"/>
  <c r="DM122" i="51"/>
  <c r="DI105" i="51"/>
  <c r="DE162" i="51"/>
  <c r="CW105" i="51"/>
  <c r="CB99" i="51"/>
  <c r="DD29" i="51"/>
  <c r="CX54" i="51"/>
  <c r="CL164" i="51"/>
  <c r="CK164" i="51"/>
  <c r="BP169" i="51"/>
  <c r="CF89" i="51"/>
  <c r="DG101" i="51"/>
  <c r="CO110" i="51"/>
  <c r="CZ53" i="51"/>
  <c r="CN61" i="51"/>
  <c r="CR51" i="51"/>
  <c r="CD119" i="51"/>
  <c r="CM111" i="51"/>
  <c r="CQ170" i="51"/>
  <c r="BT121" i="51"/>
  <c r="CT60" i="51"/>
  <c r="BV162" i="51"/>
  <c r="DK21" i="51"/>
  <c r="BZ120" i="51"/>
  <c r="CW61" i="51"/>
  <c r="DH83" i="51"/>
  <c r="BT56" i="51"/>
  <c r="CA114" i="51"/>
  <c r="DB117" i="51"/>
  <c r="BY65" i="51"/>
  <c r="CU50" i="51"/>
  <c r="CF59" i="51"/>
  <c r="CW117" i="51"/>
  <c r="BV57" i="51"/>
  <c r="CS59" i="51"/>
  <c r="BZ66" i="51"/>
  <c r="BQ58" i="51"/>
  <c r="DJ63" i="51"/>
  <c r="CS110" i="51"/>
  <c r="CO55" i="51"/>
  <c r="CF105" i="51"/>
  <c r="CJ107" i="51"/>
  <c r="CT119" i="51"/>
  <c r="CK59" i="51"/>
  <c r="CR160" i="51"/>
  <c r="DK106" i="51"/>
  <c r="CJ114" i="51"/>
  <c r="DF110" i="51"/>
  <c r="DM97" i="51"/>
  <c r="DF122" i="51"/>
  <c r="BU53" i="51"/>
  <c r="CF60" i="51"/>
  <c r="CO103" i="51"/>
  <c r="DH55" i="51"/>
  <c r="CX91" i="51"/>
  <c r="BX116" i="51"/>
  <c r="CE116" i="51"/>
  <c r="DM109" i="51"/>
  <c r="CU112" i="51"/>
  <c r="CM177" i="51"/>
  <c r="CD42" i="55"/>
  <c r="CJ119" i="51"/>
  <c r="CH116" i="51"/>
  <c r="CK112" i="51"/>
  <c r="CG93" i="51"/>
  <c r="CK113" i="51"/>
  <c r="BV106" i="51"/>
  <c r="CQ113" i="51"/>
  <c r="CX63" i="51"/>
  <c r="CK115" i="51"/>
  <c r="CH111" i="51"/>
  <c r="DJ54" i="51"/>
  <c r="CQ119" i="51"/>
  <c r="CT114" i="51"/>
  <c r="DE108" i="51"/>
  <c r="BQ105" i="51"/>
  <c r="CA101" i="51"/>
  <c r="CA160" i="51"/>
  <c r="CV111" i="51"/>
  <c r="DH92" i="51"/>
  <c r="DC105" i="51"/>
  <c r="BT117" i="51"/>
  <c r="CL92" i="51"/>
  <c r="BY107" i="51"/>
  <c r="CY111" i="51"/>
  <c r="CM106" i="51"/>
  <c r="CW110" i="51"/>
  <c r="DE113" i="51"/>
  <c r="BU120" i="51"/>
  <c r="CR114" i="51"/>
  <c r="CP120" i="51"/>
  <c r="CN120" i="51"/>
  <c r="BV118" i="51"/>
  <c r="CM122" i="51"/>
  <c r="CV112" i="51"/>
  <c r="CE108" i="51"/>
  <c r="CW58" i="51"/>
  <c r="BW105" i="51"/>
  <c r="CO117" i="51"/>
  <c r="DA113" i="51"/>
  <c r="CI85" i="51"/>
  <c r="BU64" i="51"/>
  <c r="DH113" i="51"/>
  <c r="DD54" i="51"/>
  <c r="CR119" i="51"/>
  <c r="BW120" i="51"/>
  <c r="DK61" i="51"/>
  <c r="CY109" i="51"/>
  <c r="DE64" i="51"/>
  <c r="CR166" i="51"/>
  <c r="CO65" i="51"/>
  <c r="DI116" i="51"/>
  <c r="BW122" i="51"/>
  <c r="CB120" i="51"/>
  <c r="DC45" i="51"/>
  <c r="BZ117" i="51"/>
  <c r="BX176" i="51"/>
  <c r="CO62" i="51"/>
  <c r="CU62" i="51"/>
  <c r="CN108" i="51"/>
  <c r="DE105" i="51"/>
  <c r="CJ118" i="51"/>
  <c r="CH165" i="51"/>
  <c r="CL54" i="51"/>
  <c r="CE57" i="51"/>
  <c r="CJ65" i="51"/>
  <c r="DE122" i="51"/>
  <c r="DB54" i="51"/>
  <c r="DF165" i="51"/>
  <c r="CQ94" i="51"/>
  <c r="CM174" i="51"/>
  <c r="CI107" i="51"/>
  <c r="BV172" i="51"/>
  <c r="BY164" i="51"/>
  <c r="DG92" i="51"/>
  <c r="DM116" i="51"/>
  <c r="CS119" i="51"/>
  <c r="DA54" i="51"/>
  <c r="BW65" i="51"/>
  <c r="DK172" i="51"/>
  <c r="BU81" i="51"/>
  <c r="DI26" i="51"/>
  <c r="BY168" i="51"/>
  <c r="BU166" i="51"/>
  <c r="BZ45" i="51"/>
  <c r="CH32" i="55"/>
  <c r="DL113" i="51"/>
  <c r="CG174" i="51"/>
  <c r="DF108" i="51"/>
  <c r="CM113" i="51"/>
  <c r="CU122" i="51"/>
  <c r="BQ110" i="51"/>
  <c r="DH164" i="51"/>
  <c r="DL117" i="51"/>
  <c r="DG107" i="51"/>
  <c r="CI120" i="51"/>
  <c r="CO169" i="51"/>
  <c r="DE54" i="51"/>
  <c r="DL115" i="51"/>
  <c r="DC67" i="51"/>
  <c r="BQ168" i="51"/>
  <c r="DE95" i="51"/>
  <c r="CX66" i="51"/>
  <c r="DG176" i="51"/>
  <c r="CV60" i="51"/>
  <c r="CN60" i="51"/>
  <c r="CN63" i="51"/>
  <c r="DB62" i="51"/>
  <c r="DF62" i="51"/>
  <c r="CB52" i="51"/>
  <c r="DA176" i="51"/>
  <c r="CL80" i="51"/>
  <c r="DC60" i="51"/>
  <c r="CY88" i="51"/>
  <c r="CI84" i="51"/>
  <c r="DK112" i="51"/>
  <c r="CK107" i="51"/>
  <c r="CG111" i="51"/>
  <c r="CM115" i="51"/>
  <c r="CX121" i="51"/>
  <c r="CH58" i="51"/>
  <c r="DJ50" i="51"/>
  <c r="CA62" i="51"/>
  <c r="CW118" i="51"/>
  <c r="CM35" i="51"/>
  <c r="CI114" i="51"/>
  <c r="CS18" i="51"/>
  <c r="DD92" i="51"/>
  <c r="DJ117" i="51"/>
  <c r="DA122" i="51"/>
  <c r="DB65" i="51"/>
  <c r="CQ66" i="51"/>
  <c r="CQ120" i="51"/>
  <c r="CV122" i="51"/>
  <c r="DD59" i="51"/>
  <c r="BV112" i="51"/>
  <c r="CH107" i="51"/>
  <c r="BU67" i="51"/>
  <c r="CF62" i="51"/>
  <c r="DB176" i="51"/>
  <c r="CL64" i="51"/>
  <c r="CE52" i="51"/>
  <c r="DA63" i="51"/>
  <c r="BQ65" i="51"/>
  <c r="CT52" i="51"/>
  <c r="BY113" i="51"/>
  <c r="DG106" i="51"/>
  <c r="CX60" i="51"/>
  <c r="CM116" i="51"/>
  <c r="CY116" i="51"/>
  <c r="CF64" i="51"/>
  <c r="CL109" i="51"/>
  <c r="BV109" i="51"/>
  <c r="CI105" i="51"/>
  <c r="CM55" i="51"/>
  <c r="DE63" i="51"/>
  <c r="DB56" i="51"/>
  <c r="CR176" i="51"/>
  <c r="BX110" i="51"/>
  <c r="CV113" i="51"/>
  <c r="CB105" i="51"/>
  <c r="DF115" i="51"/>
  <c r="DK117" i="51"/>
  <c r="CZ62" i="51"/>
  <c r="CU37" i="51"/>
  <c r="CF169" i="51"/>
  <c r="CL116" i="51"/>
  <c r="DD58" i="51"/>
  <c r="CN107" i="51"/>
  <c r="CZ67" i="51"/>
  <c r="DG119" i="51"/>
  <c r="CR113" i="51"/>
  <c r="CM67" i="51"/>
  <c r="DB66" i="51"/>
  <c r="CQ122" i="51"/>
  <c r="DM85" i="51"/>
  <c r="CW66" i="51"/>
  <c r="CU116" i="51"/>
  <c r="CH52" i="51"/>
  <c r="BZ112" i="51"/>
  <c r="CY113" i="51"/>
  <c r="BW92" i="51"/>
  <c r="CI87" i="51"/>
  <c r="CE117" i="51"/>
  <c r="DG50" i="51"/>
  <c r="CM61" i="51"/>
  <c r="DK108" i="51"/>
  <c r="CD176" i="51"/>
  <c r="CZ105" i="51"/>
  <c r="DF63" i="51"/>
  <c r="CN96" i="51"/>
  <c r="DG165" i="51"/>
  <c r="CZ104" i="51"/>
  <c r="CS113" i="51"/>
  <c r="BV82" i="51"/>
  <c r="CX107" i="51"/>
  <c r="BU51" i="51"/>
  <c r="DM80" i="51"/>
  <c r="CR110" i="51"/>
  <c r="CJ110" i="51"/>
  <c r="CB115" i="51"/>
  <c r="CE97" i="51"/>
  <c r="DC39" i="51"/>
  <c r="CP117" i="51"/>
  <c r="BW62" i="51"/>
  <c r="DD65" i="51"/>
  <c r="DH103" i="51"/>
  <c r="CB64" i="51"/>
  <c r="CX83" i="51"/>
  <c r="CX168" i="51"/>
  <c r="DB94" i="51"/>
  <c r="BV92" i="51"/>
  <c r="CT82" i="51"/>
  <c r="CR61" i="51"/>
  <c r="CD84" i="51"/>
  <c r="BQ106" i="51"/>
  <c r="CZ59" i="51"/>
  <c r="DD118" i="51"/>
  <c r="DG114" i="51"/>
  <c r="CS120" i="51"/>
  <c r="DI111" i="51"/>
  <c r="CM105" i="51"/>
  <c r="DC63" i="51"/>
  <c r="CK111" i="51"/>
  <c r="DE120" i="51"/>
  <c r="CU56" i="51"/>
  <c r="DD18" i="51"/>
  <c r="DM99" i="51"/>
  <c r="CI116" i="51"/>
  <c r="DC165" i="51"/>
  <c r="CK51" i="51"/>
  <c r="CW164" i="51"/>
  <c r="DF61" i="51"/>
  <c r="CI56" i="51"/>
  <c r="CB62" i="51"/>
  <c r="DA169" i="51"/>
  <c r="DL105" i="51"/>
  <c r="CU109" i="51"/>
  <c r="DB153" i="51"/>
  <c r="CL107" i="51"/>
  <c r="CS35" i="51"/>
  <c r="DL110" i="51"/>
  <c r="BQ108" i="51"/>
  <c r="CU169" i="51"/>
  <c r="CR121" i="51"/>
  <c r="CI67" i="51"/>
  <c r="CP105" i="51"/>
  <c r="CO94" i="51"/>
  <c r="CL111" i="51"/>
  <c r="CG175" i="51"/>
  <c r="CL53" i="51"/>
  <c r="CL57" i="51"/>
  <c r="BX109" i="51"/>
  <c r="BR162" i="51"/>
  <c r="CN59" i="51"/>
  <c r="CK122" i="51"/>
  <c r="BU108" i="51"/>
  <c r="DA116" i="51"/>
  <c r="CY115" i="51"/>
  <c r="DK59" i="51"/>
  <c r="CM118" i="51"/>
  <c r="CR64" i="51"/>
  <c r="CQ64" i="51"/>
  <c r="DI176" i="51"/>
  <c r="DI164" i="51"/>
  <c r="BQ109" i="51"/>
  <c r="DB59" i="51"/>
  <c r="CW111" i="51"/>
  <c r="BT118" i="51"/>
  <c r="DD116" i="51"/>
  <c r="CD60" i="51"/>
  <c r="CZ55" i="51"/>
  <c r="CY107" i="51"/>
  <c r="DG116" i="51"/>
  <c r="DB50" i="51"/>
  <c r="BY122" i="51"/>
  <c r="CC107" i="51"/>
  <c r="CJ111" i="51"/>
  <c r="CG121" i="51"/>
  <c r="BT113" i="51"/>
  <c r="DJ110" i="51"/>
  <c r="BW175" i="51"/>
  <c r="CR108" i="51"/>
  <c r="BW19" i="51"/>
  <c r="BW31" i="51"/>
  <c r="CZ110" i="51"/>
  <c r="CT57" i="51"/>
  <c r="DL106" i="51"/>
  <c r="DC81" i="51"/>
  <c r="BU62" i="51"/>
  <c r="DB122" i="51"/>
  <c r="CT117" i="51"/>
  <c r="CP113" i="51"/>
  <c r="DF64" i="51"/>
  <c r="CY53" i="51"/>
  <c r="DI59" i="51"/>
  <c r="CK117" i="51"/>
  <c r="CV50" i="51"/>
  <c r="DE106" i="51"/>
  <c r="CV63" i="51"/>
  <c r="BZ65" i="51"/>
  <c r="DK55" i="51"/>
  <c r="CU106" i="51"/>
  <c r="CO50" i="51"/>
  <c r="CQ116" i="51"/>
  <c r="CM31" i="51"/>
  <c r="CF106" i="51"/>
  <c r="CL122" i="51"/>
  <c r="CU67" i="51"/>
  <c r="CH122" i="51"/>
  <c r="DI67" i="51"/>
  <c r="DM118" i="51"/>
  <c r="BZ64" i="51"/>
  <c r="CO108" i="51"/>
  <c r="CS62" i="51"/>
  <c r="CV119" i="51"/>
  <c r="CP84" i="51"/>
  <c r="CC122" i="51"/>
  <c r="DE172" i="51"/>
  <c r="BW97" i="51"/>
  <c r="CA176" i="51"/>
  <c r="CU161" i="51"/>
  <c r="CJ105" i="51"/>
  <c r="DD111" i="51"/>
  <c r="DC41" i="51"/>
  <c r="CC54" i="51"/>
  <c r="DA66" i="51"/>
  <c r="CG54" i="51"/>
  <c r="CE35" i="51"/>
  <c r="DH108" i="51"/>
  <c r="CB108" i="51"/>
  <c r="CK50" i="51"/>
  <c r="CI119" i="51"/>
  <c r="CG167" i="51"/>
  <c r="BS173" i="51"/>
  <c r="CB44" i="51"/>
  <c r="CP86" i="51"/>
  <c r="DL175" i="51"/>
  <c r="DD95" i="51"/>
  <c r="AV51" i="55"/>
  <c r="DI114" i="51"/>
  <c r="CZ92" i="51"/>
  <c r="CE50" i="51"/>
  <c r="CY60" i="51"/>
  <c r="DC111" i="51"/>
  <c r="DA173" i="51"/>
  <c r="CP115" i="51"/>
  <c r="BR64" i="51"/>
  <c r="CG105" i="51"/>
  <c r="CY51" i="51"/>
  <c r="CC109" i="51"/>
  <c r="DA67" i="51"/>
  <c r="CS121" i="51"/>
  <c r="CI59" i="51"/>
  <c r="BV110" i="51"/>
  <c r="CS105" i="51"/>
  <c r="CY105" i="51"/>
  <c r="CG99" i="51"/>
  <c r="BT162" i="51"/>
  <c r="DL107" i="51"/>
  <c r="BS109" i="51"/>
  <c r="DI52" i="51"/>
  <c r="CY165" i="51"/>
  <c r="BQ103" i="51"/>
  <c r="CJ112" i="51"/>
  <c r="DE82" i="51"/>
  <c r="CM32" i="51"/>
  <c r="DJ26" i="51"/>
  <c r="CV103" i="51"/>
  <c r="CP109" i="51"/>
  <c r="CD51" i="51"/>
  <c r="CB162" i="51"/>
  <c r="CR120" i="51"/>
  <c r="CO111" i="51"/>
  <c r="BS67" i="51"/>
  <c r="DB120" i="51"/>
  <c r="DK107" i="51"/>
  <c r="CB98" i="51"/>
  <c r="CA107" i="51"/>
  <c r="BW67" i="51"/>
  <c r="DD53" i="51"/>
  <c r="DK57" i="51"/>
  <c r="CY167" i="51"/>
  <c r="CI79" i="51"/>
  <c r="CS111" i="51"/>
  <c r="DH67" i="51"/>
  <c r="CT105" i="51"/>
  <c r="CN111" i="51"/>
  <c r="CN110" i="51"/>
  <c r="CM107" i="51"/>
  <c r="BU106" i="51"/>
  <c r="CO116" i="51"/>
  <c r="BT62" i="51"/>
  <c r="CH108" i="51"/>
  <c r="CD117" i="51"/>
  <c r="BT106" i="51"/>
  <c r="CK85" i="51"/>
  <c r="CC121" i="51"/>
  <c r="DI110" i="51"/>
  <c r="CP163" i="51"/>
  <c r="CO59" i="51"/>
  <c r="BS118" i="51"/>
  <c r="BY115" i="51"/>
  <c r="BU113" i="51"/>
  <c r="CU105" i="51"/>
  <c r="CZ51" i="51"/>
  <c r="CI111" i="51"/>
  <c r="DC54" i="51"/>
  <c r="CH65" i="51"/>
  <c r="CN121" i="51"/>
  <c r="CQ108" i="51"/>
  <c r="DF113" i="51"/>
  <c r="BS107" i="51"/>
  <c r="CS117" i="51"/>
  <c r="DK65" i="51"/>
  <c r="CM108" i="51"/>
  <c r="BR107" i="51"/>
  <c r="CL113" i="51"/>
  <c r="CQ118" i="51"/>
  <c r="DL173" i="51"/>
  <c r="CD109" i="51"/>
  <c r="CG107" i="51"/>
  <c r="DH62" i="51"/>
  <c r="CS65" i="51"/>
  <c r="CA90" i="51"/>
  <c r="CM110" i="51"/>
  <c r="CJ108" i="51"/>
  <c r="CL105" i="51"/>
  <c r="CN106" i="51"/>
  <c r="CH110" i="51"/>
  <c r="BR114" i="51"/>
  <c r="CL50" i="51"/>
  <c r="DK58" i="51"/>
  <c r="BW114" i="51"/>
  <c r="DC21" i="51"/>
  <c r="DE107" i="51"/>
  <c r="CT111" i="51"/>
  <c r="BW113" i="51"/>
  <c r="BR111" i="51"/>
  <c r="DK110" i="51"/>
  <c r="DH50" i="51"/>
  <c r="CC112" i="51"/>
  <c r="DB173" i="51"/>
  <c r="CO109" i="51"/>
  <c r="CR111" i="51"/>
  <c r="CV56" i="51"/>
  <c r="CC118" i="51"/>
  <c r="CJ52" i="51"/>
  <c r="CC100" i="51"/>
  <c r="CT54" i="51"/>
  <c r="CU121" i="51"/>
  <c r="CX114" i="51"/>
  <c r="CE171" i="51"/>
  <c r="DK122" i="51"/>
  <c r="CU54" i="51"/>
  <c r="BY114" i="51"/>
  <c r="CU174" i="51"/>
  <c r="DF173" i="51"/>
  <c r="CF83" i="51"/>
  <c r="CN119" i="51"/>
  <c r="CG114" i="51"/>
  <c r="CP60" i="51"/>
  <c r="CY84" i="51"/>
  <c r="CF113" i="51"/>
  <c r="BP176" i="51"/>
  <c r="CF65" i="51"/>
  <c r="CM37" i="51"/>
  <c r="DA120" i="51"/>
  <c r="BX167" i="51"/>
  <c r="CJ50" i="51"/>
  <c r="DG60" i="51"/>
  <c r="BW109" i="51"/>
  <c r="BZ51" i="51"/>
  <c r="CV120" i="51"/>
  <c r="DD112" i="51"/>
  <c r="CF115" i="51"/>
  <c r="CJ64" i="51"/>
  <c r="BX67" i="51"/>
  <c r="CW52" i="51"/>
  <c r="CY168" i="51"/>
  <c r="CY64" i="51"/>
  <c r="CM57" i="51"/>
  <c r="DC119" i="51"/>
  <c r="CM63" i="51"/>
  <c r="CE59" i="51"/>
  <c r="DH166" i="51"/>
  <c r="BZ172" i="51"/>
  <c r="BY110" i="51"/>
  <c r="CY112" i="51"/>
  <c r="CF57" i="51"/>
  <c r="DL118" i="51"/>
  <c r="DH176" i="51"/>
  <c r="BX117" i="51"/>
  <c r="BT105" i="51"/>
  <c r="BQ115" i="51"/>
  <c r="CJ55" i="51"/>
  <c r="DH122" i="51"/>
  <c r="BR65" i="51"/>
  <c r="CR53" i="51"/>
  <c r="BS161" i="51"/>
  <c r="BZ106" i="51"/>
  <c r="DC120" i="51"/>
  <c r="CE61" i="51"/>
  <c r="BV173" i="51"/>
  <c r="DH104" i="51"/>
  <c r="CG161" i="51"/>
  <c r="CR54" i="51"/>
  <c r="CV61" i="51"/>
  <c r="CY59" i="51"/>
  <c r="CJ109" i="51"/>
  <c r="CA53" i="51"/>
  <c r="CE65" i="51"/>
  <c r="DG108" i="51"/>
  <c r="CQ109" i="51"/>
  <c r="BV54" i="51"/>
  <c r="BY119" i="51"/>
  <c r="DA56" i="51"/>
  <c r="BZ63" i="51"/>
  <c r="CY58" i="51"/>
  <c r="BP50" i="51"/>
  <c r="CH115" i="51"/>
  <c r="CK67" i="51"/>
  <c r="BS120" i="51"/>
  <c r="BZ119" i="51"/>
  <c r="BU105" i="51"/>
  <c r="DI107" i="51"/>
  <c r="BQ122" i="51"/>
  <c r="CG109" i="51"/>
  <c r="CU53" i="51"/>
  <c r="BP65" i="51"/>
  <c r="CG120" i="51"/>
  <c r="DB105" i="51"/>
  <c r="CG116" i="51"/>
  <c r="BT67" i="51"/>
  <c r="BR118" i="51"/>
  <c r="DL37" i="51"/>
  <c r="DI50" i="51"/>
  <c r="CK62" i="51"/>
  <c r="DL54" i="51"/>
  <c r="CC114" i="51"/>
  <c r="BQ67" i="51"/>
  <c r="CD110" i="51"/>
  <c r="DK51" i="51"/>
  <c r="CU59" i="51"/>
  <c r="DK50" i="51"/>
  <c r="CW119" i="51"/>
  <c r="CV85" i="51"/>
  <c r="CC59" i="51"/>
  <c r="CK109" i="51"/>
  <c r="CV121" i="51"/>
  <c r="CO54" i="51"/>
  <c r="CH106" i="51"/>
  <c r="CQ55" i="51"/>
  <c r="CE119" i="51"/>
  <c r="DL111" i="51"/>
  <c r="BU63" i="51"/>
  <c r="DC64" i="51"/>
  <c r="CY172" i="51"/>
  <c r="CT170" i="51"/>
  <c r="BZ118" i="51"/>
  <c r="BR57" i="51"/>
  <c r="CU63" i="51"/>
  <c r="DJ121" i="51"/>
  <c r="CD63" i="51"/>
  <c r="CN122" i="51"/>
  <c r="CB54" i="51"/>
  <c r="DI55" i="51"/>
  <c r="CP114" i="51"/>
  <c r="CJ63" i="51"/>
  <c r="CF121" i="51"/>
  <c r="CJ58" i="51"/>
  <c r="CE113" i="51"/>
  <c r="DK44" i="51"/>
  <c r="BZ168" i="51"/>
  <c r="CU117" i="51"/>
  <c r="DI168" i="51"/>
  <c r="BT57" i="51"/>
  <c r="DL168" i="51"/>
  <c r="DD106" i="51"/>
  <c r="DC89" i="51"/>
  <c r="CF50" i="51"/>
  <c r="CN117" i="51"/>
  <c r="DJ57" i="51"/>
  <c r="CI117" i="51"/>
  <c r="CP67" i="51"/>
  <c r="DC101" i="51"/>
  <c r="CA67" i="51"/>
  <c r="CY67" i="51"/>
  <c r="CW121" i="51"/>
  <c r="BZ41" i="51"/>
  <c r="BT74" i="51"/>
  <c r="CU100" i="51"/>
  <c r="CA94" i="51"/>
  <c r="DF106" i="51"/>
  <c r="CC169" i="51"/>
  <c r="CE62" i="51"/>
  <c r="CL165" i="51"/>
  <c r="CR117" i="51"/>
  <c r="CW113" i="51"/>
  <c r="CF120" i="51"/>
  <c r="BQ63" i="51"/>
  <c r="DB55" i="51"/>
  <c r="CB170" i="51"/>
  <c r="BU111" i="51"/>
  <c r="DD109" i="51"/>
  <c r="CV118" i="51"/>
  <c r="BU93" i="51"/>
  <c r="BT64" i="51"/>
  <c r="CY122" i="51"/>
  <c r="CP62" i="51"/>
  <c r="DG90" i="51"/>
  <c r="BW106" i="51"/>
  <c r="BS165" i="51"/>
  <c r="CS20" i="51"/>
  <c r="CR118" i="51"/>
  <c r="CE53" i="51"/>
  <c r="CO115" i="51"/>
  <c r="DA121" i="51"/>
  <c r="BR122" i="51"/>
  <c r="CT121" i="51"/>
  <c r="CO105" i="51"/>
  <c r="DJ59" i="51"/>
  <c r="CX116" i="51"/>
  <c r="CI170" i="51"/>
  <c r="CS53" i="51"/>
  <c r="CP107" i="51"/>
  <c r="DF100" i="51"/>
  <c r="BZ162" i="51"/>
  <c r="DA175" i="51"/>
  <c r="BV52" i="51"/>
  <c r="CH79" i="51"/>
  <c r="CK52" i="51"/>
  <c r="DK113" i="51"/>
  <c r="DE66" i="51"/>
  <c r="CT115" i="51"/>
  <c r="CK114" i="51"/>
  <c r="CA64" i="51"/>
  <c r="BR117" i="51"/>
  <c r="BQ120" i="51"/>
  <c r="BV51" i="51"/>
  <c r="DE55" i="51"/>
  <c r="BX66" i="51"/>
  <c r="CZ57" i="51"/>
  <c r="CS47" i="51"/>
  <c r="CW80" i="51"/>
  <c r="BQ111" i="51"/>
  <c r="CH81" i="51"/>
  <c r="CA162" i="51"/>
  <c r="DC42" i="51"/>
  <c r="CV53" i="51"/>
  <c r="CB173" i="51"/>
  <c r="BZ26" i="51"/>
  <c r="CL98" i="51"/>
  <c r="DC84" i="51"/>
  <c r="DH39" i="51"/>
  <c r="CG97" i="51"/>
  <c r="CM56" i="53"/>
  <c r="CV55" i="51"/>
  <c r="CS174" i="51"/>
  <c r="CJ106" i="51"/>
  <c r="BZ83" i="51"/>
  <c r="CB171" i="51"/>
  <c r="CW36" i="51"/>
  <c r="BT108" i="51"/>
  <c r="BR88" i="51"/>
  <c r="DB112" i="51"/>
  <c r="CA119" i="51"/>
  <c r="DE114" i="51"/>
  <c r="BP58" i="51"/>
  <c r="DE58" i="51"/>
  <c r="DB60" i="51"/>
  <c r="BX120" i="51"/>
  <c r="BV55" i="51"/>
  <c r="CF108" i="51"/>
  <c r="DC31" i="51"/>
  <c r="DD175" i="51"/>
  <c r="DB114" i="51"/>
  <c r="DB111" i="51"/>
  <c r="AV40" i="55"/>
  <c r="BQ46" i="51"/>
  <c r="DM117" i="51"/>
  <c r="DB95" i="51"/>
  <c r="CE54" i="51"/>
  <c r="BR121" i="51"/>
  <c r="BT119" i="51"/>
  <c r="CD115" i="51"/>
  <c r="CS54" i="51"/>
  <c r="BR160" i="51"/>
  <c r="CC105" i="51"/>
  <c r="CX41" i="51"/>
  <c r="BU54" i="51"/>
  <c r="CZ165" i="51"/>
  <c r="DB67" i="51"/>
  <c r="CP66" i="51"/>
  <c r="BT176" i="51"/>
  <c r="DE117" i="51"/>
  <c r="DE169" i="51"/>
  <c r="CQ161" i="51"/>
  <c r="CI121" i="51"/>
  <c r="CE55" i="51"/>
  <c r="BV105" i="51"/>
  <c r="CB110" i="51"/>
  <c r="CE115" i="51"/>
  <c r="CB53" i="51"/>
  <c r="CY100" i="51"/>
  <c r="DK33" i="51"/>
  <c r="DF91" i="51"/>
  <c r="CU60" i="51"/>
  <c r="BV171" i="51"/>
  <c r="BT172" i="51"/>
  <c r="CQ92" i="51"/>
  <c r="CY57" i="51"/>
  <c r="DF56" i="51"/>
  <c r="CH98" i="51"/>
  <c r="BP32" i="53"/>
  <c r="DF42" i="51"/>
  <c r="CW146" i="51"/>
  <c r="BW117" i="51"/>
  <c r="BP59" i="51"/>
  <c r="DD165" i="51"/>
  <c r="BV148" i="51"/>
  <c r="CE175" i="51"/>
  <c r="CW155" i="51"/>
  <c r="CL170" i="51"/>
  <c r="DI83" i="51"/>
  <c r="BV177" i="51"/>
  <c r="BR54" i="51"/>
  <c r="CY120" i="51"/>
  <c r="CV98" i="51"/>
  <c r="DI65" i="51"/>
  <c r="CO44" i="51"/>
  <c r="BT40" i="51"/>
  <c r="CI65" i="51"/>
  <c r="CO160" i="51"/>
  <c r="DF94" i="51"/>
  <c r="CM104" i="51"/>
  <c r="BY55" i="51"/>
  <c r="BX177" i="51"/>
  <c r="DB174" i="51"/>
  <c r="CM173" i="51"/>
  <c r="DD88" i="51"/>
  <c r="CH61" i="51"/>
  <c r="DF52" i="51"/>
  <c r="BR61" i="51"/>
  <c r="CB48" i="55"/>
  <c r="CL77" i="51"/>
  <c r="BR66" i="51"/>
  <c r="CL110" i="51"/>
  <c r="DH45" i="51"/>
  <c r="DI175" i="51"/>
  <c r="BW34" i="51"/>
  <c r="CR97" i="51"/>
  <c r="CC53" i="51"/>
  <c r="BP30" i="51"/>
  <c r="DB89" i="51"/>
  <c r="BS45" i="51"/>
  <c r="CA36" i="55"/>
  <c r="CB85" i="51"/>
  <c r="CT62" i="51"/>
  <c r="DJ105" i="51"/>
  <c r="DM112" i="51"/>
  <c r="CF51" i="51"/>
  <c r="DE50" i="51"/>
  <c r="CW35" i="51"/>
  <c r="DK96" i="51"/>
  <c r="CB39" i="55"/>
  <c r="BV169" i="51"/>
  <c r="BT161" i="51"/>
  <c r="DD50" i="51"/>
  <c r="CQ60" i="51"/>
  <c r="BS122" i="51"/>
  <c r="BP56" i="51"/>
  <c r="CV116" i="51"/>
  <c r="DM120" i="51"/>
  <c r="CH57" i="51"/>
  <c r="DG53" i="51"/>
  <c r="CE105" i="51"/>
  <c r="BS108" i="51"/>
  <c r="BP168" i="51"/>
  <c r="CS100" i="51"/>
  <c r="CO106" i="51"/>
  <c r="BZ161" i="51"/>
  <c r="DD60" i="51"/>
  <c r="CE106" i="51"/>
  <c r="BT87" i="51"/>
  <c r="CB102" i="51"/>
  <c r="CG60" i="51"/>
  <c r="BR87" i="51"/>
  <c r="CK102" i="51"/>
  <c r="DG167" i="51"/>
  <c r="CL173" i="51"/>
  <c r="BQ66" i="51"/>
  <c r="CE110" i="51"/>
  <c r="DA55" i="51"/>
  <c r="CN39" i="51"/>
  <c r="CW174" i="51"/>
  <c r="DD36" i="51"/>
  <c r="CF171" i="51"/>
  <c r="DM173" i="51"/>
  <c r="CO52" i="51"/>
  <c r="CH64" i="51"/>
  <c r="CI108" i="51"/>
  <c r="CX110" i="51"/>
  <c r="DA115" i="51"/>
  <c r="BU55" i="51"/>
  <c r="BT112" i="51"/>
  <c r="DB108" i="51"/>
  <c r="DJ168" i="51"/>
  <c r="BQ173" i="51"/>
  <c r="CC97" i="51"/>
  <c r="CS166" i="51"/>
  <c r="CY87" i="51"/>
  <c r="BV48" i="51"/>
  <c r="CL177" i="51"/>
  <c r="BS65" i="51"/>
  <c r="CY63" i="51"/>
  <c r="CN88" i="51"/>
  <c r="BS111" i="51"/>
  <c r="CR22" i="51"/>
  <c r="CJ115" i="51"/>
  <c r="CU120" i="51"/>
  <c r="DF59" i="51"/>
  <c r="DH172" i="51"/>
  <c r="CX162" i="51"/>
  <c r="CA63" i="51"/>
  <c r="CR95" i="51"/>
  <c r="BQ54" i="51"/>
  <c r="CK169" i="51"/>
  <c r="BQ121" i="51"/>
  <c r="CV105" i="51"/>
  <c r="CV167" i="51"/>
  <c r="CE112" i="51"/>
  <c r="DD79" i="51"/>
  <c r="CO61" i="51"/>
  <c r="CC113" i="51"/>
  <c r="DK161" i="51"/>
  <c r="DH56" i="51"/>
  <c r="DF89" i="51"/>
  <c r="CR55" i="51"/>
  <c r="DA57" i="51"/>
  <c r="DJ107" i="51"/>
  <c r="BW61" i="51"/>
  <c r="CL63" i="51"/>
  <c r="BU114" i="51"/>
  <c r="CZ177" i="51"/>
  <c r="CM114" i="51"/>
  <c r="DA112" i="51"/>
  <c r="DM172" i="51"/>
  <c r="BZ174" i="51"/>
  <c r="DA170" i="51"/>
  <c r="BY49" i="51"/>
  <c r="CM64" i="51"/>
  <c r="CS44" i="51"/>
  <c r="DH52" i="51"/>
  <c r="CA165" i="51"/>
  <c r="DD148" i="51"/>
  <c r="CK133" i="51"/>
  <c r="CI96" i="51"/>
  <c r="CB161" i="51"/>
  <c r="CL106" i="51"/>
  <c r="BS119" i="51"/>
  <c r="BZ114" i="51"/>
  <c r="BT100" i="51"/>
  <c r="DI174" i="51"/>
  <c r="BQ64" i="51"/>
  <c r="DD98" i="51"/>
  <c r="CE93" i="51"/>
  <c r="CY50" i="51"/>
  <c r="CV96" i="51"/>
  <c r="CW104" i="51"/>
  <c r="BX175" i="51"/>
  <c r="CF84" i="51"/>
  <c r="DI106" i="51"/>
  <c r="DL39" i="51"/>
  <c r="CX88" i="51"/>
  <c r="CW63" i="51"/>
  <c r="BR108" i="51"/>
  <c r="DM105" i="51"/>
  <c r="CM86" i="51"/>
  <c r="CY160" i="51"/>
  <c r="DB52" i="51"/>
  <c r="CG50" i="51"/>
  <c r="CA66" i="51"/>
  <c r="CJ85" i="51"/>
  <c r="DG94" i="51"/>
  <c r="CU74" i="51"/>
  <c r="BY118" i="51"/>
  <c r="CQ82" i="51"/>
  <c r="CW62" i="51"/>
  <c r="CF22" i="51"/>
  <c r="CS63" i="51"/>
  <c r="CP81" i="51"/>
  <c r="BS44" i="51"/>
  <c r="CC170" i="51"/>
  <c r="BS62" i="51"/>
  <c r="CP174" i="51"/>
  <c r="BS60" i="51"/>
  <c r="CD168" i="51"/>
  <c r="CV79" i="51"/>
  <c r="BW52" i="51"/>
  <c r="CD164" i="51"/>
  <c r="DG162" i="51"/>
  <c r="DM87" i="51"/>
  <c r="CN168" i="51"/>
  <c r="DB106" i="51"/>
  <c r="DG80" i="51"/>
  <c r="CO51" i="51"/>
  <c r="CA85" i="51"/>
  <c r="BU107" i="51"/>
  <c r="DH61" i="51"/>
  <c r="DC114" i="51"/>
  <c r="CZ115" i="51"/>
  <c r="DL114" i="51"/>
  <c r="DE116" i="51"/>
  <c r="DF67" i="51"/>
  <c r="CY177" i="51"/>
  <c r="BS117" i="51"/>
  <c r="CJ122" i="51"/>
  <c r="CS98" i="51"/>
  <c r="CF164" i="51"/>
  <c r="BX97" i="51"/>
  <c r="CP52" i="51"/>
  <c r="BW177" i="51"/>
  <c r="DI96" i="51"/>
  <c r="DB107" i="51"/>
  <c r="CT163" i="51"/>
  <c r="CS107" i="51"/>
  <c r="BT173" i="51"/>
  <c r="DB110" i="51"/>
  <c r="CJ99" i="51"/>
  <c r="BR58" i="51"/>
  <c r="CY163" i="51"/>
  <c r="CC48" i="51"/>
  <c r="DD90" i="51"/>
  <c r="BT66" i="51"/>
  <c r="CP168" i="51"/>
  <c r="DD89" i="51"/>
  <c r="DM56" i="51"/>
  <c r="DF58" i="51"/>
  <c r="BS57" i="51"/>
  <c r="CK105" i="51"/>
  <c r="DF169" i="51"/>
  <c r="DH161" i="51"/>
  <c r="DG111" i="51"/>
  <c r="BZ175" i="51"/>
  <c r="CM109" i="51"/>
  <c r="BT122" i="51"/>
  <c r="DL120" i="51"/>
  <c r="CH26" i="51"/>
  <c r="BR45" i="51"/>
  <c r="CQ102" i="51"/>
  <c r="BV175" i="51"/>
  <c r="BU32" i="55"/>
  <c r="CX55" i="51"/>
  <c r="DC113" i="51"/>
  <c r="CC167" i="51"/>
  <c r="CD80" i="51"/>
  <c r="CO167" i="51"/>
  <c r="CV59" i="51"/>
  <c r="BP63" i="51"/>
  <c r="BR115" i="51"/>
  <c r="CW161" i="51"/>
  <c r="BZ55" i="51"/>
  <c r="CJ172" i="51"/>
  <c r="CU51" i="51"/>
  <c r="CF166" i="51"/>
  <c r="CJ54" i="51"/>
  <c r="BX105" i="51"/>
  <c r="CA111" i="51"/>
  <c r="BR55" i="51"/>
  <c r="CK53" i="51"/>
  <c r="BY162" i="51"/>
  <c r="CU119" i="51"/>
  <c r="CN165" i="51"/>
  <c r="CK21" i="55"/>
  <c r="CN44" i="51"/>
  <c r="DG62" i="51"/>
  <c r="CM117" i="51"/>
  <c r="CQ52" i="51"/>
  <c r="BX111" i="51"/>
  <c r="CL114" i="51"/>
  <c r="CA105" i="51"/>
  <c r="BC19" i="55"/>
  <c r="CH102" i="51"/>
  <c r="DE109" i="51"/>
  <c r="CS167" i="51"/>
  <c r="CQ62" i="51"/>
  <c r="CH31" i="51"/>
  <c r="DJ175" i="51"/>
  <c r="CD118" i="51"/>
  <c r="DC73" i="51"/>
  <c r="BS121" i="51"/>
  <c r="BZ67" i="51"/>
  <c r="DJ51" i="51"/>
  <c r="BV111" i="51"/>
  <c r="CX167" i="51"/>
  <c r="CI165" i="51"/>
  <c r="CU96" i="51"/>
  <c r="CR122" i="51"/>
  <c r="BQ59" i="51"/>
  <c r="CV148" i="51"/>
  <c r="BX63" i="51"/>
  <c r="DJ97" i="51"/>
  <c r="CR31" i="51"/>
  <c r="CT90" i="51"/>
  <c r="CG20" i="51"/>
  <c r="BU121" i="51"/>
  <c r="CI89" i="51"/>
  <c r="CA35" i="51"/>
  <c r="BQ41" i="51"/>
  <c r="CP33" i="51"/>
  <c r="DD67" i="51"/>
  <c r="CO149" i="51"/>
  <c r="CL82" i="51"/>
  <c r="CF63" i="51"/>
  <c r="BW173" i="51"/>
  <c r="DI57" i="51"/>
  <c r="CH163" i="51"/>
  <c r="BX57" i="51"/>
  <c r="BV27" i="51"/>
  <c r="CL118" i="51"/>
  <c r="CO161" i="51"/>
  <c r="DK166" i="51"/>
  <c r="BU92" i="51"/>
  <c r="BW53" i="51"/>
  <c r="DA102" i="51"/>
  <c r="CH93" i="51"/>
  <c r="CG90" i="51"/>
  <c r="CQ89" i="51"/>
  <c r="CV62" i="51"/>
  <c r="BQ170" i="51"/>
  <c r="BX100" i="51"/>
  <c r="CM58" i="51"/>
  <c r="CR62" i="51"/>
  <c r="BU122" i="51"/>
  <c r="BT111" i="51"/>
  <c r="DM89" i="51"/>
  <c r="DG57" i="51"/>
  <c r="CS116" i="51"/>
  <c r="CZ60" i="51"/>
  <c r="CD98" i="51"/>
  <c r="BV116" i="51"/>
  <c r="CY118" i="51"/>
  <c r="CT63" i="51"/>
  <c r="BY117" i="51"/>
  <c r="CK119" i="51"/>
  <c r="CH114" i="51"/>
  <c r="CF122" i="51"/>
  <c r="DA107" i="51"/>
  <c r="CP108" i="51"/>
  <c r="CK171" i="51"/>
  <c r="BY172" i="51"/>
  <c r="CZ173" i="51"/>
  <c r="DI112" i="51"/>
  <c r="BZ85" i="51"/>
  <c r="CF118" i="51"/>
  <c r="CH172" i="51"/>
  <c r="CT53" i="51"/>
  <c r="BV84" i="51"/>
  <c r="CT65" i="51"/>
  <c r="CI118" i="51"/>
  <c r="DI121" i="51"/>
  <c r="DD91" i="51"/>
  <c r="CX89" i="51"/>
  <c r="CY37" i="51"/>
  <c r="CZ50" i="51"/>
  <c r="CJ174" i="51"/>
  <c r="CP121" i="51"/>
  <c r="BW96" i="51"/>
  <c r="CN67" i="51"/>
  <c r="CP89" i="51"/>
  <c r="BV85" i="51"/>
  <c r="BZ80" i="51"/>
  <c r="BT120" i="51"/>
  <c r="DC116" i="51"/>
  <c r="CU171" i="51"/>
  <c r="CA118" i="51"/>
  <c r="DF105" i="51"/>
  <c r="BQ28" i="51"/>
  <c r="CG52" i="51"/>
  <c r="BX54" i="51"/>
  <c r="CH105" i="51"/>
  <c r="CL65" i="51"/>
  <c r="CB176" i="51"/>
  <c r="BU163" i="51"/>
  <c r="DD120" i="51"/>
  <c r="CT93" i="51"/>
  <c r="CI166" i="51"/>
  <c r="CC51" i="51"/>
  <c r="DD82" i="51"/>
  <c r="CV57" i="51"/>
  <c r="DG170" i="51"/>
  <c r="CF173" i="51"/>
  <c r="DK171" i="51"/>
  <c r="CZ169" i="51"/>
  <c r="BR174" i="51"/>
  <c r="AY54" i="55"/>
  <c r="CM168" i="51"/>
  <c r="DI87" i="51"/>
  <c r="CV51" i="51"/>
  <c r="DF118" i="51"/>
  <c r="CI50" i="51"/>
  <c r="CT112" i="51"/>
  <c r="CG51" i="51"/>
  <c r="DK53" i="51"/>
  <c r="CK90" i="51"/>
  <c r="CA52" i="51"/>
  <c r="CR67" i="51"/>
  <c r="DF102" i="51"/>
  <c r="DE67" i="51"/>
  <c r="CP93" i="51"/>
  <c r="CE104" i="51"/>
  <c r="CM45" i="51"/>
  <c r="DJ166" i="51"/>
  <c r="CP88" i="51"/>
  <c r="BT116" i="51"/>
  <c r="BV62" i="51"/>
  <c r="CC63" i="51"/>
  <c r="BG18" i="55"/>
  <c r="CW59" i="51"/>
  <c r="CG170" i="51"/>
  <c r="CR59" i="51"/>
  <c r="BW176" i="51"/>
  <c r="BX174" i="51"/>
  <c r="DB92" i="51"/>
  <c r="DE102" i="51"/>
  <c r="DJ118" i="51"/>
  <c r="CW122" i="51"/>
  <c r="CQ65" i="51"/>
  <c r="CI66" i="51"/>
  <c r="DM113" i="51"/>
  <c r="CD108" i="51"/>
  <c r="CQ67" i="51"/>
  <c r="DG117" i="51"/>
  <c r="CZ54" i="51"/>
  <c r="CN52" i="51"/>
  <c r="DE65" i="51"/>
  <c r="BS166" i="51"/>
  <c r="BS115" i="51"/>
  <c r="CY54" i="51"/>
  <c r="CN113" i="51"/>
  <c r="CX103" i="51"/>
  <c r="BW83" i="51"/>
  <c r="CW54" i="51"/>
  <c r="CM52" i="51"/>
  <c r="CK63" i="51"/>
  <c r="DJ167" i="51"/>
  <c r="DE115" i="51"/>
  <c r="BX20" i="51"/>
  <c r="DJ115" i="51"/>
  <c r="CT175" i="51"/>
  <c r="DF112" i="51"/>
  <c r="BR90" i="51"/>
  <c r="DL109" i="51"/>
  <c r="CE170" i="51"/>
  <c r="BQ114" i="51"/>
  <c r="DH105" i="51"/>
  <c r="CC67" i="51"/>
  <c r="BS59" i="51"/>
  <c r="BY105" i="51"/>
  <c r="CK57" i="51"/>
  <c r="CF54" i="51"/>
  <c r="CX115" i="51"/>
  <c r="CK172" i="51"/>
  <c r="BV163" i="51"/>
  <c r="DC51" i="51"/>
  <c r="CY114" i="51"/>
  <c r="CC119" i="51"/>
  <c r="CL55" i="51"/>
  <c r="CC79" i="51"/>
  <c r="CC37" i="51"/>
  <c r="CN51" i="55"/>
  <c r="DD64" i="51"/>
  <c r="BW118" i="51"/>
  <c r="DJ161" i="51"/>
  <c r="CG53" i="51"/>
  <c r="CV160" i="51"/>
  <c r="CP99" i="51"/>
  <c r="CW101" i="51"/>
  <c r="CB42" i="51"/>
  <c r="CH20" i="55"/>
  <c r="BX45" i="51"/>
  <c r="BT169" i="51"/>
  <c r="CC57" i="51"/>
  <c r="BZ109" i="51"/>
  <c r="CW108" i="51"/>
  <c r="BW121" i="51"/>
  <c r="CE122" i="51"/>
  <c r="BT61" i="51"/>
  <c r="CT64" i="51"/>
  <c r="DH98" i="51"/>
  <c r="CA166" i="51"/>
  <c r="CH119" i="51"/>
  <c r="CZ163" i="51"/>
  <c r="CI64" i="51"/>
  <c r="DD119" i="51"/>
  <c r="CK87" i="51"/>
  <c r="CS172" i="51"/>
  <c r="CQ96" i="51"/>
  <c r="DG121" i="51"/>
  <c r="BP60" i="51"/>
  <c r="BV63" i="51"/>
  <c r="CN51" i="51"/>
  <c r="CC50" i="51"/>
  <c r="CC174" i="51"/>
  <c r="CQ176" i="51"/>
  <c r="DG79" i="51"/>
  <c r="CD57" i="51"/>
  <c r="DH47" i="51"/>
  <c r="BY37" i="51"/>
  <c r="BW101" i="51"/>
  <c r="CC110" i="51"/>
  <c r="CA110" i="51"/>
  <c r="DJ45" i="51"/>
  <c r="CW165" i="51"/>
  <c r="CD50" i="51"/>
  <c r="DJ100" i="51"/>
  <c r="DF109" i="51"/>
  <c r="DK116" i="51"/>
  <c r="CD32" i="51"/>
  <c r="BY163" i="51"/>
  <c r="BB28" i="53"/>
  <c r="BY171" i="51"/>
  <c r="CP106" i="51"/>
  <c r="CT61" i="51"/>
  <c r="DI66" i="51"/>
  <c r="BQ134" i="51"/>
  <c r="DB146" i="51"/>
  <c r="BX87" i="51"/>
  <c r="DM90" i="51"/>
  <c r="CQ106" i="51"/>
  <c r="DI99" i="51"/>
  <c r="CW92" i="51"/>
  <c r="BQ57" i="51"/>
  <c r="DL122" i="51"/>
  <c r="DB115" i="51"/>
  <c r="CG94" i="51"/>
  <c r="CJ88" i="51"/>
  <c r="CC60" i="51"/>
  <c r="BV117" i="51"/>
  <c r="DG168" i="51"/>
  <c r="CN109" i="51"/>
  <c r="CI55" i="51"/>
  <c r="AY24" i="55"/>
  <c r="DK32" i="51"/>
  <c r="CP61" i="51"/>
  <c r="DC76" i="51"/>
  <c r="BR86" i="51"/>
  <c r="CS164" i="51"/>
  <c r="CS118" i="51"/>
  <c r="CY82" i="51"/>
  <c r="CQ121" i="51"/>
  <c r="BR113" i="51"/>
  <c r="CL94" i="51"/>
  <c r="DI115" i="51"/>
  <c r="CM112" i="51"/>
  <c r="CR63" i="51"/>
  <c r="DI118" i="51"/>
  <c r="CG115" i="51"/>
  <c r="BS112" i="51"/>
  <c r="CV114" i="51"/>
  <c r="CP54" i="51"/>
  <c r="CB56" i="51"/>
  <c r="CG79" i="51"/>
  <c r="CA175" i="51"/>
  <c r="BT53" i="51"/>
  <c r="CI63" i="51"/>
  <c r="CD107" i="51"/>
  <c r="CA122" i="51"/>
  <c r="DF51" i="51"/>
  <c r="CI58" i="51"/>
  <c r="DC66" i="51"/>
  <c r="DG173" i="51"/>
  <c r="DJ53" i="51"/>
  <c r="BU110" i="51"/>
  <c r="BS96" i="51"/>
  <c r="DA62" i="51"/>
  <c r="CV102" i="51"/>
  <c r="BR62" i="51"/>
  <c r="CF55" i="51"/>
  <c r="DK54" i="51"/>
  <c r="CS50" i="51"/>
  <c r="CQ110" i="51"/>
  <c r="CX120" i="51"/>
  <c r="BT115" i="51"/>
  <c r="CD54" i="51"/>
  <c r="CX112" i="51"/>
  <c r="CH67" i="51"/>
  <c r="CX50" i="51"/>
  <c r="DA110" i="51"/>
  <c r="DD170" i="51"/>
  <c r="CA115" i="51"/>
  <c r="BV121" i="51"/>
  <c r="BU119" i="51"/>
  <c r="CA112" i="51"/>
  <c r="CD111" i="51"/>
  <c r="BY61" i="51"/>
  <c r="DD159" i="51"/>
  <c r="DA106" i="51"/>
  <c r="CE63" i="51"/>
  <c r="CM85" i="51"/>
  <c r="CW90" i="51"/>
  <c r="CF102" i="51"/>
  <c r="BS100" i="51"/>
  <c r="DG66" i="51"/>
  <c r="CY162" i="51"/>
  <c r="BP57" i="51"/>
  <c r="DJ22" i="51"/>
  <c r="CI160" i="51"/>
  <c r="DM143" i="51"/>
  <c r="BQ61" i="51"/>
  <c r="BW98" i="51"/>
  <c r="DF81" i="51"/>
  <c r="DK64" i="51"/>
  <c r="CV174" i="51"/>
  <c r="DA114" i="51"/>
  <c r="DC106" i="51"/>
  <c r="CL117" i="51"/>
  <c r="BW41" i="51"/>
  <c r="DK120" i="51"/>
  <c r="BW108" i="51"/>
  <c r="CU61" i="51"/>
  <c r="DC44" i="51"/>
  <c r="CB113" i="51"/>
  <c r="BS28" i="51"/>
  <c r="CI57" i="51"/>
  <c r="CW95" i="51"/>
  <c r="DB121" i="51"/>
  <c r="DB51" i="51"/>
  <c r="BS53" i="51"/>
  <c r="CC104" i="51"/>
  <c r="BQ118" i="51"/>
  <c r="CU84" i="51"/>
  <c r="CT122" i="51"/>
  <c r="DL112" i="51"/>
  <c r="CM19" i="51"/>
  <c r="CO49" i="51"/>
  <c r="BX64" i="51"/>
  <c r="BW64" i="51"/>
  <c r="DC61" i="51"/>
  <c r="DG18" i="51"/>
  <c r="CV93" i="51"/>
  <c r="BW56" i="51"/>
  <c r="BV65" i="51"/>
  <c r="CU114" i="51"/>
  <c r="CL61" i="51"/>
  <c r="DD113" i="51"/>
  <c r="CE25" i="51"/>
  <c r="CF98" i="51"/>
  <c r="BW165" i="51"/>
  <c r="CJ61" i="51"/>
  <c r="DH53" i="51"/>
  <c r="DJ111" i="51"/>
  <c r="CJ92" i="51"/>
  <c r="CI38" i="51"/>
  <c r="DD99" i="51"/>
  <c r="DF57" i="51"/>
  <c r="CZ63" i="51"/>
  <c r="DA58" i="51"/>
  <c r="CR90" i="51"/>
  <c r="BR67" i="51"/>
  <c r="DD105" i="51"/>
  <c r="CY164" i="51"/>
  <c r="CH100" i="51"/>
  <c r="CQ87" i="51"/>
  <c r="DL95" i="51"/>
  <c r="BQ62" i="51"/>
  <c r="CY97" i="51"/>
  <c r="CC117" i="51"/>
  <c r="DC59" i="51"/>
  <c r="CB38" i="55"/>
  <c r="CH39" i="51"/>
  <c r="DK87" i="51"/>
  <c r="DI113" i="51"/>
  <c r="CG139" i="51"/>
  <c r="CX80" i="51"/>
  <c r="BQ53" i="51"/>
  <c r="CC41" i="51"/>
  <c r="BT114" i="51"/>
  <c r="BV64" i="51"/>
  <c r="CP59" i="51"/>
  <c r="CP116" i="51"/>
  <c r="BY165" i="51"/>
  <c r="CK24" i="51"/>
  <c r="DC108" i="51"/>
  <c r="BV40" i="51"/>
  <c r="CA81" i="51"/>
  <c r="CU88" i="51"/>
  <c r="BS86" i="51"/>
  <c r="CA103" i="51"/>
  <c r="DL45" i="51"/>
  <c r="DH115" i="51"/>
  <c r="CC168" i="51"/>
  <c r="CM54" i="51"/>
  <c r="CW57" i="51"/>
  <c r="CN54" i="51"/>
  <c r="BX53" i="51"/>
  <c r="CN65" i="51"/>
  <c r="DA117" i="51"/>
  <c r="BT168" i="51"/>
  <c r="CN112" i="51"/>
  <c r="CF79" i="51"/>
  <c r="BV168" i="51"/>
  <c r="BT77" i="51"/>
  <c r="BX94" i="51"/>
  <c r="BZ111" i="51"/>
  <c r="BW59" i="51"/>
  <c r="DG104" i="51"/>
  <c r="CI32" i="51"/>
  <c r="BY64" i="51"/>
  <c r="BY54" i="51"/>
  <c r="BN40" i="55"/>
  <c r="CK66" i="51"/>
  <c r="CN27" i="51"/>
  <c r="DH107" i="51"/>
  <c r="BZ62" i="51"/>
  <c r="CB109" i="51"/>
  <c r="CG57" i="51"/>
  <c r="CH118" i="51"/>
  <c r="BS63" i="51"/>
  <c r="BX121" i="51"/>
  <c r="CW169" i="51"/>
  <c r="CA61" i="51"/>
  <c r="BZ54" i="51"/>
  <c r="CT118" i="51"/>
  <c r="BZ121" i="51"/>
  <c r="BX165" i="51"/>
  <c r="CU57" i="51"/>
  <c r="DC155" i="51"/>
  <c r="BV119" i="51"/>
  <c r="DJ109" i="51"/>
  <c r="CH120" i="51"/>
  <c r="CL103" i="51"/>
  <c r="CW176" i="51"/>
  <c r="CS142" i="51"/>
  <c r="BZ173" i="51"/>
  <c r="CN41" i="51"/>
  <c r="CE168" i="51"/>
  <c r="CY170" i="51"/>
  <c r="CL115" i="51"/>
  <c r="DB91" i="51"/>
  <c r="CL108" i="51"/>
  <c r="CP58" i="51"/>
  <c r="CC66" i="51"/>
  <c r="DB147" i="51"/>
  <c r="CV106" i="51"/>
  <c r="CD177" i="51"/>
  <c r="DJ65" i="51"/>
  <c r="BL58" i="53"/>
  <c r="CV110" i="51"/>
  <c r="CH113" i="51"/>
  <c r="CW109" i="51"/>
  <c r="CK120" i="51"/>
  <c r="CB67" i="51"/>
  <c r="CB118" i="51"/>
  <c r="BS52" i="51"/>
  <c r="CO81" i="51"/>
  <c r="CF104" i="51"/>
  <c r="DG63" i="51"/>
  <c r="DD55" i="51"/>
  <c r="CF61" i="51"/>
  <c r="CX113" i="51"/>
  <c r="DL80" i="51"/>
  <c r="BR97" i="51"/>
  <c r="DF66" i="51"/>
  <c r="DJ108" i="51"/>
  <c r="BZ58" i="51"/>
  <c r="CC65" i="51"/>
  <c r="DD63" i="51"/>
  <c r="CW152" i="51"/>
  <c r="CL52" i="51"/>
  <c r="CY110" i="51"/>
  <c r="CG83" i="51"/>
  <c r="BT80" i="51"/>
  <c r="BX171" i="51"/>
  <c r="DJ120" i="51"/>
  <c r="DE60" i="51"/>
  <c r="DB171" i="51"/>
  <c r="DD107" i="51"/>
  <c r="DC167" i="51"/>
  <c r="DC117" i="51"/>
  <c r="CF85" i="51"/>
  <c r="CZ120" i="51"/>
  <c r="CZ107" i="51"/>
  <c r="DL121" i="51"/>
  <c r="CB65" i="51"/>
  <c r="BX51" i="51"/>
  <c r="CJ163" i="51"/>
  <c r="DH134" i="51"/>
  <c r="DI117" i="51"/>
  <c r="CU115" i="51"/>
  <c r="CU172" i="51"/>
  <c r="BX122" i="51"/>
  <c r="CG64" i="51"/>
  <c r="BV89" i="51"/>
  <c r="DD83" i="51"/>
  <c r="CR116" i="51"/>
  <c r="CN115" i="51"/>
  <c r="BR120" i="51"/>
  <c r="CW37" i="51"/>
  <c r="DH51" i="51"/>
  <c r="CZ117" i="51"/>
  <c r="BU116" i="51"/>
  <c r="DG122" i="51"/>
  <c r="DL165" i="51"/>
  <c r="CB88" i="51"/>
  <c r="CR81" i="51"/>
  <c r="CX161" i="51"/>
  <c r="CQ54" i="51"/>
  <c r="BU59" i="51"/>
  <c r="CR112" i="51"/>
  <c r="DH118" i="51"/>
  <c r="CX87" i="51"/>
  <c r="AV33" i="53"/>
  <c r="BT63" i="51"/>
  <c r="BY94" i="51"/>
  <c r="CH66" i="51"/>
  <c r="DM92" i="51"/>
  <c r="CL55" i="55"/>
  <c r="DF114" i="51"/>
  <c r="CH160" i="51"/>
  <c r="CG177" i="51"/>
  <c r="CK84" i="51"/>
  <c r="BY175" i="51"/>
  <c r="CI19" i="51"/>
  <c r="CN81" i="51"/>
  <c r="CE45" i="51"/>
  <c r="CB80" i="51"/>
  <c r="CO122" i="51"/>
  <c r="CF66" i="51"/>
  <c r="CN87" i="51"/>
  <c r="CO36" i="51"/>
  <c r="CD55" i="51"/>
  <c r="BF30" i="55"/>
  <c r="CH19" i="51"/>
  <c r="DG96" i="51"/>
  <c r="CP119" i="51"/>
  <c r="CK134" i="51"/>
  <c r="DB100" i="51"/>
  <c r="BS51" i="51"/>
  <c r="CK141" i="51"/>
  <c r="CO152" i="51"/>
  <c r="BZ153" i="51"/>
  <c r="CJ33" i="51"/>
  <c r="CM93" i="51"/>
  <c r="CA102" i="51"/>
  <c r="BQ73" i="51"/>
  <c r="CQ79" i="51"/>
  <c r="BW170" i="51"/>
  <c r="CU165" i="51"/>
  <c r="BT50" i="51"/>
  <c r="CO96" i="51"/>
  <c r="DD169" i="51"/>
  <c r="CC84" i="51"/>
  <c r="BU33" i="51"/>
  <c r="BQ176" i="51"/>
  <c r="BU104" i="51"/>
  <c r="CN35" i="55"/>
  <c r="BV108" i="51"/>
  <c r="CU52" i="51"/>
  <c r="DM175" i="51"/>
  <c r="DD51" i="51"/>
  <c r="CA57" i="55"/>
  <c r="CD24" i="51"/>
  <c r="CP63" i="51"/>
  <c r="DH54" i="51"/>
  <c r="CX176" i="51"/>
  <c r="BS26" i="51"/>
  <c r="CZ108" i="51"/>
  <c r="DK34" i="51"/>
  <c r="CX146" i="51"/>
  <c r="CD153" i="51"/>
  <c r="BV113" i="51"/>
  <c r="BR30" i="51"/>
  <c r="DI85" i="51"/>
  <c r="CP82" i="51"/>
  <c r="CB19" i="51"/>
  <c r="DM115" i="51"/>
  <c r="CH19" i="55"/>
  <c r="CH28" i="55"/>
  <c r="BR156" i="51"/>
  <c r="CF116" i="51"/>
  <c r="DK118" i="51"/>
  <c r="CA54" i="51"/>
  <c r="BX56" i="51"/>
  <c r="BT51" i="51"/>
  <c r="CQ163" i="51"/>
  <c r="CS108" i="51"/>
  <c r="CO63" i="51"/>
  <c r="DD23" i="51"/>
  <c r="BZ110" i="51"/>
  <c r="DG93" i="51"/>
  <c r="CC157" i="51"/>
  <c r="CQ171" i="51"/>
  <c r="CV95" i="51"/>
  <c r="BY96" i="51"/>
  <c r="BX35" i="53"/>
  <c r="DI120" i="51"/>
  <c r="DG56" i="51"/>
  <c r="DH48" i="51"/>
  <c r="CF152" i="51"/>
  <c r="CY36" i="51"/>
  <c r="BY40" i="51"/>
  <c r="CJ100" i="51"/>
  <c r="BY109" i="51"/>
  <c r="BU25" i="51"/>
  <c r="BR52" i="51"/>
  <c r="CA48" i="51"/>
  <c r="BR56" i="51"/>
  <c r="CH92" i="51"/>
  <c r="BR63" i="51"/>
  <c r="CO57" i="51"/>
  <c r="DM54" i="51"/>
  <c r="CC40" i="51"/>
  <c r="CT81" i="51"/>
  <c r="CY61" i="51"/>
  <c r="CD41" i="51"/>
  <c r="DF98" i="51"/>
  <c r="CY161" i="51"/>
  <c r="BD26" i="55"/>
  <c r="DC37" i="51"/>
  <c r="CB119" i="51"/>
  <c r="CZ82" i="51"/>
  <c r="CQ144" i="51"/>
  <c r="CK41" i="55"/>
  <c r="BZ95" i="51"/>
  <c r="CN101" i="51"/>
  <c r="CL21" i="55"/>
  <c r="CA141" i="51"/>
  <c r="DF79" i="51"/>
  <c r="CI81" i="51"/>
  <c r="CS168" i="51"/>
  <c r="CR30" i="51"/>
  <c r="DB104" i="51"/>
  <c r="DA28" i="51"/>
  <c r="CJ47" i="53"/>
  <c r="CU43" i="51"/>
  <c r="CK118" i="51"/>
  <c r="CE101" i="51"/>
  <c r="DM88" i="51"/>
  <c r="BL45" i="55"/>
  <c r="DM153" i="51"/>
  <c r="DA78" i="51"/>
  <c r="CI41" i="51"/>
  <c r="CJ175" i="51"/>
  <c r="CH152" i="51"/>
  <c r="BQ47" i="51"/>
  <c r="DD22" i="51"/>
  <c r="BQ43" i="51"/>
  <c r="CE167" i="51"/>
  <c r="CT21" i="51"/>
  <c r="BZ79" i="51"/>
  <c r="DL98" i="51"/>
  <c r="BY37" i="55"/>
  <c r="DJ154" i="51"/>
  <c r="BR83" i="51"/>
  <c r="DD84" i="51"/>
  <c r="CB23" i="51"/>
  <c r="BT81" i="51"/>
  <c r="BY151" i="51"/>
  <c r="BZ103" i="51"/>
  <c r="CI155" i="51"/>
  <c r="BY25" i="51"/>
  <c r="DH33" i="51"/>
  <c r="AW15" i="55"/>
  <c r="DK60" i="51"/>
  <c r="CN169" i="51"/>
  <c r="CJ27" i="51"/>
  <c r="BR168" i="51"/>
  <c r="CR106" i="51"/>
  <c r="DH162" i="51"/>
  <c r="BJ23" i="55"/>
  <c r="BQ164" i="51"/>
  <c r="DE93" i="51"/>
  <c r="CP102" i="51"/>
  <c r="CQ115" i="51"/>
  <c r="DE80" i="51"/>
  <c r="CO92" i="51"/>
  <c r="CD163" i="51"/>
  <c r="DC40" i="51"/>
  <c r="BS93" i="51"/>
  <c r="CL169" i="51"/>
  <c r="BC13" i="55"/>
  <c r="CS29" i="51"/>
  <c r="DI42" i="51"/>
  <c r="CF23" i="51"/>
  <c r="BX24" i="53"/>
  <c r="BY74" i="51"/>
  <c r="BS172" i="51"/>
  <c r="BP32" i="51"/>
  <c r="CB55" i="51"/>
  <c r="DB19" i="51"/>
  <c r="DG136" i="51"/>
  <c r="BX23" i="51"/>
  <c r="CL62" i="51"/>
  <c r="CN32" i="51"/>
  <c r="DE96" i="51"/>
  <c r="CX32" i="51"/>
  <c r="AS14" i="53"/>
  <c r="CZ162" i="51"/>
  <c r="CK77" i="51"/>
  <c r="DG91" i="51"/>
  <c r="BV96" i="51"/>
  <c r="CC134" i="51"/>
  <c r="CI18" i="55"/>
  <c r="CA36" i="51"/>
  <c r="CZ37" i="51"/>
  <c r="CI172" i="51"/>
  <c r="CK81" i="51"/>
  <c r="BV104" i="51"/>
  <c r="DH143" i="51"/>
  <c r="CR39" i="51"/>
  <c r="BU161" i="51"/>
  <c r="DB137" i="51"/>
  <c r="CW88" i="51"/>
  <c r="CL168" i="51"/>
  <c r="CU162" i="51"/>
  <c r="CM80" i="51"/>
  <c r="CJ143" i="51"/>
  <c r="BY169" i="51"/>
  <c r="CD78" i="51"/>
  <c r="CW53" i="51"/>
  <c r="BT31" i="51"/>
  <c r="CS97" i="51"/>
  <c r="CL73" i="51"/>
  <c r="DH30" i="51"/>
  <c r="BV87" i="51"/>
  <c r="BS22" i="51"/>
  <c r="BX134" i="51"/>
  <c r="CS162" i="51"/>
  <c r="CV31" i="51"/>
  <c r="DG73" i="51"/>
  <c r="BX163" i="51"/>
  <c r="DG174" i="51"/>
  <c r="CH121" i="51"/>
  <c r="CK167" i="51"/>
  <c r="BV94" i="51"/>
  <c r="BU95" i="51"/>
  <c r="CT83" i="51"/>
  <c r="BY67" i="51"/>
  <c r="CW55" i="51"/>
  <c r="CX67" i="51"/>
  <c r="CP91" i="51"/>
  <c r="CN166" i="51"/>
  <c r="CS82" i="51"/>
  <c r="BP37" i="51"/>
  <c r="BT110" i="51"/>
  <c r="DL94" i="51"/>
  <c r="DK85" i="51"/>
  <c r="CO87" i="51"/>
  <c r="DF82" i="51"/>
  <c r="CX170" i="51"/>
  <c r="CL60" i="51"/>
  <c r="BY91" i="51"/>
  <c r="BP53" i="51"/>
  <c r="CW102" i="51"/>
  <c r="DK119" i="51"/>
  <c r="CA159" i="51"/>
  <c r="BT46" i="55"/>
  <c r="DE111" i="51"/>
  <c r="BY93" i="51"/>
  <c r="CB96" i="51"/>
  <c r="CV100" i="51"/>
  <c r="BY97" i="51"/>
  <c r="CZ175" i="51"/>
  <c r="BZ86" i="51"/>
  <c r="CS67" i="51"/>
  <c r="DA85" i="51"/>
  <c r="CW60" i="51"/>
  <c r="CE39" i="51"/>
  <c r="CY98" i="51"/>
  <c r="BX114" i="51"/>
  <c r="DL60" i="51"/>
  <c r="CS84" i="51"/>
  <c r="BY31" i="51"/>
  <c r="CJ33" i="53"/>
  <c r="CX164" i="51"/>
  <c r="CX108" i="51"/>
  <c r="DA86" i="51"/>
  <c r="CO80" i="51"/>
  <c r="CL175" i="51"/>
  <c r="DG164" i="51"/>
  <c r="CM175" i="51"/>
  <c r="BS85" i="51"/>
  <c r="BS98" i="51"/>
  <c r="DC86" i="51"/>
  <c r="BR41" i="51"/>
  <c r="BU91" i="51"/>
  <c r="BW162" i="51"/>
  <c r="BX172" i="51"/>
  <c r="DI162" i="51"/>
  <c r="BR166" i="51"/>
  <c r="CH86" i="51"/>
  <c r="BS55" i="51"/>
  <c r="CC47" i="51"/>
  <c r="CR162" i="51"/>
  <c r="CJ53" i="51"/>
  <c r="CD28" i="51"/>
  <c r="DB63" i="51"/>
  <c r="CY65" i="51"/>
  <c r="DE53" i="51"/>
  <c r="DL171" i="51"/>
  <c r="DH35" i="51"/>
  <c r="CB177" i="51"/>
  <c r="BP52" i="51"/>
  <c r="BX115" i="51"/>
  <c r="CN116" i="51"/>
  <c r="CJ77" i="51"/>
  <c r="BY90" i="51"/>
  <c r="CM33" i="51"/>
  <c r="BT83" i="51"/>
  <c r="DC161" i="51"/>
  <c r="CK73" i="51"/>
  <c r="CE85" i="51"/>
  <c r="DC32" i="51"/>
  <c r="DI43" i="51"/>
  <c r="DK115" i="51"/>
  <c r="CB20" i="51"/>
  <c r="CN153" i="51"/>
  <c r="CW94" i="51"/>
  <c r="DI142" i="51"/>
  <c r="CH59" i="51"/>
  <c r="CP44" i="51"/>
  <c r="CS22" i="51"/>
  <c r="DE28" i="51"/>
  <c r="CB84" i="51"/>
  <c r="CU97" i="51"/>
  <c r="CX177" i="51"/>
  <c r="CM90" i="51"/>
  <c r="BY43" i="51"/>
  <c r="CY92" i="51"/>
  <c r="BZ101" i="51"/>
  <c r="CJ51" i="51"/>
  <c r="CH171" i="51"/>
  <c r="CB77" i="51"/>
  <c r="CC20" i="55"/>
  <c r="BU165" i="51"/>
  <c r="CN82" i="51"/>
  <c r="BX84" i="51"/>
  <c r="DB97" i="51"/>
  <c r="DK102" i="51"/>
  <c r="CD73" i="51"/>
  <c r="DE83" i="51"/>
  <c r="DE97" i="51"/>
  <c r="CV168" i="51"/>
  <c r="DC152" i="51"/>
  <c r="CJ24" i="51"/>
  <c r="CF161" i="51"/>
  <c r="CE90" i="51"/>
  <c r="BU31" i="51"/>
  <c r="DH81" i="51"/>
  <c r="CZ102" i="51"/>
  <c r="DL147" i="51"/>
  <c r="DA118" i="51"/>
  <c r="CD161" i="51"/>
  <c r="CO89" i="51"/>
  <c r="DC163" i="51"/>
  <c r="BY159" i="51"/>
  <c r="DF103" i="51"/>
  <c r="BQ35" i="51"/>
  <c r="CJ44" i="51"/>
  <c r="DB81" i="51"/>
  <c r="CE88" i="51"/>
  <c r="BU109" i="51"/>
  <c r="CZ43" i="51"/>
  <c r="CU101" i="51"/>
  <c r="CT51" i="51"/>
  <c r="CF76" i="51"/>
  <c r="CO53" i="51"/>
  <c r="CL47" i="51"/>
  <c r="DC19" i="51"/>
  <c r="BR32" i="51"/>
  <c r="BW137" i="51"/>
  <c r="CX119" i="51"/>
  <c r="BX33" i="51"/>
  <c r="DM166" i="51"/>
  <c r="CT107" i="51"/>
  <c r="DD56" i="51"/>
  <c r="DJ32" i="51"/>
  <c r="BZ176" i="51"/>
  <c r="CX169" i="51"/>
  <c r="CK83" i="51"/>
  <c r="AZ31" i="55"/>
  <c r="CZ73" i="51"/>
  <c r="BQ45" i="51"/>
  <c r="CA172" i="51"/>
  <c r="DJ89" i="51"/>
  <c r="DF83" i="51"/>
  <c r="BZ165" i="51"/>
  <c r="BU60" i="51"/>
  <c r="BT28" i="51"/>
  <c r="CP103" i="51"/>
  <c r="CX37" i="51"/>
  <c r="BU177" i="51"/>
  <c r="CI29" i="51"/>
  <c r="CJ136" i="51"/>
  <c r="CK121" i="51"/>
  <c r="BP158" i="51"/>
  <c r="BY57" i="51"/>
  <c r="DJ174" i="51"/>
  <c r="DD38" i="51"/>
  <c r="CB36" i="51"/>
  <c r="CR40" i="51"/>
  <c r="CM97" i="51"/>
  <c r="CB106" i="51"/>
  <c r="DH175" i="51"/>
  <c r="CO165" i="51"/>
  <c r="CY56" i="51"/>
  <c r="CM84" i="51"/>
  <c r="CE96" i="51"/>
  <c r="CP97" i="51"/>
  <c r="CT45" i="51"/>
  <c r="BZ29" i="55"/>
  <c r="BY28" i="51"/>
  <c r="BX52" i="51"/>
  <c r="BR51" i="51"/>
  <c r="DD43" i="51"/>
  <c r="CL95" i="51"/>
  <c r="CS161" i="51"/>
  <c r="DL91" i="51"/>
  <c r="CU99" i="51"/>
  <c r="CF87" i="51"/>
  <c r="CN20" i="53"/>
  <c r="CK58" i="51"/>
  <c r="CT173" i="51"/>
  <c r="CU83" i="51"/>
  <c r="DF101" i="51"/>
  <c r="CY90" i="51"/>
  <c r="DK101" i="51"/>
  <c r="DC170" i="51"/>
  <c r="CK161" i="51"/>
  <c r="BP39" i="53"/>
  <c r="CH36" i="55"/>
  <c r="DD87" i="51"/>
  <c r="DM119" i="51"/>
  <c r="BS74" i="51"/>
  <c r="BU172" i="51"/>
  <c r="CO64" i="51"/>
  <c r="BF23" i="55"/>
  <c r="DD151" i="51"/>
  <c r="BY147" i="51"/>
  <c r="BP31" i="53"/>
  <c r="CB27" i="51"/>
  <c r="CU64" i="51"/>
  <c r="BU173" i="51"/>
  <c r="CY38" i="51"/>
  <c r="CT164" i="51"/>
  <c r="BQ24" i="51"/>
  <c r="CA80" i="51"/>
  <c r="CO140" i="51"/>
  <c r="CB152" i="51"/>
  <c r="DJ42" i="51"/>
  <c r="CR25" i="51"/>
  <c r="BQ22" i="51"/>
  <c r="CS94" i="51"/>
  <c r="DJ18" i="51"/>
  <c r="DK45" i="51"/>
  <c r="CX117" i="51"/>
  <c r="DB90" i="51"/>
  <c r="CL93" i="51"/>
  <c r="CL99" i="51"/>
  <c r="CZ161" i="51"/>
  <c r="DG41" i="51"/>
  <c r="BU101" i="51"/>
  <c r="CU173" i="51"/>
  <c r="CP98" i="51"/>
  <c r="CE87" i="51"/>
  <c r="CK168" i="51"/>
  <c r="CD160" i="51"/>
  <c r="BP173" i="51"/>
  <c r="CO162" i="51"/>
  <c r="BY148" i="51"/>
  <c r="CN167" i="51"/>
  <c r="BT52" i="51"/>
  <c r="CU80" i="51"/>
  <c r="CC177" i="51"/>
  <c r="CV78" i="51"/>
  <c r="CY173" i="51"/>
  <c r="DJ56" i="51"/>
  <c r="BG35" i="55"/>
  <c r="CG122" i="51"/>
  <c r="DG46" i="51"/>
  <c r="CK93" i="51"/>
  <c r="CG98" i="51"/>
  <c r="DE59" i="51"/>
  <c r="CE30" i="51"/>
  <c r="CE41" i="55"/>
  <c r="CV158" i="51"/>
  <c r="DG110" i="51"/>
  <c r="BQ56" i="51"/>
  <c r="CB172" i="51"/>
  <c r="CZ116" i="51"/>
  <c r="CE121" i="51"/>
  <c r="CP53" i="51"/>
  <c r="CT172" i="51"/>
  <c r="BT54" i="51"/>
  <c r="DI58" i="51"/>
  <c r="DM162" i="51"/>
  <c r="CU65" i="51"/>
  <c r="DA60" i="51"/>
  <c r="CT86" i="51"/>
  <c r="BS81" i="51"/>
  <c r="CV117" i="51"/>
  <c r="BS56" i="51"/>
  <c r="BY82" i="51"/>
  <c r="BR116" i="51"/>
  <c r="CO35" i="51"/>
  <c r="BS79" i="51"/>
  <c r="CR99" i="51"/>
  <c r="BQ96" i="51"/>
  <c r="CH80" i="51"/>
  <c r="CE23" i="55"/>
  <c r="CZ152" i="51"/>
  <c r="BT175" i="51"/>
  <c r="DA100" i="51"/>
  <c r="CB112" i="51"/>
  <c r="CC115" i="51"/>
  <c r="CN18" i="51"/>
  <c r="CD91" i="51"/>
  <c r="DD122" i="51"/>
  <c r="DF171" i="51"/>
  <c r="CK54" i="51"/>
  <c r="CW158" i="51"/>
  <c r="CK60" i="51"/>
  <c r="CV163" i="51"/>
  <c r="CZ118" i="51"/>
  <c r="DF160" i="51"/>
  <c r="CV45" i="51"/>
  <c r="DL103" i="51"/>
  <c r="CM23" i="51"/>
  <c r="CF21" i="51"/>
  <c r="DK28" i="51"/>
  <c r="CS109" i="51"/>
  <c r="CR174" i="51"/>
  <c r="DL67" i="51"/>
  <c r="CC164" i="51"/>
  <c r="BT65" i="51"/>
  <c r="CW171" i="51"/>
  <c r="DH95" i="51"/>
  <c r="BS83" i="51"/>
  <c r="CP171" i="51"/>
  <c r="DC87" i="51"/>
  <c r="CN20" i="51"/>
  <c r="BX47" i="55"/>
  <c r="DK82" i="51"/>
  <c r="DE46" i="51"/>
  <c r="BZ50" i="51"/>
  <c r="CM39" i="51"/>
  <c r="CI93" i="51"/>
  <c r="BU169" i="51"/>
  <c r="DG138" i="51"/>
  <c r="BV170" i="51"/>
  <c r="DD103" i="51"/>
  <c r="CD53" i="51"/>
  <c r="BW33" i="51"/>
  <c r="CQ98" i="51"/>
  <c r="CT67" i="51"/>
  <c r="CH33" i="51"/>
  <c r="CA161" i="51"/>
  <c r="BX102" i="51"/>
  <c r="DC58" i="51"/>
  <c r="CT66" i="51"/>
  <c r="CW172" i="51"/>
  <c r="CC81" i="51"/>
  <c r="CK92" i="51"/>
  <c r="CP162" i="51"/>
  <c r="CK35" i="51"/>
  <c r="CQ177" i="51"/>
  <c r="BU52" i="51"/>
  <c r="BY42" i="51"/>
  <c r="DI89" i="51"/>
  <c r="CO56" i="51"/>
  <c r="BX39" i="51"/>
  <c r="BT141" i="51"/>
  <c r="DI103" i="51"/>
  <c r="CD26" i="51"/>
  <c r="BV14" i="53"/>
  <c r="DF176" i="51"/>
  <c r="DJ88" i="51"/>
  <c r="BW55" i="51"/>
  <c r="BZ151" i="51"/>
  <c r="DC162" i="51"/>
  <c r="BU54" i="55"/>
  <c r="CM38" i="51"/>
  <c r="CZ97" i="51"/>
  <c r="CW163" i="51"/>
  <c r="CB117" i="51"/>
  <c r="CR139" i="51"/>
  <c r="CN104" i="51"/>
  <c r="DE141" i="51"/>
  <c r="CO82" i="51"/>
  <c r="DE52" i="51"/>
  <c r="DB168" i="51"/>
  <c r="BD38" i="55"/>
  <c r="CV139" i="51"/>
  <c r="DH148" i="51"/>
  <c r="DH58" i="51"/>
  <c r="CM83" i="51"/>
  <c r="CQ157" i="51"/>
  <c r="BY166" i="51"/>
  <c r="DL49" i="51"/>
  <c r="DA162" i="51"/>
  <c r="CC82" i="51"/>
  <c r="CD157" i="51"/>
  <c r="CB45" i="51"/>
  <c r="CT99" i="51"/>
  <c r="CE20" i="51"/>
  <c r="CL26" i="51"/>
  <c r="DG26" i="51"/>
  <c r="CN50" i="51"/>
  <c r="CP146" i="51"/>
  <c r="CY93" i="51"/>
  <c r="CI36" i="55"/>
  <c r="DI152" i="51"/>
  <c r="BU118" i="51"/>
  <c r="CA97" i="51"/>
  <c r="DE37" i="51"/>
  <c r="BR106" i="51"/>
  <c r="DH29" i="51"/>
  <c r="CJ57" i="51"/>
  <c r="CD99" i="51"/>
  <c r="CD143" i="51"/>
  <c r="DG35" i="51"/>
  <c r="BY116" i="51"/>
  <c r="CC20" i="51"/>
  <c r="CM26" i="51"/>
  <c r="CB93" i="51"/>
  <c r="DC150" i="51"/>
  <c r="DM154" i="51"/>
  <c r="CN170" i="51"/>
  <c r="BV88" i="51"/>
  <c r="CS102" i="51"/>
  <c r="CB59" i="51"/>
  <c r="BQ60" i="51"/>
  <c r="BW102" i="51"/>
  <c r="CJ30" i="51"/>
  <c r="DD66" i="51"/>
  <c r="CZ84" i="51"/>
  <c r="BW86" i="51"/>
  <c r="DF20" i="51"/>
  <c r="DG58" i="51"/>
  <c r="DC53" i="51"/>
  <c r="DK145" i="51"/>
  <c r="CS155" i="51"/>
  <c r="AY59" i="53"/>
  <c r="BQ171" i="51"/>
  <c r="CF159" i="51"/>
  <c r="DM91" i="51"/>
  <c r="DK74" i="51"/>
  <c r="DB30" i="51"/>
  <c r="CN174" i="51"/>
  <c r="DH21" i="51"/>
  <c r="CY169" i="51"/>
  <c r="CD64" i="51"/>
  <c r="CN176" i="51"/>
  <c r="CF146" i="51"/>
  <c r="BK44" i="55"/>
  <c r="BP160" i="51"/>
  <c r="DK177" i="51"/>
  <c r="DD94" i="51"/>
  <c r="DJ169" i="51"/>
  <c r="DH49" i="51"/>
  <c r="CK56" i="51"/>
  <c r="CB49" i="51"/>
  <c r="DA31" i="51"/>
  <c r="CV64" i="51"/>
  <c r="CB168" i="51"/>
  <c r="CN49" i="51"/>
  <c r="DE167" i="51"/>
  <c r="BT41" i="51"/>
  <c r="BW19" i="53"/>
  <c r="CD24" i="53"/>
  <c r="CL100" i="51"/>
  <c r="CR93" i="51"/>
  <c r="CI20" i="51"/>
  <c r="CG37" i="51"/>
  <c r="DJ83" i="51"/>
  <c r="CX30" i="51"/>
  <c r="BY138" i="51"/>
  <c r="CT148" i="51"/>
  <c r="BW46" i="51"/>
  <c r="CK49" i="51"/>
  <c r="DK23" i="51"/>
  <c r="BQ163" i="51"/>
  <c r="CO104" i="51"/>
  <c r="CR177" i="51"/>
  <c r="CJ102" i="51"/>
  <c r="BW66" i="51"/>
  <c r="BC15" i="55"/>
  <c r="DE177" i="51"/>
  <c r="CD52" i="51"/>
  <c r="BY81" i="51"/>
  <c r="CI37" i="51"/>
  <c r="DG38" i="51"/>
  <c r="CG104" i="51"/>
  <c r="CP161" i="51"/>
  <c r="DK49" i="51"/>
  <c r="DA161" i="51"/>
  <c r="BX80" i="51"/>
  <c r="CY101" i="51"/>
  <c r="BR34" i="55"/>
  <c r="CM82" i="51"/>
  <c r="DB78" i="51"/>
  <c r="CH117" i="51"/>
  <c r="CM62" i="51"/>
  <c r="DI143" i="51"/>
  <c r="CY134" i="51"/>
  <c r="CS45" i="51"/>
  <c r="CI101" i="51"/>
  <c r="CB32" i="51"/>
  <c r="CC49" i="55"/>
  <c r="BW14" i="53"/>
  <c r="AY39" i="55"/>
  <c r="CG15" i="55"/>
  <c r="BP41" i="51"/>
  <c r="BY38" i="51"/>
  <c r="DH89" i="51"/>
  <c r="BP175" i="51"/>
  <c r="CL91" i="51"/>
  <c r="BQ175" i="51"/>
  <c r="CD32" i="55"/>
  <c r="CE163" i="51"/>
  <c r="CD113" i="51"/>
  <c r="BN30" i="55"/>
  <c r="CL166" i="51"/>
  <c r="BQ81" i="51"/>
  <c r="CC135" i="51"/>
  <c r="CV25" i="51"/>
  <c r="CB158" i="51"/>
  <c r="CS37" i="51"/>
  <c r="BX58" i="51"/>
  <c r="DK26" i="51"/>
  <c r="DE22" i="51"/>
  <c r="CW44" i="51"/>
  <c r="CN84" i="51"/>
  <c r="DK93" i="51"/>
  <c r="BR96" i="51"/>
  <c r="BW54" i="55"/>
  <c r="CJ26" i="51"/>
  <c r="DL52" i="51"/>
  <c r="CY86" i="51"/>
  <c r="DH110" i="51"/>
  <c r="CC61" i="51"/>
  <c r="CX65" i="51"/>
  <c r="CB41" i="51"/>
  <c r="CJ147" i="51"/>
  <c r="CK106" i="51"/>
  <c r="DI155" i="51"/>
  <c r="CL33" i="51"/>
  <c r="BW115" i="51"/>
  <c r="DK169" i="51"/>
  <c r="CA50" i="51"/>
  <c r="DH66" i="51"/>
  <c r="DI169" i="51"/>
  <c r="DA94" i="51"/>
  <c r="BZ113" i="51"/>
  <c r="CW56" i="51"/>
  <c r="DJ122" i="51"/>
  <c r="CO60" i="51"/>
  <c r="DL48" i="51"/>
  <c r="CC30" i="51"/>
  <c r="CU108" i="51"/>
  <c r="CM28" i="51"/>
  <c r="CE56" i="51"/>
  <c r="CV162" i="51"/>
  <c r="AU22" i="55"/>
  <c r="DA65" i="51"/>
  <c r="BY120" i="51"/>
  <c r="CH62" i="51"/>
  <c r="BZ53" i="51"/>
  <c r="CR103" i="51"/>
  <c r="DL166" i="51"/>
  <c r="CW116" i="51"/>
  <c r="DL160" i="51"/>
  <c r="CW82" i="51"/>
  <c r="DK176" i="51"/>
  <c r="CO33" i="51"/>
  <c r="CM163" i="51"/>
  <c r="CX61" i="51"/>
  <c r="BQ119" i="51"/>
  <c r="CE18" i="51"/>
  <c r="DC94" i="51"/>
  <c r="CX64" i="51"/>
  <c r="DK111" i="51"/>
  <c r="CG19" i="51"/>
  <c r="CP85" i="51"/>
  <c r="DH119" i="51"/>
  <c r="BS113" i="51"/>
  <c r="CO99" i="51"/>
  <c r="DB116" i="51"/>
  <c r="BW30" i="51"/>
  <c r="CS19" i="51"/>
  <c r="CQ63" i="51"/>
  <c r="CM24" i="51"/>
  <c r="DM102" i="51"/>
  <c r="CF44" i="53"/>
  <c r="CY22" i="51"/>
  <c r="DA146" i="51"/>
  <c r="CB46" i="51"/>
  <c r="DK163" i="51"/>
  <c r="CE154" i="51"/>
  <c r="CP21" i="51"/>
  <c r="DJ23" i="51"/>
  <c r="CC143" i="51"/>
  <c r="DL30" i="51"/>
  <c r="CU55" i="51"/>
  <c r="CN55" i="51"/>
  <c r="DL174" i="51"/>
  <c r="CR42" i="51"/>
  <c r="BS97" i="51"/>
  <c r="CJ154" i="51"/>
  <c r="CY103" i="51"/>
  <c r="DF175" i="51"/>
  <c r="CP166" i="51"/>
  <c r="CS61" i="51"/>
  <c r="BR141" i="51"/>
  <c r="CL22" i="51"/>
  <c r="CG56" i="53"/>
  <c r="CB83" i="51"/>
  <c r="DF90" i="51"/>
  <c r="CT88" i="51"/>
  <c r="CT100" i="51"/>
  <c r="DE92" i="51"/>
  <c r="CO46" i="51"/>
  <c r="CH50" i="51"/>
  <c r="CW45" i="51"/>
  <c r="CX104" i="51"/>
  <c r="DG161" i="51"/>
  <c r="CK170" i="51"/>
  <c r="CE164" i="51"/>
  <c r="CN94" i="51"/>
  <c r="CR175" i="51"/>
  <c r="CP96" i="51"/>
  <c r="DI160" i="51"/>
  <c r="BT23" i="51"/>
  <c r="DF147" i="51"/>
  <c r="DC62" i="51"/>
  <c r="DG145" i="51"/>
  <c r="CC28" i="51"/>
  <c r="CB159" i="51"/>
  <c r="DE79" i="51"/>
  <c r="BQ98" i="51"/>
  <c r="BS137" i="51"/>
  <c r="BI50" i="55"/>
  <c r="CE138" i="51"/>
  <c r="BY66" i="51"/>
  <c r="CJ66" i="51"/>
  <c r="CK64" i="51"/>
  <c r="DM108" i="51"/>
  <c r="CX102" i="51"/>
  <c r="CU30" i="51"/>
  <c r="DM177" i="51"/>
  <c r="BX161" i="51"/>
  <c r="DL83" i="51"/>
  <c r="BT171" i="51"/>
  <c r="CS24" i="51"/>
  <c r="DD161" i="51"/>
  <c r="CM21" i="51"/>
  <c r="BS15" i="55"/>
  <c r="BW141" i="51"/>
  <c r="CR138" i="51"/>
  <c r="CZ109" i="51"/>
  <c r="DC169" i="51"/>
  <c r="CJ25" i="55"/>
  <c r="CT159" i="51"/>
  <c r="BR161" i="51"/>
  <c r="CM171" i="51"/>
  <c r="BW107" i="51"/>
  <c r="BN35" i="55"/>
  <c r="CV151" i="51"/>
  <c r="CQ20" i="51"/>
  <c r="DH63" i="51"/>
  <c r="CW50" i="51"/>
  <c r="CS43" i="51"/>
  <c r="DK62" i="51"/>
  <c r="DK38" i="51"/>
  <c r="CN172" i="51"/>
  <c r="CD62" i="51"/>
  <c r="CT44" i="51"/>
  <c r="AW19" i="55"/>
  <c r="BQ34" i="51"/>
  <c r="CA59" i="51"/>
  <c r="DJ31" i="51"/>
  <c r="BP143" i="51"/>
  <c r="CE48" i="51"/>
  <c r="CJ170" i="51"/>
  <c r="CG58" i="51"/>
  <c r="CZ174" i="51"/>
  <c r="CZ96" i="51"/>
  <c r="CI26" i="51"/>
  <c r="DC110" i="51"/>
  <c r="DJ162" i="51"/>
  <c r="DC160" i="51"/>
  <c r="DJ67" i="51"/>
  <c r="BS110" i="51"/>
  <c r="BA27" i="55"/>
  <c r="CU176" i="51"/>
  <c r="BR169" i="51"/>
  <c r="CX73" i="51"/>
  <c r="CC22" i="51"/>
  <c r="CL20" i="55"/>
  <c r="DA160" i="51"/>
  <c r="DD172" i="51"/>
  <c r="DM161" i="51"/>
  <c r="BQ76" i="51"/>
  <c r="BR76" i="51"/>
  <c r="DI92" i="51"/>
  <c r="DK173" i="51"/>
  <c r="CP48" i="51"/>
  <c r="BS141" i="51"/>
  <c r="BJ13" i="55"/>
  <c r="CL79" i="51"/>
  <c r="DA174" i="51"/>
  <c r="BQ42" i="51"/>
  <c r="CB97" i="51"/>
  <c r="CP79" i="51"/>
  <c r="CM120" i="51"/>
  <c r="BM44" i="53"/>
  <c r="CF33" i="55"/>
  <c r="BX62" i="51"/>
  <c r="BS160" i="51"/>
  <c r="BF26" i="55"/>
  <c r="CJ164" i="51"/>
  <c r="DE51" i="51"/>
  <c r="CR48" i="51"/>
  <c r="AZ17" i="55"/>
  <c r="DE136" i="51"/>
  <c r="DA59" i="51"/>
  <c r="BU86" i="51"/>
  <c r="BP139" i="51"/>
  <c r="CX138" i="51"/>
  <c r="CG168" i="51"/>
  <c r="CI50" i="55"/>
  <c r="CB50" i="55"/>
  <c r="CN152" i="51"/>
  <c r="BY89" i="51"/>
  <c r="BX164" i="51"/>
  <c r="BQ165" i="51"/>
  <c r="AV37" i="55"/>
  <c r="DC91" i="51"/>
  <c r="BX83" i="51"/>
  <c r="BT29" i="53"/>
  <c r="CV74" i="51"/>
  <c r="CX27" i="51"/>
  <c r="CV140" i="51"/>
  <c r="DC22" i="51"/>
  <c r="BK22" i="55"/>
  <c r="BK19" i="55"/>
  <c r="DK91" i="51"/>
  <c r="DJ163" i="51"/>
  <c r="CT34" i="51"/>
  <c r="BR55" i="55"/>
  <c r="CR157" i="51"/>
  <c r="CD40" i="51"/>
  <c r="CZ87" i="51"/>
  <c r="BP55" i="51"/>
  <c r="DF162" i="51"/>
  <c r="BV33" i="51"/>
  <c r="CY31" i="51"/>
  <c r="CQ38" i="51"/>
  <c r="CE21" i="51"/>
  <c r="CT27" i="51"/>
  <c r="DC141" i="51"/>
  <c r="CV153" i="51"/>
  <c r="BT93" i="51"/>
  <c r="CQ80" i="51"/>
  <c r="AV57" i="53"/>
  <c r="DC55" i="51"/>
  <c r="DH160" i="51"/>
  <c r="CW114" i="51"/>
  <c r="DC24" i="51"/>
  <c r="CM119" i="51"/>
  <c r="CF110" i="51"/>
  <c r="CA113" i="51"/>
  <c r="CJ113" i="51"/>
  <c r="CM88" i="51"/>
  <c r="BY176" i="51"/>
  <c r="DL64" i="51"/>
  <c r="BU56" i="51"/>
  <c r="DB113" i="51"/>
  <c r="BG36" i="53"/>
  <c r="BQ146" i="51"/>
  <c r="BW40" i="51"/>
  <c r="AZ32" i="55"/>
  <c r="CI112" i="51"/>
  <c r="DL42" i="51"/>
  <c r="CK166" i="51"/>
  <c r="CE118" i="51"/>
  <c r="BX61" i="51"/>
  <c r="CB166" i="51"/>
  <c r="CA27" i="55"/>
  <c r="CF52" i="55"/>
  <c r="BV101" i="51"/>
  <c r="CV28" i="51"/>
  <c r="CD67" i="51"/>
  <c r="CF107" i="51"/>
  <c r="DK52" i="51"/>
  <c r="BY53" i="51"/>
  <c r="CR171" i="51"/>
  <c r="CC39" i="51"/>
  <c r="DC83" i="51"/>
  <c r="DD100" i="51"/>
  <c r="CF103" i="51"/>
  <c r="DH57" i="51"/>
  <c r="BW158" i="51"/>
  <c r="BZ90" i="51"/>
  <c r="CI91" i="51"/>
  <c r="DC20" i="51"/>
  <c r="BU99" i="51"/>
  <c r="CO173" i="51"/>
  <c r="CI164" i="51"/>
  <c r="CZ80" i="51"/>
  <c r="CR37" i="51"/>
  <c r="BR94" i="51"/>
  <c r="CM121" i="51"/>
  <c r="CI110" i="51"/>
  <c r="CN92" i="51"/>
  <c r="DI122" i="51"/>
  <c r="DM100" i="51"/>
  <c r="CM59" i="51"/>
  <c r="DE62" i="51"/>
  <c r="CC43" i="55"/>
  <c r="DA151" i="51"/>
  <c r="DB41" i="51"/>
  <c r="CF88" i="51"/>
  <c r="CG160" i="51"/>
  <c r="BZ57" i="51"/>
  <c r="CV169" i="51"/>
  <c r="BQ142" i="51"/>
  <c r="DI78" i="51"/>
  <c r="DH147" i="51"/>
  <c r="CE109" i="51"/>
  <c r="CP145" i="51"/>
  <c r="BQ86" i="51"/>
  <c r="BT49" i="51"/>
  <c r="BQ18" i="55"/>
  <c r="BY87" i="51"/>
  <c r="CY66" i="51"/>
  <c r="DJ20" i="51"/>
  <c r="BW44" i="51"/>
  <c r="CI106" i="51"/>
  <c r="CM41" i="51"/>
  <c r="DJ55" i="51"/>
  <c r="CJ34" i="51"/>
  <c r="CV115" i="51"/>
  <c r="DL136" i="51"/>
  <c r="DL170" i="51"/>
  <c r="CQ165" i="51"/>
  <c r="CZ66" i="51"/>
  <c r="DG103" i="51"/>
  <c r="CS46" i="51"/>
  <c r="DE61" i="51"/>
  <c r="DL144" i="51"/>
  <c r="BU83" i="51"/>
  <c r="DF85" i="51"/>
  <c r="DF145" i="51"/>
  <c r="CD66" i="51"/>
  <c r="CS30" i="51"/>
  <c r="CC173" i="51"/>
  <c r="DA46" i="51"/>
  <c r="DC154" i="51"/>
  <c r="CB101" i="51"/>
  <c r="CC91" i="51"/>
  <c r="CS64" i="51"/>
  <c r="CE172" i="51"/>
  <c r="BT88" i="51"/>
  <c r="CG117" i="51"/>
  <c r="CR87" i="51"/>
  <c r="CY117" i="51"/>
  <c r="BX48" i="51"/>
  <c r="CN155" i="51"/>
  <c r="CV42" i="51"/>
  <c r="CU92" i="51"/>
  <c r="CG89" i="51"/>
  <c r="CJ167" i="51"/>
  <c r="CX96" i="51"/>
  <c r="CO113" i="51"/>
  <c r="CL120" i="51"/>
  <c r="CD87" i="51"/>
  <c r="CJ171" i="51"/>
  <c r="CH38" i="51"/>
  <c r="CW21" i="51"/>
  <c r="DE170" i="51"/>
  <c r="CB122" i="51"/>
  <c r="CU90" i="51"/>
  <c r="CK175" i="51"/>
  <c r="CR35" i="51"/>
  <c r="DM140" i="51"/>
  <c r="CL101" i="51"/>
  <c r="DA35" i="51"/>
  <c r="DL137" i="51"/>
  <c r="CP170" i="51"/>
  <c r="BY174" i="51"/>
  <c r="BP46" i="55"/>
  <c r="CL21" i="51"/>
  <c r="BJ59" i="55"/>
  <c r="CY52" i="51"/>
  <c r="CG73" i="51"/>
  <c r="DK83" i="51"/>
  <c r="BX101" i="51"/>
  <c r="BR44" i="51"/>
  <c r="DC172" i="51"/>
  <c r="BX170" i="51"/>
  <c r="CG110" i="51"/>
  <c r="BR79" i="51"/>
  <c r="CL49" i="51"/>
  <c r="DK99" i="51"/>
  <c r="CW86" i="51"/>
  <c r="DG52" i="51"/>
  <c r="CB29" i="51"/>
  <c r="DK170" i="51"/>
  <c r="CJ103" i="51"/>
  <c r="CX171" i="51"/>
  <c r="CI26" i="55"/>
  <c r="CW162" i="51"/>
  <c r="DJ30" i="51"/>
  <c r="CR104" i="51"/>
  <c r="CL74" i="51"/>
  <c r="BZ84" i="51"/>
  <c r="BL37" i="55"/>
  <c r="DM150" i="51"/>
  <c r="CI40" i="51"/>
  <c r="BQ44" i="51"/>
  <c r="CO118" i="51"/>
  <c r="DE43" i="51"/>
  <c r="DL93" i="51"/>
  <c r="CJ156" i="51"/>
  <c r="BQ135" i="51"/>
  <c r="BY44" i="55"/>
  <c r="DE160" i="51"/>
  <c r="BS171" i="51"/>
  <c r="DM163" i="51"/>
  <c r="DL47" i="51"/>
  <c r="DJ38" i="51"/>
  <c r="CS73" i="51"/>
  <c r="DA167" i="51"/>
  <c r="DH43" i="51"/>
  <c r="CL149" i="51"/>
  <c r="CK99" i="51"/>
  <c r="DL148" i="51"/>
  <c r="DK76" i="51"/>
  <c r="CV144" i="51"/>
  <c r="CU39" i="51"/>
  <c r="CA43" i="51"/>
  <c r="CL34" i="51"/>
  <c r="CH23" i="51"/>
  <c r="CH53" i="51"/>
  <c r="DB57" i="51"/>
  <c r="DA40" i="51"/>
  <c r="BS50" i="51"/>
  <c r="CK34" i="51"/>
  <c r="DG102" i="51"/>
  <c r="CX57" i="51"/>
  <c r="DF87" i="51"/>
  <c r="CQ168" i="51"/>
  <c r="CC176" i="51"/>
  <c r="CG62" i="51"/>
  <c r="BW76" i="51"/>
  <c r="CC156" i="51"/>
  <c r="CH23" i="55"/>
  <c r="CB60" i="51"/>
  <c r="BF46" i="55"/>
  <c r="DM26" i="51"/>
  <c r="CY147" i="51"/>
  <c r="CE173" i="51"/>
  <c r="CE91" i="51"/>
  <c r="DM19" i="51"/>
  <c r="CW168" i="51"/>
  <c r="CU102" i="51"/>
  <c r="CI103" i="51"/>
  <c r="BX28" i="51"/>
  <c r="CK21" i="51"/>
  <c r="DC65" i="51"/>
  <c r="DJ25" i="51"/>
  <c r="CY35" i="51"/>
  <c r="BZ89" i="51"/>
  <c r="CP154" i="51"/>
  <c r="DB167" i="51"/>
  <c r="CR27" i="51"/>
  <c r="BT23" i="55"/>
  <c r="CC35" i="51"/>
  <c r="BU13" i="53"/>
  <c r="CB86" i="51"/>
  <c r="CZ48" i="51"/>
  <c r="BQ83" i="51"/>
  <c r="DG83" i="51"/>
  <c r="DK152" i="51"/>
  <c r="BX86" i="51"/>
  <c r="BS13" i="55"/>
  <c r="DI54" i="51"/>
  <c r="CP90" i="51"/>
  <c r="CE176" i="51"/>
  <c r="DM155" i="51"/>
  <c r="BU149" i="51"/>
  <c r="DL51" i="51"/>
  <c r="BP44" i="51"/>
  <c r="BX37" i="51"/>
  <c r="DF99" i="51"/>
  <c r="CP118" i="51"/>
  <c r="CB114" i="51"/>
  <c r="CZ167" i="51"/>
  <c r="CU177" i="51"/>
  <c r="CU175" i="51"/>
  <c r="CC86" i="51"/>
  <c r="DM165" i="51"/>
  <c r="CQ112" i="51"/>
  <c r="DE165" i="51"/>
  <c r="CQ19" i="51"/>
  <c r="CH112" i="51"/>
  <c r="DF107" i="51"/>
  <c r="CM50" i="51"/>
  <c r="CC99" i="51"/>
  <c r="CD121" i="51"/>
  <c r="CS57" i="51"/>
  <c r="DD176" i="51"/>
  <c r="CA30" i="51"/>
  <c r="CS112" i="51"/>
  <c r="DJ82" i="51"/>
  <c r="CT168" i="51"/>
  <c r="BV61" i="51"/>
  <c r="CL67" i="51"/>
  <c r="CY62" i="51"/>
  <c r="BU79" i="51"/>
  <c r="CF67" i="51"/>
  <c r="DK109" i="51"/>
  <c r="CI54" i="51"/>
  <c r="BR19" i="51"/>
  <c r="DH28" i="51"/>
  <c r="CG21" i="51"/>
  <c r="BV161" i="51"/>
  <c r="BX143" i="51"/>
  <c r="CV80" i="51"/>
  <c r="CE64" i="51"/>
  <c r="CG59" i="51"/>
  <c r="CD79" i="51"/>
  <c r="DC171" i="51"/>
  <c r="BZ177" i="51"/>
  <c r="CC108" i="51"/>
  <c r="CS21" i="51"/>
  <c r="BW166" i="51"/>
  <c r="CT139" i="51"/>
  <c r="CM58" i="55"/>
  <c r="CG44" i="51"/>
  <c r="CE148" i="51"/>
  <c r="DI167" i="51"/>
  <c r="CL159" i="51"/>
  <c r="CS92" i="51"/>
  <c r="CQ114" i="51"/>
  <c r="BD39" i="55"/>
  <c r="CO119" i="51"/>
  <c r="BV67" i="51"/>
  <c r="BH22" i="53"/>
  <c r="CO47" i="53"/>
  <c r="DL172" i="51"/>
  <c r="BV165" i="51"/>
  <c r="CH73" i="51"/>
  <c r="BP66" i="51"/>
  <c r="CQ97" i="51"/>
  <c r="CF20" i="51"/>
  <c r="BT167" i="51"/>
  <c r="CP138" i="51"/>
  <c r="BQ88" i="51"/>
  <c r="DL108" i="51"/>
  <c r="BZ105" i="51"/>
  <c r="DG51" i="51"/>
  <c r="CS58" i="51"/>
  <c r="CJ120" i="51"/>
  <c r="DJ61" i="51"/>
  <c r="BU94" i="51"/>
  <c r="CR44" i="51"/>
  <c r="DJ119" i="51"/>
  <c r="CM22" i="51"/>
  <c r="DB21" i="51"/>
  <c r="CE95" i="51"/>
  <c r="DA64" i="51"/>
  <c r="CP111" i="51"/>
  <c r="CY95" i="51"/>
  <c r="CM65" i="51"/>
  <c r="CH175" i="51"/>
  <c r="CK78" i="51"/>
  <c r="CY151" i="51"/>
  <c r="DM27" i="51"/>
  <c r="CA51" i="51"/>
  <c r="DH97" i="51"/>
  <c r="CF177" i="51"/>
  <c r="CQ47" i="51"/>
  <c r="CD19" i="55"/>
  <c r="AV31" i="55"/>
  <c r="DL35" i="51"/>
  <c r="CA24" i="51"/>
  <c r="BT109" i="51"/>
  <c r="DJ46" i="51"/>
  <c r="CD94" i="51"/>
  <c r="CR109" i="51"/>
  <c r="CM156" i="51"/>
  <c r="DA111" i="51"/>
  <c r="CE44" i="51"/>
  <c r="DC168" i="51"/>
  <c r="CT58" i="51"/>
  <c r="CG172" i="51"/>
  <c r="CT176" i="51"/>
  <c r="DA81" i="51"/>
  <c r="CJ176" i="51"/>
  <c r="DJ66" i="51"/>
  <c r="CC175" i="51"/>
  <c r="CC19" i="51"/>
  <c r="CM20" i="51"/>
  <c r="DD115" i="51"/>
  <c r="BU32" i="51"/>
  <c r="CA83" i="51"/>
  <c r="CZ122" i="51"/>
  <c r="DD93" i="51"/>
  <c r="CC24" i="51"/>
  <c r="CB87" i="51"/>
  <c r="DI161" i="51"/>
  <c r="CF74" i="51"/>
  <c r="CR86" i="51"/>
  <c r="CE107" i="51"/>
  <c r="CL23" i="51"/>
  <c r="BF51" i="55"/>
  <c r="CJ20" i="53"/>
  <c r="BP36" i="51"/>
  <c r="CL44" i="55"/>
  <c r="BS39" i="51"/>
  <c r="CR57" i="51"/>
  <c r="CP165" i="51"/>
  <c r="BQ116" i="51"/>
  <c r="CS89" i="51"/>
  <c r="DF174" i="51"/>
  <c r="CH88" i="51"/>
  <c r="AX54" i="55"/>
  <c r="CY108" i="51"/>
  <c r="CL172" i="51"/>
  <c r="CO164" i="51"/>
  <c r="DB96" i="51"/>
  <c r="DC47" i="51"/>
  <c r="BL55" i="55"/>
  <c r="BV90" i="51"/>
  <c r="BZ99" i="51"/>
  <c r="BG14" i="55"/>
  <c r="CV65" i="51"/>
  <c r="CQ77" i="51"/>
  <c r="BX91" i="51"/>
  <c r="DI39" i="51"/>
  <c r="CS157" i="51"/>
  <c r="DD135" i="51"/>
  <c r="DB119" i="51"/>
  <c r="CN76" i="51"/>
  <c r="CB38" i="51"/>
  <c r="DF55" i="51"/>
  <c r="DJ64" i="51"/>
  <c r="CY121" i="51"/>
  <c r="DF172" i="51"/>
  <c r="CD29" i="51"/>
  <c r="CO85" i="51"/>
  <c r="DM32" i="51"/>
  <c r="CQ101" i="51"/>
  <c r="DE152" i="51"/>
  <c r="DH84" i="51"/>
  <c r="CQ41" i="51"/>
  <c r="BD18" i="55"/>
  <c r="BX38" i="51"/>
  <c r="DJ99" i="51"/>
  <c r="CW39" i="51"/>
  <c r="BR91" i="51"/>
  <c r="DH94" i="51"/>
  <c r="DM110" i="51"/>
  <c r="CA49" i="51"/>
  <c r="BR24" i="51"/>
  <c r="DM82" i="51"/>
  <c r="DF137" i="51"/>
  <c r="BU155" i="51"/>
  <c r="CZ142" i="51"/>
  <c r="DB80" i="51"/>
  <c r="CQ58" i="51"/>
  <c r="DD19" i="51"/>
  <c r="CB79" i="51"/>
  <c r="CQ84" i="51"/>
  <c r="CC73" i="51"/>
  <c r="BU170" i="51"/>
  <c r="BP162" i="51"/>
  <c r="CZ168" i="51"/>
  <c r="CX49" i="51"/>
  <c r="CB37" i="51"/>
  <c r="BP40" i="51"/>
  <c r="CA120" i="51"/>
  <c r="BU174" i="51"/>
  <c r="CU107" i="51"/>
  <c r="CR156" i="51"/>
  <c r="CZ81" i="51"/>
  <c r="CD141" i="51"/>
  <c r="BL27" i="55"/>
  <c r="CE94" i="51"/>
  <c r="DL59" i="51"/>
  <c r="DH121" i="51"/>
  <c r="DG59" i="51"/>
  <c r="CS88" i="51"/>
  <c r="CM27" i="51"/>
  <c r="DA98" i="51"/>
  <c r="BT95" i="51"/>
  <c r="DG43" i="51"/>
  <c r="CV48" i="51"/>
  <c r="CO66" i="51"/>
  <c r="CL160" i="51"/>
  <c r="BR82" i="51"/>
  <c r="BZ146" i="51"/>
  <c r="DB152" i="51"/>
  <c r="CT18" i="51"/>
  <c r="CH43" i="51"/>
  <c r="CZ75" i="51"/>
  <c r="CY175" i="51"/>
  <c r="CI173" i="51"/>
  <c r="CN91" i="51"/>
  <c r="CT96" i="51"/>
  <c r="BQ78" i="51"/>
  <c r="CZ83" i="51"/>
  <c r="CL148" i="51"/>
  <c r="BY88" i="51"/>
  <c r="DI108" i="51"/>
  <c r="CD25" i="51"/>
  <c r="BU168" i="51"/>
  <c r="DA83" i="51"/>
  <c r="BQ87" i="51"/>
  <c r="BU57" i="55"/>
  <c r="CK40" i="55"/>
  <c r="CL158" i="51"/>
  <c r="DA136" i="51"/>
  <c r="CW22" i="51"/>
  <c r="CQ105" i="51"/>
  <c r="CB33" i="51"/>
  <c r="DK90" i="51"/>
  <c r="CW145" i="51"/>
  <c r="BW74" i="51"/>
  <c r="AZ37" i="55"/>
  <c r="CG55" i="51"/>
  <c r="BJ19" i="53"/>
  <c r="CX24" i="51"/>
  <c r="BS88" i="51"/>
  <c r="AU21" i="55"/>
  <c r="DH168" i="51"/>
  <c r="BR21" i="51"/>
  <c r="CJ25" i="51"/>
  <c r="CI43" i="51"/>
  <c r="BW112" i="51"/>
  <c r="CT104" i="51"/>
  <c r="CZ38" i="51"/>
  <c r="CJ18" i="51"/>
  <c r="DH114" i="51"/>
  <c r="CZ136" i="51"/>
  <c r="BY50" i="51"/>
  <c r="CS115" i="51"/>
  <c r="CX59" i="51"/>
  <c r="BX55" i="51"/>
  <c r="DE175" i="51"/>
  <c r="CI115" i="51"/>
  <c r="BW75" i="51"/>
  <c r="CH37" i="51"/>
  <c r="BT29" i="55"/>
  <c r="CX122" i="51"/>
  <c r="CW107" i="51"/>
  <c r="CY83" i="51"/>
  <c r="CZ93" i="51"/>
  <c r="BY106" i="51"/>
  <c r="CO114" i="51"/>
  <c r="CU110" i="51"/>
  <c r="BV56" i="51"/>
  <c r="DF177" i="51"/>
  <c r="CD92" i="51"/>
  <c r="CI113" i="51"/>
  <c r="DA51" i="51"/>
  <c r="CM87" i="51"/>
  <c r="DF53" i="51"/>
  <c r="BW168" i="51"/>
  <c r="BT146" i="51"/>
  <c r="DD114" i="51"/>
  <c r="CW170" i="51"/>
  <c r="CJ43" i="51"/>
  <c r="AX33" i="55"/>
  <c r="CV67" i="51"/>
  <c r="BZ169" i="51"/>
  <c r="BW100" i="51"/>
  <c r="DA109" i="51"/>
  <c r="CN95" i="51"/>
  <c r="AV18" i="55"/>
  <c r="CE66" i="51"/>
  <c r="CX97" i="51"/>
  <c r="CB111" i="51"/>
  <c r="AY49" i="55"/>
  <c r="CD174" i="51"/>
  <c r="CV54" i="51"/>
  <c r="CO33" i="53"/>
  <c r="CK82" i="51"/>
  <c r="CE84" i="51"/>
  <c r="CL38" i="51"/>
  <c r="CY19" i="51"/>
  <c r="DJ177" i="51"/>
  <c r="CX140" i="51"/>
  <c r="CW166" i="51"/>
  <c r="DJ58" i="51"/>
  <c r="BX41" i="51"/>
  <c r="CT33" i="51"/>
  <c r="CL121" i="51"/>
  <c r="DF146" i="51"/>
  <c r="BU139" i="51"/>
  <c r="CN118" i="51"/>
  <c r="CB107" i="51"/>
  <c r="CJ169" i="51"/>
  <c r="DC121" i="51"/>
  <c r="CS141" i="51"/>
  <c r="BZ122" i="51"/>
  <c r="CW167" i="51"/>
  <c r="CD61" i="51"/>
  <c r="DF84" i="51"/>
  <c r="DH111" i="51"/>
  <c r="DC57" i="51"/>
  <c r="CU118" i="51"/>
  <c r="DB61" i="51"/>
  <c r="CD30" i="51"/>
  <c r="BU57" i="51"/>
  <c r="DB87" i="51"/>
  <c r="CT166" i="51"/>
  <c r="CN64" i="51"/>
  <c r="CQ167" i="51"/>
  <c r="BU140" i="51"/>
  <c r="BV79" i="51"/>
  <c r="DK105" i="51"/>
  <c r="DL135" i="51"/>
  <c r="BR23" i="51"/>
  <c r="DD26" i="51"/>
  <c r="BY86" i="51"/>
  <c r="CK15" i="55"/>
  <c r="BT91" i="51"/>
  <c r="CX51" i="51"/>
  <c r="DG85" i="51"/>
  <c r="BK19" i="53"/>
  <c r="CU36" i="51"/>
  <c r="DB162" i="51"/>
  <c r="BX21" i="51"/>
  <c r="BZ108" i="51"/>
  <c r="DI90" i="51"/>
  <c r="BS20" i="51"/>
  <c r="CA37" i="51"/>
  <c r="BY84" i="51"/>
  <c r="BZ56" i="51"/>
  <c r="CF52" i="51"/>
  <c r="CZ52" i="51"/>
  <c r="DD160" i="51"/>
  <c r="CD172" i="51"/>
  <c r="CY137" i="51"/>
  <c r="DC102" i="51"/>
  <c r="CS137" i="51"/>
  <c r="DL33" i="51"/>
  <c r="CI39" i="51"/>
  <c r="CJ86" i="51"/>
  <c r="DE91" i="51"/>
  <c r="CX56" i="51"/>
  <c r="BW35" i="51"/>
  <c r="DL25" i="51"/>
  <c r="CG61" i="51"/>
  <c r="BB41" i="53"/>
  <c r="CH63" i="51"/>
  <c r="DM78" i="51"/>
  <c r="CB103" i="51"/>
  <c r="CN79" i="51"/>
  <c r="CG46" i="51"/>
  <c r="CT59" i="51"/>
  <c r="DB169" i="51"/>
  <c r="CI51" i="51"/>
  <c r="DA101" i="51"/>
  <c r="CG32" i="51"/>
  <c r="CL30" i="51"/>
  <c r="DB86" i="51"/>
  <c r="CA177" i="51"/>
  <c r="CK116" i="51"/>
  <c r="DK86" i="51"/>
  <c r="CR163" i="51"/>
  <c r="BX118" i="51"/>
  <c r="CQ159" i="51"/>
  <c r="BP61" i="51"/>
  <c r="CT22" i="51"/>
  <c r="BS94" i="51"/>
  <c r="CO107" i="51"/>
  <c r="CK104" i="51"/>
  <c r="BV20" i="51"/>
  <c r="CP57" i="51"/>
  <c r="AY37" i="53"/>
  <c r="BQ27" i="53"/>
  <c r="BY78" i="51"/>
  <c r="DH36" i="51"/>
  <c r="CQ42" i="51"/>
  <c r="CY41" i="51"/>
  <c r="BS73" i="51"/>
  <c r="CI86" i="51"/>
  <c r="CG49" i="55"/>
  <c r="CG45" i="51"/>
  <c r="DD80" i="51"/>
  <c r="CN56" i="51"/>
  <c r="CA46" i="51"/>
  <c r="CM160" i="51"/>
  <c r="CX90" i="51"/>
  <c r="CM60" i="51"/>
  <c r="DK48" i="51"/>
  <c r="CD159" i="51"/>
  <c r="CO141" i="51"/>
  <c r="CF18" i="55"/>
  <c r="CD166" i="51"/>
  <c r="CB22" i="51"/>
  <c r="BU80" i="51"/>
  <c r="DM156" i="51"/>
  <c r="BR93" i="51"/>
  <c r="BW89" i="51"/>
  <c r="BP167" i="51"/>
  <c r="AV15" i="55"/>
  <c r="CU104" i="51"/>
  <c r="DI22" i="51"/>
  <c r="CF168" i="51"/>
  <c r="DD27" i="51"/>
  <c r="CZ91" i="51"/>
  <c r="AT42" i="55"/>
  <c r="CA40" i="51"/>
  <c r="CN83" i="51"/>
  <c r="CH162" i="51"/>
  <c r="BZ36" i="55"/>
  <c r="CV32" i="51"/>
  <c r="DH41" i="51"/>
  <c r="CG119" i="51"/>
  <c r="CL40" i="55"/>
  <c r="CW106" i="51"/>
  <c r="CM98" i="51"/>
  <c r="BZ144" i="51"/>
  <c r="BP54" i="51"/>
  <c r="DB177" i="51"/>
  <c r="BM52" i="55"/>
  <c r="CZ99" i="51"/>
  <c r="CG150" i="51"/>
  <c r="CG82" i="51"/>
  <c r="CN57" i="51"/>
  <c r="DK164" i="51"/>
  <c r="DM176" i="51"/>
  <c r="CV23" i="51"/>
  <c r="DL87" i="51"/>
  <c r="DI95" i="51"/>
  <c r="CS34" i="51"/>
  <c r="DI84" i="51"/>
  <c r="CY85" i="51"/>
  <c r="CS27" i="51"/>
  <c r="DG82" i="51"/>
  <c r="BY13" i="55"/>
  <c r="CC64" i="51"/>
  <c r="CW96" i="51"/>
  <c r="BX50" i="51"/>
  <c r="DH34" i="51"/>
  <c r="CE42" i="51"/>
  <c r="DA99" i="51"/>
  <c r="BW20" i="51"/>
  <c r="CM52" i="55"/>
  <c r="DI18" i="51"/>
  <c r="BN29" i="53"/>
  <c r="CB163" i="51"/>
  <c r="CP19" i="51"/>
  <c r="DB118" i="51"/>
  <c r="CV109" i="51"/>
  <c r="CP36" i="51"/>
  <c r="CU153" i="51"/>
  <c r="BX169" i="51"/>
  <c r="CT103" i="51"/>
  <c r="CQ50" i="51"/>
  <c r="CM81" i="51"/>
  <c r="DJ52" i="51"/>
  <c r="DA90" i="51"/>
  <c r="CN177" i="51"/>
  <c r="BQ101" i="51"/>
  <c r="CB94" i="51"/>
  <c r="BB15" i="55"/>
  <c r="CE99" i="51"/>
  <c r="CX111" i="51"/>
  <c r="DD81" i="51"/>
  <c r="CR165" i="51"/>
  <c r="DI47" i="51"/>
  <c r="BV81" i="51"/>
  <c r="CP50" i="51"/>
  <c r="BU42" i="51"/>
  <c r="DK175" i="51"/>
  <c r="CS60" i="51"/>
  <c r="CN98" i="51"/>
  <c r="CX172" i="51"/>
  <c r="CT162" i="51"/>
  <c r="CF58" i="51"/>
  <c r="BU23" i="51"/>
  <c r="CM167" i="51"/>
  <c r="CE114" i="51"/>
  <c r="BW42" i="51"/>
  <c r="CC27" i="51"/>
  <c r="DC74" i="51"/>
  <c r="DE49" i="51"/>
  <c r="CN23" i="51"/>
  <c r="CP134" i="51"/>
  <c r="BR48" i="55"/>
  <c r="CD13" i="55"/>
  <c r="CP139" i="51"/>
  <c r="DH31" i="51"/>
  <c r="DJ106" i="51"/>
  <c r="DD121" i="51"/>
  <c r="DC107" i="51"/>
  <c r="BT85" i="51"/>
  <c r="BT96" i="51"/>
  <c r="DJ85" i="51"/>
  <c r="BZ59" i="51"/>
  <c r="DH44" i="51"/>
  <c r="CB57" i="51"/>
  <c r="CE177" i="51"/>
  <c r="BT98" i="51"/>
  <c r="BZ167" i="51"/>
  <c r="CH109" i="51"/>
  <c r="DK20" i="51"/>
  <c r="DJ135" i="51"/>
  <c r="CA109" i="51"/>
  <c r="DF116" i="51"/>
  <c r="CZ111" i="51"/>
  <c r="CT177" i="51"/>
  <c r="BR144" i="51"/>
  <c r="CE59" i="55"/>
  <c r="BR147" i="51"/>
  <c r="BO46" i="55"/>
  <c r="CX98" i="51"/>
  <c r="CA151" i="51"/>
  <c r="BY111" i="51"/>
  <c r="DE33" i="51"/>
  <c r="BV39" i="55"/>
  <c r="CV88" i="51"/>
  <c r="CE34" i="51"/>
  <c r="CZ79" i="51"/>
  <c r="CI163" i="51"/>
  <c r="DE171" i="51"/>
  <c r="DE119" i="51"/>
  <c r="DJ19" i="51"/>
  <c r="AT13" i="53"/>
  <c r="DA95" i="51"/>
  <c r="DI98" i="51"/>
  <c r="CH40" i="51"/>
  <c r="CM134" i="51"/>
  <c r="BV95" i="51"/>
  <c r="CC36" i="51"/>
  <c r="CQ56" i="51"/>
  <c r="CP87" i="51"/>
  <c r="BU17" i="55"/>
  <c r="CO90" i="51"/>
  <c r="DE146" i="51"/>
  <c r="BM32" i="55"/>
  <c r="CL42" i="55"/>
  <c r="BX20" i="55"/>
  <c r="CT152" i="51"/>
  <c r="CQ95" i="51"/>
  <c r="BY35" i="53"/>
  <c r="CP147" i="51"/>
  <c r="CH41" i="51"/>
  <c r="BX77" i="51"/>
  <c r="CL41" i="53"/>
  <c r="BZ81" i="51"/>
  <c r="DI149" i="51"/>
  <c r="BZ15" i="53"/>
  <c r="CQ164" i="51"/>
  <c r="CS152" i="51"/>
  <c r="CR33" i="51"/>
  <c r="CE80" i="51"/>
  <c r="BV97" i="51"/>
  <c r="BW36" i="55"/>
  <c r="BQ48" i="51"/>
  <c r="CJ98" i="51"/>
  <c r="CU82" i="51"/>
  <c r="DG33" i="51"/>
  <c r="BG19" i="53"/>
  <c r="BN17" i="55"/>
  <c r="CO56" i="55"/>
  <c r="CG151" i="51"/>
  <c r="BR22" i="51"/>
  <c r="DH137" i="51"/>
  <c r="CB58" i="51"/>
  <c r="CN43" i="51"/>
  <c r="DI29" i="51"/>
  <c r="BP18" i="51"/>
  <c r="CD101" i="51"/>
  <c r="BR19" i="55"/>
  <c r="BZ160" i="51"/>
  <c r="DD25" i="51"/>
  <c r="CI97" i="51"/>
  <c r="CC102" i="51"/>
  <c r="BH16" i="55"/>
  <c r="BS44" i="55"/>
  <c r="CN40" i="51"/>
  <c r="CH30" i="55"/>
  <c r="BQ32" i="51"/>
  <c r="BG43" i="53"/>
  <c r="BC18" i="53"/>
  <c r="CU170" i="51"/>
  <c r="CW26" i="51"/>
  <c r="DJ114" i="51"/>
  <c r="BZ42" i="51"/>
  <c r="BZ51" i="55"/>
  <c r="BT153" i="51"/>
  <c r="BW82" i="51"/>
  <c r="BW172" i="51"/>
  <c r="DI88" i="51"/>
  <c r="BZ35" i="51"/>
  <c r="CC120" i="51"/>
  <c r="DC159" i="51"/>
  <c r="BV34" i="51"/>
  <c r="CF32" i="51"/>
  <c r="BW17" i="55"/>
  <c r="CR78" i="51"/>
  <c r="BY146" i="51"/>
  <c r="CJ10" i="55"/>
  <c r="BZ156" i="51"/>
  <c r="DH156" i="51"/>
  <c r="DA43" i="51"/>
  <c r="DA140" i="51"/>
  <c r="DM59" i="51"/>
  <c r="BI14" i="53"/>
  <c r="BQ34" i="53"/>
  <c r="CZ35" i="51"/>
  <c r="CA75" i="51"/>
  <c r="BC33" i="55"/>
  <c r="CE76" i="51"/>
  <c r="BT53" i="55"/>
  <c r="DA150" i="51"/>
  <c r="CB104" i="51"/>
  <c r="AW49" i="53"/>
  <c r="CM42" i="51"/>
  <c r="DG31" i="51"/>
  <c r="DF46" i="51"/>
  <c r="CJ45" i="55"/>
  <c r="DF154" i="51"/>
  <c r="CB81" i="51"/>
  <c r="BT79" i="51"/>
  <c r="BU41" i="51"/>
  <c r="CC50" i="55"/>
  <c r="CP169" i="51"/>
  <c r="AX29" i="55"/>
  <c r="DI166" i="51"/>
  <c r="CV154" i="51"/>
  <c r="BU58" i="53"/>
  <c r="CH31" i="55"/>
  <c r="DM167" i="51"/>
  <c r="CZ44" i="51"/>
  <c r="CM30" i="51"/>
  <c r="CM17" i="55"/>
  <c r="AT38" i="55"/>
  <c r="BK36" i="55"/>
  <c r="CA145" i="51"/>
  <c r="DC23" i="51"/>
  <c r="BZ32" i="55"/>
  <c r="CG42" i="53"/>
  <c r="BP161" i="51"/>
  <c r="BZ170" i="51"/>
  <c r="CT137" i="51"/>
  <c r="DH96" i="51"/>
  <c r="DH163" i="51"/>
  <c r="BW156" i="51"/>
  <c r="BZ91" i="51"/>
  <c r="DA25" i="51"/>
  <c r="CI156" i="51"/>
  <c r="CT41" i="51"/>
  <c r="CU78" i="51"/>
  <c r="DJ165" i="51"/>
  <c r="DI172" i="51"/>
  <c r="CJ97" i="51"/>
  <c r="CP104" i="51"/>
  <c r="CZ160" i="51"/>
  <c r="CL38" i="55"/>
  <c r="AS38" i="53"/>
  <c r="BQ155" i="51"/>
  <c r="DL44" i="51"/>
  <c r="BW171" i="51"/>
  <c r="BX26" i="51"/>
  <c r="CF49" i="51"/>
  <c r="BS149" i="51"/>
  <c r="DM34" i="51"/>
  <c r="CA17" i="55"/>
  <c r="BP49" i="55"/>
  <c r="BY104" i="51"/>
  <c r="AU10" i="55"/>
  <c r="BZ45" i="55"/>
  <c r="BX159" i="51"/>
  <c r="DK157" i="51"/>
  <c r="BT10" i="53"/>
  <c r="BA25" i="55"/>
  <c r="AY39" i="53"/>
  <c r="BD55" i="55"/>
  <c r="CM161" i="51"/>
  <c r="CE25" i="55"/>
  <c r="BV10" i="53"/>
  <c r="CM100" i="51"/>
  <c r="BV37" i="51"/>
  <c r="CM47" i="53"/>
  <c r="BR36" i="55"/>
  <c r="CC145" i="51"/>
  <c r="CY48" i="51"/>
  <c r="BZ47" i="55"/>
  <c r="BD17" i="53"/>
  <c r="CL144" i="51"/>
  <c r="CT31" i="51"/>
  <c r="DK84" i="51"/>
  <c r="BZ42" i="55"/>
  <c r="DM111" i="51"/>
  <c r="BW51" i="51"/>
  <c r="CK20" i="55"/>
  <c r="CB37" i="53"/>
  <c r="BD34" i="55"/>
  <c r="BW163" i="51"/>
  <c r="BU11" i="55"/>
  <c r="BH14" i="53"/>
  <c r="CF160" i="51"/>
  <c r="CC18" i="55"/>
  <c r="CO17" i="53"/>
  <c r="CK25" i="51"/>
  <c r="BZ158" i="51"/>
  <c r="CI48" i="51"/>
  <c r="CH138" i="51"/>
  <c r="BN32" i="55"/>
  <c r="DL21" i="51"/>
  <c r="CU94" i="51"/>
  <c r="CV76" i="51"/>
  <c r="BV49" i="51"/>
  <c r="BQ21" i="51"/>
  <c r="BX153" i="51"/>
  <c r="CI36" i="53"/>
  <c r="CR23" i="51"/>
  <c r="CM30" i="55"/>
  <c r="CC101" i="51"/>
  <c r="BR20" i="51"/>
  <c r="CO144" i="51"/>
  <c r="DB101" i="51"/>
  <c r="CQ81" i="51"/>
  <c r="CG47" i="55"/>
  <c r="CK36" i="51"/>
  <c r="CW76" i="51"/>
  <c r="CH18" i="51"/>
  <c r="CP59" i="53"/>
  <c r="AZ53" i="55"/>
  <c r="BP151" i="51"/>
  <c r="CA47" i="51"/>
  <c r="BA24" i="55"/>
  <c r="BY29" i="51"/>
  <c r="CS171" i="51"/>
  <c r="CS150" i="51"/>
  <c r="AW42" i="53"/>
  <c r="CO95" i="51"/>
  <c r="CC46" i="51"/>
  <c r="BP142" i="51"/>
  <c r="CN105" i="51"/>
  <c r="CP177" i="51"/>
  <c r="CH95" i="51"/>
  <c r="DM43" i="51"/>
  <c r="BS143" i="51"/>
  <c r="DB170" i="51"/>
  <c r="BZ61" i="51"/>
  <c r="BX166" i="51"/>
  <c r="BT84" i="51"/>
  <c r="DE89" i="51"/>
  <c r="CH99" i="51"/>
  <c r="DM121" i="51"/>
  <c r="BS14" i="55"/>
  <c r="BW87" i="51"/>
  <c r="BU115" i="51"/>
  <c r="DG109" i="51"/>
  <c r="CM45" i="55"/>
  <c r="CE79" i="51"/>
  <c r="BX90" i="51"/>
  <c r="CU91" i="51"/>
  <c r="BT139" i="51"/>
  <c r="BB45" i="55"/>
  <c r="CZ88" i="51"/>
  <c r="CU26" i="51"/>
  <c r="BI33" i="55"/>
  <c r="DC164" i="51"/>
  <c r="DA26" i="51"/>
  <c r="CX52" i="51"/>
  <c r="CW173" i="51"/>
  <c r="CN42" i="51"/>
  <c r="CQ103" i="51"/>
  <c r="BY170" i="51"/>
  <c r="CH51" i="51"/>
  <c r="CD42" i="51"/>
  <c r="DF150" i="51"/>
  <c r="CW177" i="51"/>
  <c r="DD86" i="51"/>
  <c r="CP56" i="51"/>
  <c r="BJ29" i="55"/>
  <c r="CQ83" i="51"/>
  <c r="CB169" i="51"/>
  <c r="DK81" i="51"/>
  <c r="BZ82" i="51"/>
  <c r="CR96" i="51"/>
  <c r="CN46" i="53"/>
  <c r="DK29" i="51"/>
  <c r="CB21" i="51"/>
  <c r="CR94" i="51"/>
  <c r="CY176" i="51"/>
  <c r="CP167" i="51"/>
  <c r="BU57" i="53"/>
  <c r="BF29" i="55"/>
  <c r="CA135" i="51"/>
  <c r="CB146" i="51"/>
  <c r="CQ100" i="51"/>
  <c r="CZ76" i="51"/>
  <c r="CN57" i="53"/>
  <c r="DG153" i="51"/>
  <c r="CM23" i="53"/>
  <c r="CA41" i="55"/>
  <c r="DE134" i="51"/>
  <c r="CP31" i="51"/>
  <c r="BV176" i="51"/>
  <c r="BP150" i="51"/>
  <c r="DL100" i="51"/>
  <c r="DH80" i="51"/>
  <c r="DJ116" i="51"/>
  <c r="CI175" i="51"/>
  <c r="BW27" i="55"/>
  <c r="DJ91" i="51"/>
  <c r="CQ37" i="51"/>
  <c r="BV36" i="51"/>
  <c r="DA165" i="51"/>
  <c r="CV34" i="51"/>
  <c r="CI153" i="51"/>
  <c r="CY77" i="51"/>
  <c r="BR42" i="51"/>
  <c r="BF25" i="55"/>
  <c r="BQ26" i="55"/>
  <c r="DM20" i="51"/>
  <c r="BV23" i="51"/>
  <c r="CM14" i="55"/>
  <c r="BX138" i="51"/>
  <c r="CI77" i="51"/>
  <c r="BQ18" i="51"/>
  <c r="BU50" i="51"/>
  <c r="CH144" i="51"/>
  <c r="BB26" i="53"/>
  <c r="BC20" i="53"/>
  <c r="DK104" i="51"/>
  <c r="BS175" i="51"/>
  <c r="CK88" i="51"/>
  <c r="CC23" i="51"/>
  <c r="DH87" i="51"/>
  <c r="BR172" i="51"/>
  <c r="BR35" i="51"/>
  <c r="CK173" i="51"/>
  <c r="CV87" i="51"/>
  <c r="DA48" i="51"/>
  <c r="DD164" i="51"/>
  <c r="BH13" i="55"/>
  <c r="CN22" i="55"/>
  <c r="DI38" i="51"/>
  <c r="CG14" i="53"/>
  <c r="BI26" i="55"/>
  <c r="BP50" i="55"/>
  <c r="BR89" i="51"/>
  <c r="CV150" i="51"/>
  <c r="BP29" i="51"/>
  <c r="DG158" i="51"/>
  <c r="BY154" i="51"/>
  <c r="CW75" i="51"/>
  <c r="CG77" i="51"/>
  <c r="BX39" i="53"/>
  <c r="BR139" i="51"/>
  <c r="CC41" i="55"/>
  <c r="CZ100" i="51"/>
  <c r="BM40" i="55"/>
  <c r="CL88" i="51"/>
  <c r="BU156" i="51"/>
  <c r="DA21" i="51"/>
  <c r="DL46" i="51"/>
  <c r="CC55" i="53"/>
  <c r="BW154" i="51"/>
  <c r="CU135" i="51"/>
  <c r="BZ104" i="51"/>
  <c r="CD14" i="55"/>
  <c r="AS50" i="53"/>
  <c r="DC80" i="51"/>
  <c r="CD34" i="51"/>
  <c r="BE37" i="55"/>
  <c r="BX75" i="51"/>
  <c r="CI28" i="55"/>
  <c r="BK14" i="55"/>
  <c r="CV39" i="51"/>
  <c r="BW48" i="51"/>
  <c r="CL19" i="51"/>
  <c r="CA44" i="55"/>
  <c r="BL20" i="55"/>
  <c r="CK103" i="51"/>
  <c r="DM63" i="51"/>
  <c r="BK17" i="55"/>
  <c r="BE51" i="55"/>
  <c r="BI58" i="55"/>
  <c r="BE16" i="53"/>
  <c r="CI102" i="51"/>
  <c r="CE38" i="53"/>
  <c r="BV42" i="55"/>
  <c r="BZ147" i="51"/>
  <c r="BJ16" i="55"/>
  <c r="CA41" i="51"/>
  <c r="BY130" i="51"/>
  <c r="BG27" i="55"/>
  <c r="BH19" i="55"/>
  <c r="CY106" i="51"/>
  <c r="DE110" i="51"/>
  <c r="DL104" i="51"/>
  <c r="CC150" i="51"/>
  <c r="CG152" i="51"/>
  <c r="DI48" i="51"/>
  <c r="CK80" i="51"/>
  <c r="CU47" i="51"/>
  <c r="CI18" i="51"/>
  <c r="CW153" i="51"/>
  <c r="BS148" i="51"/>
  <c r="DA153" i="51"/>
  <c r="CH59" i="55"/>
  <c r="BR37" i="51"/>
  <c r="BS104" i="51"/>
  <c r="DJ103" i="51"/>
  <c r="CJ145" i="51"/>
  <c r="CG130" i="51"/>
  <c r="CI25" i="53"/>
  <c r="CJ28" i="51"/>
  <c r="BU29" i="51"/>
  <c r="CM22" i="55"/>
  <c r="CA45" i="51"/>
  <c r="BZ166" i="51"/>
  <c r="CL20" i="53"/>
  <c r="AY13" i="55"/>
  <c r="CB175" i="51"/>
  <c r="CP73" i="51"/>
  <c r="DF40" i="51"/>
  <c r="BW11" i="55"/>
  <c r="CI47" i="55"/>
  <c r="CJ17" i="53"/>
  <c r="BF48" i="55"/>
  <c r="DD104" i="51"/>
  <c r="AV17" i="55"/>
  <c r="CZ18" i="51"/>
  <c r="BW45" i="51"/>
  <c r="CH157" i="51"/>
  <c r="BW32" i="51"/>
  <c r="BW164" i="51"/>
  <c r="DL158" i="51"/>
  <c r="CI154" i="51"/>
  <c r="DC79" i="51"/>
  <c r="CA146" i="51"/>
  <c r="CX99" i="51"/>
  <c r="CD21" i="55"/>
  <c r="DJ113" i="51"/>
  <c r="CT49" i="51"/>
  <c r="CA26" i="53"/>
  <c r="BV133" i="51"/>
  <c r="CJ94" i="51"/>
  <c r="CK89" i="51"/>
  <c r="BW90" i="51"/>
  <c r="DM60" i="51"/>
  <c r="BZ134" i="51"/>
  <c r="CG46" i="53"/>
  <c r="DF37" i="51"/>
  <c r="AT28" i="53"/>
  <c r="CF25" i="53"/>
  <c r="DD49" i="51"/>
  <c r="BT150" i="51"/>
  <c r="DG84" i="51"/>
  <c r="BU102" i="51"/>
  <c r="CJ22" i="51"/>
  <c r="DI24" i="51"/>
  <c r="CX22" i="51"/>
  <c r="CG164" i="51"/>
  <c r="CU21" i="51"/>
  <c r="DC135" i="51"/>
  <c r="DG152" i="51"/>
  <c r="CA134" i="51"/>
  <c r="DK95" i="51"/>
  <c r="DD35" i="51"/>
  <c r="AT56" i="53"/>
  <c r="BM56" i="55"/>
  <c r="CA143" i="51"/>
  <c r="CB35" i="51"/>
  <c r="CB10" i="53"/>
  <c r="CR128" i="51"/>
  <c r="CQ30" i="55"/>
  <c r="CH54" i="53"/>
  <c r="DD40" i="51"/>
  <c r="BI12" i="53"/>
  <c r="BG21" i="55"/>
  <c r="CG76" i="51"/>
  <c r="DF148" i="51"/>
  <c r="DJ33" i="51"/>
  <c r="CP49" i="55"/>
  <c r="CA168" i="51"/>
  <c r="CR19" i="51"/>
  <c r="CE30" i="55"/>
  <c r="CK108" i="51"/>
  <c r="CL49" i="55"/>
  <c r="CG102" i="51"/>
  <c r="CR161" i="51"/>
  <c r="CC56" i="51"/>
  <c r="CK160" i="51"/>
  <c r="CV107" i="51"/>
  <c r="CC166" i="51"/>
  <c r="BT99" i="51"/>
  <c r="CM56" i="51"/>
  <c r="CU166" i="51"/>
  <c r="CC58" i="51"/>
  <c r="BQ82" i="51"/>
  <c r="DB44" i="51"/>
  <c r="CO100" i="51"/>
  <c r="CH161" i="51"/>
  <c r="CL36" i="55"/>
  <c r="CK101" i="51"/>
  <c r="CB91" i="51"/>
  <c r="DG45" i="51"/>
  <c r="CD114" i="51"/>
  <c r="CX45" i="51"/>
  <c r="DH25" i="51"/>
  <c r="DB88" i="51"/>
  <c r="BX40" i="51"/>
  <c r="CE51" i="51"/>
  <c r="DF111" i="51"/>
  <c r="CS139" i="51"/>
  <c r="BV41" i="55"/>
  <c r="CV101" i="51"/>
  <c r="CX84" i="51"/>
  <c r="CJ83" i="51"/>
  <c r="CR76" i="51"/>
  <c r="DC104" i="51"/>
  <c r="DL57" i="51"/>
  <c r="BR29" i="55"/>
  <c r="DM114" i="51"/>
  <c r="BV151" i="51"/>
  <c r="DE35" i="51"/>
  <c r="DE87" i="51"/>
  <c r="CD151" i="51"/>
  <c r="BV59" i="51"/>
  <c r="CW40" i="51"/>
  <c r="CF157" i="51"/>
  <c r="BG26" i="55"/>
  <c r="CD27" i="51"/>
  <c r="DG171" i="51"/>
  <c r="CF90" i="51"/>
  <c r="BZ40" i="51"/>
  <c r="CS151" i="51"/>
  <c r="BY139" i="51"/>
  <c r="CP29" i="51"/>
  <c r="CD59" i="53"/>
  <c r="BK14" i="53"/>
  <c r="DC136" i="51"/>
  <c r="CS81" i="51"/>
  <c r="CS93" i="51"/>
  <c r="CY30" i="51"/>
  <c r="BW85" i="51"/>
  <c r="DC177" i="51"/>
  <c r="BX147" i="51"/>
  <c r="AT19" i="55"/>
  <c r="BC56" i="55"/>
  <c r="CY171" i="51"/>
  <c r="DI25" i="51"/>
  <c r="CM46" i="55"/>
  <c r="CM102" i="51"/>
  <c r="BY140" i="51"/>
  <c r="CC83" i="51"/>
  <c r="DG64" i="51"/>
  <c r="CM53" i="51"/>
  <c r="AX52" i="53"/>
  <c r="CR34" i="51"/>
  <c r="CU163" i="51"/>
  <c r="BQ39" i="55"/>
  <c r="CO177" i="51"/>
  <c r="BW41" i="55"/>
  <c r="CY91" i="51"/>
  <c r="AW56" i="55"/>
  <c r="CU31" i="51"/>
  <c r="CE13" i="53"/>
  <c r="BP47" i="51"/>
  <c r="CF30" i="55"/>
  <c r="BV134" i="51"/>
  <c r="BW30" i="55"/>
  <c r="BW57" i="51"/>
  <c r="DK136" i="51"/>
  <c r="CO22" i="55"/>
  <c r="CD146" i="51"/>
  <c r="DD85" i="51"/>
  <c r="CZ36" i="51"/>
  <c r="DG86" i="51"/>
  <c r="BK30" i="55"/>
  <c r="BQ23" i="55"/>
  <c r="CA21" i="51"/>
  <c r="CB18" i="51"/>
  <c r="CV166" i="51"/>
  <c r="CD45" i="55"/>
  <c r="DC18" i="51"/>
  <c r="BW149" i="51"/>
  <c r="CZ56" i="51"/>
  <c r="BL47" i="55"/>
  <c r="CP164" i="51"/>
  <c r="CV138" i="51"/>
  <c r="DC100" i="51"/>
  <c r="CK43" i="55"/>
  <c r="CD20" i="55"/>
  <c r="DB48" i="51"/>
  <c r="CQ53" i="51"/>
  <c r="BK33" i="55"/>
  <c r="CI30" i="51"/>
  <c r="CH36" i="51"/>
  <c r="DK79" i="51"/>
  <c r="AT10" i="53"/>
  <c r="DA75" i="51"/>
  <c r="CX76" i="51"/>
  <c r="BR27" i="51"/>
  <c r="CK148" i="51"/>
  <c r="AX15" i="53"/>
  <c r="CC31" i="51"/>
  <c r="CE86" i="51"/>
  <c r="DE140" i="51"/>
  <c r="CZ61" i="51"/>
  <c r="CT142" i="51"/>
  <c r="CB40" i="51"/>
  <c r="AS37" i="53"/>
  <c r="CL37" i="55"/>
  <c r="BB24" i="55"/>
  <c r="DI44" i="51"/>
  <c r="DE27" i="51"/>
  <c r="CI174" i="51"/>
  <c r="DJ47" i="51"/>
  <c r="BT174" i="51"/>
  <c r="BY30" i="51"/>
  <c r="BR173" i="51"/>
  <c r="CG166" i="51"/>
  <c r="CS86" i="51"/>
  <c r="DH146" i="51"/>
  <c r="DJ78" i="51"/>
  <c r="CK48" i="51"/>
  <c r="CD74" i="51"/>
  <c r="CC87" i="51"/>
  <c r="DF159" i="51"/>
  <c r="BX151" i="51"/>
  <c r="CL46" i="51"/>
  <c r="CD170" i="51"/>
  <c r="CT55" i="51"/>
  <c r="CY81" i="51"/>
  <c r="CQ26" i="51"/>
  <c r="CL152" i="51"/>
  <c r="BB27" i="55"/>
  <c r="CJ137" i="51"/>
  <c r="BH33" i="55"/>
  <c r="CO32" i="51"/>
  <c r="AS51" i="53"/>
  <c r="CE142" i="51"/>
  <c r="BR171" i="51"/>
  <c r="BM19" i="55"/>
  <c r="BF34" i="55"/>
  <c r="CU38" i="51"/>
  <c r="BR95" i="51"/>
  <c r="CG165" i="51"/>
  <c r="DL139" i="51"/>
  <c r="CN45" i="51"/>
  <c r="CN163" i="51"/>
  <c r="BX24" i="51"/>
  <c r="BU152" i="51"/>
  <c r="DL32" i="51"/>
  <c r="CN42" i="55"/>
  <c r="CM132" i="51"/>
  <c r="CV21" i="51"/>
  <c r="DJ41" i="51"/>
  <c r="CR107" i="51"/>
  <c r="CQ147" i="51"/>
  <c r="DB84" i="51"/>
  <c r="CT80" i="51"/>
  <c r="CS25" i="51"/>
  <c r="DG27" i="51"/>
  <c r="CI27" i="53"/>
  <c r="DK78" i="51"/>
  <c r="CF143" i="51"/>
  <c r="BV100" i="51"/>
  <c r="CM99" i="51"/>
  <c r="BP43" i="55"/>
  <c r="CX19" i="51"/>
  <c r="CU42" i="51"/>
  <c r="BS33" i="51"/>
  <c r="DJ96" i="51"/>
  <c r="DE147" i="51"/>
  <c r="DJ136" i="51"/>
  <c r="CJ37" i="53"/>
  <c r="BL57" i="53"/>
  <c r="CT91" i="51"/>
  <c r="CD171" i="51"/>
  <c r="CB141" i="51"/>
  <c r="DA166" i="51"/>
  <c r="DB25" i="51"/>
  <c r="CE102" i="51"/>
  <c r="DD142" i="51"/>
  <c r="CU75" i="51"/>
  <c r="BF11" i="55"/>
  <c r="CK50" i="55"/>
  <c r="BQ37" i="53"/>
  <c r="BP57" i="55"/>
  <c r="DJ144" i="51"/>
  <c r="CA150" i="51"/>
  <c r="CT35" i="51"/>
  <c r="DL65" i="51"/>
  <c r="CY73" i="51"/>
  <c r="BT170" i="51"/>
  <c r="CN159" i="51"/>
  <c r="BV80" i="51"/>
  <c r="BX55" i="55"/>
  <c r="CJ89" i="51"/>
  <c r="CG29" i="51"/>
  <c r="AZ47" i="53"/>
  <c r="CH55" i="55"/>
  <c r="BS21" i="51"/>
  <c r="AV53" i="55"/>
  <c r="BU77" i="51"/>
  <c r="BW50" i="53"/>
  <c r="BR148" i="51"/>
  <c r="CX62" i="51"/>
  <c r="BE25" i="55"/>
  <c r="CM89" i="51"/>
  <c r="BT166" i="51"/>
  <c r="DB160" i="51"/>
  <c r="CE153" i="51"/>
  <c r="BS34" i="51"/>
  <c r="CQ23" i="51"/>
  <c r="BQ92" i="51"/>
  <c r="CG22" i="55"/>
  <c r="BF17" i="53"/>
  <c r="DD62" i="51"/>
  <c r="CV173" i="51"/>
  <c r="CJ95" i="51"/>
  <c r="DD167" i="51"/>
  <c r="BV107" i="51"/>
  <c r="DL167" i="51"/>
  <c r="BY48" i="51"/>
  <c r="CF162" i="51"/>
  <c r="DM47" i="51"/>
  <c r="DC30" i="51"/>
  <c r="BX18" i="51"/>
  <c r="CI95" i="51"/>
  <c r="CS55" i="51"/>
  <c r="CW93" i="51"/>
  <c r="CD47" i="51"/>
  <c r="BV50" i="51"/>
  <c r="BR28" i="51"/>
  <c r="BW25" i="51"/>
  <c r="BB10" i="53"/>
  <c r="CM101" i="51"/>
  <c r="BQ20" i="51"/>
  <c r="CF158" i="51"/>
  <c r="CX101" i="51"/>
  <c r="CG162" i="51"/>
  <c r="AU57" i="55"/>
  <c r="BV159" i="51"/>
  <c r="CU95" i="51"/>
  <c r="BV39" i="53"/>
  <c r="BX95" i="51"/>
  <c r="CJ67" i="51"/>
  <c r="DD24" i="51"/>
  <c r="CL51" i="55"/>
  <c r="DB109" i="51"/>
  <c r="BW42" i="55"/>
  <c r="BU21" i="51"/>
  <c r="CA28" i="53"/>
  <c r="AZ58" i="53"/>
  <c r="CX38" i="51"/>
  <c r="CO74" i="51"/>
  <c r="CO39" i="51"/>
  <c r="BL22" i="55"/>
  <c r="CZ26" i="51"/>
  <c r="DD42" i="51"/>
  <c r="BR13" i="55"/>
  <c r="CC44" i="55"/>
  <c r="CO41" i="53"/>
  <c r="CP160" i="51"/>
  <c r="DE166" i="51"/>
  <c r="CA82" i="51"/>
  <c r="BO53" i="55"/>
  <c r="CQ33" i="51"/>
  <c r="BZ27" i="51"/>
  <c r="DL73" i="51"/>
  <c r="CJ42" i="55"/>
  <c r="CF38" i="53"/>
  <c r="CH51" i="55"/>
  <c r="CS91" i="51"/>
  <c r="CO26" i="51"/>
  <c r="CS153" i="51"/>
  <c r="CS177" i="51"/>
  <c r="BY80" i="51"/>
  <c r="DA156" i="51"/>
  <c r="CT42" i="51"/>
  <c r="DL26" i="51"/>
  <c r="DF92" i="51"/>
  <c r="DJ28" i="51"/>
  <c r="BY73" i="51"/>
  <c r="BT27" i="51"/>
  <c r="BV34" i="55"/>
  <c r="DD31" i="51"/>
  <c r="BF58" i="55"/>
  <c r="BZ33" i="51"/>
  <c r="CP58" i="55"/>
  <c r="CN40" i="55"/>
  <c r="CH42" i="51"/>
  <c r="DD162" i="51"/>
  <c r="BY85" i="51"/>
  <c r="BV142" i="51"/>
  <c r="CH135" i="51"/>
  <c r="CC172" i="51"/>
  <c r="BG15" i="55"/>
  <c r="AX49" i="55"/>
  <c r="BY32" i="51"/>
  <c r="BR43" i="51"/>
  <c r="DL159" i="51"/>
  <c r="CS42" i="51"/>
  <c r="CR56" i="51"/>
  <c r="BQ52" i="55"/>
  <c r="DK36" i="51"/>
  <c r="CJ51" i="55"/>
  <c r="CI146" i="51"/>
  <c r="CQ149" i="51"/>
  <c r="CP137" i="51"/>
  <c r="DD78" i="51"/>
  <c r="BK13" i="55"/>
  <c r="BJ52" i="53"/>
  <c r="CJ173" i="51"/>
  <c r="BT89" i="51"/>
  <c r="BA56" i="55"/>
  <c r="CP24" i="51"/>
  <c r="DE174" i="51"/>
  <c r="DM95" i="51"/>
  <c r="BG45" i="55"/>
  <c r="DE42" i="51"/>
  <c r="CQ43" i="51"/>
  <c r="BZ49" i="55"/>
  <c r="BR137" i="51"/>
  <c r="AX30" i="53"/>
  <c r="CX20" i="51"/>
  <c r="BV149" i="51"/>
  <c r="BT104" i="51"/>
  <c r="DL96" i="51"/>
  <c r="CD95" i="51"/>
  <c r="BT164" i="51"/>
  <c r="BC59" i="55"/>
  <c r="CW154" i="51"/>
  <c r="BH39" i="53"/>
  <c r="CI42" i="53"/>
  <c r="BB39" i="55"/>
  <c r="DD141" i="51"/>
  <c r="CF42" i="51"/>
  <c r="BT48" i="51"/>
  <c r="CX33" i="51"/>
  <c r="DH174" i="51"/>
  <c r="BO13" i="55"/>
  <c r="DI79" i="51"/>
  <c r="BJ33" i="53"/>
  <c r="DM144" i="51"/>
  <c r="CQ27" i="51"/>
  <c r="BV150" i="51"/>
  <c r="DF39" i="51"/>
  <c r="DH59" i="51"/>
  <c r="DE151" i="51"/>
  <c r="CD83" i="51"/>
  <c r="DG98" i="51"/>
  <c r="DB135" i="51"/>
  <c r="BV115" i="51"/>
  <c r="BV86" i="51"/>
  <c r="AT51" i="55"/>
  <c r="BV33" i="53"/>
  <c r="CH137" i="51"/>
  <c r="BY51" i="53"/>
  <c r="DG100" i="51"/>
  <c r="DF136" i="51"/>
  <c r="BT160" i="51"/>
  <c r="CA42" i="51"/>
  <c r="BW28" i="53"/>
  <c r="DB33" i="51"/>
  <c r="BG44" i="55"/>
  <c r="BA51" i="55"/>
  <c r="CZ103" i="51"/>
  <c r="CR147" i="51"/>
  <c r="CC44" i="51"/>
  <c r="DJ150" i="51"/>
  <c r="BS164" i="51"/>
  <c r="CW137" i="51"/>
  <c r="CH134" i="51"/>
  <c r="BD12" i="53"/>
  <c r="CH46" i="51"/>
  <c r="DI36" i="51"/>
  <c r="CO23" i="51"/>
  <c r="CD65" i="51"/>
  <c r="AT44" i="55"/>
  <c r="DL97" i="51"/>
  <c r="CW139" i="51"/>
  <c r="DD41" i="51"/>
  <c r="DC25" i="51"/>
  <c r="CP35" i="53"/>
  <c r="BP38" i="51"/>
  <c r="BR14" i="53"/>
  <c r="DA163" i="51"/>
  <c r="BQ149" i="51"/>
  <c r="CG149" i="51"/>
  <c r="DG81" i="51"/>
  <c r="CW79" i="51"/>
  <c r="BV31" i="51"/>
  <c r="CN136" i="51"/>
  <c r="CK26" i="51"/>
  <c r="BV49" i="53"/>
  <c r="BP46" i="51"/>
  <c r="BZ32" i="53"/>
  <c r="DH79" i="51"/>
  <c r="CO86" i="51"/>
  <c r="CZ47" i="51"/>
  <c r="CM25" i="51"/>
  <c r="CY143" i="51"/>
  <c r="CE32" i="51"/>
  <c r="CA53" i="53"/>
  <c r="BL44" i="55"/>
  <c r="CQ135" i="51"/>
  <c r="DF96" i="51"/>
  <c r="CM137" i="51"/>
  <c r="DE139" i="51"/>
  <c r="DF93" i="51"/>
  <c r="BR38" i="51"/>
  <c r="DA88" i="51"/>
  <c r="CU164" i="51"/>
  <c r="DH26" i="51"/>
  <c r="DF167" i="51"/>
  <c r="BU89" i="51"/>
  <c r="DI19" i="51"/>
  <c r="CY49" i="51"/>
  <c r="CH131" i="51"/>
  <c r="BZ24" i="51"/>
  <c r="BF14" i="55"/>
  <c r="CO43" i="51"/>
  <c r="CD112" i="51"/>
  <c r="DE163" i="51"/>
  <c r="CV89" i="51"/>
  <c r="CE46" i="51"/>
  <c r="BH57" i="55"/>
  <c r="CQ156" i="51"/>
  <c r="CX137" i="51"/>
  <c r="CP46" i="51"/>
  <c r="BN14" i="55"/>
  <c r="CB174" i="51"/>
  <c r="DM145" i="51"/>
  <c r="CQ143" i="51"/>
  <c r="CS41" i="51"/>
  <c r="CT138" i="51"/>
  <c r="BQ139" i="51"/>
  <c r="DA36" i="51"/>
  <c r="CU160" i="51"/>
  <c r="DB145" i="51"/>
  <c r="CP19" i="53"/>
  <c r="CJ28" i="55"/>
  <c r="CH12" i="53"/>
  <c r="DM168" i="51"/>
  <c r="BU117" i="51"/>
  <c r="BR109" i="51"/>
  <c r="BU175" i="51"/>
  <c r="CW51" i="51"/>
  <c r="DL61" i="51"/>
  <c r="BX106" i="51"/>
  <c r="AU45" i="55"/>
  <c r="CG163" i="51"/>
  <c r="DE176" i="51"/>
  <c r="DH106" i="51"/>
  <c r="DK114" i="51"/>
  <c r="CI45" i="55"/>
  <c r="CR65" i="51"/>
  <c r="CS165" i="51"/>
  <c r="DJ172" i="51"/>
  <c r="CG56" i="51"/>
  <c r="DF65" i="51"/>
  <c r="AW39" i="55"/>
  <c r="BX19" i="51"/>
  <c r="BU58" i="51"/>
  <c r="CE169" i="51"/>
  <c r="BU146" i="51"/>
  <c r="DD46" i="51"/>
  <c r="CR170" i="51"/>
  <c r="CT30" i="51"/>
  <c r="DA23" i="51"/>
  <c r="CW112" i="51"/>
  <c r="CX94" i="51"/>
  <c r="DA61" i="51"/>
  <c r="CV52" i="51"/>
  <c r="CJ79" i="51"/>
  <c r="CY99" i="51"/>
  <c r="CC138" i="51"/>
  <c r="DF121" i="51"/>
  <c r="DK168" i="51"/>
  <c r="CQ90" i="51"/>
  <c r="CI74" i="51"/>
  <c r="CD20" i="51"/>
  <c r="BP165" i="51"/>
  <c r="AW13" i="55"/>
  <c r="CQ18" i="51"/>
  <c r="DM130" i="51"/>
  <c r="BB40" i="53"/>
  <c r="CM18" i="53"/>
  <c r="CU140" i="51"/>
  <c r="CC144" i="51"/>
  <c r="CQ36" i="55"/>
  <c r="CY33" i="51"/>
  <c r="CA19" i="51"/>
  <c r="BT26" i="55"/>
  <c r="DC26" i="51"/>
  <c r="DI82" i="51"/>
  <c r="DK153" i="51"/>
  <c r="CV19" i="51"/>
  <c r="CR148" i="51"/>
  <c r="BR150" i="51"/>
  <c r="CJ166" i="51"/>
  <c r="BY136" i="51"/>
  <c r="BR92" i="51"/>
  <c r="BT28" i="53"/>
  <c r="CH25" i="51"/>
  <c r="DC147" i="51"/>
  <c r="CK165" i="51"/>
  <c r="CS48" i="51"/>
  <c r="DL18" i="51"/>
  <c r="BD41" i="53"/>
  <c r="CX79" i="51"/>
  <c r="BJ53" i="55"/>
  <c r="BY76" i="51"/>
  <c r="CG39" i="51"/>
  <c r="BH27" i="55"/>
  <c r="BS17" i="53"/>
  <c r="CA32" i="53"/>
  <c r="BQ45" i="53"/>
  <c r="CM140" i="51"/>
  <c r="CD81" i="51"/>
  <c r="AT56" i="55"/>
  <c r="CL59" i="51"/>
  <c r="BS16" i="53"/>
  <c r="BR34" i="51"/>
  <c r="BB48" i="53"/>
  <c r="BS35" i="51"/>
  <c r="BO14" i="53"/>
  <c r="CG65" i="51"/>
  <c r="BR49" i="53"/>
  <c r="BS41" i="51"/>
  <c r="BW133" i="51"/>
  <c r="BS22" i="55"/>
  <c r="BC14" i="55"/>
  <c r="DC158" i="51"/>
  <c r="CK32" i="51"/>
  <c r="CE37" i="51"/>
  <c r="CU46" i="51"/>
  <c r="DE100" i="51"/>
  <c r="DA91" i="51"/>
  <c r="CA32" i="55"/>
  <c r="BS56" i="55"/>
  <c r="CO142" i="51"/>
  <c r="BW43" i="53"/>
  <c r="CC171" i="51"/>
  <c r="DJ79" i="51"/>
  <c r="CA164" i="51"/>
  <c r="BU103" i="51"/>
  <c r="BO51" i="53"/>
  <c r="CJ56" i="51"/>
  <c r="CM34" i="51"/>
  <c r="CV104" i="51"/>
  <c r="CB24" i="51"/>
  <c r="CN45" i="55"/>
  <c r="AU42" i="55"/>
  <c r="CX105" i="51"/>
  <c r="DM103" i="51"/>
  <c r="BS95" i="51"/>
  <c r="BA34" i="53"/>
  <c r="BL33" i="53"/>
  <c r="CM26" i="53"/>
  <c r="BX160" i="51"/>
  <c r="CB76" i="51"/>
  <c r="AZ13" i="55"/>
  <c r="CZ39" i="51"/>
  <c r="CU155" i="51"/>
  <c r="CG48" i="51"/>
  <c r="DL19" i="51"/>
  <c r="BQ79" i="51"/>
  <c r="CN24" i="51"/>
  <c r="BD25" i="55"/>
  <c r="DM55" i="51"/>
  <c r="CZ49" i="51"/>
  <c r="CY149" i="51"/>
  <c r="AX17" i="55"/>
  <c r="DG65" i="51"/>
  <c r="CC88" i="51"/>
  <c r="CU20" i="51"/>
  <c r="BT103" i="51"/>
  <c r="BU25" i="53"/>
  <c r="CD44" i="51"/>
  <c r="CP157" i="51"/>
  <c r="DE98" i="51"/>
  <c r="CT154" i="51"/>
  <c r="CL25" i="51"/>
  <c r="CO76" i="51"/>
  <c r="CD16" i="53"/>
  <c r="AU40" i="55"/>
  <c r="CH50" i="55"/>
  <c r="CC33" i="55"/>
  <c r="CH60" i="51"/>
  <c r="CN147" i="51"/>
  <c r="CM162" i="51"/>
  <c r="CK23" i="53"/>
  <c r="CG95" i="51"/>
  <c r="CE32" i="53"/>
  <c r="CC33" i="51"/>
  <c r="DE137" i="51"/>
  <c r="CH11" i="55"/>
  <c r="DL101" i="51"/>
  <c r="DL89" i="51"/>
  <c r="CR83" i="51"/>
  <c r="BR75" i="51"/>
  <c r="BU28" i="51"/>
  <c r="DK22" i="51"/>
  <c r="DK160" i="51"/>
  <c r="BZ52" i="51"/>
  <c r="DK100" i="51"/>
  <c r="BL21" i="55"/>
  <c r="CH14" i="55"/>
  <c r="CI83" i="51"/>
  <c r="CB100" i="51"/>
  <c r="CM73" i="51"/>
  <c r="DH116" i="51"/>
  <c r="CW115" i="51"/>
  <c r="BQ161" i="51"/>
  <c r="DM142" i="51"/>
  <c r="BZ92" i="51"/>
  <c r="BV25" i="51"/>
  <c r="CS101" i="51"/>
  <c r="BZ58" i="53"/>
  <c r="CR46" i="51"/>
  <c r="CY40" i="51"/>
  <c r="BH18" i="53"/>
  <c r="BW139" i="51"/>
  <c r="AZ11" i="55"/>
  <c r="BR39" i="51"/>
  <c r="DG135" i="51"/>
  <c r="CB19" i="55"/>
  <c r="BJ53" i="53"/>
  <c r="AS28" i="53"/>
  <c r="CG29" i="53"/>
  <c r="CF57" i="55"/>
  <c r="CD152" i="51"/>
  <c r="CH33" i="55"/>
  <c r="CZ21" i="51"/>
  <c r="AV17" i="53"/>
  <c r="BY50" i="53"/>
  <c r="CV99" i="51"/>
  <c r="CH47" i="53"/>
  <c r="CC42" i="51"/>
  <c r="BV39" i="51"/>
  <c r="CD33" i="51"/>
  <c r="CK65" i="51"/>
  <c r="CZ31" i="51"/>
  <c r="CC103" i="51"/>
  <c r="DB139" i="51"/>
  <c r="BW169" i="51"/>
  <c r="DM22" i="51"/>
  <c r="CO19" i="51"/>
  <c r="DM171" i="51"/>
  <c r="CV18" i="51"/>
  <c r="CJ27" i="53"/>
  <c r="BH24" i="53"/>
  <c r="BY143" i="51"/>
  <c r="BN13" i="55"/>
  <c r="CD30" i="55"/>
  <c r="DH37" i="51"/>
  <c r="BD59" i="55"/>
  <c r="DH152" i="51"/>
  <c r="DK135" i="51"/>
  <c r="CZ141" i="51"/>
  <c r="BP54" i="53"/>
  <c r="CF25" i="51"/>
  <c r="BW91" i="51"/>
  <c r="CJ76" i="51"/>
  <c r="CP110" i="51"/>
  <c r="BQ174" i="51"/>
  <c r="BY45" i="55"/>
  <c r="CQ85" i="51"/>
  <c r="CJ47" i="51"/>
  <c r="CO137" i="51"/>
  <c r="CX166" i="51"/>
  <c r="CT84" i="51"/>
  <c r="CK150" i="51"/>
  <c r="CK176" i="51"/>
  <c r="CF30" i="51"/>
  <c r="CF34" i="55"/>
  <c r="CA38" i="51"/>
  <c r="BU142" i="51"/>
  <c r="CJ54" i="55"/>
  <c r="CO20" i="55"/>
  <c r="CZ29" i="51"/>
  <c r="CN56" i="55"/>
  <c r="BP144" i="51"/>
  <c r="BZ25" i="55"/>
  <c r="BS31" i="55"/>
  <c r="CV36" i="51"/>
  <c r="CI19" i="53"/>
  <c r="BM27" i="55"/>
  <c r="BN47" i="55"/>
  <c r="CL33" i="53"/>
  <c r="CC45" i="55"/>
  <c r="CO50" i="53"/>
  <c r="CB18" i="53"/>
  <c r="CE149" i="51"/>
  <c r="CF27" i="53"/>
  <c r="AU22" i="53"/>
  <c r="BK22" i="53"/>
  <c r="DB18" i="51"/>
  <c r="BY52" i="51"/>
  <c r="CW143" i="51"/>
  <c r="CS90" i="51"/>
  <c r="CO166" i="51"/>
  <c r="BD53" i="53"/>
  <c r="CO112" i="51"/>
  <c r="CY159" i="51"/>
  <c r="DA50" i="51"/>
  <c r="DB43" i="51"/>
  <c r="CP158" i="51"/>
  <c r="CN62" i="51"/>
  <c r="DF28" i="51"/>
  <c r="CM46" i="51"/>
  <c r="CR146" i="51"/>
  <c r="BZ97" i="51"/>
  <c r="CG106" i="51"/>
  <c r="BU96" i="51"/>
  <c r="DA52" i="51"/>
  <c r="DC49" i="51"/>
  <c r="DK42" i="51"/>
  <c r="CX159" i="51"/>
  <c r="BZ98" i="51"/>
  <c r="DA18" i="51"/>
  <c r="DJ39" i="51"/>
  <c r="CA33" i="55"/>
  <c r="CE33" i="51"/>
  <c r="BS163" i="51"/>
  <c r="CZ143" i="51"/>
  <c r="BG13" i="55"/>
  <c r="CR58" i="51"/>
  <c r="CN114" i="51"/>
  <c r="BS84" i="51"/>
  <c r="DL81" i="51"/>
  <c r="DK30" i="51"/>
  <c r="DC175" i="51"/>
  <c r="BT101" i="51"/>
  <c r="BS42" i="51"/>
  <c r="CG63" i="51"/>
  <c r="BP20" i="55"/>
  <c r="BX14" i="55"/>
  <c r="DI49" i="51"/>
  <c r="CL27" i="55"/>
  <c r="CH32" i="51"/>
  <c r="CC160" i="51"/>
  <c r="CX158" i="51"/>
  <c r="CJ18" i="53"/>
  <c r="AX32" i="53"/>
  <c r="BU49" i="51"/>
  <c r="DL162" i="51"/>
  <c r="AW40" i="55"/>
  <c r="CT156" i="51"/>
  <c r="CL83" i="51"/>
  <c r="CS77" i="51"/>
  <c r="BY32" i="55"/>
  <c r="BD22" i="55"/>
  <c r="BV11" i="53"/>
  <c r="CQ44" i="51"/>
  <c r="BY22" i="55"/>
  <c r="BA13" i="55"/>
  <c r="DJ156" i="51"/>
  <c r="BT151" i="51"/>
  <c r="CA158" i="51"/>
  <c r="CE98" i="51"/>
  <c r="CB25" i="55"/>
  <c r="CZ41" i="51"/>
  <c r="BT97" i="51"/>
  <c r="CB160" i="51"/>
  <c r="BP35" i="55"/>
  <c r="BA40" i="55"/>
  <c r="CQ140" i="51"/>
  <c r="BP136" i="51"/>
  <c r="DL38" i="51"/>
  <c r="CC80" i="51"/>
  <c r="AY23" i="55"/>
  <c r="DK25" i="51"/>
  <c r="CI147" i="51"/>
  <c r="AY30" i="55"/>
  <c r="CR92" i="51"/>
  <c r="CX130" i="51"/>
  <c r="CD142" i="51"/>
  <c r="DK94" i="51"/>
  <c r="BP24" i="53"/>
  <c r="DL161" i="51"/>
  <c r="BY19" i="51"/>
  <c r="BQ16" i="55"/>
  <c r="BU84" i="51"/>
  <c r="BZ19" i="55"/>
  <c r="BZ38" i="55"/>
  <c r="DH46" i="51"/>
  <c r="BS15" i="53"/>
  <c r="CJ129" i="51"/>
  <c r="CR73" i="51"/>
  <c r="AY18" i="55"/>
  <c r="DI53" i="51"/>
  <c r="BQ40" i="51"/>
  <c r="DE118" i="51"/>
  <c r="CG86" i="51"/>
  <c r="BT33" i="51"/>
  <c r="DF88" i="51"/>
  <c r="CP37" i="51"/>
  <c r="CE67" i="51"/>
  <c r="DJ98" i="51"/>
  <c r="CR167" i="51"/>
  <c r="BK20" i="53"/>
  <c r="CL24" i="51"/>
  <c r="DC93" i="51"/>
  <c r="CF136" i="51"/>
  <c r="CE22" i="55"/>
  <c r="CN22" i="51"/>
  <c r="BR25" i="53"/>
  <c r="CP42" i="51"/>
  <c r="AV34" i="53"/>
  <c r="CO11" i="55"/>
  <c r="CA133" i="51"/>
  <c r="BZ34" i="51"/>
  <c r="AW30" i="53"/>
  <c r="CT174" i="51"/>
  <c r="CE47" i="51"/>
  <c r="CX53" i="51"/>
  <c r="DG77" i="51"/>
  <c r="DF144" i="51"/>
  <c r="CZ138" i="51"/>
  <c r="CD90" i="51"/>
  <c r="CT47" i="51"/>
  <c r="CF165" i="51"/>
  <c r="CT36" i="51"/>
  <c r="BR102" i="51"/>
  <c r="DG78" i="51"/>
  <c r="BB28" i="55"/>
  <c r="DD74" i="51"/>
  <c r="AZ16" i="55"/>
  <c r="CR20" i="51"/>
  <c r="BP28" i="51"/>
  <c r="CM164" i="51"/>
  <c r="CF18" i="51"/>
  <c r="CN164" i="51"/>
  <c r="CK36" i="53"/>
  <c r="CN58" i="51"/>
  <c r="CG25" i="51"/>
  <c r="DH159" i="51"/>
  <c r="CB34" i="51"/>
  <c r="CJ22" i="53"/>
  <c r="BR157" i="51"/>
  <c r="BW160" i="51"/>
  <c r="CO102" i="51"/>
  <c r="BP24" i="51"/>
  <c r="DJ24" i="51"/>
  <c r="AY46" i="55"/>
  <c r="CX154" i="51"/>
  <c r="AY38" i="55"/>
  <c r="CN21" i="51"/>
  <c r="BZ48" i="51"/>
  <c r="CB57" i="55"/>
  <c r="DL85" i="51"/>
  <c r="DE133" i="51"/>
  <c r="CZ134" i="51"/>
  <c r="BP51" i="51"/>
  <c r="BS19" i="51"/>
  <c r="BR176" i="51"/>
  <c r="BY103" i="51"/>
  <c r="CM40" i="51"/>
  <c r="CD175" i="51"/>
  <c r="CO139" i="51"/>
  <c r="CO168" i="51"/>
  <c r="BF22" i="53"/>
  <c r="BH17" i="53"/>
  <c r="DK56" i="51"/>
  <c r="BW147" i="51"/>
  <c r="BS48" i="51"/>
  <c r="BA53" i="55"/>
  <c r="CG153" i="51"/>
  <c r="DE56" i="51"/>
  <c r="BT46" i="53"/>
  <c r="DB83" i="51"/>
  <c r="CA104" i="51"/>
  <c r="BZ50" i="55"/>
  <c r="AU37" i="53"/>
  <c r="CW41" i="51"/>
  <c r="CZ101" i="51"/>
  <c r="DC95" i="51"/>
  <c r="BZ107" i="51"/>
  <c r="CA31" i="51"/>
  <c r="DF26" i="51"/>
  <c r="BY34" i="51"/>
  <c r="DH102" i="51"/>
  <c r="CJ96" i="51"/>
  <c r="DM48" i="51"/>
  <c r="DB85" i="51"/>
  <c r="BS37" i="51"/>
  <c r="BO51" i="55"/>
  <c r="BR53" i="51"/>
  <c r="BH26" i="55"/>
  <c r="AW50" i="53"/>
  <c r="DF22" i="51"/>
  <c r="BU164" i="51"/>
  <c r="DI148" i="51"/>
  <c r="BR26" i="51"/>
  <c r="BU26" i="55"/>
  <c r="AY50" i="55"/>
  <c r="CH89" i="51"/>
  <c r="DJ149" i="51"/>
  <c r="CB136" i="51"/>
  <c r="CF174" i="51"/>
  <c r="CZ22" i="51"/>
  <c r="BU39" i="51"/>
  <c r="CB56" i="53"/>
  <c r="DJ160" i="51"/>
  <c r="BS101" i="51"/>
  <c r="DL79" i="51"/>
  <c r="DD45" i="51"/>
  <c r="CR91" i="51"/>
  <c r="BX135" i="51"/>
  <c r="BC19" i="53"/>
  <c r="BY145" i="51"/>
  <c r="DA134" i="51"/>
  <c r="CT144" i="51"/>
  <c r="BS28" i="53"/>
  <c r="BS46" i="55"/>
  <c r="BY39" i="55"/>
  <c r="BA28" i="55"/>
  <c r="CR82" i="51"/>
  <c r="DL102" i="51"/>
  <c r="BB56" i="55"/>
  <c r="CH173" i="51"/>
  <c r="CM12" i="53"/>
  <c r="CG41" i="53"/>
  <c r="BQ140" i="51"/>
  <c r="DM49" i="51"/>
  <c r="BC17" i="55"/>
  <c r="CN25" i="55"/>
  <c r="CZ176" i="51"/>
  <c r="BC31" i="55"/>
  <c r="CQ107" i="51"/>
  <c r="CG81" i="51"/>
  <c r="CW42" i="51"/>
  <c r="CH14" i="53"/>
  <c r="DM23" i="51"/>
  <c r="BC45" i="55"/>
  <c r="BV59" i="53"/>
  <c r="AY47" i="53"/>
  <c r="BP31" i="51"/>
  <c r="BY40" i="55"/>
  <c r="DL53" i="51"/>
  <c r="BP39" i="51"/>
  <c r="BB44" i="55"/>
  <c r="CL58" i="53"/>
  <c r="BQ84" i="51"/>
  <c r="BS150" i="51"/>
  <c r="DC138" i="51"/>
  <c r="CM24" i="53"/>
  <c r="CI44" i="51"/>
  <c r="BA32" i="55"/>
  <c r="BS38" i="51"/>
  <c r="BI14" i="55"/>
  <c r="CH56" i="51"/>
  <c r="DH74" i="51"/>
  <c r="CS175" i="51"/>
  <c r="BP67" i="51"/>
  <c r="DK88" i="51"/>
  <c r="DA172" i="51"/>
  <c r="DI80" i="51"/>
  <c r="DC92" i="51"/>
  <c r="BX108" i="51"/>
  <c r="CE82" i="51"/>
  <c r="CJ162" i="51"/>
  <c r="CV108" i="51"/>
  <c r="CM94" i="51"/>
  <c r="CL174" i="51"/>
  <c r="CZ94" i="51"/>
  <c r="DC99" i="51"/>
  <c r="CD56" i="51"/>
  <c r="BU160" i="51"/>
  <c r="CL35" i="51"/>
  <c r="DI177" i="51"/>
  <c r="CT165" i="51"/>
  <c r="DE90" i="51"/>
  <c r="BA33" i="55"/>
  <c r="BS92" i="51"/>
  <c r="CI90" i="51"/>
  <c r="BY177" i="51"/>
  <c r="BQ177" i="51"/>
  <c r="CI57" i="55"/>
  <c r="DB49" i="51"/>
  <c r="BU15" i="55"/>
  <c r="DL78" i="51"/>
  <c r="DE121" i="51"/>
  <c r="CW43" i="51"/>
  <c r="CJ59" i="51"/>
  <c r="CV75" i="51"/>
  <c r="BY108" i="51"/>
  <c r="BW80" i="51"/>
  <c r="BP171" i="51"/>
  <c r="DL156" i="51"/>
  <c r="CG27" i="51"/>
  <c r="BW50" i="51"/>
  <c r="CQ55" i="55"/>
  <c r="CL57" i="55"/>
  <c r="CS66" i="51"/>
  <c r="CM76" i="51"/>
  <c r="BG51" i="55"/>
  <c r="DG37" i="51"/>
  <c r="CJ101" i="51"/>
  <c r="BZ157" i="51"/>
  <c r="CD167" i="51"/>
  <c r="DG160" i="51"/>
  <c r="BE40" i="53"/>
  <c r="BR47" i="55"/>
  <c r="BX39" i="55"/>
  <c r="DL74" i="51"/>
  <c r="BP157" i="51"/>
  <c r="CS75" i="51"/>
  <c r="BI51" i="55"/>
  <c r="BZ38" i="51"/>
  <c r="CL49" i="53"/>
  <c r="BX44" i="55"/>
  <c r="DE84" i="51"/>
  <c r="BW81" i="51"/>
  <c r="BU151" i="51"/>
  <c r="DH155" i="51"/>
  <c r="AX13" i="53"/>
  <c r="CS176" i="51"/>
  <c r="BR44" i="55"/>
  <c r="CP100" i="51"/>
  <c r="AZ41" i="53"/>
  <c r="CO98" i="51"/>
  <c r="CN150" i="51"/>
  <c r="CP153" i="51"/>
  <c r="DM50" i="51"/>
  <c r="CL142" i="51"/>
  <c r="DL177" i="51"/>
  <c r="DM174" i="51"/>
  <c r="CO18" i="51"/>
  <c r="CD41" i="53"/>
  <c r="CL89" i="51"/>
  <c r="BE16" i="55"/>
  <c r="CF36" i="55"/>
  <c r="CO170" i="51"/>
  <c r="CD12" i="53"/>
  <c r="CQ160" i="51"/>
  <c r="CJ28" i="53"/>
  <c r="AT24" i="53"/>
  <c r="CH40" i="55"/>
  <c r="DA32" i="51"/>
  <c r="BQ33" i="55"/>
  <c r="BW51" i="53"/>
  <c r="BQ31" i="53"/>
  <c r="CK47" i="51"/>
  <c r="BX31" i="51"/>
  <c r="BQ27" i="51"/>
  <c r="CF155" i="51"/>
  <c r="CD97" i="51"/>
  <c r="BV66" i="51"/>
  <c r="BY99" i="51"/>
  <c r="CG67" i="51"/>
  <c r="BY102" i="51"/>
  <c r="BY137" i="51"/>
  <c r="AW51" i="55"/>
  <c r="BZ22" i="53"/>
  <c r="AW18" i="53"/>
  <c r="CZ98" i="51"/>
  <c r="DB148" i="51"/>
  <c r="BJ45" i="55"/>
  <c r="BH28" i="55"/>
  <c r="BZ14" i="53"/>
  <c r="CR135" i="51"/>
  <c r="DA38" i="51"/>
  <c r="CT160" i="51"/>
  <c r="CT48" i="51"/>
  <c r="CS87" i="51"/>
  <c r="CM51" i="55"/>
  <c r="DD47" i="51"/>
  <c r="DG61" i="51"/>
  <c r="CM27" i="55"/>
  <c r="BS168" i="51"/>
  <c r="DI150" i="51"/>
  <c r="CJ93" i="51"/>
  <c r="CN78" i="51"/>
  <c r="AU27" i="53"/>
  <c r="BD43" i="53"/>
  <c r="CQ23" i="55"/>
  <c r="CI26" i="53"/>
  <c r="CP65" i="51"/>
  <c r="CV38" i="51"/>
  <c r="CM78" i="51"/>
  <c r="CA25" i="51"/>
  <c r="CM49" i="51"/>
  <c r="CZ86" i="51"/>
  <c r="BP145" i="51"/>
  <c r="DG134" i="51"/>
  <c r="CI176" i="51"/>
  <c r="DE29" i="51"/>
  <c r="CS83" i="51"/>
  <c r="DM96" i="51"/>
  <c r="AX42" i="53"/>
  <c r="AV26" i="55"/>
  <c r="BT34" i="55"/>
  <c r="CH104" i="51"/>
  <c r="CT25" i="51"/>
  <c r="DC52" i="51"/>
  <c r="BL22" i="53"/>
  <c r="CK51" i="53"/>
  <c r="CQ142" i="51"/>
  <c r="BW78" i="51"/>
  <c r="DA42" i="51"/>
  <c r="CV164" i="51"/>
  <c r="CH23" i="53"/>
  <c r="CA98" i="51"/>
  <c r="DB159" i="51"/>
  <c r="CO75" i="51"/>
  <c r="CN100" i="51"/>
  <c r="CF56" i="51"/>
  <c r="BV164" i="51"/>
  <c r="CD38" i="51"/>
  <c r="CP152" i="51"/>
  <c r="BW174" i="51"/>
  <c r="BT86" i="51"/>
  <c r="CI20" i="55"/>
  <c r="CN93" i="51"/>
  <c r="CE41" i="51"/>
  <c r="DH75" i="51"/>
  <c r="CO175" i="51"/>
  <c r="CG176" i="51"/>
  <c r="DD168" i="51"/>
  <c r="BQ138" i="51"/>
  <c r="CB137" i="51"/>
  <c r="BX136" i="51"/>
  <c r="BU154" i="51"/>
  <c r="CJ39" i="55"/>
  <c r="CA24" i="53"/>
  <c r="DG99" i="51"/>
  <c r="CH35" i="51"/>
  <c r="CA163" i="51"/>
  <c r="CH91" i="51"/>
  <c r="DI170" i="51"/>
  <c r="BR164" i="51"/>
  <c r="AX37" i="53"/>
  <c r="BW95" i="51"/>
  <c r="BS61" i="51"/>
  <c r="CE144" i="51"/>
  <c r="DL76" i="51"/>
  <c r="BY150" i="51"/>
  <c r="BP49" i="53"/>
  <c r="DI93" i="51"/>
  <c r="BT94" i="51"/>
  <c r="BU159" i="51"/>
  <c r="BX149" i="51"/>
  <c r="CB32" i="53"/>
  <c r="CK59" i="55"/>
  <c r="CX85" i="51"/>
  <c r="CZ129" i="51"/>
  <c r="CG40" i="51"/>
  <c r="AW16" i="55"/>
  <c r="BG25" i="55"/>
  <c r="BK26" i="55"/>
  <c r="CA117" i="51"/>
  <c r="BN11" i="53"/>
  <c r="DF95" i="51"/>
  <c r="CZ145" i="51"/>
  <c r="BF56" i="55"/>
  <c r="CF175" i="51"/>
  <c r="CP149" i="51"/>
  <c r="BH46" i="53"/>
  <c r="CJ84" i="51"/>
  <c r="AY52" i="55"/>
  <c r="CO79" i="51"/>
  <c r="DM158" i="51"/>
  <c r="DF44" i="51"/>
  <c r="DF75" i="51"/>
  <c r="CT73" i="51"/>
  <c r="CE51" i="55"/>
  <c r="BY33" i="51"/>
  <c r="BI46" i="55"/>
  <c r="BH10" i="55"/>
  <c r="CJ43" i="55"/>
  <c r="DB73" i="51"/>
  <c r="CG100" i="51"/>
  <c r="CN48" i="51"/>
  <c r="CQ88" i="51"/>
  <c r="CG58" i="55"/>
  <c r="BE19" i="55"/>
  <c r="CD102" i="51"/>
  <c r="CB58" i="53"/>
  <c r="BB35" i="55"/>
  <c r="CP32" i="51"/>
  <c r="CW64" i="51"/>
  <c r="BP62" i="51"/>
  <c r="DK41" i="51"/>
  <c r="BW94" i="51"/>
  <c r="CC136" i="51"/>
  <c r="CR85" i="51"/>
  <c r="DB20" i="51"/>
  <c r="BL54" i="53"/>
  <c r="CM66" i="51"/>
  <c r="BY157" i="51"/>
  <c r="CP56" i="55"/>
  <c r="CZ171" i="51"/>
  <c r="BB20" i="53"/>
  <c r="CJ59" i="53"/>
  <c r="CX43" i="51"/>
  <c r="CV44" i="51"/>
  <c r="CZ133" i="51"/>
  <c r="DF77" i="51"/>
  <c r="DL143" i="51"/>
  <c r="BK35" i="55"/>
  <c r="CB39" i="51"/>
  <c r="BT32" i="51"/>
  <c r="BU37" i="51"/>
  <c r="BW44" i="55"/>
  <c r="CL58" i="51"/>
  <c r="CE166" i="51"/>
  <c r="BU50" i="55"/>
  <c r="BD17" i="55"/>
  <c r="CG19" i="55"/>
  <c r="BS159" i="51"/>
  <c r="CJ128" i="51"/>
  <c r="CU147" i="51"/>
  <c r="BS18" i="53"/>
  <c r="CJ17" i="55"/>
  <c r="DJ75" i="51"/>
  <c r="CY158" i="51"/>
  <c r="BU43" i="55"/>
  <c r="CK153" i="51"/>
  <c r="BV57" i="55"/>
  <c r="BS105" i="51"/>
  <c r="DE131" i="51"/>
  <c r="DH142" i="51"/>
  <c r="CE17" i="55"/>
  <c r="DK147" i="51"/>
  <c r="DJ170" i="51"/>
  <c r="BX30" i="51"/>
  <c r="BZ18" i="51"/>
  <c r="DL36" i="51"/>
  <c r="CE31" i="51"/>
  <c r="DF45" i="51"/>
  <c r="BH41" i="55"/>
  <c r="CL47" i="55"/>
  <c r="AX53" i="53"/>
  <c r="CB24" i="55"/>
  <c r="BN34" i="53"/>
  <c r="DL56" i="51"/>
  <c r="CG75" i="51"/>
  <c r="DB141" i="51"/>
  <c r="DD150" i="51"/>
  <c r="CW19" i="51"/>
  <c r="CI24" i="55"/>
  <c r="CC31" i="55"/>
  <c r="CA20" i="51"/>
  <c r="DD101" i="51"/>
  <c r="CZ74" i="51"/>
  <c r="BX154" i="51"/>
  <c r="DJ104" i="51"/>
  <c r="CS96" i="51"/>
  <c r="CN47" i="51"/>
  <c r="CE174" i="51"/>
  <c r="BS32" i="51"/>
  <c r="DM35" i="51"/>
  <c r="BR101" i="51"/>
  <c r="CN52" i="55"/>
  <c r="CP20" i="51"/>
  <c r="CB32" i="55"/>
  <c r="BO45" i="53"/>
  <c r="CT145" i="51"/>
  <c r="BY79" i="51"/>
  <c r="BP27" i="51"/>
  <c r="BP25" i="51"/>
  <c r="BV26" i="51"/>
  <c r="DM93" i="51"/>
  <c r="CS33" i="51"/>
  <c r="CV156" i="51"/>
  <c r="BR81" i="51"/>
  <c r="BT35" i="51"/>
  <c r="BP177" i="51"/>
  <c r="CK45" i="55"/>
  <c r="BV29" i="51"/>
  <c r="BX46" i="51"/>
  <c r="CM15" i="55"/>
  <c r="DJ139" i="51"/>
  <c r="BN59" i="55"/>
  <c r="CF34" i="53"/>
  <c r="CP74" i="51"/>
  <c r="CO37" i="51"/>
  <c r="BF13" i="55"/>
  <c r="CL25" i="55"/>
  <c r="CH96" i="51"/>
  <c r="CJ19" i="53"/>
  <c r="CR100" i="51"/>
  <c r="BG17" i="55"/>
  <c r="CS39" i="51"/>
  <c r="CC162" i="51"/>
  <c r="DC151" i="51"/>
  <c r="BW44" i="53"/>
  <c r="BR18" i="55"/>
  <c r="CY104" i="51"/>
  <c r="CY145" i="51"/>
  <c r="CR169" i="51"/>
  <c r="BV37" i="55"/>
  <c r="CQ20" i="55"/>
  <c r="CI54" i="53"/>
  <c r="BB13" i="55"/>
  <c r="BG26" i="53"/>
  <c r="BQ145" i="51"/>
  <c r="CQ93" i="51"/>
  <c r="CN36" i="51"/>
  <c r="DI81" i="51"/>
  <c r="AV30" i="55"/>
  <c r="CI44" i="55"/>
  <c r="DD75" i="51"/>
  <c r="CO45" i="51"/>
  <c r="CE152" i="51"/>
  <c r="CC152" i="51"/>
  <c r="BL42" i="55"/>
  <c r="BJ28" i="55"/>
  <c r="BF17" i="55"/>
  <c r="BV135" i="51"/>
  <c r="CR101" i="51"/>
  <c r="BH29" i="55"/>
  <c r="BD24" i="53"/>
  <c r="CS76" i="51"/>
  <c r="CA149" i="51"/>
  <c r="DK159" i="51"/>
  <c r="AU17" i="53"/>
  <c r="DE77" i="51"/>
  <c r="CL18" i="53"/>
  <c r="BU136" i="51"/>
  <c r="DL150" i="51"/>
  <c r="BO50" i="53"/>
  <c r="CT74" i="51"/>
  <c r="BD40" i="53"/>
  <c r="CC46" i="53"/>
  <c r="BQ26" i="51"/>
  <c r="DI64" i="51"/>
  <c r="AU52" i="55"/>
  <c r="BW37" i="51"/>
  <c r="DH88" i="51"/>
  <c r="CB46" i="55"/>
  <c r="BO20" i="53"/>
  <c r="CM169" i="51"/>
  <c r="CM41" i="55"/>
  <c r="BF27" i="53"/>
  <c r="AU23" i="55"/>
  <c r="BR18" i="51"/>
  <c r="BS156" i="51"/>
  <c r="CG24" i="51"/>
  <c r="CI78" i="51"/>
  <c r="BW148" i="51"/>
  <c r="CG141" i="51"/>
  <c r="CN89" i="51"/>
  <c r="BZ52" i="53"/>
  <c r="BX103" i="51"/>
  <c r="AX31" i="55"/>
  <c r="BQ74" i="51"/>
  <c r="AY33" i="53"/>
  <c r="CP28" i="51"/>
  <c r="BV33" i="55"/>
  <c r="CJ157" i="51"/>
  <c r="CR89" i="51"/>
  <c r="CB27" i="55"/>
  <c r="CE53" i="55"/>
  <c r="CH24" i="51"/>
  <c r="AX35" i="53"/>
  <c r="CJ139" i="51"/>
  <c r="CF86" i="51"/>
  <c r="CM159" i="51"/>
  <c r="CO51" i="53"/>
  <c r="BX54" i="53"/>
  <c r="CM40" i="53"/>
  <c r="CA30" i="53"/>
  <c r="CJ37" i="51"/>
  <c r="AY20" i="55"/>
  <c r="CA35" i="55"/>
  <c r="CS149" i="51"/>
  <c r="DM29" i="51"/>
  <c r="BX37" i="55"/>
  <c r="BS41" i="53"/>
  <c r="BI17" i="53"/>
  <c r="CK49" i="53"/>
  <c r="CD25" i="53"/>
  <c r="BV56" i="53"/>
  <c r="CH103" i="51"/>
  <c r="AV54" i="55"/>
  <c r="BX32" i="53"/>
  <c r="CG17" i="55"/>
  <c r="CQ45" i="55"/>
  <c r="BF32" i="53"/>
  <c r="CA15" i="53"/>
  <c r="CP10" i="53"/>
  <c r="BU135" i="51"/>
  <c r="BE44" i="53"/>
  <c r="CX58" i="51"/>
  <c r="BV122" i="51"/>
  <c r="AT20" i="55"/>
  <c r="DB136" i="51"/>
  <c r="BX36" i="51"/>
  <c r="BG46" i="55"/>
  <c r="CN135" i="51"/>
  <c r="CR88" i="51"/>
  <c r="BP163" i="51"/>
  <c r="CP95" i="51"/>
  <c r="CA167" i="51"/>
  <c r="DG49" i="51"/>
  <c r="BP19" i="53"/>
  <c r="DM65" i="51"/>
  <c r="CA13" i="55"/>
  <c r="DF104" i="51"/>
  <c r="CK29" i="51"/>
  <c r="AV33" i="55"/>
  <c r="BW93" i="51"/>
  <c r="CB82" i="51"/>
  <c r="CL55" i="53"/>
  <c r="BQ25" i="51"/>
  <c r="DK121" i="51"/>
  <c r="CW144" i="51"/>
  <c r="CO145" i="51"/>
  <c r="BF42" i="55"/>
  <c r="BS23" i="51"/>
  <c r="AX45" i="55"/>
  <c r="CF92" i="51"/>
  <c r="BF39" i="53"/>
  <c r="CF37" i="53"/>
  <c r="AT40" i="55"/>
  <c r="DI31" i="51"/>
  <c r="BU61" i="51"/>
  <c r="CI36" i="51"/>
  <c r="CF46" i="53"/>
  <c r="AU20" i="55"/>
  <c r="BK53" i="53"/>
  <c r="BW37" i="55"/>
  <c r="CI144" i="51"/>
  <c r="CY29" i="51"/>
  <c r="CM25" i="55"/>
  <c r="AY22" i="55"/>
  <c r="DL164" i="51"/>
  <c r="CS134" i="51"/>
  <c r="BM20" i="55"/>
  <c r="CC21" i="51"/>
  <c r="BV14" i="55"/>
  <c r="CG44" i="53"/>
  <c r="CO59" i="55"/>
  <c r="BL47" i="53"/>
  <c r="BW58" i="51"/>
  <c r="CQ22" i="51"/>
  <c r="CU157" i="51"/>
  <c r="CN171" i="51"/>
  <c r="BS82" i="51"/>
  <c r="BZ31" i="51"/>
  <c r="CE48" i="55"/>
  <c r="CC59" i="55"/>
  <c r="AW20" i="53"/>
  <c r="CP34" i="53"/>
  <c r="BZ59" i="55"/>
  <c r="CI39" i="55"/>
  <c r="CG13" i="55"/>
  <c r="DI138" i="51"/>
  <c r="BN46" i="55"/>
  <c r="BA36" i="55"/>
  <c r="CG39" i="55"/>
  <c r="BF39" i="55"/>
  <c r="CC94" i="51"/>
  <c r="BT17" i="55"/>
  <c r="BR25" i="51"/>
  <c r="DD173" i="51"/>
  <c r="BZ159" i="51"/>
  <c r="AZ16" i="53"/>
  <c r="CT20" i="51"/>
  <c r="CM139" i="51"/>
  <c r="BW51" i="55"/>
  <c r="BR41" i="55"/>
  <c r="DC78" i="51"/>
  <c r="CF49" i="55"/>
  <c r="DH22" i="51"/>
  <c r="CS40" i="51"/>
  <c r="CW65" i="51"/>
  <c r="BY36" i="51"/>
  <c r="CO83" i="51"/>
  <c r="BT36" i="51"/>
  <c r="CF19" i="51"/>
  <c r="CQ169" i="51"/>
  <c r="BP155" i="51"/>
  <c r="CH44" i="51"/>
  <c r="BR50" i="51"/>
  <c r="BO10" i="55"/>
  <c r="CH31" i="53"/>
  <c r="CF35" i="51"/>
  <c r="CA36" i="53"/>
  <c r="CH167" i="51"/>
  <c r="BT51" i="53"/>
  <c r="CR153" i="51"/>
  <c r="CA76" i="51"/>
  <c r="CO120" i="51"/>
  <c r="DB23" i="51"/>
  <c r="DJ94" i="51"/>
  <c r="AX19" i="53"/>
  <c r="CH45" i="51"/>
  <c r="CP45" i="51"/>
  <c r="DE75" i="51"/>
  <c r="BE26" i="55"/>
  <c r="BR134" i="51"/>
  <c r="BY44" i="51"/>
  <c r="BJ54" i="55"/>
  <c r="AX51" i="55"/>
  <c r="BZ15" i="55"/>
  <c r="CU33" i="51"/>
  <c r="CW27" i="51"/>
  <c r="DG44" i="51"/>
  <c r="CV86" i="51"/>
  <c r="CA20" i="53"/>
  <c r="CK86" i="51"/>
  <c r="BF59" i="55"/>
  <c r="CC76" i="51"/>
  <c r="BO50" i="55"/>
  <c r="BE18" i="53"/>
  <c r="DE18" i="51"/>
  <c r="BC28" i="55"/>
  <c r="BU167" i="51"/>
  <c r="BT35" i="53"/>
  <c r="CG43" i="51"/>
  <c r="CN19" i="51"/>
  <c r="CQ48" i="51"/>
  <c r="CV170" i="51"/>
  <c r="DK148" i="51"/>
  <c r="CB15" i="53"/>
  <c r="AX26" i="53"/>
  <c r="BV93" i="51"/>
  <c r="CB20" i="55"/>
  <c r="BQ91" i="51"/>
  <c r="CG92" i="51"/>
  <c r="CT89" i="51"/>
  <c r="CR102" i="51"/>
  <c r="DI102" i="51"/>
  <c r="CO37" i="53"/>
  <c r="DB34" i="51"/>
  <c r="BB52" i="55"/>
  <c r="CB42" i="53"/>
  <c r="CL151" i="51"/>
  <c r="CF39" i="55"/>
  <c r="CK45" i="51"/>
  <c r="BL33" i="55"/>
  <c r="BR110" i="51"/>
  <c r="BZ100" i="51"/>
  <c r="BT163" i="51"/>
  <c r="DA20" i="51"/>
  <c r="CR137" i="51"/>
  <c r="AU58" i="55"/>
  <c r="BP172" i="51"/>
  <c r="DH165" i="51"/>
  <c r="CC24" i="55"/>
  <c r="AT40" i="53"/>
  <c r="BR143" i="51"/>
  <c r="CN20" i="55"/>
  <c r="BY25" i="53"/>
  <c r="BT32" i="55"/>
  <c r="DL63" i="51"/>
  <c r="BY42" i="53"/>
  <c r="BZ141" i="51"/>
  <c r="CS38" i="51"/>
  <c r="CB37" i="55"/>
  <c r="CK137" i="51"/>
  <c r="CJ13" i="55"/>
  <c r="CP77" i="51"/>
  <c r="CE143" i="51"/>
  <c r="DM51" i="51"/>
  <c r="BS53" i="55"/>
  <c r="BS49" i="55"/>
  <c r="DB163" i="51"/>
  <c r="CQ150" i="51"/>
  <c r="DC48" i="51"/>
  <c r="BP15" i="55"/>
  <c r="CW18" i="51"/>
  <c r="CH158" i="51"/>
  <c r="BX85" i="51"/>
  <c r="AY42" i="55"/>
  <c r="CB92" i="51"/>
  <c r="CS80" i="51"/>
  <c r="BZ21" i="53"/>
  <c r="AW44" i="55"/>
  <c r="BZ76" i="51"/>
  <c r="BV44" i="55"/>
  <c r="BO43" i="55"/>
  <c r="CM128" i="51"/>
  <c r="DG21" i="51"/>
  <c r="BR40" i="51"/>
  <c r="CA142" i="51"/>
  <c r="DM152" i="51"/>
  <c r="CX39" i="51"/>
  <c r="BW48" i="55"/>
  <c r="BH44" i="55"/>
  <c r="CA14" i="55"/>
  <c r="CP144" i="51"/>
  <c r="BY18" i="55"/>
  <c r="CM79" i="51"/>
  <c r="CK33" i="55"/>
  <c r="DI33" i="51"/>
  <c r="CA58" i="51"/>
  <c r="DB166" i="51"/>
  <c r="CK42" i="51"/>
  <c r="CP130" i="51"/>
  <c r="CU28" i="51"/>
  <c r="AT27" i="53"/>
  <c r="BZ36" i="51"/>
  <c r="CV177" i="51"/>
  <c r="BY144" i="51"/>
  <c r="CJ74" i="51"/>
  <c r="CO26" i="53"/>
  <c r="BZ27" i="53"/>
  <c r="CJ46" i="51"/>
  <c r="BD55" i="53"/>
  <c r="BZ130" i="51"/>
  <c r="CH155" i="51"/>
  <c r="CE56" i="55"/>
  <c r="CG19" i="53"/>
  <c r="BW10" i="53"/>
  <c r="BG20" i="55"/>
  <c r="DJ128" i="51"/>
  <c r="DK155" i="51"/>
  <c r="CF147" i="51"/>
  <c r="BW35" i="55"/>
  <c r="BI19" i="55"/>
  <c r="CE54" i="53"/>
  <c r="BY31" i="55"/>
  <c r="BT11" i="53"/>
  <c r="CH141" i="51"/>
  <c r="CK16" i="55"/>
  <c r="BK55" i="53"/>
  <c r="CB53" i="53"/>
  <c r="CO151" i="51"/>
  <c r="BY43" i="55"/>
  <c r="CW89" i="51"/>
  <c r="DJ43" i="51"/>
  <c r="AW33" i="55"/>
  <c r="CH29" i="53"/>
  <c r="BV58" i="53"/>
  <c r="CW150" i="51"/>
  <c r="DI134" i="51"/>
  <c r="BB53" i="55"/>
  <c r="BO48" i="53"/>
  <c r="BA14" i="53"/>
  <c r="DM61" i="51"/>
  <c r="CF109" i="51"/>
  <c r="BP146" i="51"/>
  <c r="CU152" i="51"/>
  <c r="BR103" i="51"/>
  <c r="BT154" i="51"/>
  <c r="CR168" i="51"/>
  <c r="CR164" i="51"/>
  <c r="CF151" i="51"/>
  <c r="AV32" i="55"/>
  <c r="CE20" i="55"/>
  <c r="CV172" i="51"/>
  <c r="DH86" i="51"/>
  <c r="AY36" i="53"/>
  <c r="CM172" i="51"/>
  <c r="BE21" i="55"/>
  <c r="CH94" i="51"/>
  <c r="BI35" i="55"/>
  <c r="CU24" i="51"/>
  <c r="CS95" i="51"/>
  <c r="CQ32" i="51"/>
  <c r="BV102" i="51"/>
  <c r="CC151" i="51"/>
  <c r="CY142" i="51"/>
  <c r="BW153" i="51"/>
  <c r="DH91" i="51"/>
  <c r="CX163" i="51"/>
  <c r="CX29" i="51"/>
  <c r="DH24" i="51"/>
  <c r="CO13" i="53"/>
  <c r="BF55" i="53"/>
  <c r="BP23" i="51"/>
  <c r="BD42" i="55"/>
  <c r="CF36" i="51"/>
  <c r="CS104" i="51"/>
  <c r="AT21" i="55"/>
  <c r="CV176" i="51"/>
  <c r="CF48" i="53"/>
  <c r="CA84" i="51"/>
  <c r="BI35" i="53"/>
  <c r="DE40" i="51"/>
  <c r="BD44" i="55"/>
  <c r="DJ142" i="51"/>
  <c r="BA30" i="55"/>
  <c r="BL46" i="53"/>
  <c r="BP135" i="51"/>
  <c r="CT24" i="51"/>
  <c r="AV25" i="53"/>
  <c r="BH18" i="55"/>
  <c r="CZ90" i="51"/>
  <c r="CM36" i="55"/>
  <c r="BY98" i="51"/>
  <c r="CC163" i="51"/>
  <c r="BC38" i="53"/>
  <c r="BU90" i="51"/>
  <c r="BY19" i="55"/>
  <c r="BG22" i="55"/>
  <c r="CV155" i="51"/>
  <c r="BW27" i="51"/>
  <c r="CW47" i="51"/>
  <c r="CH46" i="53"/>
  <c r="CX75" i="51"/>
  <c r="BF37" i="55"/>
  <c r="DE47" i="51"/>
  <c r="CG144" i="51"/>
  <c r="BB32" i="55"/>
  <c r="BZ24" i="53"/>
  <c r="CP45" i="55"/>
  <c r="AU55" i="55"/>
  <c r="BG11" i="55"/>
  <c r="CQ43" i="55"/>
  <c r="BY100" i="51"/>
  <c r="AT15" i="55"/>
  <c r="BX49" i="51"/>
  <c r="BW54" i="53"/>
  <c r="DC36" i="51"/>
  <c r="AY27" i="55"/>
  <c r="CW49" i="51"/>
  <c r="CK144" i="51"/>
  <c r="BB51" i="55"/>
  <c r="CK55" i="55"/>
  <c r="CQ12" i="55"/>
  <c r="CX26" i="51"/>
  <c r="DL129" i="51"/>
  <c r="CU49" i="51"/>
  <c r="CJ48" i="55"/>
  <c r="CB50" i="51"/>
  <c r="CA29" i="51"/>
  <c r="CR134" i="51"/>
  <c r="CJ20" i="51"/>
  <c r="DF35" i="51"/>
  <c r="CH38" i="53"/>
  <c r="CE141" i="51"/>
  <c r="BY158" i="51"/>
  <c r="CN35" i="51"/>
  <c r="CL133" i="51"/>
  <c r="DL157" i="51"/>
  <c r="CL48" i="51"/>
  <c r="DD134" i="51"/>
  <c r="CF94" i="51"/>
  <c r="CG129" i="51"/>
  <c r="BK31" i="55"/>
  <c r="AX43" i="55"/>
  <c r="CP14" i="55"/>
  <c r="AZ27" i="55"/>
  <c r="BQ23" i="51"/>
  <c r="BG57" i="55"/>
  <c r="CE24" i="53"/>
  <c r="CA89" i="51"/>
  <c r="BQ55" i="53"/>
  <c r="CO132" i="51"/>
  <c r="AT33" i="55"/>
  <c r="DD138" i="51"/>
  <c r="CA55" i="51"/>
  <c r="CK33" i="51"/>
  <c r="CN162" i="51"/>
  <c r="DF29" i="51"/>
  <c r="BU52" i="53"/>
  <c r="CR173" i="51"/>
  <c r="CQ28" i="51"/>
  <c r="CM32" i="53"/>
  <c r="BY45" i="51"/>
  <c r="CM44" i="51"/>
  <c r="DK66" i="51"/>
  <c r="DE36" i="51"/>
  <c r="BP33" i="51"/>
  <c r="DA171" i="51"/>
  <c r="DJ159" i="51"/>
  <c r="BW88" i="51"/>
  <c r="CR45" i="51"/>
  <c r="DM169" i="51"/>
  <c r="BF28" i="55"/>
  <c r="CJ138" i="51"/>
  <c r="BD36" i="53"/>
  <c r="CI25" i="51"/>
  <c r="CL43" i="51"/>
  <c r="CD13" i="53"/>
  <c r="CD23" i="51"/>
  <c r="DH27" i="51"/>
  <c r="BS37" i="53"/>
  <c r="BU35" i="55"/>
  <c r="AT38" i="53"/>
  <c r="BY21" i="51"/>
  <c r="CB54" i="55"/>
  <c r="BQ147" i="51"/>
  <c r="DE23" i="51"/>
  <c r="CT157" i="51"/>
  <c r="BZ31" i="53"/>
  <c r="DK46" i="51"/>
  <c r="CB22" i="55"/>
  <c r="AX14" i="55"/>
  <c r="CX93" i="51"/>
  <c r="AU12" i="53"/>
  <c r="CZ20" i="51"/>
  <c r="DD174" i="51"/>
  <c r="DM39" i="51"/>
  <c r="BV23" i="55"/>
  <c r="BS29" i="55"/>
  <c r="CY146" i="51"/>
  <c r="CN59" i="55"/>
  <c r="BQ19" i="51"/>
  <c r="CY136" i="51"/>
  <c r="DE148" i="51"/>
  <c r="CS170" i="51"/>
  <c r="CL48" i="55"/>
  <c r="BI11" i="55"/>
  <c r="BI56" i="53"/>
  <c r="BW59" i="53"/>
  <c r="BK38" i="53"/>
  <c r="BM40" i="53"/>
  <c r="BU66" i="51"/>
  <c r="CC54" i="53"/>
  <c r="BV91" i="51"/>
  <c r="DG88" i="51"/>
  <c r="CW38" i="51"/>
  <c r="DM21" i="51"/>
  <c r="CV47" i="51"/>
  <c r="DK154" i="51"/>
  <c r="BU20" i="55"/>
  <c r="CS169" i="51"/>
  <c r="BF57" i="53"/>
  <c r="AU29" i="55"/>
  <c r="CW175" i="51"/>
  <c r="CZ85" i="51"/>
  <c r="BV74" i="51"/>
  <c r="CE43" i="51"/>
  <c r="BI28" i="55"/>
  <c r="CI40" i="55"/>
  <c r="DE155" i="51"/>
  <c r="BV54" i="55"/>
  <c r="CC58" i="53"/>
  <c r="BP153" i="51"/>
  <c r="CE50" i="55"/>
  <c r="CW31" i="51"/>
  <c r="BB29" i="53"/>
  <c r="CV90" i="51"/>
  <c r="CT98" i="51"/>
  <c r="CI46" i="55"/>
  <c r="CL32" i="51"/>
  <c r="CB49" i="55"/>
  <c r="BY149" i="51"/>
  <c r="CC140" i="51"/>
  <c r="CZ172" i="51"/>
  <c r="CQ45" i="51"/>
  <c r="DF128" i="51"/>
  <c r="BS41" i="55"/>
  <c r="CN21" i="55"/>
  <c r="BM51" i="55"/>
  <c r="CE26" i="55"/>
  <c r="AZ48" i="55"/>
  <c r="BU50" i="53"/>
  <c r="BX54" i="55"/>
  <c r="CP35" i="51"/>
  <c r="CD137" i="51"/>
  <c r="AZ12" i="53"/>
  <c r="CJ177" i="51"/>
  <c r="CI41" i="53"/>
  <c r="BZ150" i="51"/>
  <c r="CI22" i="55"/>
  <c r="BR152" i="51"/>
  <c r="CH97" i="51"/>
  <c r="BZ13" i="55"/>
  <c r="CA19" i="53"/>
  <c r="DI21" i="51"/>
  <c r="BH58" i="53"/>
  <c r="BF32" i="55"/>
  <c r="BC50" i="55"/>
  <c r="BJ43" i="55"/>
  <c r="CV161" i="51"/>
  <c r="BF24" i="53"/>
  <c r="CJ165" i="51"/>
  <c r="CF170" i="51"/>
  <c r="BL14" i="55"/>
  <c r="BP14" i="53"/>
  <c r="CG14" i="55"/>
  <c r="DH18" i="51"/>
  <c r="BW46" i="55"/>
  <c r="BD19" i="53"/>
  <c r="CH13" i="53"/>
  <c r="BD35" i="55"/>
  <c r="CQ46" i="55"/>
  <c r="CA39" i="53"/>
  <c r="AW35" i="53"/>
  <c r="CY24" i="51"/>
  <c r="DC98" i="51"/>
  <c r="BB34" i="55"/>
  <c r="CM157" i="51"/>
  <c r="CP42" i="55"/>
  <c r="CX109" i="51"/>
  <c r="BJ57" i="55"/>
  <c r="DG23" i="51"/>
  <c r="BM45" i="55"/>
  <c r="DK39" i="51"/>
  <c r="CF101" i="51"/>
  <c r="BQ153" i="51"/>
  <c r="CT46" i="51"/>
  <c r="CE49" i="51"/>
  <c r="BJ45" i="53"/>
  <c r="CI168" i="51"/>
  <c r="BJ15" i="53"/>
  <c r="BS22" i="53"/>
  <c r="BI32" i="55"/>
  <c r="CG87" i="51"/>
  <c r="BU40" i="53"/>
  <c r="BI22" i="55"/>
  <c r="CV159" i="51"/>
  <c r="CL176" i="51"/>
  <c r="DI28" i="51"/>
  <c r="BL36" i="53"/>
  <c r="BQ169" i="51"/>
  <c r="BU18" i="51"/>
  <c r="BA12" i="53"/>
  <c r="CG45" i="53"/>
  <c r="CL134" i="51"/>
  <c r="BC20" i="55"/>
  <c r="CQ111" i="51"/>
  <c r="CG36" i="51"/>
  <c r="CF26" i="51"/>
  <c r="CU73" i="51"/>
  <c r="CE29" i="51"/>
  <c r="BY22" i="51"/>
  <c r="BZ77" i="51"/>
  <c r="BQ172" i="51"/>
  <c r="CA138" i="51"/>
  <c r="CC139" i="51"/>
  <c r="DE34" i="51"/>
  <c r="CG13" i="53"/>
  <c r="CK43" i="51"/>
  <c r="CI169" i="51"/>
  <c r="DM77" i="51"/>
  <c r="CW147" i="51"/>
  <c r="BM43" i="55"/>
  <c r="BV43" i="51"/>
  <c r="DA93" i="51"/>
  <c r="CH19" i="53"/>
  <c r="CO31" i="51"/>
  <c r="CI34" i="55"/>
  <c r="AV29" i="55"/>
  <c r="BR129" i="51"/>
  <c r="CW85" i="51"/>
  <c r="BM28" i="55"/>
  <c r="CO29" i="51"/>
  <c r="CO174" i="51"/>
  <c r="BR136" i="51"/>
  <c r="CN26" i="55"/>
  <c r="CI100" i="51"/>
  <c r="CH47" i="51"/>
  <c r="AT22" i="55"/>
  <c r="CX131" i="51"/>
  <c r="DE25" i="51"/>
  <c r="CH177" i="51"/>
  <c r="CF128" i="51"/>
  <c r="BW29" i="53"/>
  <c r="AX33" i="53"/>
  <c r="AU41" i="55"/>
  <c r="BZ17" i="55"/>
  <c r="DE88" i="51"/>
  <c r="BD49" i="53"/>
  <c r="DA96" i="51"/>
  <c r="AX59" i="53"/>
  <c r="CF99" i="51"/>
  <c r="BS47" i="51"/>
  <c r="CT153" i="51"/>
  <c r="BV52" i="55"/>
  <c r="CD37" i="55"/>
  <c r="BW16" i="55"/>
  <c r="CG29" i="55"/>
  <c r="CU113" i="51"/>
  <c r="BY49" i="53"/>
  <c r="CW73" i="51"/>
  <c r="BY56" i="55"/>
  <c r="BY47" i="55"/>
  <c r="BI39" i="53"/>
  <c r="CS85" i="51"/>
  <c r="DB64" i="51"/>
  <c r="DE85" i="51"/>
  <c r="BX28" i="53"/>
  <c r="BP27" i="55"/>
  <c r="BV160" i="51"/>
  <c r="CU87" i="51"/>
  <c r="BW28" i="51"/>
  <c r="DE112" i="51"/>
  <c r="BX44" i="51"/>
  <c r="CW28" i="51"/>
  <c r="DE48" i="51"/>
  <c r="BD15" i="55"/>
  <c r="CO150" i="51"/>
  <c r="BU65" i="51"/>
  <c r="BS25" i="51"/>
  <c r="DD39" i="51"/>
  <c r="CP55" i="53"/>
  <c r="CR145" i="51"/>
  <c r="BS147" i="51"/>
  <c r="BH28" i="53"/>
  <c r="CE83" i="51"/>
  <c r="CZ34" i="51"/>
  <c r="CQ141" i="51"/>
  <c r="CD51" i="55"/>
  <c r="DA19" i="51"/>
  <c r="DF164" i="51"/>
  <c r="DJ60" i="51"/>
  <c r="DK151" i="51"/>
  <c r="CK131" i="51"/>
  <c r="CM24" i="55"/>
  <c r="CH29" i="51"/>
  <c r="DI27" i="51"/>
  <c r="DD32" i="51"/>
  <c r="CM47" i="51"/>
  <c r="CW135" i="51"/>
  <c r="CW20" i="51"/>
  <c r="BW119" i="51"/>
  <c r="CK53" i="53"/>
  <c r="CD82" i="51"/>
  <c r="CW34" i="51"/>
  <c r="CB28" i="51"/>
  <c r="DL86" i="51"/>
  <c r="CT19" i="51"/>
  <c r="CL20" i="51"/>
  <c r="CI137" i="51"/>
  <c r="CK35" i="55"/>
  <c r="CP80" i="51"/>
  <c r="BR54" i="55"/>
  <c r="CI49" i="51"/>
  <c r="CP51" i="53"/>
  <c r="BJ38" i="53"/>
  <c r="DI91" i="51"/>
  <c r="BK52" i="53"/>
  <c r="CP128" i="51"/>
  <c r="CO27" i="51"/>
  <c r="BU85" i="51"/>
  <c r="CO24" i="55"/>
  <c r="BK36" i="53"/>
  <c r="CN41" i="53"/>
  <c r="BL14" i="53"/>
  <c r="BM54" i="55"/>
  <c r="BO38" i="55"/>
  <c r="CP148" i="51"/>
  <c r="CO58" i="53"/>
  <c r="CK34" i="55"/>
  <c r="BY92" i="51"/>
  <c r="AZ30" i="55"/>
  <c r="BY28" i="55"/>
  <c r="CX34" i="51"/>
  <c r="BS177" i="51"/>
  <c r="DA177" i="51"/>
  <c r="CJ16" i="55"/>
  <c r="AZ23" i="55"/>
  <c r="DB58" i="51"/>
  <c r="BZ148" i="51"/>
  <c r="CO91" i="51"/>
  <c r="CD59" i="55"/>
  <c r="BJ33" i="55"/>
  <c r="DA154" i="51"/>
  <c r="AV20" i="55"/>
  <c r="BG24" i="55"/>
  <c r="BF41" i="53"/>
  <c r="BJ11" i="53"/>
  <c r="BT33" i="55"/>
  <c r="BV99" i="51"/>
  <c r="BW29" i="51"/>
  <c r="CE45" i="55"/>
  <c r="CP34" i="51"/>
  <c r="DD77" i="51"/>
  <c r="CG33" i="51"/>
  <c r="BR39" i="55"/>
  <c r="BE47" i="55"/>
  <c r="BT58" i="55"/>
  <c r="BZ37" i="51"/>
  <c r="CO38" i="51"/>
  <c r="CL81" i="51"/>
  <c r="CB29" i="55"/>
  <c r="AZ40" i="53"/>
  <c r="BK51" i="53"/>
  <c r="DH23" i="51"/>
  <c r="CV136" i="51"/>
  <c r="BC29" i="53"/>
  <c r="BQ37" i="51"/>
  <c r="CF15" i="53"/>
  <c r="CD149" i="51"/>
  <c r="CM37" i="55"/>
  <c r="BO19" i="53"/>
  <c r="CB140" i="51"/>
  <c r="BF26" i="53"/>
  <c r="CI55" i="53"/>
  <c r="DM24" i="51"/>
  <c r="CA92" i="51"/>
  <c r="CD136" i="51"/>
  <c r="CJ44" i="53"/>
  <c r="AX58" i="55"/>
  <c r="CK98" i="51"/>
  <c r="DM44" i="51"/>
  <c r="CK159" i="51"/>
  <c r="BV42" i="51"/>
  <c r="AV57" i="55"/>
  <c r="CY25" i="51"/>
  <c r="DK75" i="51"/>
  <c r="BY25" i="55"/>
  <c r="BC24" i="53"/>
  <c r="BZ115" i="51"/>
  <c r="CJ49" i="55"/>
  <c r="DD34" i="51"/>
  <c r="BI48" i="53"/>
  <c r="DA37" i="51"/>
  <c r="CC158" i="51"/>
  <c r="BK56" i="55"/>
  <c r="DL149" i="51"/>
  <c r="BJ11" i="55"/>
  <c r="BZ56" i="55"/>
  <c r="CF129" i="51"/>
  <c r="CZ77" i="51"/>
  <c r="CJ158" i="51"/>
  <c r="BO20" i="55"/>
  <c r="BG34" i="53"/>
  <c r="BN45" i="53"/>
  <c r="BS42" i="53"/>
  <c r="CO121" i="51"/>
  <c r="BC54" i="55"/>
  <c r="CC38" i="55"/>
  <c r="BE44" i="55"/>
  <c r="DB45" i="51"/>
  <c r="DG34" i="51"/>
  <c r="AU16" i="55"/>
  <c r="CR28" i="51"/>
  <c r="CH17" i="55"/>
  <c r="AU53" i="53"/>
  <c r="AS40" i="53"/>
  <c r="BV12" i="53"/>
  <c r="CD96" i="51"/>
  <c r="AZ42" i="53"/>
  <c r="BM56" i="53"/>
  <c r="BG13" i="53"/>
  <c r="DG175" i="51"/>
  <c r="CE45" i="53"/>
  <c r="BV42" i="53"/>
  <c r="BT20" i="55"/>
  <c r="BY131" i="51"/>
  <c r="CY76" i="51"/>
  <c r="AS15" i="53"/>
  <c r="BQ41" i="55"/>
  <c r="BR57" i="53"/>
  <c r="BE48" i="55"/>
  <c r="BT45" i="53"/>
  <c r="BH13" i="53"/>
  <c r="BQ89" i="51"/>
  <c r="CO172" i="51"/>
  <c r="BW103" i="51"/>
  <c r="CA169" i="51"/>
  <c r="BH40" i="53"/>
  <c r="BU145" i="51"/>
  <c r="CX152" i="51"/>
  <c r="CE36" i="51"/>
  <c r="BX60" i="51"/>
  <c r="BV47" i="51"/>
  <c r="CD120" i="51"/>
  <c r="CA79" i="51"/>
  <c r="CJ90" i="51"/>
  <c r="DL40" i="51"/>
  <c r="DJ147" i="51"/>
  <c r="BC29" i="55"/>
  <c r="CQ18" i="55"/>
  <c r="BD33" i="55"/>
  <c r="BW110" i="51"/>
  <c r="DK35" i="51"/>
  <c r="CR75" i="51"/>
  <c r="BJ36" i="55"/>
  <c r="BF55" i="55"/>
  <c r="BN15" i="55"/>
  <c r="CD35" i="51"/>
  <c r="CB30" i="51"/>
  <c r="CA26" i="55"/>
  <c r="DL92" i="51"/>
  <c r="BZ21" i="55"/>
  <c r="BX148" i="51"/>
  <c r="DG137" i="51"/>
  <c r="BR48" i="51"/>
  <c r="CB31" i="51"/>
  <c r="BV46" i="51"/>
  <c r="CQ48" i="55"/>
  <c r="BW145" i="51"/>
  <c r="CM92" i="51"/>
  <c r="CR36" i="51"/>
  <c r="BT147" i="51"/>
  <c r="AX56" i="55"/>
  <c r="BU21" i="53"/>
  <c r="BT144" i="51"/>
  <c r="AT18" i="55"/>
  <c r="CA22" i="55"/>
  <c r="BX34" i="51"/>
  <c r="CF28" i="53"/>
  <c r="AV58" i="55"/>
  <c r="CA171" i="51"/>
  <c r="DG157" i="51"/>
  <c r="CQ145" i="51"/>
  <c r="BW135" i="51"/>
  <c r="CN154" i="51"/>
  <c r="CB20" i="53"/>
  <c r="CB43" i="51"/>
  <c r="CM19" i="55"/>
  <c r="BY38" i="55"/>
  <c r="BT13" i="55"/>
  <c r="BN33" i="53"/>
  <c r="AZ58" i="55"/>
  <c r="CA43" i="55"/>
  <c r="DL169" i="51"/>
  <c r="BG18" i="53"/>
  <c r="CF93" i="51"/>
  <c r="AU29" i="53"/>
  <c r="CL56" i="55"/>
  <c r="BU27" i="51"/>
  <c r="BH36" i="55"/>
  <c r="CG108" i="51"/>
  <c r="DK97" i="51"/>
  <c r="CY39" i="51"/>
  <c r="BB54" i="53"/>
  <c r="CM29" i="51"/>
  <c r="CU111" i="51"/>
  <c r="CG51" i="53"/>
  <c r="DI171" i="51"/>
  <c r="BH23" i="55"/>
  <c r="BR135" i="51"/>
  <c r="CM20" i="55"/>
  <c r="BQ35" i="55"/>
  <c r="DE161" i="51"/>
  <c r="DJ84" i="51"/>
  <c r="CF27" i="55"/>
  <c r="BP26" i="51"/>
  <c r="BB50" i="55"/>
  <c r="BO49" i="55"/>
  <c r="CW98" i="51"/>
  <c r="CK96" i="51"/>
  <c r="CH34" i="51"/>
  <c r="DD57" i="51"/>
  <c r="AX19" i="55"/>
  <c r="BI29" i="55"/>
  <c r="CK177" i="51"/>
  <c r="BL18" i="55"/>
  <c r="CT101" i="51"/>
  <c r="DH78" i="51"/>
  <c r="CT136" i="51"/>
  <c r="CE14" i="53"/>
  <c r="CP10" i="55"/>
  <c r="BG42" i="53"/>
  <c r="CL37" i="53"/>
  <c r="CB11" i="53"/>
  <c r="CB89" i="51"/>
  <c r="CM136" i="51"/>
  <c r="CF19" i="55"/>
  <c r="BQ158" i="51"/>
  <c r="BA26" i="55"/>
  <c r="CV27" i="51"/>
  <c r="DK89" i="51"/>
  <c r="BD47" i="55"/>
  <c r="CH38" i="55"/>
  <c r="CN103" i="51"/>
  <c r="CI23" i="53"/>
  <c r="CY152" i="51"/>
  <c r="BB18" i="53"/>
  <c r="CY45" i="51"/>
  <c r="CC106" i="51"/>
  <c r="BJ41" i="55"/>
  <c r="BV22" i="51"/>
  <c r="BD32" i="53"/>
  <c r="CB25" i="51"/>
  <c r="BZ14" i="55"/>
  <c r="CD33" i="55"/>
  <c r="BV143" i="51"/>
  <c r="CM147" i="51"/>
  <c r="BU97" i="51"/>
  <c r="CJ21" i="51"/>
  <c r="DI140" i="51"/>
  <c r="CA91" i="51"/>
  <c r="BS30" i="51"/>
  <c r="CL84" i="51"/>
  <c r="AX21" i="55"/>
  <c r="DC145" i="51"/>
  <c r="BO11" i="53"/>
  <c r="CJ38" i="51"/>
  <c r="CO157" i="51"/>
  <c r="BY46" i="51"/>
  <c r="CJ23" i="51"/>
  <c r="DG148" i="51"/>
  <c r="CI42" i="55"/>
  <c r="BM57" i="55"/>
  <c r="BD57" i="55"/>
  <c r="DI34" i="51"/>
  <c r="BX22" i="53"/>
  <c r="BB20" i="55"/>
  <c r="CI80" i="51"/>
  <c r="CZ78" i="51"/>
  <c r="BK21" i="55"/>
  <c r="CV43" i="51"/>
  <c r="DL131" i="51"/>
  <c r="CJ38" i="55"/>
  <c r="CD21" i="53"/>
  <c r="CN151" i="51"/>
  <c r="CD93" i="51"/>
  <c r="BQ58" i="55"/>
  <c r="AU25" i="55"/>
  <c r="BK55" i="55"/>
  <c r="CN53" i="51"/>
  <c r="CK38" i="51"/>
  <c r="CB150" i="51"/>
  <c r="CQ34" i="55"/>
  <c r="AX29" i="53"/>
  <c r="CT161" i="51"/>
  <c r="BR99" i="51"/>
  <c r="BM39" i="55"/>
  <c r="CW33" i="51"/>
  <c r="BS57" i="53"/>
  <c r="DI75" i="51"/>
  <c r="BH46" i="55"/>
  <c r="BV140" i="51"/>
  <c r="CD162" i="51"/>
  <c r="CK55" i="51"/>
  <c r="CJ45" i="53"/>
  <c r="CG43" i="55"/>
  <c r="CN33" i="51"/>
  <c r="CR77" i="51"/>
  <c r="CO27" i="53"/>
  <c r="CE58" i="51"/>
  <c r="CE111" i="51"/>
  <c r="CF24" i="55"/>
  <c r="CP135" i="51"/>
  <c r="BK50" i="55"/>
  <c r="CF15" i="55"/>
  <c r="CF40" i="53"/>
  <c r="CK19" i="53"/>
  <c r="CC16" i="53"/>
  <c r="BS80" i="51"/>
  <c r="CQ57" i="51"/>
  <c r="CH151" i="51"/>
  <c r="BY142" i="51"/>
  <c r="DI86" i="51"/>
  <c r="DF170" i="51"/>
  <c r="CN15" i="53"/>
  <c r="CH15" i="55"/>
  <c r="AW11" i="55"/>
  <c r="BW99" i="51"/>
  <c r="DF158" i="51"/>
  <c r="CI177" i="51"/>
  <c r="BR119" i="51"/>
  <c r="DI74" i="51"/>
  <c r="DA149" i="51"/>
  <c r="CG171" i="51"/>
  <c r="CV92" i="51"/>
  <c r="AY15" i="55"/>
  <c r="AU31" i="53"/>
  <c r="CJ116" i="51"/>
  <c r="CH168" i="51"/>
  <c r="CV94" i="51"/>
  <c r="DI51" i="51"/>
  <c r="CQ75" i="51"/>
  <c r="CR18" i="51"/>
  <c r="CQ36" i="51"/>
  <c r="DB46" i="51"/>
  <c r="CP25" i="53"/>
  <c r="BD36" i="55"/>
  <c r="BP17" i="53"/>
  <c r="DF119" i="51"/>
  <c r="CC32" i="51"/>
  <c r="DI154" i="51"/>
  <c r="BV28" i="51"/>
  <c r="DD33" i="51"/>
  <c r="BX104" i="51"/>
  <c r="AT15" i="53"/>
  <c r="CH87" i="51"/>
  <c r="CH10" i="53"/>
  <c r="CK95" i="51"/>
  <c r="CG35" i="51"/>
  <c r="CE161" i="51"/>
  <c r="CO49" i="55"/>
  <c r="CI45" i="53"/>
  <c r="AW27" i="55"/>
  <c r="BT14" i="55"/>
  <c r="CE120" i="51"/>
  <c r="CP92" i="51"/>
  <c r="BT54" i="55"/>
  <c r="CS23" i="51"/>
  <c r="DL84" i="51"/>
  <c r="DJ176" i="51"/>
  <c r="CC26" i="51"/>
  <c r="CA26" i="51"/>
  <c r="DM137" i="51"/>
  <c r="BT152" i="51"/>
  <c r="BW79" i="51"/>
  <c r="DL140" i="51"/>
  <c r="AU37" i="55"/>
  <c r="BX168" i="51"/>
  <c r="BQ28" i="55"/>
  <c r="CF31" i="51"/>
  <c r="BZ23" i="51"/>
  <c r="BX18" i="55"/>
  <c r="AW46" i="53"/>
  <c r="CF81" i="51"/>
  <c r="CE19" i="51"/>
  <c r="BI20" i="55"/>
  <c r="CI167" i="51"/>
  <c r="CS159" i="51"/>
  <c r="BH16" i="53"/>
  <c r="AY34" i="55"/>
  <c r="CT32" i="51"/>
  <c r="DH20" i="51"/>
  <c r="BB11" i="55"/>
  <c r="BY53" i="55"/>
  <c r="DH169" i="51"/>
  <c r="BP159" i="51"/>
  <c r="BY95" i="51"/>
  <c r="CD44" i="55"/>
  <c r="BX33" i="53"/>
  <c r="BZ164" i="51"/>
  <c r="AZ40" i="55"/>
  <c r="CB17" i="53"/>
  <c r="CS163" i="51"/>
  <c r="DF25" i="51"/>
  <c r="DA92" i="51"/>
  <c r="CD23" i="55"/>
  <c r="CS144" i="51"/>
  <c r="BP52" i="53"/>
  <c r="CS143" i="51"/>
  <c r="CZ27" i="51"/>
  <c r="BS144" i="51"/>
  <c r="BS135" i="51"/>
  <c r="CO30" i="55"/>
  <c r="CK37" i="51"/>
  <c r="CV26" i="51"/>
  <c r="BY63" i="51"/>
  <c r="CC77" i="51"/>
  <c r="CN77" i="51"/>
  <c r="CC57" i="55"/>
  <c r="CI21" i="51"/>
  <c r="DH167" i="51"/>
  <c r="CB149" i="51"/>
  <c r="BN45" i="55"/>
  <c r="BY10" i="55"/>
  <c r="CM176" i="51"/>
  <c r="BY26" i="55"/>
  <c r="CZ147" i="51"/>
  <c r="CU145" i="51"/>
  <c r="CW134" i="51"/>
  <c r="CU41" i="51"/>
  <c r="DH120" i="51"/>
  <c r="BT36" i="55"/>
  <c r="DI153" i="51"/>
  <c r="BY56" i="51"/>
  <c r="CD49" i="55"/>
  <c r="BI25" i="53"/>
  <c r="CG74" i="51"/>
  <c r="BV145" i="51"/>
  <c r="CL52" i="53"/>
  <c r="BQ154" i="51"/>
  <c r="CJ104" i="51"/>
  <c r="BP47" i="55"/>
  <c r="BZ44" i="51"/>
  <c r="DF163" i="51"/>
  <c r="CN97" i="51"/>
  <c r="CI98" i="51"/>
  <c r="DM81" i="51"/>
  <c r="DI61" i="51"/>
  <c r="DD154" i="51"/>
  <c r="BE25" i="53"/>
  <c r="CA58" i="55"/>
  <c r="BQ30" i="51"/>
  <c r="CB148" i="51"/>
  <c r="DL77" i="51"/>
  <c r="CG21" i="53"/>
  <c r="CN25" i="51"/>
  <c r="BV46" i="53"/>
  <c r="BY77" i="51"/>
  <c r="CK100" i="51"/>
  <c r="CP75" i="51"/>
  <c r="CB58" i="55"/>
  <c r="BR31" i="51"/>
  <c r="CO84" i="51"/>
  <c r="BR54" i="53"/>
  <c r="CF100" i="51"/>
  <c r="CJ150" i="51"/>
  <c r="CG47" i="51"/>
  <c r="AS27" i="53"/>
  <c r="DL31" i="51"/>
  <c r="DJ141" i="51"/>
  <c r="CV135" i="51"/>
  <c r="BP44" i="53"/>
  <c r="BQ144" i="51"/>
  <c r="CA19" i="55"/>
  <c r="BV22" i="55"/>
  <c r="DF86" i="51"/>
  <c r="DI45" i="51"/>
  <c r="BS47" i="55"/>
  <c r="BY30" i="55"/>
  <c r="BY41" i="53"/>
  <c r="DF157" i="51"/>
  <c r="CL54" i="53"/>
  <c r="AW57" i="53"/>
  <c r="CK32" i="55"/>
  <c r="CU137" i="51"/>
  <c r="CK12" i="53"/>
  <c r="CF33" i="53"/>
  <c r="CQ32" i="55"/>
  <c r="BQ39" i="51"/>
  <c r="BF28" i="53"/>
  <c r="BV114" i="51"/>
  <c r="BT30" i="51"/>
  <c r="BU176" i="51"/>
  <c r="AS30" i="53"/>
  <c r="DH64" i="51"/>
  <c r="CA11" i="53"/>
  <c r="CE78" i="51"/>
  <c r="CO159" i="51"/>
  <c r="BC26" i="55"/>
  <c r="CL155" i="51"/>
  <c r="BX28" i="55"/>
  <c r="BR23" i="55"/>
  <c r="AY17" i="55"/>
  <c r="BZ25" i="51"/>
  <c r="CN138" i="51"/>
  <c r="BV36" i="55"/>
  <c r="DL138" i="51"/>
  <c r="CP12" i="55"/>
  <c r="BP52" i="55"/>
  <c r="BT136" i="51"/>
  <c r="BS89" i="51"/>
  <c r="BD45" i="53"/>
  <c r="DD136" i="51"/>
  <c r="CA152" i="51"/>
  <c r="AW48" i="53"/>
  <c r="CG32" i="55"/>
  <c r="BQ117" i="51"/>
  <c r="CK13" i="55"/>
  <c r="BN38" i="53"/>
  <c r="DE21" i="51"/>
  <c r="BW24" i="51"/>
  <c r="CN38" i="51"/>
  <c r="DG154" i="51"/>
  <c r="BE15" i="55"/>
  <c r="CA155" i="51"/>
  <c r="BN22" i="53"/>
  <c r="BY59" i="51"/>
  <c r="CI82" i="51"/>
  <c r="BN19" i="55"/>
  <c r="CG159" i="51"/>
  <c r="CN80" i="51"/>
  <c r="BW17" i="53"/>
  <c r="BM32" i="53"/>
  <c r="BE29" i="53"/>
  <c r="BZ163" i="51"/>
  <c r="CI88" i="51"/>
  <c r="CH154" i="51"/>
  <c r="BW39" i="51"/>
  <c r="CC52" i="53"/>
  <c r="BV43" i="53"/>
  <c r="CG147" i="51"/>
  <c r="DA82" i="51"/>
  <c r="CG28" i="53"/>
  <c r="BH10" i="53"/>
  <c r="BG42" i="55"/>
  <c r="CF34" i="51"/>
  <c r="DC140" i="51"/>
  <c r="DC56" i="51"/>
  <c r="DA84" i="51"/>
  <c r="CD58" i="55"/>
  <c r="CS160" i="51"/>
  <c r="CL56" i="51"/>
  <c r="CN85" i="51"/>
  <c r="DG95" i="51"/>
  <c r="CN23" i="55"/>
  <c r="CB41" i="55"/>
  <c r="BN32" i="53"/>
  <c r="DJ81" i="51"/>
  <c r="BK24" i="53"/>
  <c r="BZ53" i="55"/>
  <c r="CD52" i="53"/>
  <c r="CB30" i="53"/>
  <c r="BU26" i="51"/>
  <c r="DJ74" i="51"/>
  <c r="CI15" i="53"/>
  <c r="BQ29" i="51"/>
  <c r="BA18" i="53"/>
  <c r="BT148" i="51"/>
  <c r="BY41" i="51"/>
  <c r="AS18" i="53"/>
  <c r="CP150" i="51"/>
  <c r="BS46" i="51"/>
  <c r="DJ21" i="51"/>
  <c r="CB31" i="53"/>
  <c r="DE150" i="51"/>
  <c r="CZ19" i="51"/>
  <c r="BC24" i="55"/>
  <c r="BJ55" i="55"/>
  <c r="BV17" i="55"/>
  <c r="BQ32" i="53"/>
  <c r="CB59" i="55"/>
  <c r="CC25" i="51"/>
  <c r="DB27" i="51"/>
  <c r="CS78" i="51"/>
  <c r="AX22" i="55"/>
  <c r="DE138" i="51"/>
  <c r="BW31" i="55"/>
  <c r="CP32" i="53"/>
  <c r="BQ130" i="51"/>
  <c r="BW26" i="51"/>
  <c r="CI143" i="51"/>
  <c r="CU144" i="51"/>
  <c r="CD132" i="51"/>
  <c r="CU93" i="51"/>
  <c r="BY173" i="51"/>
  <c r="BQ14" i="55"/>
  <c r="CB66" i="51"/>
  <c r="BU23" i="53"/>
  <c r="CQ25" i="51"/>
  <c r="BC32" i="55"/>
  <c r="CZ164" i="51"/>
  <c r="BN49" i="53"/>
  <c r="BY48" i="55"/>
  <c r="CJ19" i="51"/>
  <c r="DH73" i="51"/>
  <c r="CT95" i="51"/>
  <c r="BE59" i="55"/>
  <c r="BV138" i="51"/>
  <c r="AZ30" i="53"/>
  <c r="DK142" i="51"/>
  <c r="CQ73" i="51"/>
  <c r="AV47" i="55"/>
  <c r="DK149" i="51"/>
  <c r="DB79" i="51"/>
  <c r="BT45" i="55"/>
  <c r="CU151" i="51"/>
  <c r="DM159" i="51"/>
  <c r="CB156" i="51"/>
  <c r="DA147" i="51"/>
  <c r="BM35" i="55"/>
  <c r="CN30" i="55"/>
  <c r="AZ46" i="55"/>
  <c r="CN14" i="55"/>
  <c r="BI31" i="53"/>
  <c r="DC82" i="51"/>
  <c r="CX141" i="51"/>
  <c r="AZ36" i="55"/>
  <c r="CO15" i="53"/>
  <c r="CI31" i="51"/>
  <c r="BV34" i="53"/>
  <c r="BL11" i="55"/>
  <c r="CY157" i="51"/>
  <c r="AU31" i="55"/>
  <c r="CP56" i="53"/>
  <c r="AY25" i="53"/>
  <c r="DH101" i="51"/>
  <c r="DG28" i="51"/>
  <c r="BW36" i="51"/>
  <c r="DB102" i="51"/>
  <c r="CS158" i="51"/>
  <c r="BJ35" i="55"/>
  <c r="CY156" i="51"/>
  <c r="AY31" i="53"/>
  <c r="CQ74" i="51"/>
  <c r="CN30" i="51"/>
  <c r="BL16" i="53"/>
  <c r="CR132" i="51"/>
  <c r="BM50" i="53"/>
  <c r="CX136" i="51"/>
  <c r="CY47" i="51"/>
  <c r="CT78" i="51"/>
  <c r="CX139" i="51"/>
  <c r="BX93" i="51"/>
  <c r="DF166" i="51"/>
  <c r="CD104" i="51"/>
  <c r="BZ25" i="53"/>
  <c r="AV44" i="55"/>
  <c r="AY17" i="53"/>
  <c r="CL25" i="53"/>
  <c r="CX77" i="51"/>
  <c r="CZ89" i="51"/>
  <c r="BN43" i="53"/>
  <c r="AY32" i="55"/>
  <c r="CT29" i="51"/>
  <c r="CC40" i="55"/>
  <c r="BI46" i="53"/>
  <c r="BI11" i="53"/>
  <c r="BZ43" i="55"/>
  <c r="CV165" i="51"/>
  <c r="CL145" i="51"/>
  <c r="CK39" i="55"/>
  <c r="CJ55" i="55"/>
  <c r="BA10" i="55"/>
  <c r="CG49" i="53"/>
  <c r="DK133" i="51"/>
  <c r="CG137" i="51"/>
  <c r="CH142" i="51"/>
  <c r="DG76" i="51"/>
  <c r="CZ28" i="51"/>
  <c r="BW116" i="51"/>
  <c r="BN34" i="55"/>
  <c r="BR158" i="51"/>
  <c r="CI48" i="55"/>
  <c r="DL130" i="51"/>
  <c r="AY53" i="55"/>
  <c r="BW22" i="51"/>
  <c r="BW159" i="51"/>
  <c r="BT73" i="51"/>
  <c r="BR37" i="55"/>
  <c r="BQ75" i="51"/>
  <c r="BN16" i="53"/>
  <c r="BT50" i="55"/>
  <c r="BH53" i="55"/>
  <c r="CL153" i="51"/>
  <c r="BP27" i="53"/>
  <c r="CH84" i="51"/>
  <c r="AT23" i="53"/>
  <c r="CU103" i="51"/>
  <c r="CJ144" i="51"/>
  <c r="CA56" i="55"/>
  <c r="DD132" i="51"/>
  <c r="BV16" i="55"/>
  <c r="DE30" i="51"/>
  <c r="AW19" i="53"/>
  <c r="CF46" i="51"/>
  <c r="CO42" i="53"/>
  <c r="CZ153" i="51"/>
  <c r="BW157" i="51"/>
  <c r="BG31" i="55"/>
  <c r="BO13" i="53"/>
  <c r="CE34" i="55"/>
  <c r="CL17" i="53"/>
  <c r="AT24" i="55"/>
  <c r="CX157" i="51"/>
  <c r="BB33" i="53"/>
  <c r="CS132" i="51"/>
  <c r="CL171" i="51"/>
  <c r="BO30" i="55"/>
  <c r="CL13" i="55"/>
  <c r="AZ38" i="53"/>
  <c r="CN14" i="53"/>
  <c r="DG163" i="51"/>
  <c r="BH12" i="53"/>
  <c r="BU48" i="55"/>
  <c r="AS25" i="53"/>
  <c r="AY26" i="53"/>
  <c r="DG39" i="51"/>
  <c r="CG173" i="51"/>
  <c r="BU30" i="53"/>
  <c r="BO44" i="53"/>
  <c r="BR19" i="53"/>
  <c r="CF176" i="51"/>
  <c r="CB42" i="55"/>
  <c r="CA49" i="55"/>
  <c r="CG10" i="53"/>
  <c r="CV137" i="51"/>
  <c r="BP44" i="55"/>
  <c r="BX141" i="51"/>
  <c r="BA19" i="55"/>
  <c r="CJ42" i="53"/>
  <c r="CD31" i="55"/>
  <c r="CP54" i="55"/>
  <c r="CY18" i="51"/>
  <c r="AU43" i="53"/>
  <c r="AY31" i="55"/>
  <c r="BV156" i="51"/>
  <c r="BU131" i="51"/>
  <c r="BZ13" i="53"/>
  <c r="DG155" i="51"/>
  <c r="CF45" i="51"/>
  <c r="CA44" i="53"/>
  <c r="BT54" i="53"/>
  <c r="BY13" i="53"/>
  <c r="BN24" i="55"/>
  <c r="BT41" i="53"/>
  <c r="DJ134" i="51"/>
  <c r="BW25" i="53"/>
  <c r="BK45" i="53"/>
  <c r="CY139" i="51"/>
  <c r="BR80" i="51"/>
  <c r="BK10" i="55"/>
  <c r="BY14" i="55"/>
  <c r="CL139" i="51"/>
  <c r="CH164" i="51"/>
  <c r="CL16" i="55"/>
  <c r="CY75" i="51"/>
  <c r="DB133" i="51"/>
  <c r="AW42" i="55"/>
  <c r="AU39" i="55"/>
  <c r="BQ46" i="53"/>
  <c r="BH31" i="55"/>
  <c r="AX39" i="53"/>
  <c r="BQ44" i="53"/>
  <c r="BG53" i="53"/>
  <c r="DG156" i="51"/>
  <c r="BE56" i="55"/>
  <c r="CT77" i="51"/>
  <c r="BN36" i="53"/>
  <c r="CE40" i="55"/>
  <c r="BX145" i="51"/>
  <c r="BE56" i="53"/>
  <c r="BU42" i="53"/>
  <c r="CD54" i="55"/>
  <c r="BX30" i="53"/>
  <c r="CF137" i="51"/>
  <c r="AW47" i="53"/>
  <c r="BI43" i="55"/>
  <c r="AS11" i="53"/>
  <c r="CG38" i="55"/>
  <c r="CS74" i="51"/>
  <c r="CO51" i="55"/>
  <c r="DH130" i="51"/>
  <c r="BV144" i="51"/>
  <c r="BT49" i="53"/>
  <c r="CD138" i="51"/>
  <c r="AZ14" i="53"/>
  <c r="CF19" i="53"/>
  <c r="DL75" i="51"/>
  <c r="BS36" i="55"/>
  <c r="CD31" i="53"/>
  <c r="AU47" i="55"/>
  <c r="DC133" i="51"/>
  <c r="CM141" i="51"/>
  <c r="BB31" i="53"/>
  <c r="CW48" i="51"/>
  <c r="CQ86" i="51"/>
  <c r="BX56" i="53"/>
  <c r="BS145" i="51"/>
  <c r="BR22" i="53"/>
  <c r="BV78" i="51"/>
  <c r="CQ59" i="51"/>
  <c r="CN146" i="51"/>
  <c r="BC43" i="55"/>
  <c r="CF31" i="53"/>
  <c r="BJ37" i="55"/>
  <c r="CI49" i="55"/>
  <c r="BS51" i="53"/>
  <c r="DG97" i="51"/>
  <c r="BU27" i="53"/>
  <c r="CK76" i="51"/>
  <c r="DI101" i="51"/>
  <c r="BP23" i="53"/>
  <c r="BS91" i="51"/>
  <c r="BQ90" i="51"/>
  <c r="CX81" i="51"/>
  <c r="CG57" i="53"/>
  <c r="CL90" i="51"/>
  <c r="CX18" i="51"/>
  <c r="CR32" i="51"/>
  <c r="CI22" i="51"/>
  <c r="CO163" i="51"/>
  <c r="CF82" i="51"/>
  <c r="BI45" i="53"/>
  <c r="CH58" i="55"/>
  <c r="BE10" i="55"/>
  <c r="CY174" i="51"/>
  <c r="CL36" i="51"/>
  <c r="DK156" i="51"/>
  <c r="BS87" i="51"/>
  <c r="CH27" i="53"/>
  <c r="CB128" i="51"/>
  <c r="BQ19" i="55"/>
  <c r="CD45" i="51"/>
  <c r="BQ11" i="53"/>
  <c r="BR33" i="51"/>
  <c r="DD28" i="51"/>
  <c r="BX22" i="55"/>
  <c r="BW39" i="55"/>
  <c r="BZ26" i="55"/>
  <c r="AV14" i="55"/>
  <c r="BN35" i="53"/>
  <c r="BA46" i="53"/>
  <c r="DC28" i="51"/>
  <c r="CU85" i="51"/>
  <c r="CD165" i="51"/>
  <c r="BQ143" i="51"/>
  <c r="CF77" i="51"/>
  <c r="BZ75" i="51"/>
  <c r="CN86" i="51"/>
  <c r="CC34" i="51"/>
  <c r="BE23" i="53"/>
  <c r="CH22" i="55"/>
  <c r="BR21" i="55"/>
  <c r="CH49" i="51"/>
  <c r="CD46" i="51"/>
  <c r="BY32" i="53"/>
  <c r="BJ58" i="55"/>
  <c r="BG38" i="55"/>
  <c r="BT55" i="53"/>
  <c r="BY26" i="51"/>
  <c r="AT11" i="55"/>
  <c r="AX27" i="53"/>
  <c r="BS17" i="55"/>
  <c r="CL39" i="55"/>
  <c r="CF47" i="51"/>
  <c r="BR100" i="51"/>
  <c r="BR43" i="53"/>
  <c r="BW53" i="53"/>
  <c r="CI42" i="51"/>
  <c r="CG42" i="51"/>
  <c r="AY16" i="55"/>
  <c r="BM48" i="53"/>
  <c r="BX139" i="51"/>
  <c r="BT75" i="51"/>
  <c r="AW17" i="53"/>
  <c r="AV22" i="55"/>
  <c r="CF58" i="53"/>
  <c r="CI149" i="51"/>
  <c r="CA157" i="51"/>
  <c r="CM148" i="51"/>
  <c r="CK44" i="53"/>
  <c r="DH133" i="51"/>
  <c r="AS29" i="53"/>
  <c r="CA33" i="51"/>
  <c r="BZ52" i="55"/>
  <c r="AV28" i="55"/>
  <c r="BP141" i="51"/>
  <c r="BU49" i="55"/>
  <c r="BL36" i="55"/>
  <c r="AU54" i="55"/>
  <c r="DI128" i="51"/>
  <c r="BY54" i="55"/>
  <c r="CG49" i="51"/>
  <c r="DM41" i="51"/>
  <c r="CO20" i="51"/>
  <c r="CH176" i="51"/>
  <c r="BZ34" i="53"/>
  <c r="BY24" i="51"/>
  <c r="BS76" i="51"/>
  <c r="BC17" i="53"/>
  <c r="BN55" i="55"/>
  <c r="AZ55" i="53"/>
  <c r="CQ99" i="51"/>
  <c r="CT129" i="51"/>
  <c r="CL157" i="51"/>
  <c r="CH45" i="53"/>
  <c r="CW78" i="51"/>
  <c r="DF30" i="51"/>
  <c r="BR84" i="51"/>
  <c r="CM75" i="51"/>
  <c r="DM135" i="51"/>
  <c r="CD18" i="51"/>
  <c r="CP47" i="51"/>
  <c r="CJ80" i="51"/>
  <c r="CY34" i="51"/>
  <c r="CY44" i="51"/>
  <c r="DC173" i="51"/>
  <c r="BC15" i="53"/>
  <c r="BE13" i="55"/>
  <c r="BO45" i="55"/>
  <c r="BW24" i="53"/>
  <c r="BT48" i="55"/>
  <c r="BE13" i="53"/>
  <c r="CK38" i="53"/>
  <c r="BU34" i="55"/>
  <c r="CO48" i="51"/>
  <c r="BB13" i="53"/>
  <c r="CN160" i="51"/>
  <c r="BX29" i="53"/>
  <c r="CH140" i="51"/>
  <c r="BK38" i="55"/>
  <c r="BF40" i="55"/>
  <c r="CA42" i="55"/>
  <c r="CB155" i="51"/>
  <c r="CW159" i="51"/>
  <c r="CL44" i="53"/>
  <c r="CV171" i="51"/>
  <c r="BT38" i="53"/>
  <c r="CF13" i="55"/>
  <c r="AT36" i="55"/>
  <c r="BD10" i="53"/>
  <c r="CO67" i="51"/>
  <c r="CK47" i="55"/>
  <c r="DF152" i="51"/>
  <c r="DF129" i="51"/>
  <c r="BV20" i="55"/>
  <c r="AW24" i="53"/>
  <c r="BH50" i="53"/>
  <c r="BT90" i="51"/>
  <c r="CL141" i="51"/>
  <c r="BP21" i="51"/>
  <c r="CX173" i="51"/>
  <c r="CC155" i="51"/>
  <c r="DJ155" i="51"/>
  <c r="BQ58" i="53"/>
  <c r="BW14" i="55"/>
  <c r="CX74" i="51"/>
  <c r="CV20" i="51"/>
  <c r="BW55" i="53"/>
  <c r="CG26" i="51"/>
  <c r="AW52" i="55"/>
  <c r="CI12" i="53"/>
  <c r="CE47" i="53"/>
  <c r="BV77" i="51"/>
  <c r="CD75" i="51"/>
  <c r="BV48" i="55"/>
  <c r="CL17" i="55"/>
  <c r="CG156" i="51"/>
  <c r="CD173" i="51"/>
  <c r="CL31" i="51"/>
  <c r="DC27" i="51"/>
  <c r="AY56" i="53"/>
  <c r="CR143" i="51"/>
  <c r="BF19" i="55"/>
  <c r="BV28" i="53"/>
  <c r="AX49" i="53"/>
  <c r="DF132" i="51"/>
  <c r="BB45" i="53"/>
  <c r="DM133" i="51"/>
  <c r="BK41" i="55"/>
  <c r="CF132" i="51"/>
  <c r="BK54" i="55"/>
  <c r="DD76" i="51"/>
  <c r="DE24" i="51"/>
  <c r="DC46" i="51"/>
  <c r="BB43" i="53"/>
  <c r="BC26" i="53"/>
  <c r="CO50" i="55"/>
  <c r="BO49" i="53"/>
  <c r="CK17" i="55"/>
  <c r="CI32" i="55"/>
  <c r="CM14" i="53"/>
  <c r="BT16" i="53"/>
  <c r="BE29" i="55"/>
  <c r="BW57" i="53"/>
  <c r="BX16" i="53"/>
  <c r="DK162" i="51"/>
  <c r="BS55" i="53"/>
  <c r="BS44" i="53"/>
  <c r="BC16" i="55"/>
  <c r="CA52" i="53"/>
  <c r="BY47" i="51"/>
  <c r="CN41" i="55"/>
  <c r="CC11" i="55"/>
  <c r="BU26" i="53"/>
  <c r="BO42" i="55"/>
  <c r="CN12" i="55"/>
  <c r="BK21" i="53"/>
  <c r="BR26" i="53"/>
  <c r="BN28" i="53"/>
  <c r="AU33" i="53"/>
  <c r="CW148" i="51"/>
  <c r="BQ38" i="53"/>
  <c r="BQ37" i="55"/>
  <c r="BV44" i="51"/>
  <c r="CQ53" i="55"/>
  <c r="CH34" i="53"/>
  <c r="AX44" i="55"/>
  <c r="BY14" i="53"/>
  <c r="BB49" i="55"/>
  <c r="CP33" i="53"/>
  <c r="BP166" i="51"/>
  <c r="CS135" i="51"/>
  <c r="CA87" i="51"/>
  <c r="BT27" i="55"/>
  <c r="BD39" i="53"/>
  <c r="BA49" i="53"/>
  <c r="CM18" i="51"/>
  <c r="BJ18" i="55"/>
  <c r="DB77" i="51"/>
  <c r="BI57" i="53"/>
  <c r="DM64" i="51"/>
  <c r="CC148" i="51"/>
  <c r="AX48" i="55"/>
  <c r="BG49" i="55"/>
  <c r="AX25" i="53"/>
  <c r="CA56" i="53"/>
  <c r="CP23" i="55"/>
  <c r="BR98" i="51"/>
  <c r="BL31" i="53"/>
  <c r="CW25" i="51"/>
  <c r="CB90" i="51"/>
  <c r="BX152" i="51"/>
  <c r="BT10" i="55"/>
  <c r="BI40" i="55"/>
  <c r="BU10" i="53"/>
  <c r="CH30" i="51"/>
  <c r="DF73" i="51"/>
  <c r="CL14" i="53"/>
  <c r="AT57" i="53"/>
  <c r="DG149" i="51"/>
  <c r="BS99" i="51"/>
  <c r="CZ58" i="51"/>
  <c r="BR20" i="55"/>
  <c r="CW97" i="51"/>
  <c r="BH27" i="53"/>
  <c r="DF49" i="51"/>
  <c r="BQ129" i="51"/>
  <c r="DE173" i="51"/>
  <c r="AY57" i="55"/>
  <c r="CR49" i="51"/>
  <c r="BP174" i="51"/>
  <c r="DG42" i="51"/>
  <c r="CI16" i="53"/>
  <c r="DI141" i="51"/>
  <c r="BS36" i="51"/>
  <c r="CD57" i="55"/>
  <c r="BQ56" i="53"/>
  <c r="DJ90" i="51"/>
  <c r="CL104" i="51"/>
  <c r="DI137" i="51"/>
  <c r="CD11" i="55"/>
  <c r="DJ80" i="51"/>
  <c r="CO54" i="55"/>
  <c r="DM40" i="51"/>
  <c r="BQ33" i="51"/>
  <c r="DA30" i="51"/>
  <c r="DJ102" i="51"/>
  <c r="AY11" i="53"/>
  <c r="CJ35" i="51"/>
  <c r="DK80" i="51"/>
  <c r="BX92" i="51"/>
  <c r="CL75" i="51"/>
  <c r="BS27" i="51"/>
  <c r="BS134" i="51"/>
  <c r="CQ172" i="51"/>
  <c r="CR41" i="51"/>
  <c r="CH143" i="51"/>
  <c r="DB140" i="51"/>
  <c r="BN41" i="55"/>
  <c r="BS40" i="55"/>
  <c r="AS13" i="53"/>
  <c r="CL50" i="55"/>
  <c r="CL143" i="51"/>
  <c r="AX46" i="53"/>
  <c r="DI63" i="51"/>
  <c r="BP10" i="55"/>
  <c r="BR32" i="55"/>
  <c r="BI27" i="55"/>
  <c r="DL41" i="51"/>
  <c r="BW84" i="51"/>
  <c r="BF23" i="53"/>
  <c r="BL41" i="55"/>
  <c r="BK25" i="55"/>
  <c r="CW160" i="51"/>
  <c r="BJ35" i="53"/>
  <c r="CN145" i="51"/>
  <c r="AU15" i="53"/>
  <c r="CV129" i="51"/>
  <c r="BD31" i="55"/>
  <c r="DM57" i="51"/>
  <c r="CN27" i="53"/>
  <c r="CF53" i="53"/>
  <c r="CG88" i="51"/>
  <c r="BW33" i="55"/>
  <c r="AU44" i="55"/>
  <c r="CQ15" i="55"/>
  <c r="AZ44" i="55"/>
  <c r="CF32" i="55"/>
  <c r="BC35" i="55"/>
  <c r="CK38" i="55"/>
  <c r="CJ36" i="51"/>
  <c r="CC14" i="55"/>
  <c r="CA140" i="51"/>
  <c r="CC21" i="53"/>
  <c r="CO131" i="51"/>
  <c r="CV66" i="51"/>
  <c r="DM67" i="51"/>
  <c r="BY83" i="51"/>
  <c r="CJ39" i="51"/>
  <c r="AW59" i="55"/>
  <c r="CC161" i="51"/>
  <c r="DF80" i="51"/>
  <c r="BL45" i="53"/>
  <c r="DM84" i="51"/>
  <c r="BC42" i="55"/>
  <c r="CL96" i="51"/>
  <c r="BA17" i="55"/>
  <c r="BK54" i="53"/>
  <c r="BE46" i="53"/>
  <c r="CB73" i="51"/>
  <c r="CW74" i="51"/>
  <c r="BS24" i="53"/>
  <c r="BD57" i="53"/>
  <c r="CH153" i="51"/>
  <c r="CH136" i="51"/>
  <c r="CH57" i="55"/>
  <c r="CB135" i="51"/>
  <c r="CI28" i="51"/>
  <c r="CC93" i="51"/>
  <c r="CI162" i="51"/>
  <c r="CL32" i="53"/>
  <c r="CI27" i="51"/>
  <c r="CA16" i="53"/>
  <c r="CN58" i="55"/>
  <c r="CG169" i="51"/>
  <c r="DB40" i="51"/>
  <c r="CD48" i="53"/>
  <c r="CV149" i="51"/>
  <c r="CQ24" i="51"/>
  <c r="AX24" i="55"/>
  <c r="AS41" i="53"/>
  <c r="BW15" i="55"/>
  <c r="CA51" i="53"/>
  <c r="AV21" i="55"/>
  <c r="BV23" i="53"/>
  <c r="BW132" i="51"/>
  <c r="BU130" i="51"/>
  <c r="CI128" i="51"/>
  <c r="CQ173" i="51"/>
  <c r="BG56" i="55"/>
  <c r="BX48" i="55"/>
  <c r="BB34" i="53"/>
  <c r="BH59" i="55"/>
  <c r="AW25" i="53"/>
  <c r="BH32" i="53"/>
  <c r="CM154" i="51"/>
  <c r="DF139" i="51"/>
  <c r="BW37" i="53"/>
  <c r="CP25" i="51"/>
  <c r="BK53" i="55"/>
  <c r="CV81" i="51"/>
  <c r="BD23" i="53"/>
  <c r="CE27" i="51"/>
  <c r="BW22" i="53"/>
  <c r="CO148" i="51"/>
  <c r="BG30" i="55"/>
  <c r="CT155" i="51"/>
  <c r="BS162" i="51"/>
  <c r="CO14" i="53"/>
  <c r="BO56" i="55"/>
  <c r="AS57" i="53"/>
  <c r="CJ134" i="51"/>
  <c r="DB35" i="51"/>
  <c r="AW44" i="53"/>
  <c r="CA55" i="55"/>
  <c r="BL35" i="55"/>
  <c r="CH30" i="53"/>
  <c r="BI45" i="55"/>
  <c r="CB35" i="53"/>
  <c r="CK39" i="51"/>
  <c r="DM157" i="51"/>
  <c r="CB13" i="53"/>
  <c r="BP30" i="53"/>
  <c r="BM37" i="55"/>
  <c r="CM153" i="51"/>
  <c r="CI41" i="55"/>
  <c r="BN48" i="53"/>
  <c r="CV82" i="51"/>
  <c r="CJ52" i="53"/>
  <c r="DF47" i="51"/>
  <c r="CQ11" i="55"/>
  <c r="DB156" i="51"/>
  <c r="CN37" i="53"/>
  <c r="DE78" i="51"/>
  <c r="DM128" i="51"/>
  <c r="BR26" i="55"/>
  <c r="AU14" i="55"/>
  <c r="CA25" i="53"/>
  <c r="CA38" i="53"/>
  <c r="CO35" i="53"/>
  <c r="AT14" i="53"/>
  <c r="CN39" i="55"/>
  <c r="AU47" i="53"/>
  <c r="BT82" i="51"/>
  <c r="BR163" i="51"/>
  <c r="CF10" i="55"/>
  <c r="BW23" i="55"/>
  <c r="BU45" i="53"/>
  <c r="BJ21" i="55"/>
  <c r="CO33" i="55"/>
  <c r="BB17" i="53"/>
  <c r="DG139" i="51"/>
  <c r="CL22" i="53"/>
  <c r="AU11" i="53"/>
  <c r="BB22" i="53"/>
  <c r="CI132" i="51"/>
  <c r="CK55" i="53"/>
  <c r="BT27" i="53"/>
  <c r="CO46" i="53"/>
  <c r="BV154" i="51"/>
  <c r="CO55" i="55"/>
  <c r="BS12" i="53"/>
  <c r="AX52" i="55"/>
  <c r="CD129" i="51"/>
  <c r="DI77" i="51"/>
  <c r="BZ47" i="53"/>
  <c r="BO40" i="55"/>
  <c r="CN131" i="51"/>
  <c r="BD56" i="53"/>
  <c r="BR130" i="51"/>
  <c r="CO129" i="51"/>
  <c r="CD10" i="53"/>
  <c r="BG43" i="55"/>
  <c r="AX23" i="55"/>
  <c r="CK14" i="53"/>
  <c r="CU76" i="51"/>
  <c r="BZ129" i="51"/>
  <c r="CI33" i="53"/>
  <c r="BM58" i="53"/>
  <c r="CH43" i="55"/>
  <c r="CJ132" i="51"/>
  <c r="BF29" i="53"/>
  <c r="DM164" i="51"/>
  <c r="CN45" i="53"/>
  <c r="DL82" i="51"/>
  <c r="BR24" i="53"/>
  <c r="CH53" i="53"/>
  <c r="CU29" i="51"/>
  <c r="DK165" i="51"/>
  <c r="CI34" i="51"/>
  <c r="CK149" i="51"/>
  <c r="CR80" i="51"/>
  <c r="BY23" i="55"/>
  <c r="CY43" i="51"/>
  <c r="BX11" i="53"/>
  <c r="AZ43" i="53"/>
  <c r="CF47" i="55"/>
  <c r="BT132" i="51"/>
  <c r="BW29" i="55"/>
  <c r="BL15" i="55"/>
  <c r="CO21" i="51"/>
  <c r="CM151" i="51"/>
  <c r="DB144" i="51"/>
  <c r="CQ30" i="51"/>
  <c r="CY96" i="51"/>
  <c r="CE160" i="51"/>
  <c r="CA34" i="51"/>
  <c r="BT149" i="51"/>
  <c r="DF38" i="51"/>
  <c r="BJ30" i="55"/>
  <c r="DI94" i="51"/>
  <c r="BS21" i="55"/>
  <c r="CX175" i="51"/>
  <c r="CF49" i="53"/>
  <c r="BY155" i="51"/>
  <c r="BX15" i="55"/>
  <c r="BN26" i="53"/>
  <c r="DD158" i="51"/>
  <c r="DI145" i="51"/>
  <c r="DI136" i="51"/>
  <c r="DG132" i="51"/>
  <c r="CJ140" i="51"/>
  <c r="DA158" i="51"/>
  <c r="CM52" i="53"/>
  <c r="DC134" i="51"/>
  <c r="BT140" i="51"/>
  <c r="BY134" i="51"/>
  <c r="BA15" i="55"/>
  <c r="BW53" i="55"/>
  <c r="BN37" i="55"/>
  <c r="BO29" i="53"/>
  <c r="BL32" i="55"/>
  <c r="CI59" i="55"/>
  <c r="CA88" i="51"/>
  <c r="BI48" i="55"/>
  <c r="DA53" i="51"/>
  <c r="DM148" i="51"/>
  <c r="DE38" i="51"/>
  <c r="CA27" i="51"/>
  <c r="CX165" i="51"/>
  <c r="BA52" i="55"/>
  <c r="DF18" i="51"/>
  <c r="BC10" i="53"/>
  <c r="BX29" i="55"/>
  <c r="DB22" i="51"/>
  <c r="DJ152" i="51"/>
  <c r="CA77" i="51"/>
  <c r="CG52" i="55"/>
  <c r="BS56" i="53"/>
  <c r="AS56" i="53"/>
  <c r="CH43" i="53"/>
  <c r="BU29" i="53"/>
  <c r="CG31" i="53"/>
  <c r="AT35" i="53"/>
  <c r="CS131" i="51"/>
  <c r="CU131" i="51"/>
  <c r="BY20" i="53"/>
  <c r="BX96" i="51"/>
  <c r="AY32" i="53"/>
  <c r="CD29" i="53"/>
  <c r="DL43" i="51"/>
  <c r="CP42" i="53"/>
  <c r="BU144" i="51"/>
  <c r="CY135" i="51"/>
  <c r="BR20" i="53"/>
  <c r="BU28" i="53"/>
  <c r="BM19" i="53"/>
  <c r="CK32" i="53"/>
  <c r="CG36" i="53"/>
  <c r="CL18" i="51"/>
  <c r="BY156" i="51"/>
  <c r="CR52" i="51"/>
  <c r="BZ36" i="53"/>
  <c r="BK16" i="53"/>
  <c r="BD20" i="55"/>
  <c r="CK46" i="55"/>
  <c r="CF48" i="51"/>
  <c r="CO93" i="51"/>
  <c r="DG131" i="51"/>
  <c r="CB165" i="51"/>
  <c r="DD177" i="51"/>
  <c r="BS31" i="51"/>
  <c r="BF33" i="55"/>
  <c r="AX35" i="55"/>
  <c r="CD27" i="53"/>
  <c r="CF51" i="55"/>
  <c r="CA40" i="55"/>
  <c r="BG14" i="53"/>
  <c r="CK94" i="51"/>
  <c r="DK140" i="51"/>
  <c r="CB26" i="51"/>
  <c r="AT37" i="55"/>
  <c r="BQ102" i="51"/>
  <c r="CU143" i="51"/>
  <c r="BU47" i="55"/>
  <c r="BS174" i="51"/>
  <c r="BU24" i="53"/>
  <c r="DH42" i="51"/>
  <c r="DH177" i="51"/>
  <c r="BS11" i="55"/>
  <c r="BE20" i="55"/>
  <c r="CC52" i="55"/>
  <c r="DA108" i="51"/>
  <c r="BF25" i="53"/>
  <c r="BI16" i="53"/>
  <c r="BT145" i="51"/>
  <c r="BS58" i="53"/>
  <c r="BM11" i="55"/>
  <c r="BA21" i="55"/>
  <c r="BZ41" i="53"/>
  <c r="BI42" i="53"/>
  <c r="BK40" i="53"/>
  <c r="CJ54" i="53"/>
  <c r="CO52" i="53"/>
  <c r="DJ86" i="51"/>
  <c r="AW12" i="53"/>
  <c r="DH77" i="51"/>
  <c r="BX22" i="51"/>
  <c r="CC48" i="53"/>
  <c r="CU132" i="51"/>
  <c r="BQ167" i="51"/>
  <c r="BE11" i="53"/>
  <c r="BB18" i="55"/>
  <c r="CA47" i="53"/>
  <c r="CU150" i="51"/>
  <c r="DB29" i="51"/>
  <c r="BG23" i="53"/>
  <c r="BD48" i="55"/>
  <c r="DG141" i="51"/>
  <c r="AU51" i="55"/>
  <c r="CA35" i="53"/>
  <c r="DI135" i="51"/>
  <c r="AV43" i="55"/>
  <c r="CC98" i="51"/>
  <c r="BA29" i="55"/>
  <c r="CP57" i="53"/>
  <c r="CI129" i="51"/>
  <c r="CG52" i="53"/>
  <c r="BQ159" i="51"/>
  <c r="CI151" i="51"/>
  <c r="CD131" i="51"/>
  <c r="CI43" i="55"/>
  <c r="BW151" i="51"/>
  <c r="CC132" i="51"/>
  <c r="AY30" i="53"/>
  <c r="BR28" i="53"/>
  <c r="AS52" i="53"/>
  <c r="CM48" i="53"/>
  <c r="CP78" i="51"/>
  <c r="BZ46" i="55"/>
  <c r="CN31" i="53"/>
  <c r="AV16" i="53"/>
  <c r="CH11" i="53"/>
  <c r="BU162" i="51"/>
  <c r="BT18" i="55"/>
  <c r="CC19" i="55"/>
  <c r="BX27" i="53"/>
  <c r="CJ40" i="51"/>
  <c r="CJ152" i="51"/>
  <c r="CD47" i="55"/>
  <c r="BZ23" i="53"/>
  <c r="CQ49" i="51"/>
  <c r="CE20" i="53"/>
  <c r="CG145" i="51"/>
  <c r="CQ154" i="51"/>
  <c r="AX31" i="53"/>
  <c r="DJ101" i="51"/>
  <c r="CP11" i="53"/>
  <c r="BO35" i="53"/>
  <c r="DI41" i="51"/>
  <c r="BL41" i="53"/>
  <c r="DF151" i="51"/>
  <c r="CK46" i="51"/>
  <c r="CP40" i="53"/>
  <c r="BR30" i="53"/>
  <c r="CN28" i="53"/>
  <c r="BV30" i="55"/>
  <c r="BA36" i="53"/>
  <c r="CR141" i="51"/>
  <c r="CF54" i="55"/>
  <c r="BS39" i="55"/>
  <c r="BE47" i="53"/>
  <c r="BA14" i="55"/>
  <c r="AV59" i="53"/>
  <c r="DE157" i="51"/>
  <c r="BO23" i="55"/>
  <c r="BW38" i="51"/>
  <c r="BV38" i="53"/>
  <c r="CI75" i="51"/>
  <c r="BV32" i="53"/>
  <c r="CF91" i="51"/>
  <c r="BD30" i="55"/>
  <c r="BJ39" i="53"/>
  <c r="CE25" i="53"/>
  <c r="BP129" i="51"/>
  <c r="BW131" i="51"/>
  <c r="CY148" i="51"/>
  <c r="BC27" i="55"/>
  <c r="BY39" i="51"/>
  <c r="BR52" i="55"/>
  <c r="BM42" i="53"/>
  <c r="CT43" i="51"/>
  <c r="BE38" i="55"/>
  <c r="AX20" i="53"/>
  <c r="AY36" i="55"/>
  <c r="BI49" i="55"/>
  <c r="BX156" i="51"/>
  <c r="BY56" i="53"/>
  <c r="CE17" i="53"/>
  <c r="BM22" i="55"/>
  <c r="CN49" i="55"/>
  <c r="CN142" i="51"/>
  <c r="BB44" i="53"/>
  <c r="CN48" i="53"/>
  <c r="CB54" i="53"/>
  <c r="CC17" i="55"/>
  <c r="DI97" i="51"/>
  <c r="CQ153" i="51"/>
  <c r="DI30" i="51"/>
  <c r="DC43" i="51"/>
  <c r="DG146" i="51"/>
  <c r="CC92" i="51"/>
  <c r="BQ160" i="51"/>
  <c r="CU158" i="51"/>
  <c r="DF31" i="51"/>
  <c r="BW21" i="51"/>
  <c r="BV98" i="51"/>
  <c r="DE31" i="51"/>
  <c r="BS13" i="53"/>
  <c r="CX48" i="51"/>
  <c r="CS31" i="51"/>
  <c r="CU77" i="51"/>
  <c r="CF80" i="51"/>
  <c r="CU168" i="51"/>
  <c r="CI171" i="51"/>
  <c r="DB154" i="51"/>
  <c r="CI30" i="53"/>
  <c r="DD163" i="51"/>
  <c r="DD137" i="51"/>
  <c r="DB39" i="51"/>
  <c r="CI152" i="51"/>
  <c r="CN140" i="51"/>
  <c r="BU134" i="51"/>
  <c r="BN14" i="53"/>
  <c r="BJ55" i="53"/>
  <c r="CA40" i="53"/>
  <c r="CG103" i="51"/>
  <c r="CI48" i="53"/>
  <c r="BQ100" i="51"/>
  <c r="BS25" i="53"/>
  <c r="DG67" i="51"/>
  <c r="BE12" i="53"/>
  <c r="CK52" i="53"/>
  <c r="BU12" i="53"/>
  <c r="CG157" i="51"/>
  <c r="DL153" i="51"/>
  <c r="BB39" i="53"/>
  <c r="BA27" i="53"/>
  <c r="AS39" i="53"/>
  <c r="CX78" i="51"/>
  <c r="AU46" i="53"/>
  <c r="BX173" i="51"/>
  <c r="CY46" i="51"/>
  <c r="CS79" i="51"/>
  <c r="BN16" i="55"/>
  <c r="BY167" i="51"/>
  <c r="BC43" i="53"/>
  <c r="CT40" i="51"/>
  <c r="CA154" i="51"/>
  <c r="BH30" i="53"/>
  <c r="BY34" i="55"/>
  <c r="CH147" i="51"/>
  <c r="BP20" i="51"/>
  <c r="DI104" i="51"/>
  <c r="BL52" i="53"/>
  <c r="CR84" i="51"/>
  <c r="CC17" i="53"/>
  <c r="BZ35" i="55"/>
  <c r="CP26" i="51"/>
  <c r="CV84" i="51"/>
  <c r="BZ154" i="51"/>
  <c r="CJ15" i="55"/>
  <c r="BH43" i="55"/>
  <c r="BV55" i="53"/>
  <c r="CY153" i="51"/>
  <c r="BZ48" i="53"/>
  <c r="DK141" i="51"/>
  <c r="CB36" i="53"/>
  <c r="CL43" i="55"/>
  <c r="CE32" i="55"/>
  <c r="CM74" i="51"/>
  <c r="CT75" i="51"/>
  <c r="DE99" i="51"/>
  <c r="BB33" i="55"/>
  <c r="BO48" i="55"/>
  <c r="BM50" i="55"/>
  <c r="CG158" i="51"/>
  <c r="BT20" i="51"/>
  <c r="BG19" i="55"/>
  <c r="BX26" i="55"/>
  <c r="CK152" i="51"/>
  <c r="BJ14" i="53"/>
  <c r="CK54" i="55"/>
  <c r="CE54" i="55"/>
  <c r="CF141" i="51"/>
  <c r="CE15" i="55"/>
  <c r="AY28" i="55"/>
  <c r="CC45" i="51"/>
  <c r="CR43" i="51"/>
  <c r="BR46" i="55"/>
  <c r="BT33" i="53"/>
  <c r="BY18" i="51"/>
  <c r="CE44" i="53"/>
  <c r="AS33" i="53"/>
  <c r="CI122" i="51"/>
  <c r="CE24" i="51"/>
  <c r="AT14" i="55"/>
  <c r="BV174" i="51"/>
  <c r="AW47" i="55"/>
  <c r="CD15" i="53"/>
  <c r="CJ135" i="51"/>
  <c r="BL26" i="53"/>
  <c r="BP18" i="53"/>
  <c r="CB53" i="55"/>
  <c r="BS103" i="51"/>
  <c r="AT58" i="55"/>
  <c r="CI142" i="51"/>
  <c r="CI45" i="51"/>
  <c r="CN56" i="53"/>
  <c r="BU40" i="51"/>
  <c r="CT141" i="51"/>
  <c r="DB98" i="51"/>
  <c r="BF31" i="55"/>
  <c r="BG33" i="55"/>
  <c r="BC49" i="53"/>
  <c r="BF47" i="55"/>
  <c r="BS29" i="53"/>
  <c r="BE34" i="53"/>
  <c r="BT47" i="53"/>
  <c r="BR28" i="55"/>
  <c r="BD14" i="53"/>
  <c r="DF36" i="51"/>
  <c r="CV83" i="51"/>
  <c r="BR78" i="51"/>
  <c r="CS49" i="51"/>
  <c r="BO31" i="53"/>
  <c r="BX38" i="55"/>
  <c r="CY138" i="51"/>
  <c r="CQ44" i="55"/>
  <c r="AX41" i="55"/>
  <c r="CG146" i="51"/>
  <c r="DF142" i="51"/>
  <c r="DK150" i="51"/>
  <c r="AW31" i="55"/>
  <c r="CP159" i="51"/>
  <c r="CC11" i="53"/>
  <c r="BQ45" i="55"/>
  <c r="BQ15" i="53"/>
  <c r="DK167" i="51"/>
  <c r="BT46" i="51"/>
  <c r="CJ11" i="53"/>
  <c r="AY50" i="53"/>
  <c r="CS99" i="51"/>
  <c r="BB43" i="55"/>
  <c r="BQ39" i="53"/>
  <c r="BE57" i="55"/>
  <c r="CM10" i="53"/>
  <c r="BQ132" i="51"/>
  <c r="DG24" i="51"/>
  <c r="DD166" i="51"/>
  <c r="CJ81" i="51"/>
  <c r="BL20" i="53"/>
  <c r="BE17" i="53"/>
  <c r="CN50" i="55"/>
  <c r="BM30" i="53"/>
  <c r="DC103" i="51"/>
  <c r="CL135" i="51"/>
  <c r="BM52" i="53"/>
  <c r="CM39" i="55"/>
  <c r="BT38" i="55"/>
  <c r="CM35" i="55"/>
  <c r="BL27" i="53"/>
  <c r="CM54" i="53"/>
  <c r="BF16" i="55"/>
  <c r="BC40" i="53"/>
  <c r="CP13" i="53"/>
  <c r="AZ51" i="55"/>
  <c r="CO47" i="55"/>
  <c r="BB16" i="53"/>
  <c r="BK51" i="55"/>
  <c r="DG48" i="51"/>
  <c r="DC174" i="51"/>
  <c r="AY25" i="55"/>
  <c r="AY51" i="55"/>
  <c r="CP18" i="55"/>
  <c r="CP46" i="55"/>
  <c r="CN58" i="53"/>
  <c r="CH156" i="51"/>
  <c r="CC39" i="53"/>
  <c r="BV27" i="55"/>
  <c r="BA18" i="55"/>
  <c r="BN50" i="55"/>
  <c r="BX15" i="53"/>
  <c r="BL18" i="53"/>
  <c r="BR47" i="53"/>
  <c r="AX40" i="55"/>
  <c r="CP17" i="53"/>
  <c r="BM35" i="53"/>
  <c r="AW20" i="55"/>
  <c r="BV18" i="51"/>
  <c r="CL23" i="55"/>
  <c r="AS24" i="53"/>
  <c r="BQ94" i="51"/>
  <c r="BG55" i="55"/>
  <c r="CO133" i="51"/>
  <c r="CS129" i="51"/>
  <c r="BV48" i="53"/>
  <c r="BV19" i="51"/>
  <c r="BU16" i="53"/>
  <c r="CT169" i="51"/>
  <c r="BV47" i="55"/>
  <c r="BP36" i="55"/>
  <c r="DM46" i="51"/>
  <c r="DL128" i="51"/>
  <c r="CO57" i="53"/>
  <c r="CF78" i="51"/>
  <c r="CI55" i="55"/>
  <c r="BP26" i="53"/>
  <c r="BG46" i="53"/>
  <c r="BA37" i="55"/>
  <c r="DM31" i="51"/>
  <c r="BP13" i="53"/>
  <c r="CC35" i="53"/>
  <c r="BU11" i="53"/>
  <c r="CN18" i="53"/>
  <c r="CO40" i="55"/>
  <c r="CA147" i="51"/>
  <c r="DB172" i="51"/>
  <c r="BB57" i="53"/>
  <c r="AW45" i="55"/>
  <c r="BU153" i="51"/>
  <c r="BD27" i="55"/>
  <c r="BW15" i="53"/>
  <c r="DG89" i="51"/>
  <c r="BT26" i="51"/>
  <c r="BZ29" i="51"/>
  <c r="CK14" i="55"/>
  <c r="BX74" i="51"/>
  <c r="BO56" i="53"/>
  <c r="CH10" i="55"/>
  <c r="BS18" i="55"/>
  <c r="CP18" i="51"/>
  <c r="CC149" i="51"/>
  <c r="CP39" i="53"/>
  <c r="BB27" i="53"/>
  <c r="CF38" i="55"/>
  <c r="DB28" i="51"/>
  <c r="CN99" i="51"/>
  <c r="CH52" i="55"/>
  <c r="CT167" i="51"/>
  <c r="BP49" i="51"/>
  <c r="CY20" i="51"/>
  <c r="CU79" i="51"/>
  <c r="BQ136" i="51"/>
  <c r="BV120" i="51"/>
  <c r="DM36" i="51"/>
  <c r="BI15" i="55"/>
  <c r="CF150" i="51"/>
  <c r="DK24" i="51"/>
  <c r="CJ49" i="51"/>
  <c r="CC47" i="53"/>
  <c r="CN34" i="53"/>
  <c r="DA34" i="51"/>
  <c r="BY27" i="55"/>
  <c r="DK143" i="51"/>
  <c r="BT42" i="55"/>
  <c r="CF55" i="53"/>
  <c r="AW22" i="55"/>
  <c r="CN26" i="51"/>
  <c r="CE33" i="53"/>
  <c r="BX32" i="51"/>
  <c r="DM170" i="51"/>
  <c r="BR16" i="55"/>
  <c r="CE147" i="51"/>
  <c r="BP58" i="53"/>
  <c r="CK43" i="53"/>
  <c r="BR133" i="51"/>
  <c r="CP31" i="55"/>
  <c r="BM38" i="53"/>
  <c r="BX26" i="53"/>
  <c r="BT102" i="51"/>
  <c r="CU89" i="51"/>
  <c r="CU142" i="51"/>
  <c r="AY15" i="53"/>
  <c r="CE81" i="51"/>
  <c r="BP134" i="51"/>
  <c r="BD54" i="55"/>
  <c r="BZ50" i="53"/>
  <c r="CA54" i="53"/>
  <c r="BT24" i="51"/>
  <c r="AT52" i="53"/>
  <c r="CP52" i="53"/>
  <c r="AX28" i="55"/>
  <c r="BG32" i="55"/>
  <c r="CD22" i="53"/>
  <c r="AX34" i="55"/>
  <c r="CG21" i="55"/>
  <c r="CI161" i="51"/>
  <c r="AZ17" i="53"/>
  <c r="BX19" i="53"/>
  <c r="CQ37" i="55"/>
  <c r="CI141" i="51"/>
  <c r="BI22" i="53"/>
  <c r="CK132" i="51"/>
  <c r="CF48" i="55"/>
  <c r="BB19" i="53"/>
  <c r="CJ30" i="55"/>
  <c r="CF37" i="55"/>
  <c r="BW43" i="55"/>
  <c r="AW32" i="55"/>
  <c r="CG34" i="51"/>
  <c r="BN10" i="55"/>
  <c r="BW13" i="55"/>
  <c r="CX144" i="51"/>
  <c r="CO31" i="53"/>
  <c r="CP36" i="53"/>
  <c r="CN31" i="51"/>
  <c r="BV56" i="55"/>
  <c r="BI47" i="53"/>
  <c r="BV13" i="55"/>
  <c r="BL30" i="53"/>
  <c r="DM101" i="51"/>
  <c r="CG31" i="51"/>
  <c r="DM129" i="51"/>
  <c r="CD85" i="51"/>
  <c r="CZ64" i="51"/>
  <c r="CR21" i="51"/>
  <c r="CD19" i="51"/>
  <c r="CD21" i="51"/>
  <c r="CM133" i="51"/>
  <c r="CN102" i="51"/>
  <c r="CV97" i="51"/>
  <c r="CM11" i="53"/>
  <c r="AV41" i="55"/>
  <c r="CM40" i="55"/>
  <c r="CN36" i="53"/>
  <c r="AT47" i="55"/>
  <c r="CY42" i="51"/>
  <c r="BF52" i="53"/>
  <c r="CC59" i="53"/>
  <c r="CK23" i="55"/>
  <c r="CB74" i="51"/>
  <c r="CT94" i="51"/>
  <c r="BD52" i="53"/>
  <c r="CK142" i="51"/>
  <c r="BS26" i="55"/>
  <c r="AY35" i="53"/>
  <c r="BR49" i="51"/>
  <c r="CP22" i="53"/>
  <c r="BO33" i="55"/>
  <c r="CK26" i="53"/>
  <c r="CX129" i="51"/>
  <c r="CT140" i="51"/>
  <c r="CN48" i="55"/>
  <c r="AV11" i="53"/>
  <c r="CA95" i="51"/>
  <c r="CN42" i="53"/>
  <c r="CL129" i="51"/>
  <c r="BR44" i="53"/>
  <c r="BH34" i="55"/>
  <c r="AV45" i="55"/>
  <c r="BQ49" i="53"/>
  <c r="CO134" i="51"/>
  <c r="DJ93" i="51"/>
  <c r="BO17" i="55"/>
  <c r="DE94" i="51"/>
  <c r="CR149" i="51"/>
  <c r="DG25" i="51"/>
  <c r="AY45" i="53"/>
  <c r="BI57" i="55"/>
  <c r="AS26" i="53"/>
  <c r="CP38" i="55"/>
  <c r="BV18" i="55"/>
  <c r="CE33" i="55"/>
  <c r="CD58" i="53"/>
  <c r="CJ15" i="53"/>
  <c r="CM146" i="51"/>
  <c r="BQ17" i="53"/>
  <c r="CD139" i="51"/>
  <c r="AT44" i="53"/>
  <c r="CD52" i="55"/>
  <c r="BU22" i="53"/>
  <c r="BL10" i="53"/>
  <c r="CS146" i="51"/>
  <c r="CB63" i="51"/>
  <c r="BM24" i="53"/>
  <c r="AZ46" i="53"/>
  <c r="AY41" i="53"/>
  <c r="CD128" i="51"/>
  <c r="CA139" i="51"/>
  <c r="CM30" i="53"/>
  <c r="DA157" i="51"/>
  <c r="CG26" i="53"/>
  <c r="CZ131" i="51"/>
  <c r="CA14" i="53"/>
  <c r="AZ11" i="53"/>
  <c r="AW15" i="53"/>
  <c r="BF43" i="53"/>
  <c r="BV53" i="53"/>
  <c r="BP10" i="53"/>
  <c r="CL52" i="55"/>
  <c r="BF30" i="53"/>
  <c r="CA128" i="51"/>
  <c r="CH39" i="53"/>
  <c r="AW11" i="53"/>
  <c r="BX50" i="55"/>
  <c r="BS18" i="51"/>
  <c r="CP39" i="55"/>
  <c r="BK42" i="53"/>
  <c r="AZ18" i="53"/>
  <c r="BO26" i="53"/>
  <c r="BB42" i="53"/>
  <c r="DC88" i="51"/>
  <c r="BL31" i="55"/>
  <c r="CF134" i="51"/>
  <c r="CQ59" i="55"/>
  <c r="BD23" i="55"/>
  <c r="CL162" i="51"/>
  <c r="AX30" i="55"/>
  <c r="CN37" i="55"/>
  <c r="CP131" i="51"/>
  <c r="AX28" i="53"/>
  <c r="BQ11" i="55"/>
  <c r="AT36" i="53"/>
  <c r="CJ50" i="55"/>
  <c r="DL152" i="51"/>
  <c r="CK17" i="53"/>
  <c r="BB23" i="53"/>
  <c r="BG21" i="53"/>
  <c r="BT20" i="53"/>
  <c r="BU56" i="53"/>
  <c r="BF44" i="53"/>
  <c r="BZ30" i="51"/>
  <c r="DD147" i="51"/>
  <c r="BS130" i="51"/>
  <c r="BZ137" i="51"/>
  <c r="CK37" i="53"/>
  <c r="DM58" i="51"/>
  <c r="BG32" i="53"/>
  <c r="BR35" i="55"/>
  <c r="BT159" i="51"/>
  <c r="AZ27" i="53"/>
  <c r="BK13" i="53"/>
  <c r="CH78" i="51"/>
  <c r="BU53" i="53"/>
  <c r="CN46" i="51"/>
  <c r="BJ10" i="55"/>
  <c r="BA19" i="53"/>
  <c r="BN18" i="53"/>
  <c r="BU158" i="51"/>
  <c r="BH56" i="53"/>
  <c r="AV54" i="53"/>
  <c r="BR37" i="53"/>
  <c r="BX29" i="51"/>
  <c r="AZ15" i="55"/>
  <c r="BG28" i="55"/>
  <c r="BS46" i="53"/>
  <c r="BD51" i="55"/>
  <c r="BG38" i="53"/>
  <c r="CI31" i="55"/>
  <c r="BU88" i="51"/>
  <c r="BB23" i="55"/>
  <c r="CI24" i="51"/>
  <c r="CQ148" i="51"/>
  <c r="BZ46" i="51"/>
  <c r="CJ117" i="51"/>
  <c r="DK158" i="51"/>
  <c r="DF149" i="51"/>
  <c r="DG19" i="51"/>
  <c r="CR159" i="51"/>
  <c r="BC53" i="55"/>
  <c r="CO20" i="53"/>
  <c r="DH128" i="51"/>
  <c r="CE44" i="55"/>
  <c r="BF12" i="53"/>
  <c r="BA30" i="53"/>
  <c r="BF37" i="53"/>
  <c r="BC45" i="53"/>
  <c r="BQ54" i="55"/>
  <c r="CO29" i="55"/>
  <c r="CJ44" i="55"/>
  <c r="BS49" i="53"/>
  <c r="CG54" i="55"/>
  <c r="BW56" i="55"/>
  <c r="DD30" i="51"/>
  <c r="DK174" i="51"/>
  <c r="CX35" i="51"/>
  <c r="DH140" i="51"/>
  <c r="AZ50" i="53"/>
  <c r="BZ48" i="55"/>
  <c r="BI24" i="55"/>
  <c r="CE21" i="53"/>
  <c r="BL53" i="55"/>
  <c r="CR140" i="51"/>
  <c r="BJ19" i="55"/>
  <c r="BS167" i="51"/>
  <c r="CX135" i="51"/>
  <c r="BK28" i="55"/>
  <c r="CB17" i="55"/>
  <c r="BS45" i="55"/>
  <c r="BM43" i="53"/>
  <c r="DM104" i="51"/>
  <c r="DA76" i="51"/>
  <c r="BD34" i="53"/>
  <c r="AV39" i="53"/>
  <c r="BU27" i="55"/>
  <c r="BL29" i="55"/>
  <c r="CK28" i="55"/>
  <c r="CX44" i="51"/>
  <c r="CA27" i="53"/>
  <c r="CX42" i="51"/>
  <c r="DC143" i="51"/>
  <c r="DM28" i="51"/>
  <c r="BE57" i="53"/>
  <c r="BR145" i="51"/>
  <c r="BG55" i="53"/>
  <c r="BU15" i="53"/>
  <c r="BF49" i="55"/>
  <c r="DA133" i="51"/>
  <c r="CK41" i="51"/>
  <c r="BT15" i="55"/>
  <c r="BT39" i="53"/>
  <c r="CO38" i="53"/>
  <c r="BR10" i="55"/>
  <c r="DK131" i="51"/>
  <c r="BJ29" i="53"/>
  <c r="CU34" i="51"/>
  <c r="DG169" i="51"/>
  <c r="BD58" i="55"/>
  <c r="CB142" i="51"/>
  <c r="AS53" i="53"/>
  <c r="BV132" i="51"/>
  <c r="DH149" i="51"/>
  <c r="CF97" i="51"/>
  <c r="BT47" i="51"/>
  <c r="CZ95" i="51"/>
  <c r="CU138" i="51"/>
  <c r="CK22" i="51"/>
  <c r="DM151" i="51"/>
  <c r="BX42" i="55"/>
  <c r="CA45" i="55"/>
  <c r="CB28" i="55"/>
  <c r="BR142" i="51"/>
  <c r="BT135" i="51"/>
  <c r="CA55" i="53"/>
  <c r="BJ49" i="53"/>
  <c r="CB95" i="51"/>
  <c r="CG36" i="55"/>
  <c r="BW140" i="51"/>
  <c r="CU148" i="51"/>
  <c r="BX142" i="51"/>
  <c r="BP48" i="51"/>
  <c r="DB164" i="51"/>
  <c r="AY41" i="55"/>
  <c r="CU128" i="51"/>
  <c r="AU53" i="55"/>
  <c r="BV158" i="51"/>
  <c r="CL29" i="55"/>
  <c r="BE20" i="53"/>
  <c r="BS128" i="51"/>
  <c r="CN55" i="53"/>
  <c r="BF20" i="55"/>
  <c r="BA32" i="53"/>
  <c r="DB42" i="51"/>
  <c r="BA39" i="53"/>
  <c r="CA58" i="53"/>
  <c r="CF133" i="51"/>
  <c r="BK49" i="55"/>
  <c r="DA27" i="51"/>
  <c r="CO56" i="53"/>
  <c r="DB75" i="51"/>
  <c r="DC33" i="51"/>
  <c r="CO23" i="53"/>
  <c r="AU30" i="55"/>
  <c r="BB47" i="53"/>
  <c r="AS21" i="53"/>
  <c r="CJ48" i="53"/>
  <c r="BV43" i="55"/>
  <c r="BK40" i="55"/>
  <c r="DA152" i="51"/>
  <c r="BQ40" i="55"/>
  <c r="CI138" i="51"/>
  <c r="CF131" i="51"/>
  <c r="BV45" i="53"/>
  <c r="AY21" i="55"/>
  <c r="CD88" i="51"/>
  <c r="CO12" i="53"/>
  <c r="BM14" i="53"/>
  <c r="AW36" i="55"/>
  <c r="CT97" i="51"/>
  <c r="CH54" i="55"/>
  <c r="CI46" i="51"/>
  <c r="BT39" i="55"/>
  <c r="DM66" i="51"/>
  <c r="CA100" i="51"/>
  <c r="BU34" i="53"/>
  <c r="BA58" i="53"/>
  <c r="AU33" i="55"/>
  <c r="DM18" i="51"/>
  <c r="BM27" i="53"/>
  <c r="DM131" i="51"/>
  <c r="CP21" i="55"/>
  <c r="DK73" i="51"/>
  <c r="BW22" i="55"/>
  <c r="BF48" i="53"/>
  <c r="DM141" i="51"/>
  <c r="CG46" i="55"/>
  <c r="BK59" i="53"/>
  <c r="DE130" i="51"/>
  <c r="AW28" i="53"/>
  <c r="DH93" i="51"/>
  <c r="AY48" i="55"/>
  <c r="BR170" i="51"/>
  <c r="CQ138" i="51"/>
  <c r="BP59" i="53"/>
  <c r="DC153" i="51"/>
  <c r="BS10" i="53"/>
  <c r="CC85" i="51"/>
  <c r="BR165" i="51"/>
  <c r="DF34" i="51"/>
  <c r="CB57" i="53"/>
  <c r="CA12" i="53"/>
  <c r="BH20" i="55"/>
  <c r="BI28" i="53"/>
  <c r="BR30" i="55"/>
  <c r="BN40" i="53"/>
  <c r="BB30" i="53"/>
  <c r="CG85" i="51"/>
  <c r="CO25" i="51"/>
  <c r="CZ149" i="51"/>
  <c r="DD131" i="51"/>
  <c r="CC78" i="51"/>
  <c r="BJ24" i="55"/>
  <c r="BT21" i="51"/>
  <c r="CN30" i="53"/>
  <c r="BN17" i="53"/>
  <c r="AZ54" i="53"/>
  <c r="CL46" i="53"/>
  <c r="BN33" i="55"/>
  <c r="CK10" i="53"/>
  <c r="CJ87" i="51"/>
  <c r="BB17" i="55"/>
  <c r="DK47" i="51"/>
  <c r="BE43" i="55"/>
  <c r="CF54" i="53"/>
  <c r="CT146" i="51"/>
  <c r="CB43" i="53"/>
  <c r="CD28" i="53"/>
  <c r="BX48" i="53"/>
  <c r="BX158" i="51"/>
  <c r="CI54" i="55"/>
  <c r="AZ21" i="53"/>
  <c r="AZ50" i="55"/>
  <c r="CT131" i="51"/>
  <c r="CE11" i="55"/>
  <c r="CN10" i="55"/>
  <c r="DD130" i="51"/>
  <c r="AX47" i="55"/>
  <c r="BH30" i="55"/>
  <c r="CI31" i="53"/>
  <c r="CT102" i="51"/>
  <c r="CP94" i="51"/>
  <c r="DE39" i="51"/>
  <c r="DE135" i="51"/>
  <c r="BY46" i="55"/>
  <c r="CH24" i="55"/>
  <c r="DE57" i="51"/>
  <c r="BX150" i="51"/>
  <c r="BF36" i="55"/>
  <c r="CQ76" i="51"/>
  <c r="AY27" i="53"/>
  <c r="CA52" i="55"/>
  <c r="AW39" i="53"/>
  <c r="BL43" i="55"/>
  <c r="CW77" i="51"/>
  <c r="CF144" i="51"/>
  <c r="CI58" i="53"/>
  <c r="BU75" i="51"/>
  <c r="BU47" i="51"/>
  <c r="BM42" i="55"/>
  <c r="DI20" i="51"/>
  <c r="CK28" i="51"/>
  <c r="BB32" i="53"/>
  <c r="BW142" i="51"/>
  <c r="DG40" i="51"/>
  <c r="BC11" i="53"/>
  <c r="CT39" i="51"/>
  <c r="BL42" i="53"/>
  <c r="DA164" i="51"/>
  <c r="CB47" i="55"/>
  <c r="CQ47" i="55"/>
  <c r="CG16" i="55"/>
  <c r="CD89" i="51"/>
  <c r="BC57" i="53"/>
  <c r="CH21" i="55"/>
  <c r="BI16" i="55"/>
  <c r="AT23" i="55"/>
  <c r="AW14" i="55"/>
  <c r="BG50" i="53"/>
  <c r="DA155" i="51"/>
  <c r="BM17" i="53"/>
  <c r="BS102" i="51"/>
  <c r="BE58" i="55"/>
  <c r="AZ56" i="55"/>
  <c r="BZ136" i="51"/>
  <c r="CT151" i="51"/>
  <c r="BW10" i="55"/>
  <c r="BO39" i="55"/>
  <c r="CW29" i="51"/>
  <c r="BR33" i="53"/>
  <c r="BL38" i="53"/>
  <c r="CZ30" i="51"/>
  <c r="AT34" i="53"/>
  <c r="BM23" i="55"/>
  <c r="BE31" i="55"/>
  <c r="CB24" i="53"/>
  <c r="CE132" i="51"/>
  <c r="DF27" i="51"/>
  <c r="BZ59" i="53"/>
  <c r="CD31" i="51"/>
  <c r="CJ29" i="51"/>
  <c r="CH74" i="51"/>
  <c r="CC57" i="53"/>
  <c r="BX76" i="51"/>
  <c r="DI146" i="51"/>
  <c r="CE49" i="55"/>
  <c r="CA57" i="53"/>
  <c r="CA50" i="55"/>
  <c r="BN44" i="53"/>
  <c r="DM94" i="51"/>
  <c r="CP12" i="53"/>
  <c r="CN132" i="51"/>
  <c r="CC48" i="55"/>
  <c r="CZ24" i="51"/>
  <c r="CP17" i="55"/>
  <c r="CN75" i="51"/>
  <c r="DA143" i="51"/>
  <c r="DD97" i="51"/>
  <c r="CL19" i="53"/>
  <c r="BY37" i="53"/>
  <c r="BM15" i="53"/>
  <c r="BR42" i="53"/>
  <c r="CF135" i="51"/>
  <c r="BX21" i="55"/>
  <c r="CF39" i="51"/>
  <c r="CZ137" i="51"/>
  <c r="CO34" i="51"/>
  <c r="CQ42" i="55"/>
  <c r="DG172" i="51"/>
  <c r="CH37" i="55"/>
  <c r="CO47" i="51"/>
  <c r="BW45" i="53"/>
  <c r="AY29" i="53"/>
  <c r="AS55" i="53"/>
  <c r="BV27" i="53"/>
  <c r="CQ137" i="51"/>
  <c r="CD20" i="53"/>
  <c r="BX37" i="53"/>
  <c r="CD27" i="55"/>
  <c r="AU59" i="53"/>
  <c r="BZ74" i="51"/>
  <c r="CP140" i="51"/>
  <c r="BJ41" i="53"/>
  <c r="BV29" i="53"/>
  <c r="CU22" i="51"/>
  <c r="CK139" i="51"/>
  <c r="BZ96" i="51"/>
  <c r="AV25" i="55"/>
  <c r="CG35" i="53"/>
  <c r="BI56" i="55"/>
  <c r="DE20" i="51"/>
  <c r="CF153" i="51"/>
  <c r="CJ52" i="55"/>
  <c r="CM37" i="53"/>
  <c r="BS142" i="51"/>
  <c r="CM129" i="51"/>
  <c r="AU38" i="53"/>
  <c r="BV141" i="51"/>
  <c r="CK15" i="53"/>
  <c r="CM28" i="53"/>
  <c r="CB45" i="55"/>
  <c r="AU59" i="55"/>
  <c r="BK37" i="53"/>
  <c r="BA37" i="53"/>
  <c r="AX18" i="53"/>
  <c r="BU10" i="55"/>
  <c r="BW50" i="55"/>
  <c r="CF32" i="53"/>
  <c r="DI100" i="51"/>
  <c r="BW129" i="51"/>
  <c r="BS139" i="51"/>
  <c r="CF24" i="53"/>
  <c r="CL59" i="55"/>
  <c r="CK18" i="51"/>
  <c r="CE21" i="55"/>
  <c r="CM149" i="51"/>
  <c r="BV30" i="51"/>
  <c r="DK27" i="51"/>
  <c r="BY58" i="51"/>
  <c r="BZ16" i="55"/>
  <c r="CD38" i="55"/>
  <c r="CD44" i="53"/>
  <c r="BP16" i="55"/>
  <c r="DH85" i="51"/>
  <c r="BL58" i="55"/>
  <c r="BW19" i="55"/>
  <c r="BW161" i="51"/>
  <c r="BX52" i="53"/>
  <c r="CK52" i="55"/>
  <c r="BG37" i="53"/>
  <c r="DI35" i="51"/>
  <c r="CU44" i="51"/>
  <c r="CB10" i="55"/>
  <c r="BX35" i="51"/>
  <c r="CX145" i="51"/>
  <c r="DD102" i="51"/>
  <c r="BR138" i="51"/>
  <c r="CP101" i="51"/>
  <c r="DI131" i="51"/>
  <c r="DG129" i="51"/>
  <c r="BS29" i="51"/>
  <c r="BL25" i="53"/>
  <c r="BE23" i="55"/>
  <c r="BQ55" i="55"/>
  <c r="CN21" i="53"/>
  <c r="AZ19" i="55"/>
  <c r="BI53" i="53"/>
  <c r="CL154" i="51"/>
  <c r="BE39" i="53"/>
  <c r="BY18" i="53"/>
  <c r="DG133" i="51"/>
  <c r="CC21" i="55"/>
  <c r="BV41" i="51"/>
  <c r="CU159" i="51"/>
  <c r="AZ22" i="55"/>
  <c r="BT28" i="55"/>
  <c r="BM55" i="53"/>
  <c r="CW141" i="51"/>
  <c r="BD14" i="55"/>
  <c r="BT44" i="51"/>
  <c r="BV26" i="53"/>
  <c r="AT31" i="53"/>
  <c r="BY28" i="53"/>
  <c r="BR31" i="53"/>
  <c r="BD48" i="53"/>
  <c r="BQ16" i="53"/>
  <c r="CQ35" i="55"/>
  <c r="CM59" i="53"/>
  <c r="BW46" i="53"/>
  <c r="BG31" i="53"/>
  <c r="CG143" i="51"/>
  <c r="DF155" i="51"/>
  <c r="CI49" i="53"/>
  <c r="CE23" i="51"/>
  <c r="CP55" i="55"/>
  <c r="DH171" i="51"/>
  <c r="BV51" i="55"/>
  <c r="BQ59" i="55"/>
  <c r="BR27" i="53"/>
  <c r="CH52" i="53"/>
  <c r="DM160" i="51"/>
  <c r="BU55" i="55"/>
  <c r="BY23" i="51"/>
  <c r="BY19" i="53"/>
  <c r="BS45" i="53"/>
  <c r="CL167" i="51"/>
  <c r="CE159" i="51"/>
  <c r="CP30" i="51"/>
  <c r="AT41" i="55"/>
  <c r="BE31" i="53"/>
  <c r="DA33" i="51"/>
  <c r="AY24" i="53"/>
  <c r="BC21" i="53"/>
  <c r="AW17" i="55"/>
  <c r="BE32" i="53"/>
  <c r="CF37" i="51"/>
  <c r="BR15" i="55"/>
  <c r="DM30" i="51"/>
  <c r="CF149" i="51"/>
  <c r="CL147" i="51"/>
  <c r="BY20" i="51"/>
  <c r="DL146" i="51"/>
  <c r="BH51" i="53"/>
  <c r="CW149" i="51"/>
  <c r="CA48" i="53"/>
  <c r="AW18" i="55"/>
  <c r="CZ23" i="51"/>
  <c r="BF10" i="53"/>
  <c r="CC19" i="53"/>
  <c r="BM21" i="55"/>
  <c r="DA49" i="51"/>
  <c r="BO14" i="55"/>
  <c r="BT40" i="53"/>
  <c r="CG48" i="53"/>
  <c r="BJ51" i="55"/>
  <c r="AU24" i="53"/>
  <c r="AZ18" i="55"/>
  <c r="CW130" i="51"/>
  <c r="BP37" i="53"/>
  <c r="AU41" i="53"/>
  <c r="BN57" i="53"/>
  <c r="BR36" i="53"/>
  <c r="CI56" i="55"/>
  <c r="AV36" i="55"/>
  <c r="CB39" i="53"/>
  <c r="BB21" i="55"/>
  <c r="BP170" i="51"/>
  <c r="BH40" i="55"/>
  <c r="BI19" i="53"/>
  <c r="CE10" i="55"/>
  <c r="CM47" i="55"/>
  <c r="BL23" i="55"/>
  <c r="CL28" i="53"/>
  <c r="BW34" i="53"/>
  <c r="CX147" i="51"/>
  <c r="BF51" i="53"/>
  <c r="AZ49" i="55"/>
  <c r="CQ38" i="55"/>
  <c r="DE103" i="51"/>
  <c r="BH33" i="53"/>
  <c r="CG57" i="55"/>
  <c r="BB46" i="53"/>
  <c r="BO59" i="53"/>
  <c r="AZ24" i="55"/>
  <c r="CG18" i="51"/>
  <c r="CY154" i="51"/>
  <c r="BP14" i="55"/>
  <c r="BQ128" i="51"/>
  <c r="CT143" i="51"/>
  <c r="BW28" i="55"/>
  <c r="DL29" i="51"/>
  <c r="BC23" i="55"/>
  <c r="AX50" i="55"/>
  <c r="BK42" i="55"/>
  <c r="AT31" i="55"/>
  <c r="BP11" i="55"/>
  <c r="CB151" i="51"/>
  <c r="BE49" i="55"/>
  <c r="BB54" i="55"/>
  <c r="CM49" i="55"/>
  <c r="CG28" i="51"/>
  <c r="DI56" i="51"/>
  <c r="BA59" i="53"/>
  <c r="CC37" i="55"/>
  <c r="CE103" i="51"/>
  <c r="CZ42" i="51"/>
  <c r="DA41" i="51"/>
  <c r="CQ35" i="51"/>
  <c r="CR150" i="51"/>
  <c r="DH150" i="51"/>
  <c r="CU40" i="51"/>
  <c r="CU45" i="51"/>
  <c r="CC153" i="51"/>
  <c r="CF29" i="55"/>
  <c r="CO176" i="51"/>
  <c r="DG150" i="51"/>
  <c r="BR12" i="53"/>
  <c r="DE129" i="51"/>
  <c r="BX45" i="55"/>
  <c r="DD37" i="51"/>
  <c r="CH101" i="51"/>
  <c r="BY42" i="55"/>
  <c r="BU14" i="55"/>
  <c r="BR29" i="53"/>
  <c r="CK151" i="51"/>
  <c r="BQ55" i="51"/>
  <c r="BT25" i="51"/>
  <c r="BW45" i="55"/>
  <c r="BT59" i="55"/>
  <c r="AT32" i="55"/>
  <c r="CO14" i="55"/>
  <c r="BQ152" i="51"/>
  <c r="BO37" i="55"/>
  <c r="BV16" i="53"/>
  <c r="CC29" i="51"/>
  <c r="BI20" i="53"/>
  <c r="CC38" i="53"/>
  <c r="BW42" i="53"/>
  <c r="BI44" i="55"/>
  <c r="BU74" i="51"/>
  <c r="BR13" i="53"/>
  <c r="CN16" i="53"/>
  <c r="BM29" i="55"/>
  <c r="BQ22" i="55"/>
  <c r="CK46" i="53"/>
  <c r="BD45" i="55"/>
  <c r="BR131" i="51"/>
  <c r="AS17" i="53"/>
  <c r="CH17" i="53"/>
  <c r="DG143" i="51"/>
  <c r="CP20" i="55"/>
  <c r="BN56" i="53"/>
  <c r="CD38" i="53"/>
  <c r="AU48" i="55"/>
  <c r="CP36" i="55"/>
  <c r="AT54" i="53"/>
  <c r="BV103" i="51"/>
  <c r="CC51" i="53"/>
  <c r="CO44" i="53"/>
  <c r="CC53" i="53"/>
  <c r="BU82" i="51"/>
  <c r="CU98" i="51"/>
  <c r="DF141" i="51"/>
  <c r="BU171" i="51"/>
  <c r="CQ24" i="55"/>
  <c r="CQ49" i="55"/>
  <c r="BZ12" i="53"/>
  <c r="CJ91" i="51"/>
  <c r="AW54" i="55"/>
  <c r="AW38" i="53"/>
  <c r="CC49" i="53"/>
  <c r="AY28" i="53"/>
  <c r="BB25" i="55"/>
  <c r="BH48" i="55"/>
  <c r="CM34" i="53"/>
  <c r="BO53" i="53"/>
  <c r="DE132" i="51"/>
  <c r="BN52" i="55"/>
  <c r="CB48" i="51"/>
  <c r="DG20" i="51"/>
  <c r="CR142" i="51"/>
  <c r="CM165" i="51"/>
  <c r="BA15" i="53"/>
  <c r="BT39" i="51"/>
  <c r="BP22" i="53"/>
  <c r="CF140" i="51"/>
  <c r="CE151" i="51"/>
  <c r="CI35" i="53"/>
  <c r="BE45" i="55"/>
  <c r="CC30" i="55"/>
  <c r="BW34" i="55"/>
  <c r="CQ129" i="51"/>
  <c r="BU36" i="51"/>
  <c r="BP35" i="53"/>
  <c r="CP23" i="53"/>
  <c r="CG33" i="53"/>
  <c r="BW41" i="53"/>
  <c r="DE45" i="51"/>
  <c r="AT33" i="53"/>
  <c r="BA38" i="55"/>
  <c r="CX149" i="51"/>
  <c r="BY15" i="55"/>
  <c r="BI30" i="55"/>
  <c r="CV152" i="51"/>
  <c r="AV48" i="53"/>
  <c r="BW18" i="51"/>
  <c r="BW52" i="55"/>
  <c r="DE44" i="51"/>
  <c r="BY16" i="55"/>
  <c r="CJ56" i="55"/>
  <c r="BJ50" i="55"/>
  <c r="CX160" i="51"/>
  <c r="CF148" i="51"/>
  <c r="CB13" i="55"/>
  <c r="CJ41" i="53"/>
  <c r="BV35" i="55"/>
  <c r="BG47" i="55"/>
  <c r="BP21" i="55"/>
  <c r="CH130" i="51"/>
  <c r="BH26" i="53"/>
  <c r="AZ37" i="53"/>
  <c r="CX151" i="51"/>
  <c r="BU19" i="51"/>
  <c r="BR10" i="53"/>
  <c r="BT177" i="51"/>
  <c r="BU33" i="55"/>
  <c r="BX49" i="53"/>
  <c r="AZ51" i="53"/>
  <c r="BW136" i="51"/>
  <c r="CA32" i="51"/>
  <c r="AT17" i="55"/>
  <c r="BM14" i="55"/>
  <c r="CE129" i="51"/>
  <c r="CB22" i="53"/>
  <c r="CJ23" i="53"/>
  <c r="BS24" i="51"/>
  <c r="CT26" i="51"/>
  <c r="BP42" i="53"/>
  <c r="BT17" i="53"/>
  <c r="DM37" i="51"/>
  <c r="BA56" i="53"/>
  <c r="BZ33" i="55"/>
  <c r="BZ57" i="53"/>
  <c r="CR98" i="51"/>
  <c r="BK52" i="55"/>
  <c r="CL150" i="51"/>
  <c r="CJ26" i="53"/>
  <c r="CQ152" i="51"/>
  <c r="BQ36" i="55"/>
  <c r="CD22" i="51"/>
  <c r="CU86" i="51"/>
  <c r="CX150" i="51"/>
  <c r="CS51" i="51"/>
  <c r="BU76" i="51"/>
  <c r="CO22" i="51"/>
  <c r="CM143" i="51"/>
  <c r="CP175" i="51"/>
  <c r="DI151" i="51"/>
  <c r="BI52" i="55"/>
  <c r="BW40" i="53"/>
  <c r="BO22" i="55"/>
  <c r="BF27" i="55"/>
  <c r="BA53" i="53"/>
  <c r="DG166" i="51"/>
  <c r="BP36" i="53"/>
  <c r="BB14" i="55"/>
  <c r="CN33" i="53"/>
  <c r="AS54" i="53"/>
  <c r="BV153" i="51"/>
  <c r="DG87" i="51"/>
  <c r="BI13" i="55"/>
  <c r="CL146" i="51"/>
  <c r="CD150" i="51"/>
  <c r="CK156" i="51"/>
  <c r="CE26" i="51"/>
  <c r="BJ47" i="55"/>
  <c r="BS157" i="51"/>
  <c r="AW36" i="53"/>
  <c r="BQ77" i="51"/>
  <c r="AU26" i="53"/>
  <c r="CC20" i="53"/>
  <c r="BY55" i="55"/>
  <c r="CP20" i="53"/>
  <c r="BX89" i="51"/>
  <c r="BU20" i="53"/>
  <c r="CG41" i="55"/>
  <c r="BZ20" i="53"/>
  <c r="CB56" i="55"/>
  <c r="BZ32" i="51"/>
  <c r="CK30" i="51"/>
  <c r="DE41" i="51"/>
  <c r="AV10" i="53"/>
  <c r="BW26" i="55"/>
  <c r="BH11" i="53"/>
  <c r="AY34" i="53"/>
  <c r="CC10" i="53"/>
  <c r="BT52" i="55"/>
  <c r="CA39" i="51"/>
  <c r="AT12" i="53"/>
  <c r="DI139" i="51"/>
  <c r="BU44" i="53"/>
  <c r="CN50" i="53"/>
  <c r="CL36" i="53"/>
  <c r="BR104" i="51"/>
  <c r="BM26" i="55"/>
  <c r="CF30" i="53"/>
  <c r="CA18" i="55"/>
  <c r="BB50" i="53"/>
  <c r="CN144" i="51"/>
  <c r="CJ31" i="51"/>
  <c r="AU27" i="55"/>
  <c r="CD39" i="51"/>
  <c r="AY51" i="53"/>
  <c r="BC16" i="53"/>
  <c r="CK97" i="51"/>
  <c r="AY43" i="55"/>
  <c r="DH117" i="51"/>
  <c r="CW103" i="51"/>
  <c r="CY129" i="51"/>
  <c r="CD15" i="55"/>
  <c r="BX137" i="51"/>
  <c r="CF20" i="53"/>
  <c r="BU45" i="55"/>
  <c r="CV46" i="51"/>
  <c r="CG47" i="53"/>
  <c r="BJ40" i="53"/>
  <c r="BS52" i="53"/>
  <c r="BS40" i="53"/>
  <c r="CO48" i="53"/>
  <c r="CB129" i="51"/>
  <c r="BK48" i="55"/>
  <c r="DB157" i="51"/>
  <c r="AU56" i="55"/>
  <c r="BU37" i="53"/>
  <c r="AT47" i="53"/>
  <c r="CM95" i="51"/>
  <c r="BS31" i="53"/>
  <c r="CN29" i="51"/>
  <c r="BM20" i="53"/>
  <c r="BU59" i="55"/>
  <c r="CQ10" i="55"/>
  <c r="BC47" i="55"/>
  <c r="BG23" i="55"/>
  <c r="BN19" i="53"/>
  <c r="CN35" i="53"/>
  <c r="AT39" i="55"/>
  <c r="DI76" i="51"/>
  <c r="CH75" i="51"/>
  <c r="CI133" i="51"/>
  <c r="CH166" i="51"/>
  <c r="BV31" i="55"/>
  <c r="BI26" i="53"/>
  <c r="DA135" i="51"/>
  <c r="DC75" i="51"/>
  <c r="DJ36" i="51"/>
  <c r="BT157" i="51"/>
  <c r="CF29" i="51"/>
  <c r="CF11" i="53"/>
  <c r="BL49" i="53"/>
  <c r="CG38" i="53"/>
  <c r="AS48" i="53"/>
  <c r="BF38" i="55"/>
  <c r="BW20" i="53"/>
  <c r="BL56" i="55"/>
  <c r="BQ97" i="51"/>
  <c r="DC118" i="51"/>
  <c r="AU40" i="53"/>
  <c r="BV146" i="51"/>
  <c r="BD21" i="55"/>
  <c r="CZ114" i="51"/>
  <c r="BY132" i="51"/>
  <c r="BV167" i="51"/>
  <c r="BQ38" i="55"/>
  <c r="CM152" i="51"/>
  <c r="CI60" i="51"/>
  <c r="CC28" i="53"/>
  <c r="CM144" i="51"/>
  <c r="DB24" i="51"/>
  <c r="BE52" i="53"/>
  <c r="DJ171" i="51"/>
  <c r="CI43" i="53"/>
  <c r="CN49" i="53"/>
  <c r="BY53" i="53"/>
  <c r="DC156" i="51"/>
  <c r="CK145" i="51"/>
  <c r="BA23" i="55"/>
  <c r="BP29" i="53"/>
  <c r="CM48" i="51"/>
  <c r="DM33" i="51"/>
  <c r="CW99" i="51"/>
  <c r="BV60" i="51"/>
  <c r="BY135" i="51"/>
  <c r="BT56" i="55"/>
  <c r="CS133" i="51"/>
  <c r="AZ31" i="53"/>
  <c r="BU39" i="55"/>
  <c r="BX25" i="55"/>
  <c r="BW59" i="55"/>
  <c r="DL23" i="51"/>
  <c r="CP83" i="51"/>
  <c r="CN39" i="53"/>
  <c r="CI21" i="55"/>
  <c r="CA37" i="55"/>
  <c r="CI13" i="53"/>
  <c r="BX59" i="55"/>
  <c r="CB25" i="53"/>
  <c r="CD18" i="55"/>
  <c r="CH36" i="53"/>
  <c r="BC52" i="55"/>
  <c r="AY40" i="55"/>
  <c r="CF47" i="53"/>
  <c r="DB175" i="51"/>
  <c r="BH39" i="55"/>
  <c r="CL50" i="53"/>
  <c r="BM45" i="53"/>
  <c r="AZ24" i="53"/>
  <c r="BH44" i="53"/>
  <c r="CG34" i="53"/>
  <c r="CP141" i="51"/>
  <c r="BV157" i="51"/>
  <c r="BZ51" i="53"/>
  <c r="CC133" i="51"/>
  <c r="AU54" i="53"/>
  <c r="BY59" i="55"/>
  <c r="CA156" i="51"/>
  <c r="CC159" i="51"/>
  <c r="CL58" i="55"/>
  <c r="DB47" i="51"/>
  <c r="DE86" i="51"/>
  <c r="CJ41" i="51"/>
  <c r="BU35" i="51"/>
  <c r="CL45" i="51"/>
  <c r="CL34" i="53"/>
  <c r="CO25" i="53"/>
  <c r="AZ22" i="53"/>
  <c r="DC85" i="51"/>
  <c r="AY16" i="53"/>
  <c r="BP132" i="51"/>
  <c r="CT85" i="51"/>
  <c r="BS40" i="51"/>
  <c r="CL29" i="53"/>
  <c r="CF23" i="53"/>
  <c r="BM46" i="55"/>
  <c r="BX19" i="55"/>
  <c r="AZ28" i="53"/>
  <c r="CB55" i="55"/>
  <c r="DK129" i="51"/>
  <c r="CN17" i="55"/>
  <c r="CE29" i="55"/>
  <c r="CC38" i="51"/>
  <c r="AT21" i="53"/>
  <c r="DL176" i="51"/>
  <c r="BL59" i="55"/>
  <c r="BH50" i="55"/>
  <c r="BV53" i="55"/>
  <c r="BU51" i="53"/>
  <c r="DD52" i="51"/>
  <c r="CF38" i="51"/>
  <c r="BQ23" i="53"/>
  <c r="CG55" i="55"/>
  <c r="AY14" i="53"/>
  <c r="CQ19" i="55"/>
  <c r="BQ30" i="53"/>
  <c r="BB35" i="53"/>
  <c r="BP46" i="53"/>
  <c r="BZ140" i="51"/>
  <c r="DA87" i="51"/>
  <c r="CO73" i="51"/>
  <c r="BQ14" i="53"/>
  <c r="BT78" i="51"/>
  <c r="BL48" i="55"/>
  <c r="BS11" i="53"/>
  <c r="AW52" i="53"/>
  <c r="AV15" i="53"/>
  <c r="BV21" i="55"/>
  <c r="AY57" i="53"/>
  <c r="CG18" i="55"/>
  <c r="CF35" i="55"/>
  <c r="DL133" i="51"/>
  <c r="AY43" i="53"/>
  <c r="BV20" i="53"/>
  <c r="CO42" i="51"/>
  <c r="CP15" i="55"/>
  <c r="CG20" i="53"/>
  <c r="CE43" i="55"/>
  <c r="DG30" i="51"/>
  <c r="CA34" i="55"/>
  <c r="CO57" i="55"/>
  <c r="AV27" i="53"/>
  <c r="BH42" i="53"/>
  <c r="CI28" i="53"/>
  <c r="BV30" i="53"/>
  <c r="CB18" i="55"/>
  <c r="BB41" i="55"/>
  <c r="CM43" i="51"/>
  <c r="CH22" i="51"/>
  <c r="BU98" i="51"/>
  <c r="BU38" i="51"/>
  <c r="CF17" i="53"/>
  <c r="CE19" i="53"/>
  <c r="CX28" i="51"/>
  <c r="CN44" i="55"/>
  <c r="CR129" i="51"/>
  <c r="BQ42" i="53"/>
  <c r="BA16" i="55"/>
  <c r="CZ65" i="51"/>
  <c r="CF45" i="55"/>
  <c r="BK35" i="53"/>
  <c r="BP152" i="51"/>
  <c r="BY34" i="53"/>
  <c r="BT59" i="51"/>
  <c r="CQ40" i="51"/>
  <c r="DE128" i="51"/>
  <c r="CA148" i="51"/>
  <c r="CC29" i="53"/>
  <c r="CK18" i="55"/>
  <c r="CI73" i="51"/>
  <c r="CC146" i="51"/>
  <c r="BI10" i="53"/>
  <c r="CF55" i="55"/>
  <c r="CI40" i="53"/>
  <c r="CE14" i="55"/>
  <c r="BR31" i="55"/>
  <c r="AT45" i="55"/>
  <c r="DF48" i="51"/>
  <c r="CA23" i="55"/>
  <c r="BR51" i="55"/>
  <c r="CK42" i="53"/>
  <c r="CT134" i="51"/>
  <c r="BK25" i="53"/>
  <c r="CZ154" i="51"/>
  <c r="BF38" i="53"/>
  <c r="BS39" i="53"/>
  <c r="CD33" i="53"/>
  <c r="AU25" i="53"/>
  <c r="DH170" i="51"/>
  <c r="BR11" i="55"/>
  <c r="CO10" i="53"/>
  <c r="BV59" i="55"/>
  <c r="BQ141" i="51"/>
  <c r="BS49" i="51"/>
  <c r="AU23" i="53"/>
  <c r="BW134" i="51"/>
  <c r="CO15" i="55"/>
  <c r="CI44" i="53"/>
  <c r="AX38" i="55"/>
  <c r="CP45" i="53"/>
  <c r="CC34" i="53"/>
  <c r="BW24" i="55"/>
  <c r="BD38" i="53"/>
  <c r="BE14" i="53"/>
  <c r="BY141" i="51"/>
  <c r="BU56" i="55"/>
  <c r="AW33" i="53"/>
  <c r="BB55" i="53"/>
  <c r="BH15" i="55"/>
  <c r="AX11" i="55"/>
  <c r="BI41" i="53"/>
  <c r="BA25" i="53"/>
  <c r="CN54" i="55"/>
  <c r="CO135" i="51"/>
  <c r="CK50" i="53"/>
  <c r="BN15" i="53"/>
  <c r="DL66" i="51"/>
  <c r="BQ137" i="51"/>
  <c r="CM56" i="55"/>
  <c r="BJ16" i="53"/>
  <c r="CK19" i="51"/>
  <c r="CF56" i="55"/>
  <c r="BG53" i="55"/>
  <c r="BI53" i="55"/>
  <c r="CH24" i="53"/>
  <c r="CK25" i="53"/>
  <c r="BU148" i="51"/>
  <c r="CH34" i="55"/>
  <c r="CL156" i="51"/>
  <c r="CB23" i="53"/>
  <c r="BE50" i="55"/>
  <c r="AV26" i="53"/>
  <c r="AY29" i="55"/>
  <c r="CO18" i="55"/>
  <c r="AY20" i="53"/>
  <c r="BZ31" i="55"/>
  <c r="BL16" i="55"/>
  <c r="BV13" i="53"/>
  <c r="BQ162" i="51"/>
  <c r="CL21" i="53"/>
  <c r="CA74" i="51"/>
  <c r="DB26" i="51"/>
  <c r="BI30" i="53"/>
  <c r="CM41" i="53"/>
  <c r="CJ121" i="51"/>
  <c r="DH153" i="51"/>
  <c r="CD41" i="55"/>
  <c r="CC30" i="53"/>
  <c r="CH28" i="51"/>
  <c r="AZ53" i="53"/>
  <c r="BP43" i="51"/>
  <c r="AU30" i="53"/>
  <c r="CD22" i="55"/>
  <c r="BL54" i="55"/>
  <c r="CO77" i="51"/>
  <c r="BA52" i="53"/>
  <c r="BU141" i="51"/>
  <c r="BS19" i="53"/>
  <c r="AX27" i="55"/>
  <c r="BS43" i="51"/>
  <c r="BR153" i="51"/>
  <c r="BQ43" i="55"/>
  <c r="CA15" i="55"/>
  <c r="BX41" i="55"/>
  <c r="BQ151" i="51"/>
  <c r="BQ10" i="53"/>
  <c r="BZ143" i="51"/>
  <c r="DB134" i="51"/>
  <c r="CY80" i="51"/>
  <c r="CM36" i="51"/>
  <c r="CK45" i="53"/>
  <c r="CD54" i="53"/>
  <c r="BV31" i="53"/>
  <c r="CL130" i="51"/>
  <c r="DH132" i="51"/>
  <c r="CO23" i="55"/>
  <c r="CH132" i="51"/>
  <c r="BJ24" i="53"/>
  <c r="DD128" i="51"/>
  <c r="BZ45" i="53"/>
  <c r="BW152" i="51"/>
  <c r="BH22" i="55"/>
  <c r="CC26" i="55"/>
  <c r="BY15" i="53"/>
  <c r="BF14" i="53"/>
  <c r="BT22" i="51"/>
  <c r="BR57" i="55"/>
  <c r="BN38" i="55"/>
  <c r="CE28" i="53"/>
  <c r="DJ49" i="51"/>
  <c r="DA137" i="51"/>
  <c r="CQ52" i="55"/>
  <c r="BT142" i="51"/>
  <c r="BO16" i="55"/>
  <c r="AY49" i="53"/>
  <c r="BV38" i="51"/>
  <c r="BZ22" i="55"/>
  <c r="BL40" i="55"/>
  <c r="CJ23" i="55"/>
  <c r="CQ132" i="51"/>
  <c r="AZ59" i="55"/>
  <c r="CO10" i="55"/>
  <c r="BM10" i="55"/>
  <c r="BD41" i="55"/>
  <c r="AU10" i="53"/>
  <c r="BB16" i="55"/>
  <c r="BX144" i="51"/>
  <c r="CE27" i="53"/>
  <c r="CM55" i="55"/>
  <c r="BT19" i="53"/>
  <c r="CM32" i="55"/>
  <c r="BW13" i="53"/>
  <c r="AZ39" i="53"/>
  <c r="AX10" i="53"/>
  <c r="AU49" i="53"/>
  <c r="CB14" i="55"/>
  <c r="DC132" i="51"/>
  <c r="CL15" i="53"/>
  <c r="CM35" i="53"/>
  <c r="BL28" i="53"/>
  <c r="DF134" i="51"/>
  <c r="BC47" i="53"/>
  <c r="CZ150" i="51"/>
  <c r="CD45" i="53"/>
  <c r="AW23" i="55"/>
  <c r="DJ143" i="51"/>
  <c r="DH38" i="51"/>
  <c r="BZ40" i="53"/>
  <c r="BP48" i="53"/>
  <c r="CQ136" i="51"/>
  <c r="DL24" i="51"/>
  <c r="CU18" i="51"/>
  <c r="BS132" i="51"/>
  <c r="CC33" i="53"/>
  <c r="BC37" i="55"/>
  <c r="AV21" i="53"/>
  <c r="BH35" i="53"/>
  <c r="CH21" i="53"/>
  <c r="CL136" i="51"/>
  <c r="BU48" i="51"/>
  <c r="BB25" i="53"/>
  <c r="DH32" i="51"/>
  <c r="CH83" i="51"/>
  <c r="BO46" i="53"/>
  <c r="AV58" i="53"/>
  <c r="CL19" i="55"/>
  <c r="DM134" i="51"/>
  <c r="AX39" i="55"/>
  <c r="BX88" i="51"/>
  <c r="BC12" i="53"/>
  <c r="DB99" i="51"/>
  <c r="BV41" i="53"/>
  <c r="CN141" i="51"/>
  <c r="BQ24" i="55"/>
  <c r="CH76" i="51"/>
  <c r="BX40" i="55"/>
  <c r="CM54" i="55"/>
  <c r="BW18" i="55"/>
  <c r="AY46" i="53"/>
  <c r="BC34" i="55"/>
  <c r="CT158" i="51"/>
  <c r="BZ57" i="55"/>
  <c r="BG48" i="53"/>
  <c r="BR56" i="55"/>
  <c r="BI32" i="53"/>
  <c r="CR74" i="51"/>
  <c r="DA74" i="51"/>
  <c r="CU48" i="51"/>
  <c r="CN33" i="55"/>
  <c r="CV91" i="51"/>
  <c r="BX55" i="53"/>
  <c r="BO42" i="53"/>
  <c r="CA56" i="51"/>
  <c r="BR18" i="53"/>
  <c r="AW29" i="53"/>
  <c r="AU35" i="53"/>
  <c r="DG29" i="51"/>
  <c r="BG45" i="53"/>
  <c r="BL13" i="55"/>
  <c r="BL50" i="53"/>
  <c r="BP39" i="55"/>
  <c r="BU53" i="55"/>
  <c r="BK29" i="55"/>
  <c r="AV16" i="55"/>
  <c r="CL138" i="51"/>
  <c r="BH54" i="55"/>
  <c r="CE165" i="51"/>
  <c r="BR46" i="51"/>
  <c r="CG138" i="51"/>
  <c r="BO15" i="55"/>
  <c r="BQ85" i="51"/>
  <c r="BP28" i="55"/>
  <c r="CL131" i="51"/>
  <c r="BI42" i="55"/>
  <c r="BH58" i="55"/>
  <c r="CD76" i="51"/>
  <c r="CB29" i="53"/>
  <c r="DB149" i="51"/>
  <c r="CM39" i="53"/>
  <c r="DF32" i="51"/>
  <c r="AW28" i="55"/>
  <c r="BI18" i="53"/>
  <c r="BT24" i="53"/>
  <c r="AU34" i="53"/>
  <c r="BE10" i="53"/>
  <c r="CA144" i="51"/>
  <c r="CV130" i="51"/>
  <c r="BZ73" i="51"/>
  <c r="CI46" i="53"/>
  <c r="CE43" i="53"/>
  <c r="BD11" i="53"/>
  <c r="CZ144" i="51"/>
  <c r="BM29" i="53"/>
  <c r="BU52" i="55"/>
  <c r="BM16" i="53"/>
  <c r="CI17" i="55"/>
  <c r="CM18" i="55"/>
  <c r="BI15" i="53"/>
  <c r="CA73" i="51"/>
  <c r="BP51" i="53"/>
  <c r="BN24" i="53"/>
  <c r="AV23" i="55"/>
  <c r="BO55" i="53"/>
  <c r="CA44" i="51"/>
  <c r="BC22" i="55"/>
  <c r="CN13" i="53"/>
  <c r="BU43" i="51"/>
  <c r="BY35" i="51"/>
  <c r="CK30" i="53"/>
  <c r="AU50" i="55"/>
  <c r="BP51" i="55"/>
  <c r="DI163" i="51"/>
  <c r="CE30" i="53"/>
  <c r="BJ48" i="55"/>
  <c r="DC149" i="51"/>
  <c r="AZ52" i="55"/>
  <c r="BI55" i="53"/>
  <c r="BS26" i="53"/>
  <c r="DH151" i="51"/>
  <c r="BQ41" i="53"/>
  <c r="CP27" i="51"/>
  <c r="BZ18" i="55"/>
  <c r="CD43" i="51"/>
  <c r="CB27" i="53"/>
  <c r="AW26" i="53"/>
  <c r="BN13" i="53"/>
  <c r="CB34" i="55"/>
  <c r="BJ46" i="53"/>
  <c r="BA45" i="53"/>
  <c r="AX59" i="55"/>
  <c r="AZ49" i="53"/>
  <c r="BJ27" i="53"/>
  <c r="CT92" i="51"/>
  <c r="CE52" i="53"/>
  <c r="CN55" i="55"/>
  <c r="BV50" i="53"/>
  <c r="CF35" i="53"/>
  <c r="CN25" i="53"/>
  <c r="AZ38" i="55"/>
  <c r="CL24" i="55"/>
  <c r="CL14" i="55"/>
  <c r="DM42" i="51"/>
  <c r="CJ21" i="55"/>
  <c r="CL26" i="55"/>
  <c r="CE74" i="51"/>
  <c r="BT158" i="51"/>
  <c r="BY11" i="55"/>
  <c r="BI51" i="53"/>
  <c r="CA11" i="55"/>
  <c r="DE19" i="51"/>
  <c r="BM49" i="55"/>
  <c r="CD134" i="51"/>
  <c r="CC13" i="53"/>
  <c r="CO136" i="51"/>
  <c r="CX40" i="51"/>
  <c r="BR32" i="53"/>
  <c r="BK58" i="53"/>
  <c r="BU143" i="51"/>
  <c r="BQ50" i="53"/>
  <c r="CS154" i="51"/>
  <c r="CL30" i="55"/>
  <c r="CO55" i="53"/>
  <c r="CB16" i="53"/>
  <c r="BX33" i="55"/>
  <c r="DF131" i="51"/>
  <c r="BR42" i="55"/>
  <c r="CK40" i="51"/>
  <c r="AV18" i="53"/>
  <c r="BC40" i="55"/>
  <c r="BN37" i="53"/>
  <c r="CI38" i="55"/>
  <c r="DA89" i="51"/>
  <c r="BZ39" i="53"/>
  <c r="AY59" i="55"/>
  <c r="DB32" i="51"/>
  <c r="BI55" i="55"/>
  <c r="BX12" i="53"/>
  <c r="BP22" i="55"/>
  <c r="CI24" i="53"/>
  <c r="BT57" i="53"/>
  <c r="BP130" i="51"/>
  <c r="DA139" i="51"/>
  <c r="CE11" i="53"/>
  <c r="BV50" i="55"/>
  <c r="DB143" i="51"/>
  <c r="BJ22" i="55"/>
  <c r="AY19" i="55"/>
  <c r="CK11" i="53"/>
  <c r="BD37" i="55"/>
  <c r="CP26" i="55"/>
  <c r="DI147" i="51"/>
  <c r="BC35" i="53"/>
  <c r="AU52" i="53"/>
  <c r="BS38" i="55"/>
  <c r="BU42" i="55"/>
  <c r="CI139" i="51"/>
  <c r="CL12" i="53"/>
  <c r="CD77" i="51"/>
  <c r="CL39" i="53"/>
  <c r="CW142" i="51"/>
  <c r="CD28" i="55"/>
  <c r="DL151" i="51"/>
  <c r="CN13" i="55"/>
  <c r="BZ87" i="51"/>
  <c r="BZ18" i="53"/>
  <c r="CO19" i="53"/>
  <c r="CW138" i="51"/>
  <c r="CJ46" i="55"/>
  <c r="CJ130" i="51"/>
  <c r="BX162" i="51"/>
  <c r="CC31" i="53"/>
  <c r="BT37" i="51"/>
  <c r="CE55" i="55"/>
  <c r="CP44" i="53"/>
  <c r="AV46" i="55"/>
  <c r="AZ43" i="55"/>
  <c r="CM45" i="53"/>
  <c r="CQ151" i="51"/>
  <c r="CA136" i="51"/>
  <c r="DM52" i="51"/>
  <c r="CB23" i="55"/>
  <c r="CF163" i="51"/>
  <c r="CG142" i="51"/>
  <c r="CP35" i="55"/>
  <c r="BG15" i="53"/>
  <c r="BE42" i="55"/>
  <c r="CY89" i="51"/>
  <c r="BW32" i="53"/>
  <c r="BY43" i="53"/>
  <c r="CZ40" i="51"/>
  <c r="BH51" i="55"/>
  <c r="BX34" i="55"/>
  <c r="BM22" i="53"/>
  <c r="CB52" i="55"/>
  <c r="CC75" i="51"/>
  <c r="AX25" i="55"/>
  <c r="CP30" i="55"/>
  <c r="CA28" i="51"/>
  <c r="BB42" i="55"/>
  <c r="BS10" i="55"/>
  <c r="CW140" i="51"/>
  <c r="BU128" i="51"/>
  <c r="BV44" i="53"/>
  <c r="CL43" i="53"/>
  <c r="CD25" i="55"/>
  <c r="BU36" i="55"/>
  <c r="BB55" i="55"/>
  <c r="BM58" i="55"/>
  <c r="CP32" i="55"/>
  <c r="BV11" i="55"/>
  <c r="AZ36" i="53"/>
  <c r="AV29" i="53"/>
  <c r="BO30" i="53"/>
  <c r="CP50" i="53"/>
  <c r="DF41" i="51"/>
  <c r="AX23" i="53"/>
  <c r="CZ33" i="51"/>
  <c r="BL24" i="55"/>
  <c r="AV24" i="53"/>
  <c r="CF44" i="51"/>
  <c r="CF33" i="51"/>
  <c r="CF14" i="55"/>
  <c r="AW41" i="55"/>
  <c r="CI37" i="55"/>
  <c r="BE51" i="53"/>
  <c r="BM48" i="55"/>
  <c r="AZ29" i="53"/>
  <c r="CF52" i="53"/>
  <c r="AV47" i="53"/>
  <c r="BH23" i="53"/>
  <c r="BE14" i="55"/>
  <c r="BZ21" i="51"/>
  <c r="CP155" i="51"/>
  <c r="AZ25" i="53"/>
  <c r="CV33" i="51"/>
  <c r="BO27" i="53"/>
  <c r="CZ121" i="51"/>
  <c r="CM51" i="51"/>
  <c r="DH158" i="51"/>
  <c r="BV32" i="51"/>
  <c r="BQ150" i="51"/>
  <c r="BJ14" i="55"/>
  <c r="CV37" i="51"/>
  <c r="BF41" i="55"/>
  <c r="CL85" i="51"/>
  <c r="CN40" i="53"/>
  <c r="BD31" i="53"/>
  <c r="BO36" i="55"/>
  <c r="CU25" i="51"/>
  <c r="BQ54" i="53"/>
  <c r="BC44" i="55"/>
  <c r="BK24" i="55"/>
  <c r="CI134" i="51"/>
  <c r="CH48" i="51"/>
  <c r="BO36" i="53"/>
  <c r="CZ148" i="51"/>
  <c r="CA17" i="53"/>
  <c r="CE41" i="53"/>
  <c r="DH138" i="51"/>
  <c r="DJ145" i="51"/>
  <c r="BR155" i="51"/>
  <c r="DE26" i="51"/>
  <c r="CK155" i="51"/>
  <c r="BN42" i="55"/>
  <c r="BL49" i="55"/>
  <c r="CG20" i="55"/>
  <c r="CE37" i="53"/>
  <c r="CG50" i="55"/>
  <c r="CK75" i="51"/>
  <c r="CP76" i="51"/>
  <c r="BQ52" i="53"/>
  <c r="CR152" i="51"/>
  <c r="CM135" i="51"/>
  <c r="BZ41" i="55"/>
  <c r="BY38" i="53"/>
  <c r="CN24" i="55"/>
  <c r="AW50" i="55"/>
  <c r="BG30" i="53"/>
  <c r="DJ27" i="51"/>
  <c r="CM145" i="51"/>
  <c r="CY21" i="51"/>
  <c r="CS103" i="51"/>
  <c r="CC37" i="53"/>
  <c r="DD129" i="51"/>
  <c r="CK36" i="55"/>
  <c r="BN39" i="55"/>
  <c r="BC59" i="53"/>
  <c r="BY153" i="51"/>
  <c r="BP57" i="53"/>
  <c r="CE16" i="53"/>
  <c r="BQ49" i="51"/>
  <c r="CJ33" i="55"/>
  <c r="AW57" i="55"/>
  <c r="AV35" i="53"/>
  <c r="CE24" i="55"/>
  <c r="CQ91" i="51"/>
  <c r="BV35" i="53"/>
  <c r="BB24" i="53"/>
  <c r="AX42" i="55"/>
  <c r="BP12" i="53"/>
  <c r="BC58" i="53"/>
  <c r="BT25" i="55"/>
  <c r="BB58" i="55"/>
  <c r="CH169" i="51"/>
  <c r="AT50" i="53"/>
  <c r="AU21" i="53"/>
  <c r="BO25" i="53"/>
  <c r="BZ47" i="51"/>
  <c r="BE35" i="55"/>
  <c r="BD53" i="55"/>
  <c r="CM131" i="51"/>
  <c r="BX14" i="53"/>
  <c r="DL88" i="51"/>
  <c r="BQ80" i="51"/>
  <c r="CE18" i="53"/>
  <c r="BT49" i="55"/>
  <c r="CY140" i="51"/>
  <c r="BD15" i="53"/>
  <c r="BZ142" i="51"/>
  <c r="CG28" i="55"/>
  <c r="AU24" i="55"/>
  <c r="BL12" i="53"/>
  <c r="BQ19" i="53"/>
  <c r="CC40" i="53"/>
  <c r="BZ24" i="55"/>
  <c r="CB21" i="55"/>
  <c r="CI17" i="53"/>
  <c r="CX155" i="51"/>
  <c r="BS34" i="53"/>
  <c r="CP34" i="55"/>
  <c r="BV17" i="53"/>
  <c r="CS128" i="51"/>
  <c r="BZ30" i="55"/>
  <c r="BU33" i="53"/>
  <c r="BZ39" i="51"/>
  <c r="BU18" i="55"/>
  <c r="BE35" i="53"/>
  <c r="BT19" i="51"/>
  <c r="BO52" i="53"/>
  <c r="BW104" i="51"/>
  <c r="BE43" i="53"/>
  <c r="CN43" i="55"/>
  <c r="DJ130" i="51"/>
  <c r="BG56" i="53"/>
  <c r="BC34" i="53"/>
  <c r="BB38" i="55"/>
  <c r="CO30" i="53"/>
  <c r="CI27" i="55"/>
  <c r="BY40" i="53"/>
  <c r="BD28" i="53"/>
  <c r="DA24" i="51"/>
  <c r="CP37" i="53"/>
  <c r="BS153" i="51"/>
  <c r="BL39" i="53"/>
  <c r="AY44" i="53"/>
  <c r="BI54" i="53"/>
  <c r="AX21" i="53"/>
  <c r="CE31" i="55"/>
  <c r="CL53" i="55"/>
  <c r="BQ12" i="53"/>
  <c r="BH49" i="55"/>
  <c r="CD16" i="55"/>
  <c r="CG25" i="53"/>
  <c r="CH21" i="51"/>
  <c r="DM76" i="51"/>
  <c r="BA47" i="53"/>
  <c r="AW45" i="53"/>
  <c r="CA28" i="55"/>
  <c r="CF26" i="53"/>
  <c r="BO21" i="55"/>
  <c r="BT16" i="55"/>
  <c r="DI73" i="51"/>
  <c r="BT48" i="53"/>
  <c r="BX46" i="53"/>
  <c r="BL19" i="55"/>
  <c r="CE34" i="53"/>
  <c r="BC46" i="53"/>
  <c r="CJ10" i="53"/>
  <c r="BP19" i="55"/>
  <c r="CM58" i="53"/>
  <c r="DM53" i="51"/>
  <c r="DI132" i="51"/>
  <c r="BZ40" i="55"/>
  <c r="BR53" i="55"/>
  <c r="BL29" i="53"/>
  <c r="BP17" i="55"/>
  <c r="CB52" i="53"/>
  <c r="CV49" i="51"/>
  <c r="AZ13" i="53"/>
  <c r="AV49" i="53"/>
  <c r="BO43" i="53"/>
  <c r="BV25" i="55"/>
  <c r="DF33" i="51"/>
  <c r="CO146" i="51"/>
  <c r="BS35" i="55"/>
  <c r="BF20" i="53"/>
  <c r="BE17" i="55"/>
  <c r="CB44" i="53"/>
  <c r="BC51" i="53"/>
  <c r="BZ49" i="53"/>
  <c r="CC147" i="51"/>
  <c r="BK32" i="55"/>
  <c r="BY26" i="53"/>
  <c r="BF49" i="53"/>
  <c r="CD50" i="55"/>
  <c r="BK15" i="53"/>
  <c r="BX23" i="55"/>
  <c r="CO40" i="53"/>
  <c r="CE51" i="53"/>
  <c r="AS42" i="53"/>
  <c r="CE22" i="53"/>
  <c r="AU11" i="55"/>
  <c r="CI18" i="53"/>
  <c r="CD39" i="53"/>
  <c r="DB138" i="51"/>
  <c r="CJ36" i="53"/>
  <c r="BV136" i="51"/>
  <c r="BD29" i="53"/>
  <c r="CE150" i="51"/>
  <c r="BM36" i="53"/>
  <c r="DL154" i="51"/>
  <c r="CE155" i="51"/>
  <c r="CK13" i="53"/>
  <c r="BR132" i="51"/>
  <c r="BE26" i="53"/>
  <c r="BE22" i="53"/>
  <c r="BY10" i="53"/>
  <c r="BN39" i="53"/>
  <c r="BU133" i="51"/>
  <c r="BM37" i="53"/>
  <c r="BH17" i="55"/>
  <c r="CW120" i="51"/>
  <c r="BT38" i="51"/>
  <c r="AZ57" i="55"/>
  <c r="BS42" i="55"/>
  <c r="BO39" i="53"/>
  <c r="CH149" i="51"/>
  <c r="BI10" i="55"/>
  <c r="DK77" i="51"/>
  <c r="AT41" i="53"/>
  <c r="BA11" i="53"/>
  <c r="BP45" i="53"/>
  <c r="CQ21" i="55"/>
  <c r="BP30" i="55"/>
  <c r="CC137" i="51"/>
  <c r="CV146" i="51"/>
  <c r="CK138" i="51"/>
  <c r="CM23" i="55"/>
  <c r="AU49" i="55"/>
  <c r="CD103" i="51"/>
  <c r="BZ60" i="51"/>
  <c r="BX31" i="53"/>
  <c r="CI16" i="55"/>
  <c r="BQ17" i="55"/>
  <c r="DH154" i="51"/>
  <c r="CQ26" i="55"/>
  <c r="BT11" i="55"/>
  <c r="CE75" i="51"/>
  <c r="DF140" i="51"/>
  <c r="CG22" i="53"/>
  <c r="BP40" i="53"/>
  <c r="BI29" i="53"/>
  <c r="BQ36" i="53"/>
  <c r="CF40" i="55"/>
  <c r="CV133" i="51"/>
  <c r="CJ19" i="55"/>
  <c r="BG41" i="53"/>
  <c r="BV49" i="55"/>
  <c r="BW23" i="53"/>
  <c r="CL128" i="51"/>
  <c r="BV32" i="55"/>
  <c r="CN143" i="51"/>
  <c r="BE36" i="55"/>
  <c r="CI10" i="55"/>
  <c r="BW146" i="51"/>
  <c r="DJ146" i="51"/>
  <c r="AU19" i="55"/>
  <c r="CP172" i="51"/>
  <c r="BN36" i="55"/>
  <c r="BI24" i="53"/>
  <c r="DA97" i="51"/>
  <c r="BS34" i="55"/>
  <c r="DF78" i="51"/>
  <c r="BC30" i="53"/>
  <c r="CF45" i="53"/>
  <c r="AU42" i="53"/>
  <c r="BE19" i="53"/>
  <c r="CM25" i="53"/>
  <c r="CP48" i="55"/>
  <c r="BB12" i="53"/>
  <c r="CH174" i="51"/>
  <c r="AV38" i="55"/>
  <c r="BE38" i="53"/>
  <c r="BN27" i="55"/>
  <c r="CN134" i="51"/>
  <c r="AT22" i="53"/>
  <c r="AV10" i="55"/>
  <c r="CF96" i="51"/>
  <c r="AZ23" i="53"/>
  <c r="CQ57" i="55"/>
  <c r="DJ37" i="51"/>
  <c r="CB145" i="51"/>
  <c r="AW26" i="55"/>
  <c r="BP138" i="51"/>
  <c r="BS19" i="55"/>
  <c r="DG47" i="51"/>
  <c r="BW16" i="53"/>
  <c r="CU66" i="51"/>
  <c r="BZ88" i="51"/>
  <c r="DL116" i="51"/>
  <c r="DD48" i="51"/>
  <c r="BV139" i="51"/>
  <c r="CL27" i="51"/>
  <c r="BR34" i="53"/>
  <c r="CO54" i="53"/>
  <c r="BX57" i="55"/>
  <c r="CM31" i="53"/>
  <c r="BJ10" i="53"/>
  <c r="DM136" i="51"/>
  <c r="CE140" i="51"/>
  <c r="AT46" i="55"/>
  <c r="CB49" i="53"/>
  <c r="CS32" i="51"/>
  <c r="BV58" i="51"/>
  <c r="DB158" i="51"/>
  <c r="DL99" i="51"/>
  <c r="BJ25" i="55"/>
  <c r="CP24" i="55"/>
  <c r="BK46" i="55"/>
  <c r="CI58" i="55"/>
  <c r="AU15" i="55"/>
  <c r="AY33" i="55"/>
  <c r="CQ41" i="55"/>
  <c r="BL40" i="53"/>
  <c r="BQ34" i="55"/>
  <c r="CI52" i="55"/>
  <c r="CE136" i="51"/>
  <c r="BO57" i="55"/>
  <c r="CK29" i="55"/>
  <c r="CO21" i="53"/>
  <c r="DA77" i="51"/>
  <c r="BD11" i="55"/>
  <c r="BV15" i="55"/>
  <c r="BF18" i="53"/>
  <c r="CM43" i="55"/>
  <c r="BA13" i="53"/>
  <c r="CW91" i="51"/>
  <c r="CQ46" i="51"/>
  <c r="DB93" i="51"/>
  <c r="DI37" i="51"/>
  <c r="BS27" i="55"/>
  <c r="CI57" i="53"/>
  <c r="BO23" i="53"/>
  <c r="BM46" i="53"/>
  <c r="CN11" i="53"/>
  <c r="BR77" i="51"/>
  <c r="DI157" i="51"/>
  <c r="BC39" i="55"/>
  <c r="BU59" i="53"/>
  <c r="BC30" i="55"/>
  <c r="CJ56" i="53"/>
  <c r="CM96" i="51"/>
  <c r="CQ162" i="51"/>
  <c r="BF19" i="53"/>
  <c r="BX130" i="51"/>
  <c r="AS20" i="53"/>
  <c r="BK11" i="55"/>
  <c r="BR16" i="53"/>
  <c r="BV24" i="51"/>
  <c r="AS59" i="53"/>
  <c r="BS25" i="55"/>
  <c r="BF10" i="55"/>
  <c r="BV36" i="53"/>
  <c r="BB38" i="53"/>
  <c r="BX21" i="53"/>
  <c r="CM16" i="53"/>
  <c r="CF18" i="53"/>
  <c r="CG33" i="55"/>
  <c r="BH21" i="55"/>
  <c r="CC74" i="51"/>
  <c r="AY23" i="53"/>
  <c r="AV52" i="53"/>
  <c r="BL50" i="55"/>
  <c r="DL34" i="51"/>
  <c r="BW39" i="53"/>
  <c r="BF56" i="53"/>
  <c r="BD19" i="55"/>
  <c r="CO34" i="55"/>
  <c r="BY54" i="53"/>
  <c r="CF16" i="55"/>
  <c r="BA43" i="55"/>
  <c r="DF21" i="51"/>
  <c r="BX30" i="55"/>
  <c r="AS10" i="53"/>
  <c r="CJ40" i="55"/>
  <c r="CE35" i="53"/>
  <c r="CI53" i="55"/>
  <c r="CO44" i="55"/>
  <c r="CG133" i="51"/>
  <c r="BP47" i="53"/>
  <c r="BR39" i="53"/>
  <c r="AY13" i="53"/>
  <c r="BX41" i="53"/>
  <c r="BK39" i="55"/>
  <c r="CO13" i="55"/>
  <c r="AZ34" i="53"/>
  <c r="CL44" i="51"/>
  <c r="BX51" i="53"/>
  <c r="CC46" i="55"/>
  <c r="BZ27" i="55"/>
  <c r="BP19" i="51"/>
  <c r="AZ25" i="55"/>
  <c r="CY27" i="51"/>
  <c r="BC11" i="55"/>
  <c r="DI156" i="51"/>
  <c r="CK24" i="53"/>
  <c r="CG134" i="51"/>
  <c r="CH32" i="53"/>
  <c r="CP143" i="51"/>
  <c r="CL53" i="53"/>
  <c r="AT59" i="53"/>
  <c r="BF21" i="53"/>
  <c r="BO25" i="55"/>
  <c r="BA24" i="53"/>
  <c r="CP40" i="55"/>
  <c r="BC38" i="55"/>
  <c r="BV58" i="55"/>
  <c r="DF74" i="51"/>
  <c r="BM47" i="53"/>
  <c r="BM36" i="55"/>
  <c r="BP45" i="51"/>
  <c r="BP149" i="51"/>
  <c r="BC53" i="53"/>
  <c r="CJ31" i="55"/>
  <c r="CP53" i="53"/>
  <c r="AW59" i="53"/>
  <c r="CA132" i="51"/>
  <c r="CH47" i="55"/>
  <c r="BM33" i="55"/>
  <c r="CL47" i="53"/>
  <c r="AV59" i="55"/>
  <c r="BX23" i="53"/>
  <c r="BS53" i="53"/>
  <c r="BO10" i="53"/>
  <c r="BT45" i="51"/>
  <c r="BQ21" i="53"/>
  <c r="BO26" i="55"/>
  <c r="CE40" i="53"/>
  <c r="BU28" i="55"/>
  <c r="CN54" i="53"/>
  <c r="BJ59" i="53"/>
  <c r="BJ57" i="53"/>
  <c r="CQ25" i="55"/>
  <c r="BU22" i="55"/>
  <c r="CY131" i="51"/>
  <c r="BH52" i="53"/>
  <c r="CL11" i="55"/>
  <c r="DE143" i="51"/>
  <c r="BI34" i="53"/>
  <c r="BN18" i="55"/>
  <c r="CG45" i="55"/>
  <c r="BK34" i="53"/>
  <c r="BX13" i="55"/>
  <c r="BL53" i="53"/>
  <c r="CL97" i="51"/>
  <c r="CN34" i="51"/>
  <c r="CC22" i="55"/>
  <c r="CP28" i="55"/>
  <c r="DM138" i="51"/>
  <c r="BG24" i="53"/>
  <c r="CK162" i="51"/>
  <c r="CJ13" i="53"/>
  <c r="BT138" i="51"/>
  <c r="CP50" i="55"/>
  <c r="CJ18" i="55"/>
  <c r="BF54" i="53"/>
  <c r="DJ76" i="51"/>
  <c r="BH47" i="55"/>
  <c r="BX13" i="53"/>
  <c r="CP24" i="53"/>
  <c r="CF46" i="55"/>
  <c r="CB36" i="55"/>
  <c r="BO27" i="55"/>
  <c r="CO52" i="55"/>
  <c r="AT53" i="53"/>
  <c r="AV32" i="53"/>
  <c r="DD139" i="51"/>
  <c r="CR24" i="51"/>
  <c r="BR43" i="55"/>
  <c r="DC146" i="51"/>
  <c r="BC52" i="53"/>
  <c r="BH34" i="53"/>
  <c r="DF97" i="51"/>
  <c r="BX43" i="51"/>
  <c r="BN41" i="53"/>
  <c r="CA86" i="51"/>
  <c r="CP51" i="51"/>
  <c r="BW32" i="55"/>
  <c r="AW58" i="55"/>
  <c r="DH136" i="51"/>
  <c r="CG58" i="53"/>
  <c r="CJ148" i="51"/>
  <c r="BO54" i="55"/>
  <c r="CL35" i="53"/>
  <c r="DF133" i="51"/>
  <c r="AT43" i="55"/>
  <c r="AY45" i="55"/>
  <c r="BS30" i="55"/>
  <c r="BS20" i="55"/>
  <c r="CW24" i="51"/>
  <c r="BI50" i="53"/>
  <c r="BE28" i="55"/>
  <c r="CV132" i="51"/>
  <c r="BU38" i="53"/>
  <c r="CQ58" i="55"/>
  <c r="BK43" i="55"/>
  <c r="BF50" i="53"/>
  <c r="BX34" i="53"/>
  <c r="BG25" i="53"/>
  <c r="CO43" i="55"/>
  <c r="BG52" i="55"/>
  <c r="AX40" i="53"/>
  <c r="DH139" i="51"/>
  <c r="BP22" i="51"/>
  <c r="BQ27" i="55"/>
  <c r="BT42" i="53"/>
  <c r="AX55" i="53"/>
  <c r="BG29" i="53"/>
  <c r="BH45" i="53"/>
  <c r="DC29" i="51"/>
  <c r="CP14" i="53"/>
  <c r="CM28" i="55"/>
  <c r="CP30" i="53"/>
  <c r="CF41" i="55"/>
  <c r="CM31" i="55"/>
  <c r="BA11" i="55"/>
  <c r="AV55" i="53"/>
  <c r="CJ26" i="55"/>
  <c r="AW14" i="53"/>
  <c r="CN57" i="55"/>
  <c r="BD52" i="55"/>
  <c r="CL24" i="53"/>
  <c r="CU156" i="51"/>
  <c r="CH146" i="51"/>
  <c r="BC32" i="53"/>
  <c r="CG53" i="55"/>
  <c r="CH85" i="51"/>
  <c r="CA96" i="51"/>
  <c r="BS37" i="55"/>
  <c r="CI92" i="51"/>
  <c r="CU27" i="51"/>
  <c r="BW144" i="51"/>
  <c r="BR36" i="51"/>
  <c r="DE101" i="51"/>
  <c r="DA129" i="51"/>
  <c r="CX82" i="51"/>
  <c r="BR17" i="55"/>
  <c r="BS32" i="55"/>
  <c r="BB37" i="55"/>
  <c r="BW143" i="51"/>
  <c r="BR27" i="55"/>
  <c r="CN19" i="55"/>
  <c r="CU141" i="51"/>
  <c r="AW53" i="53"/>
  <c r="CT79" i="51"/>
  <c r="CC128" i="51"/>
  <c r="CI23" i="51"/>
  <c r="DK139" i="51"/>
  <c r="BS77" i="51"/>
  <c r="BP147" i="51"/>
  <c r="BK27" i="55"/>
  <c r="CF58" i="55"/>
  <c r="CX23" i="51"/>
  <c r="CF40" i="51"/>
  <c r="CD35" i="53"/>
  <c r="AZ33" i="53"/>
  <c r="BO34" i="53"/>
  <c r="AW40" i="53"/>
  <c r="DI129" i="51"/>
  <c r="DM75" i="51"/>
  <c r="DC144" i="51"/>
  <c r="CH51" i="53"/>
  <c r="BB57" i="55"/>
  <c r="DG142" i="51"/>
  <c r="BX27" i="51"/>
  <c r="AZ57" i="53"/>
  <c r="CD36" i="55"/>
  <c r="BP13" i="55"/>
  <c r="CI56" i="53"/>
  <c r="BE30" i="53"/>
  <c r="CN43" i="53"/>
  <c r="CU136" i="51"/>
  <c r="CD40" i="55"/>
  <c r="BT76" i="51"/>
  <c r="CZ155" i="51"/>
  <c r="BZ149" i="51"/>
  <c r="BY41" i="55"/>
  <c r="CP59" i="55"/>
  <c r="CN90" i="51"/>
  <c r="DL28" i="51"/>
  <c r="AU18" i="53"/>
  <c r="BX132" i="51"/>
  <c r="BM25" i="55"/>
  <c r="CF29" i="53"/>
  <c r="BR58" i="53"/>
  <c r="BA23" i="53"/>
  <c r="BR17" i="53"/>
  <c r="CK27" i="51"/>
  <c r="CJ78" i="51"/>
  <c r="AX22" i="53"/>
  <c r="BW18" i="53"/>
  <c r="BZ58" i="55"/>
  <c r="CK174" i="51"/>
  <c r="CO38" i="55"/>
  <c r="BL44" i="53"/>
  <c r="BG29" i="55"/>
  <c r="CF36" i="53"/>
  <c r="CC25" i="55"/>
  <c r="BQ95" i="51"/>
  <c r="CE52" i="55"/>
  <c r="BU78" i="51"/>
  <c r="AS49" i="53"/>
  <c r="DC38" i="51"/>
  <c r="CG84" i="51"/>
  <c r="DJ29" i="51"/>
  <c r="BV45" i="51"/>
  <c r="AZ48" i="53"/>
  <c r="CB15" i="55"/>
  <c r="BV147" i="51"/>
  <c r="AV55" i="55"/>
  <c r="BZ46" i="53"/>
  <c r="DD44" i="51"/>
  <c r="CJ42" i="51"/>
  <c r="AS22" i="53"/>
  <c r="BD33" i="53"/>
  <c r="BU147" i="51"/>
  <c r="AW16" i="53"/>
  <c r="DI173" i="51"/>
  <c r="BA58" i="55"/>
  <c r="CP37" i="55"/>
  <c r="BT56" i="53"/>
  <c r="BM49" i="53"/>
  <c r="BO18" i="55"/>
  <c r="AZ10" i="53"/>
  <c r="CD49" i="53"/>
  <c r="CI11" i="55"/>
  <c r="CE13" i="55"/>
  <c r="BI54" i="55"/>
  <c r="CW131" i="51"/>
  <c r="DD144" i="51"/>
  <c r="CO36" i="55"/>
  <c r="BD43" i="55"/>
  <c r="CP41" i="55"/>
  <c r="CL59" i="53"/>
  <c r="CV29" i="51"/>
  <c r="BO33" i="53"/>
  <c r="BQ156" i="51"/>
  <c r="AY56" i="55"/>
  <c r="BU44" i="55"/>
  <c r="CH56" i="55"/>
  <c r="AU28" i="53"/>
  <c r="CY74" i="51"/>
  <c r="BH55" i="53"/>
  <c r="CG54" i="53"/>
  <c r="CQ33" i="55"/>
  <c r="CL41" i="55"/>
  <c r="AV56" i="55"/>
  <c r="CH41" i="53"/>
  <c r="BV129" i="51"/>
  <c r="BY35" i="55"/>
  <c r="BU31" i="55"/>
  <c r="BZ152" i="51"/>
  <c r="DJ129" i="51"/>
  <c r="CX25" i="51"/>
  <c r="CB132" i="51"/>
  <c r="CM103" i="51"/>
  <c r="AV23" i="53"/>
  <c r="AX12" i="53"/>
  <c r="BQ59" i="53"/>
  <c r="CI39" i="53"/>
  <c r="CY132" i="51"/>
  <c r="CO24" i="51"/>
  <c r="BK47" i="55"/>
  <c r="DA103" i="51"/>
  <c r="AU20" i="53"/>
  <c r="BJ50" i="53"/>
  <c r="BA44" i="55"/>
  <c r="CJ32" i="55"/>
  <c r="AX55" i="55"/>
  <c r="AY55" i="53"/>
  <c r="DH82" i="51"/>
  <c r="CM53" i="53"/>
  <c r="BS133" i="51"/>
  <c r="AW31" i="53"/>
  <c r="CR155" i="51"/>
  <c r="CK56" i="55"/>
  <c r="CU129" i="51"/>
  <c r="DD140" i="51"/>
  <c r="BR49" i="55"/>
  <c r="BT47" i="55"/>
  <c r="BL59" i="53"/>
  <c r="CM55" i="53"/>
  <c r="BO19" i="55"/>
  <c r="CV142" i="51"/>
  <c r="CJ60" i="51"/>
  <c r="CB47" i="53"/>
  <c r="CF21" i="53"/>
  <c r="CD148" i="51"/>
  <c r="CK31" i="53"/>
  <c r="AX36" i="53"/>
  <c r="CS130" i="51"/>
  <c r="CH55" i="53"/>
  <c r="DB38" i="51"/>
  <c r="DF24" i="51"/>
  <c r="BK15" i="55"/>
  <c r="BQ53" i="53"/>
  <c r="BI18" i="55"/>
  <c r="CT28" i="51"/>
  <c r="CA38" i="55"/>
  <c r="CK53" i="55"/>
  <c r="BP29" i="55"/>
  <c r="CN38" i="55"/>
  <c r="DL155" i="51"/>
  <c r="CK136" i="51"/>
  <c r="BX10" i="55"/>
  <c r="CS136" i="51"/>
  <c r="BR50" i="55"/>
  <c r="CF13" i="53"/>
  <c r="BT26" i="53"/>
  <c r="BW49" i="55"/>
  <c r="BX131" i="51"/>
  <c r="CW83" i="51"/>
  <c r="CG51" i="55"/>
  <c r="CP38" i="53"/>
  <c r="CO30" i="51"/>
  <c r="CH48" i="53"/>
  <c r="BP53" i="55"/>
  <c r="CL45" i="55"/>
  <c r="CD133" i="51"/>
  <c r="BU25" i="55"/>
  <c r="DC90" i="51"/>
  <c r="DL50" i="51"/>
  <c r="BC14" i="53"/>
  <c r="BS140" i="51"/>
  <c r="DL62" i="51"/>
  <c r="BN25" i="55"/>
  <c r="CI76" i="51"/>
  <c r="CT128" i="51"/>
  <c r="BZ55" i="53"/>
  <c r="BI41" i="55"/>
  <c r="BK57" i="55"/>
  <c r="BO21" i="53"/>
  <c r="BF15" i="53"/>
  <c r="CC13" i="55"/>
  <c r="DH135" i="51"/>
  <c r="CP28" i="53"/>
  <c r="CK24" i="55"/>
  <c r="CF23" i="55"/>
  <c r="CZ45" i="51"/>
  <c r="AU34" i="55"/>
  <c r="AZ10" i="55"/>
  <c r="BI59" i="55"/>
  <c r="CK42" i="55"/>
  <c r="BX155" i="51"/>
  <c r="BL13" i="53"/>
  <c r="BC57" i="55"/>
  <c r="AU46" i="55"/>
  <c r="CK31" i="55"/>
  <c r="CL33" i="55"/>
  <c r="BG20" i="53"/>
  <c r="CF138" i="51"/>
  <c r="BC42" i="53"/>
  <c r="BI17" i="55"/>
  <c r="CM59" i="55"/>
  <c r="BE54" i="55"/>
  <c r="CW23" i="51"/>
  <c r="BE41" i="55"/>
  <c r="CO45" i="53"/>
  <c r="DB37" i="51"/>
  <c r="DJ151" i="51"/>
  <c r="BG58" i="55"/>
  <c r="CS148" i="51"/>
  <c r="CN128" i="51"/>
  <c r="BV40" i="53"/>
  <c r="BY52" i="53"/>
  <c r="CB35" i="55"/>
  <c r="CC35" i="55"/>
  <c r="BP133" i="51"/>
  <c r="CM158" i="51"/>
  <c r="BN47" i="53"/>
  <c r="BZ10" i="55"/>
  <c r="BW57" i="55"/>
  <c r="BT92" i="51"/>
  <c r="CM34" i="55"/>
  <c r="AV56" i="53"/>
  <c r="BL23" i="53"/>
  <c r="BR73" i="51"/>
  <c r="BN53" i="53"/>
  <c r="BF15" i="55"/>
  <c r="BN43" i="55"/>
  <c r="CE15" i="53"/>
  <c r="CA20" i="55"/>
  <c r="BM10" i="53"/>
  <c r="BY20" i="55"/>
  <c r="DF76" i="51"/>
  <c r="CD156" i="51"/>
  <c r="CX142" i="51"/>
  <c r="CL161" i="51"/>
  <c r="CA173" i="51"/>
  <c r="AX18" i="55"/>
  <c r="CE137" i="51"/>
  <c r="DJ73" i="51"/>
  <c r="DC176" i="51"/>
  <c r="CK91" i="51"/>
  <c r="BQ104" i="51"/>
  <c r="DB103" i="51"/>
  <c r="CP26" i="53"/>
  <c r="BS54" i="55"/>
  <c r="BT19" i="55"/>
  <c r="BL26" i="55"/>
  <c r="CF25" i="55"/>
  <c r="DB36" i="51"/>
  <c r="CE26" i="53"/>
  <c r="CP142" i="51"/>
  <c r="CX21" i="51"/>
  <c r="AX13" i="55"/>
  <c r="CJ151" i="51"/>
  <c r="CX46" i="51"/>
  <c r="CD26" i="55"/>
  <c r="DE158" i="51"/>
  <c r="DE168" i="51"/>
  <c r="CC27" i="55"/>
  <c r="BO28" i="53"/>
  <c r="BW23" i="51"/>
  <c r="BB37" i="53"/>
  <c r="CC42" i="53"/>
  <c r="CD55" i="55"/>
  <c r="CI47" i="51"/>
  <c r="BT30" i="55"/>
  <c r="CD48" i="51"/>
  <c r="BW21" i="55"/>
  <c r="CJ57" i="55"/>
  <c r="BR58" i="55"/>
  <c r="BN23" i="55"/>
  <c r="CD29" i="55"/>
  <c r="DG159" i="51"/>
  <c r="CA46" i="53"/>
  <c r="CD26" i="53"/>
  <c r="DD157" i="51"/>
  <c r="CB19" i="53"/>
  <c r="BF18" i="55"/>
  <c r="CD43" i="55"/>
  <c r="DG147" i="51"/>
  <c r="BP56" i="55"/>
  <c r="DH144" i="51"/>
  <c r="BE24" i="53"/>
  <c r="CO32" i="53"/>
  <c r="BA41" i="55"/>
  <c r="BQ56" i="55"/>
  <c r="DL163" i="51"/>
  <c r="CD17" i="53"/>
  <c r="CZ130" i="51"/>
  <c r="BN21" i="53"/>
  <c r="BW20" i="55"/>
  <c r="CA25" i="55"/>
  <c r="BU47" i="53"/>
  <c r="CQ39" i="55"/>
  <c r="CC165" i="51"/>
  <c r="CE133" i="51"/>
  <c r="AT13" i="55"/>
  <c r="AY52" i="53"/>
  <c r="CE42" i="55"/>
  <c r="DH90" i="51"/>
  <c r="BP37" i="55"/>
  <c r="DG144" i="51"/>
  <c r="BX42" i="53"/>
  <c r="CC50" i="53"/>
  <c r="BR151" i="51"/>
  <c r="CL31" i="55"/>
  <c r="BU37" i="55"/>
  <c r="BN55" i="53"/>
  <c r="CB143" i="51"/>
  <c r="BM34" i="53"/>
  <c r="CD42" i="53"/>
  <c r="BM30" i="55"/>
  <c r="AZ34" i="55"/>
  <c r="CC55" i="55"/>
  <c r="CE134" i="51"/>
  <c r="BU34" i="51"/>
  <c r="AW22" i="53"/>
  <c r="BO58" i="53"/>
  <c r="AY54" i="53"/>
  <c r="BA55" i="53"/>
  <c r="CY102" i="51"/>
  <c r="CA50" i="53"/>
  <c r="BC10" i="55"/>
  <c r="DK92" i="51"/>
  <c r="BB30" i="55"/>
  <c r="BZ35" i="53"/>
  <c r="BE21" i="53"/>
  <c r="CK19" i="55"/>
  <c r="CD35" i="55"/>
  <c r="AX43" i="53"/>
  <c r="AX36" i="55"/>
  <c r="CN28" i="55"/>
  <c r="BZ16" i="53"/>
  <c r="BY22" i="53"/>
  <c r="CA46" i="55"/>
  <c r="BZ11" i="55"/>
  <c r="DF161" i="51"/>
  <c r="CB38" i="53"/>
  <c r="CL16" i="53"/>
  <c r="BV57" i="53"/>
  <c r="CC130" i="51"/>
  <c r="CI11" i="53"/>
  <c r="CJ34" i="53"/>
  <c r="DD156" i="51"/>
  <c r="BO16" i="53"/>
  <c r="CL31" i="53"/>
  <c r="DE81" i="51"/>
  <c r="CA48" i="55"/>
  <c r="CE57" i="55"/>
  <c r="CK40" i="53"/>
  <c r="BG52" i="53"/>
  <c r="BA46" i="55"/>
  <c r="CD34" i="55"/>
  <c r="BD21" i="53"/>
  <c r="CC42" i="55"/>
  <c r="CA45" i="53"/>
  <c r="CY94" i="51"/>
  <c r="BJ56" i="55"/>
  <c r="DF153" i="51"/>
  <c r="CE46" i="53"/>
  <c r="BW130" i="51"/>
  <c r="BO35" i="55"/>
  <c r="CC89" i="51"/>
  <c r="CR26" i="51"/>
  <c r="BA22" i="53"/>
  <c r="BT137" i="51"/>
  <c r="BR14" i="55"/>
  <c r="CH16" i="53"/>
  <c r="CU139" i="51"/>
  <c r="BX52" i="55"/>
  <c r="CG32" i="53"/>
  <c r="BL56" i="53"/>
  <c r="BD46" i="53"/>
  <c r="BB40" i="55"/>
  <c r="BQ38" i="51"/>
  <c r="BX146" i="51"/>
  <c r="BJ52" i="55"/>
  <c r="CM11" i="55"/>
  <c r="CB21" i="53"/>
  <c r="CC56" i="53"/>
  <c r="BA50" i="53"/>
  <c r="AU50" i="53"/>
  <c r="CP47" i="55"/>
  <c r="BW33" i="53"/>
  <c r="CJ32" i="51"/>
  <c r="BU41" i="53"/>
  <c r="BX128" i="51"/>
  <c r="DF130" i="51"/>
  <c r="CI21" i="53"/>
  <c r="CF41" i="53"/>
  <c r="AX10" i="55"/>
  <c r="BY12" i="53"/>
  <c r="BK27" i="53"/>
  <c r="BZ10" i="53"/>
  <c r="BY27" i="53"/>
  <c r="BP23" i="55"/>
  <c r="DI40" i="51"/>
  <c r="CI29" i="53"/>
  <c r="AX37" i="55"/>
  <c r="CY133" i="51"/>
  <c r="DK18" i="51"/>
  <c r="CB40" i="55"/>
  <c r="CY150" i="51"/>
  <c r="BL46" i="55"/>
  <c r="BN56" i="55"/>
  <c r="BK57" i="53"/>
  <c r="CV40" i="51"/>
  <c r="BO32" i="55"/>
  <c r="CI20" i="53"/>
  <c r="CA37" i="53"/>
  <c r="BX17" i="55"/>
  <c r="AT46" i="53"/>
  <c r="BN20" i="55"/>
  <c r="CH25" i="55"/>
  <c r="CJ25" i="53"/>
  <c r="BU150" i="51"/>
  <c r="BS43" i="55"/>
  <c r="CO59" i="53"/>
  <c r="DG22" i="51"/>
  <c r="BN49" i="55"/>
  <c r="CM50" i="55"/>
  <c r="AU26" i="55"/>
  <c r="CO138" i="51"/>
  <c r="CJ73" i="51"/>
  <c r="DB129" i="51"/>
  <c r="CH56" i="53"/>
  <c r="CA41" i="53"/>
  <c r="CC26" i="53"/>
  <c r="BX59" i="53"/>
  <c r="BK18" i="55"/>
  <c r="CO18" i="53"/>
  <c r="DG75" i="51"/>
  <c r="BX11" i="55"/>
  <c r="BZ54" i="55"/>
  <c r="CG91" i="51"/>
  <c r="BA40" i="53"/>
  <c r="AT55" i="55"/>
  <c r="CQ39" i="51"/>
  <c r="CP58" i="53"/>
  <c r="AW32" i="53"/>
  <c r="DI165" i="51"/>
  <c r="CK158" i="51"/>
  <c r="BU36" i="53"/>
  <c r="BD10" i="55"/>
  <c r="BL57" i="55"/>
  <c r="CG31" i="55"/>
  <c r="BE39" i="55"/>
  <c r="BN46" i="53"/>
  <c r="BS21" i="53"/>
  <c r="DA141" i="51"/>
  <c r="BR59" i="51"/>
  <c r="CJ168" i="51"/>
  <c r="BU20" i="51"/>
  <c r="BY101" i="51"/>
  <c r="BE36" i="53"/>
  <c r="DF23" i="51"/>
  <c r="CO28" i="53"/>
  <c r="BO18" i="53"/>
  <c r="CG22" i="51"/>
  <c r="BG59" i="55"/>
  <c r="CL86" i="51"/>
  <c r="CQ31" i="51"/>
  <c r="BJ54" i="53"/>
  <c r="CK44" i="51"/>
  <c r="BM41" i="55"/>
  <c r="CC39" i="55"/>
  <c r="DF43" i="51"/>
  <c r="AX14" i="53"/>
  <c r="BP25" i="55"/>
  <c r="CE157" i="51"/>
  <c r="CL40" i="53"/>
  <c r="CL39" i="51"/>
  <c r="BU51" i="55"/>
  <c r="BQ49" i="55"/>
  <c r="BT12" i="53"/>
  <c r="BU49" i="53"/>
  <c r="BX47" i="51"/>
  <c r="CC32" i="53"/>
  <c r="BK47" i="53"/>
  <c r="BH38" i="53"/>
  <c r="BB47" i="55"/>
  <c r="DC35" i="51"/>
  <c r="BX42" i="51"/>
  <c r="BI38" i="53"/>
  <c r="BM53" i="53"/>
  <c r="AX16" i="53"/>
  <c r="CE145" i="51"/>
  <c r="BH42" i="55"/>
  <c r="BT40" i="55"/>
  <c r="CZ158" i="51"/>
  <c r="BS23" i="55"/>
  <c r="BA42" i="55"/>
  <c r="BJ20" i="55"/>
  <c r="AZ41" i="55"/>
  <c r="DD73" i="51"/>
  <c r="CC34" i="55"/>
  <c r="DB130" i="51"/>
  <c r="BX10" i="53"/>
  <c r="CA18" i="53"/>
  <c r="BJ48" i="53"/>
  <c r="CO19" i="55"/>
  <c r="BP148" i="51"/>
  <c r="CM142" i="51"/>
  <c r="BU87" i="51"/>
  <c r="CE19" i="55"/>
  <c r="BG39" i="55"/>
  <c r="CL40" i="51"/>
  <c r="AV31" i="53"/>
  <c r="CG38" i="51"/>
  <c r="BW58" i="55"/>
  <c r="BX32" i="55"/>
  <c r="AT48" i="55"/>
  <c r="CE35" i="55"/>
  <c r="BY24" i="55"/>
  <c r="CI53" i="53"/>
  <c r="BM34" i="55"/>
  <c r="BP164" i="51"/>
  <c r="BV45" i="55"/>
  <c r="CH42" i="53"/>
  <c r="BV24" i="55"/>
  <c r="BI37" i="53"/>
  <c r="CS138" i="51"/>
  <c r="BP20" i="53"/>
  <c r="CZ157" i="51"/>
  <c r="BW38" i="53"/>
  <c r="CB144" i="51"/>
  <c r="BT42" i="51"/>
  <c r="CM10" i="55"/>
  <c r="BC46" i="55"/>
  <c r="BD18" i="53"/>
  <c r="AZ45" i="55"/>
  <c r="BP32" i="55"/>
  <c r="AZ35" i="55"/>
  <c r="CE58" i="55"/>
  <c r="BB36" i="53"/>
  <c r="CH27" i="51"/>
  <c r="BR154" i="51"/>
  <c r="CI136" i="51"/>
  <c r="BR177" i="51"/>
  <c r="BZ55" i="55"/>
  <c r="CR151" i="51"/>
  <c r="BX82" i="51"/>
  <c r="BT18" i="53"/>
  <c r="CQ51" i="55"/>
  <c r="DD149" i="51"/>
  <c r="CJ31" i="53"/>
  <c r="BM18" i="53"/>
  <c r="BP18" i="55"/>
  <c r="DB132" i="51"/>
  <c r="CJ32" i="53"/>
  <c r="BY17" i="55"/>
  <c r="CD53" i="53"/>
  <c r="BP41" i="53"/>
  <c r="BP45" i="55"/>
  <c r="CK157" i="51"/>
  <c r="BE30" i="55"/>
  <c r="DL22" i="51"/>
  <c r="BQ13" i="53"/>
  <c r="BE32" i="55"/>
  <c r="BN12" i="53"/>
  <c r="CM57" i="55"/>
  <c r="CH44" i="55"/>
  <c r="BZ19" i="53"/>
  <c r="CN15" i="55"/>
  <c r="BJ17" i="53"/>
  <c r="BN44" i="55"/>
  <c r="BX53" i="55"/>
  <c r="CH37" i="53"/>
  <c r="CF59" i="53"/>
  <c r="CI14" i="53"/>
  <c r="BR56" i="53"/>
  <c r="CF42" i="53"/>
  <c r="BO15" i="53"/>
  <c r="BG44" i="53"/>
  <c r="CZ132" i="51"/>
  <c r="CH139" i="51"/>
  <c r="CA131" i="51"/>
  <c r="CI104" i="51"/>
  <c r="CM27" i="53"/>
  <c r="AT54" i="55"/>
  <c r="CV73" i="51"/>
  <c r="CJ57" i="53"/>
  <c r="BC55" i="53"/>
  <c r="BI21" i="53"/>
  <c r="CG132" i="51"/>
  <c r="CL57" i="53"/>
  <c r="CE59" i="53"/>
  <c r="BT129" i="51"/>
  <c r="AZ35" i="53"/>
  <c r="AT55" i="53"/>
  <c r="BN25" i="53"/>
  <c r="CH20" i="53"/>
  <c r="BO59" i="55"/>
  <c r="BE53" i="53"/>
  <c r="BY55" i="53"/>
  <c r="CB11" i="55"/>
  <c r="CL10" i="53"/>
  <c r="AS58" i="53"/>
  <c r="AT27" i="55"/>
  <c r="CG78" i="51"/>
  <c r="CC12" i="53"/>
  <c r="CO101" i="51"/>
  <c r="BP28" i="53"/>
  <c r="BP11" i="53"/>
  <c r="BY39" i="53"/>
  <c r="BZ28" i="51"/>
  <c r="BQ57" i="55"/>
  <c r="CX174" i="51"/>
  <c r="BF13" i="53"/>
  <c r="DE74" i="51"/>
  <c r="DD96" i="51"/>
  <c r="CN139" i="51"/>
  <c r="CC36" i="55"/>
  <c r="BK17" i="53"/>
  <c r="BS38" i="53"/>
  <c r="AY53" i="53"/>
  <c r="CM91" i="51"/>
  <c r="CO45" i="55"/>
  <c r="CV41" i="51"/>
  <c r="BE54" i="53"/>
  <c r="AW23" i="53"/>
  <c r="AS43" i="53"/>
  <c r="CL23" i="53"/>
  <c r="BB26" i="55"/>
  <c r="BT51" i="55"/>
  <c r="DK130" i="51"/>
  <c r="CL41" i="51"/>
  <c r="BF35" i="53"/>
  <c r="CM46" i="53"/>
  <c r="DA39" i="51"/>
  <c r="BZ34" i="55"/>
  <c r="BM23" i="53"/>
  <c r="AT18" i="53"/>
  <c r="CA22" i="53"/>
  <c r="BM16" i="55"/>
  <c r="BL17" i="55"/>
  <c r="CC154" i="51"/>
  <c r="BY31" i="53"/>
  <c r="BJ31" i="53"/>
  <c r="DB165" i="51"/>
  <c r="DJ137" i="51"/>
  <c r="AY58" i="55"/>
  <c r="CJ48" i="51"/>
  <c r="CG23" i="51"/>
  <c r="AV24" i="55"/>
  <c r="BS24" i="55"/>
  <c r="CZ166" i="51"/>
  <c r="BX58" i="53"/>
  <c r="CQ174" i="51"/>
  <c r="BV128" i="51"/>
  <c r="CW151" i="51"/>
  <c r="CC44" i="53"/>
  <c r="BR52" i="53"/>
  <c r="BR40" i="55"/>
  <c r="CQ22" i="55"/>
  <c r="BP40" i="55"/>
  <c r="CQ14" i="55"/>
  <c r="DA47" i="51"/>
  <c r="CI130" i="51"/>
  <c r="DK43" i="51"/>
  <c r="CC43" i="51"/>
  <c r="AY35" i="55"/>
  <c r="BM39" i="53"/>
  <c r="BH56" i="55"/>
  <c r="DD145" i="51"/>
  <c r="BN53" i="55"/>
  <c r="AV19" i="55"/>
  <c r="CI19" i="55"/>
  <c r="CK135" i="51"/>
  <c r="BG40" i="55"/>
  <c r="BZ145" i="51"/>
  <c r="BT165" i="51"/>
  <c r="CP43" i="51"/>
  <c r="BP15" i="53"/>
  <c r="BE41" i="53"/>
  <c r="CD55" i="53"/>
  <c r="CO40" i="51"/>
  <c r="CE27" i="55"/>
  <c r="CN74" i="51"/>
  <c r="BV83" i="51"/>
  <c r="CF95" i="51"/>
  <c r="DE144" i="51"/>
  <c r="CV145" i="51"/>
  <c r="CU133" i="51"/>
  <c r="CF41" i="51"/>
  <c r="CP47" i="53"/>
  <c r="BQ30" i="55"/>
  <c r="CP48" i="53"/>
  <c r="AW49" i="55"/>
  <c r="CG154" i="51"/>
  <c r="AX56" i="53"/>
  <c r="BY128" i="51"/>
  <c r="CN53" i="55"/>
  <c r="CY155" i="51"/>
  <c r="BL28" i="55"/>
  <c r="AV52" i="55"/>
  <c r="CB41" i="53"/>
  <c r="CY144" i="51"/>
  <c r="DJ77" i="51"/>
  <c r="BT57" i="55"/>
  <c r="BS59" i="53"/>
  <c r="BI34" i="55"/>
  <c r="DK40" i="51"/>
  <c r="BW150" i="51"/>
  <c r="CE139" i="51"/>
  <c r="CM22" i="53"/>
  <c r="BC49" i="55"/>
  <c r="CZ46" i="51"/>
  <c r="BZ44" i="53"/>
  <c r="CD46" i="53"/>
  <c r="DH99" i="51"/>
  <c r="CS36" i="51"/>
  <c r="CK10" i="55"/>
  <c r="CA22" i="51"/>
  <c r="CC18" i="51"/>
  <c r="BR47" i="51"/>
  <c r="CM77" i="51"/>
  <c r="CH49" i="53"/>
  <c r="BY36" i="53"/>
  <c r="CZ135" i="51"/>
  <c r="CV147" i="51"/>
  <c r="BU18" i="53"/>
  <c r="BW12" i="53"/>
  <c r="CW32" i="51"/>
  <c r="BA10" i="53"/>
  <c r="CJ161" i="51"/>
  <c r="BC25" i="55"/>
  <c r="CA53" i="55"/>
  <c r="BF54" i="55"/>
  <c r="BT43" i="55"/>
  <c r="DM74" i="51"/>
  <c r="BY16" i="53"/>
  <c r="BX50" i="53"/>
  <c r="CD154" i="51"/>
  <c r="CN32" i="55"/>
  <c r="BG54" i="53"/>
  <c r="DD155" i="51"/>
  <c r="DD20" i="51"/>
  <c r="BG37" i="55"/>
  <c r="BJ17" i="55"/>
  <c r="CH33" i="53"/>
  <c r="BY23" i="53"/>
  <c r="DC97" i="51"/>
  <c r="CH50" i="53"/>
  <c r="CM13" i="55"/>
  <c r="CL38" i="53"/>
  <c r="CD50" i="53"/>
  <c r="CG40" i="55"/>
  <c r="BX36" i="55"/>
  <c r="BE50" i="53"/>
  <c r="BH52" i="55"/>
  <c r="BK49" i="53"/>
  <c r="BC44" i="53"/>
  <c r="BR21" i="53"/>
  <c r="BL30" i="55"/>
  <c r="AT26" i="53"/>
  <c r="BW128" i="51"/>
  <c r="CF43" i="51"/>
  <c r="AV42" i="55"/>
  <c r="CJ133" i="51"/>
  <c r="CE89" i="51"/>
  <c r="CQ50" i="55"/>
  <c r="CQ128" i="51"/>
  <c r="BT53" i="53"/>
  <c r="BZ53" i="53"/>
  <c r="CM138" i="51"/>
  <c r="CM42" i="55"/>
  <c r="BE24" i="55"/>
  <c r="CG11" i="55"/>
  <c r="CJ43" i="53"/>
  <c r="CB40" i="53"/>
  <c r="BH25" i="53"/>
  <c r="BC33" i="53"/>
  <c r="BQ21" i="55"/>
  <c r="CX95" i="51"/>
  <c r="CO32" i="55"/>
  <c r="DA144" i="51"/>
  <c r="BD30" i="53"/>
  <c r="CP11" i="55"/>
  <c r="AZ29" i="55"/>
  <c r="BG39" i="53"/>
  <c r="CF59" i="55"/>
  <c r="CC15" i="53"/>
  <c r="CB78" i="51"/>
  <c r="CP29" i="53"/>
  <c r="CO31" i="55"/>
  <c r="BW21" i="53"/>
  <c r="CO147" i="51"/>
  <c r="CE50" i="53"/>
  <c r="CI150" i="51"/>
  <c r="CD158" i="51"/>
  <c r="BH49" i="53"/>
  <c r="BX49" i="55"/>
  <c r="AV14" i="53"/>
  <c r="CR158" i="51"/>
  <c r="CG136" i="51"/>
  <c r="BT35" i="55"/>
  <c r="BX53" i="53"/>
  <c r="BI43" i="53"/>
  <c r="AZ52" i="53"/>
  <c r="CH18" i="53"/>
  <c r="BA48" i="55"/>
  <c r="AX57" i="53"/>
  <c r="CG131" i="51"/>
  <c r="BJ25" i="53"/>
  <c r="CK37" i="55"/>
  <c r="CT132" i="51"/>
  <c r="CG16" i="53"/>
  <c r="DB74" i="51"/>
  <c r="BQ57" i="53"/>
  <c r="AX15" i="55"/>
  <c r="CE57" i="53"/>
  <c r="CI33" i="55"/>
  <c r="BG16" i="53"/>
  <c r="CH35" i="53"/>
  <c r="CU19" i="51"/>
  <c r="BB48" i="55"/>
  <c r="CG39" i="53"/>
  <c r="BV54" i="53"/>
  <c r="BT50" i="53"/>
  <c r="CO49" i="53"/>
  <c r="BK56" i="53"/>
  <c r="CL42" i="53"/>
  <c r="BD13" i="53"/>
  <c r="CG15" i="53"/>
  <c r="BZ29" i="53"/>
  <c r="CJ160" i="51"/>
  <c r="CP27" i="55"/>
  <c r="DC130" i="51"/>
  <c r="BW56" i="53"/>
  <c r="BK43" i="53"/>
  <c r="BG49" i="53"/>
  <c r="CH150" i="51"/>
  <c r="CY79" i="51"/>
  <c r="CJ39" i="53"/>
  <c r="BU24" i="55"/>
  <c r="AV13" i="53"/>
  <c r="BJ30" i="53"/>
  <c r="BF47" i="53"/>
  <c r="DK37" i="51"/>
  <c r="BO41" i="53"/>
  <c r="BN10" i="53"/>
  <c r="BI36" i="53"/>
  <c r="BQ48" i="53"/>
  <c r="CE58" i="53"/>
  <c r="BR48" i="53"/>
  <c r="CW132" i="51"/>
  <c r="CP54" i="53"/>
  <c r="CD147" i="51"/>
  <c r="AW48" i="55"/>
  <c r="CJ14" i="53"/>
  <c r="BA50" i="55"/>
  <c r="CB31" i="55"/>
  <c r="BB58" i="53"/>
  <c r="CQ17" i="55"/>
  <c r="CL46" i="55"/>
  <c r="DB128" i="51"/>
  <c r="BT130" i="51"/>
  <c r="AV48" i="55"/>
  <c r="AY26" i="55"/>
  <c r="BN42" i="53"/>
  <c r="AV13" i="55"/>
  <c r="BV28" i="55"/>
  <c r="CH40" i="53"/>
  <c r="CG41" i="51"/>
  <c r="CE28" i="55"/>
  <c r="BJ34" i="55"/>
  <c r="BD58" i="53"/>
  <c r="BV52" i="53"/>
  <c r="CH22" i="53"/>
  <c r="DM147" i="51"/>
  <c r="BV75" i="51"/>
  <c r="BC54" i="53"/>
  <c r="BY33" i="53"/>
  <c r="CO154" i="51"/>
  <c r="CR131" i="51"/>
  <c r="CA137" i="51"/>
  <c r="BQ25" i="55"/>
  <c r="BL39" i="55"/>
  <c r="BH32" i="55"/>
  <c r="BQ47" i="55"/>
  <c r="BA38" i="53"/>
  <c r="CJ35" i="53"/>
  <c r="BW36" i="53"/>
  <c r="BV19" i="55"/>
  <c r="CL163" i="51"/>
  <c r="BV76" i="51"/>
  <c r="DM146" i="51"/>
  <c r="CZ156" i="51"/>
  <c r="BO54" i="53"/>
  <c r="AT32" i="53"/>
  <c r="BT43" i="53"/>
  <c r="BS136" i="51"/>
  <c r="BY57" i="55"/>
  <c r="BH41" i="53"/>
  <c r="CD86" i="51"/>
  <c r="CE128" i="51"/>
  <c r="CO158" i="51"/>
  <c r="CM48" i="55"/>
  <c r="AU16" i="53"/>
  <c r="CB59" i="53"/>
  <c r="CC45" i="53"/>
  <c r="CB134" i="51"/>
  <c r="BV35" i="51"/>
  <c r="BZ135" i="51"/>
  <c r="CC54" i="55"/>
  <c r="AW27" i="53"/>
  <c r="BR51" i="53"/>
  <c r="CU146" i="51"/>
  <c r="CD34" i="53"/>
  <c r="CE55" i="53"/>
  <c r="CE31" i="53"/>
  <c r="CO58" i="55"/>
  <c r="CC49" i="51"/>
  <c r="AW30" i="55"/>
  <c r="CC25" i="53"/>
  <c r="BC23" i="53"/>
  <c r="CE37" i="55"/>
  <c r="BK44" i="53"/>
  <c r="BC37" i="53"/>
  <c r="DF135" i="51"/>
  <c r="CE16" i="55"/>
  <c r="DE149" i="51"/>
  <c r="CJ153" i="51"/>
  <c r="CB33" i="55"/>
  <c r="BR159" i="51"/>
  <c r="BD26" i="53"/>
  <c r="BS131" i="51"/>
  <c r="BY129" i="51"/>
  <c r="CN32" i="53"/>
  <c r="AX17" i="53"/>
  <c r="CB55" i="53"/>
  <c r="DK103" i="51"/>
  <c r="AS46" i="53"/>
  <c r="CI148" i="51"/>
  <c r="BN54" i="55"/>
  <c r="AT10" i="55"/>
  <c r="AV53" i="53"/>
  <c r="CD100" i="51"/>
  <c r="CO26" i="55"/>
  <c r="AU48" i="53"/>
  <c r="AW43" i="53"/>
  <c r="BR59" i="55"/>
  <c r="CD36" i="51"/>
  <c r="BK26" i="53"/>
  <c r="CJ36" i="55"/>
  <c r="AW37" i="53"/>
  <c r="BM57" i="53"/>
  <c r="CC27" i="53"/>
  <c r="CW157" i="51"/>
  <c r="AT34" i="55"/>
  <c r="DJ158" i="51"/>
  <c r="CY130" i="51"/>
  <c r="BS78" i="51"/>
  <c r="BE34" i="55"/>
  <c r="CF156" i="51"/>
  <c r="BQ28" i="53"/>
  <c r="AT11" i="53"/>
  <c r="AS44" i="53"/>
  <c r="BQ42" i="55"/>
  <c r="BT131" i="51"/>
  <c r="CE100" i="51"/>
  <c r="CN17" i="53"/>
  <c r="BQ36" i="51"/>
  <c r="CN19" i="53"/>
  <c r="BD32" i="55"/>
  <c r="BP34" i="55"/>
  <c r="BL19" i="53"/>
  <c r="AZ56" i="53"/>
  <c r="DG36" i="51"/>
  <c r="BU129" i="51"/>
  <c r="BZ139" i="51"/>
  <c r="CA29" i="53"/>
  <c r="CK20" i="51"/>
  <c r="CI135" i="51"/>
  <c r="CC95" i="51"/>
  <c r="BX78" i="51"/>
  <c r="BK20" i="55"/>
  <c r="BR35" i="53"/>
  <c r="CM170" i="51"/>
  <c r="CV30" i="51"/>
  <c r="DC137" i="51"/>
  <c r="CA130" i="51"/>
  <c r="BX51" i="55"/>
  <c r="BX25" i="53"/>
  <c r="CH42" i="55"/>
  <c r="AU55" i="53"/>
  <c r="CH18" i="55"/>
  <c r="BR38" i="55"/>
  <c r="BT143" i="51"/>
  <c r="CP33" i="55"/>
  <c r="CA21" i="55"/>
  <c r="BD35" i="53"/>
  <c r="BM55" i="55"/>
  <c r="DE104" i="51"/>
  <c r="BA57" i="55"/>
  <c r="BB53" i="53"/>
  <c r="CB131" i="51"/>
  <c r="CN52" i="53"/>
  <c r="CO130" i="51"/>
  <c r="BX36" i="53"/>
  <c r="CQ139" i="51"/>
  <c r="CL78" i="51"/>
  <c r="DE153" i="51"/>
  <c r="BO17" i="53"/>
  <c r="AU13" i="55"/>
  <c r="BQ25" i="53"/>
  <c r="CO24" i="53"/>
  <c r="BK11" i="53"/>
  <c r="BV18" i="53"/>
  <c r="BX81" i="51"/>
  <c r="AT30" i="53"/>
  <c r="CM21" i="53"/>
  <c r="CM20" i="53"/>
  <c r="CP129" i="51"/>
  <c r="CB16" i="55"/>
  <c r="CP151" i="51"/>
  <c r="CP16" i="55"/>
  <c r="AU57" i="53"/>
  <c r="BQ29" i="55"/>
  <c r="BP55" i="55"/>
  <c r="AZ14" i="55"/>
  <c r="BE55" i="55"/>
  <c r="CH44" i="53"/>
  <c r="CJ159" i="51"/>
  <c r="CD37" i="51"/>
  <c r="CM43" i="53"/>
  <c r="BK32" i="53"/>
  <c r="AY58" i="53"/>
  <c r="CT87" i="51"/>
  <c r="CP55" i="51"/>
  <c r="CN47" i="53"/>
  <c r="CN53" i="53"/>
  <c r="BZ78" i="51"/>
  <c r="CF167" i="51"/>
  <c r="BA35" i="53"/>
  <c r="CY166" i="51"/>
  <c r="CB12" i="53"/>
  <c r="BV51" i="53"/>
  <c r="CA13" i="53"/>
  <c r="CK74" i="51"/>
  <c r="CJ49" i="53"/>
  <c r="CA34" i="53"/>
  <c r="BY51" i="55"/>
  <c r="AY11" i="55"/>
  <c r="AX34" i="53"/>
  <c r="CI47" i="53"/>
  <c r="DC128" i="51"/>
  <c r="CK49" i="55"/>
  <c r="CF20" i="55"/>
  <c r="CB45" i="53"/>
  <c r="CE22" i="51"/>
  <c r="BK18" i="53"/>
  <c r="BD59" i="53"/>
  <c r="AX45" i="53"/>
  <c r="BZ155" i="51"/>
  <c r="BH21" i="53"/>
  <c r="BS55" i="55"/>
  <c r="BK31" i="53"/>
  <c r="CZ146" i="51"/>
  <c r="BS33" i="55"/>
  <c r="CD18" i="53"/>
  <c r="BX43" i="55"/>
  <c r="BM28" i="53"/>
  <c r="BJ43" i="53"/>
  <c r="BY17" i="53"/>
  <c r="BZ93" i="51"/>
  <c r="CC41" i="53"/>
  <c r="CY141" i="51"/>
  <c r="CO22" i="53"/>
  <c r="CB50" i="53"/>
  <c r="AV19" i="53"/>
  <c r="CA153" i="51"/>
  <c r="DA142" i="51"/>
  <c r="BE27" i="53"/>
  <c r="BS35" i="53"/>
  <c r="CD46" i="55"/>
  <c r="BZ94" i="51"/>
  <c r="BH57" i="53"/>
  <c r="CJ46" i="53"/>
  <c r="BI47" i="55"/>
  <c r="BT24" i="55"/>
  <c r="BG12" i="53"/>
  <c r="CP41" i="53"/>
  <c r="CD32" i="53"/>
  <c r="CW30" i="51"/>
  <c r="AT49" i="53"/>
  <c r="BM59" i="53"/>
  <c r="CV143" i="51"/>
  <c r="CI50" i="53"/>
  <c r="CE49" i="53"/>
  <c r="AT51" i="53"/>
  <c r="CE53" i="53"/>
  <c r="BO57" i="53"/>
  <c r="BC27" i="53"/>
  <c r="CK128" i="51"/>
  <c r="BA28" i="53"/>
  <c r="DE164" i="51"/>
  <c r="CK11" i="55"/>
  <c r="CD56" i="53"/>
  <c r="CA78" i="51"/>
  <c r="CA170" i="51"/>
  <c r="CW46" i="51"/>
  <c r="DM45" i="51"/>
  <c r="BX56" i="55"/>
  <c r="DK137" i="51"/>
  <c r="BT43" i="51"/>
  <c r="CE36" i="55"/>
  <c r="AW55" i="55"/>
  <c r="CF10" i="53"/>
  <c r="AV27" i="55"/>
  <c r="DM132" i="51"/>
  <c r="CK21" i="53"/>
  <c r="CO48" i="55"/>
  <c r="CF27" i="51"/>
  <c r="BL32" i="53"/>
  <c r="BM53" i="55"/>
  <c r="BI59" i="53"/>
  <c r="BI23" i="55"/>
  <c r="CD36" i="53"/>
  <c r="BU73" i="51"/>
  <c r="CP43" i="53"/>
  <c r="CK146" i="51"/>
  <c r="DG130" i="51"/>
  <c r="BJ32" i="53"/>
  <c r="CF16" i="53"/>
  <c r="BA39" i="55"/>
  <c r="BF31" i="53"/>
  <c r="BT23" i="53"/>
  <c r="CA10" i="53"/>
  <c r="AW21" i="53"/>
  <c r="CI25" i="55"/>
  <c r="CK140" i="51"/>
  <c r="CT150" i="51"/>
  <c r="CC14" i="53"/>
  <c r="CF24" i="51"/>
  <c r="DA148" i="51"/>
  <c r="BC31" i="53"/>
  <c r="BX31" i="55"/>
  <c r="BS58" i="55"/>
  <c r="DH76" i="51"/>
  <c r="CL76" i="51"/>
  <c r="CA174" i="51"/>
  <c r="CL54" i="55"/>
  <c r="DM73" i="51"/>
  <c r="CM12" i="55"/>
  <c r="CC32" i="55"/>
  <c r="BO38" i="53"/>
  <c r="CL87" i="51"/>
  <c r="CJ55" i="53"/>
  <c r="CX134" i="51"/>
  <c r="BI52" i="53"/>
  <c r="CH16" i="55"/>
  <c r="CO16" i="55"/>
  <c r="CL140" i="51"/>
  <c r="CI10" i="53"/>
  <c r="CF17" i="55"/>
  <c r="CC22" i="53"/>
  <c r="CH159" i="51"/>
  <c r="BA16" i="53"/>
  <c r="DA79" i="51"/>
  <c r="AU18" i="55"/>
  <c r="CM33" i="53"/>
  <c r="CI59" i="53"/>
  <c r="CN26" i="53"/>
  <c r="CL56" i="53"/>
  <c r="BH31" i="53"/>
  <c r="AT39" i="53"/>
  <c r="BW48" i="53"/>
  <c r="CL45" i="53"/>
  <c r="DI46" i="51"/>
  <c r="AT45" i="53"/>
  <c r="BE11" i="55"/>
  <c r="AW53" i="55"/>
  <c r="CL13" i="53"/>
  <c r="AT43" i="53"/>
  <c r="CO41" i="55"/>
  <c r="CL11" i="53"/>
  <c r="CK57" i="53"/>
  <c r="BW155" i="51"/>
  <c r="DD133" i="51"/>
  <c r="BX45" i="53"/>
  <c r="CJ53" i="55"/>
  <c r="BP34" i="53"/>
  <c r="BV21" i="51"/>
  <c r="BQ51" i="55"/>
  <c r="BJ39" i="55"/>
  <c r="BR45" i="53"/>
  <c r="BC48" i="53"/>
  <c r="AV40" i="53"/>
  <c r="DJ133" i="51"/>
  <c r="BL17" i="53"/>
  <c r="BF16" i="53"/>
  <c r="BH37" i="53"/>
  <c r="CE73" i="51"/>
  <c r="BN23" i="53"/>
  <c r="CC43" i="53"/>
  <c r="BG16" i="55"/>
  <c r="BZ17" i="53"/>
  <c r="BX73" i="51"/>
  <c r="BD40" i="55"/>
  <c r="CC15" i="55"/>
  <c r="BK28" i="53"/>
  <c r="DJ153" i="51"/>
  <c r="AV46" i="53"/>
  <c r="BR23" i="53"/>
  <c r="BQ26" i="53"/>
  <c r="AW41" i="53"/>
  <c r="BN30" i="53"/>
  <c r="BI44" i="53"/>
  <c r="DM25" i="51"/>
  <c r="BJ42" i="53"/>
  <c r="AX48" i="53"/>
  <c r="BU39" i="53"/>
  <c r="CO153" i="51"/>
  <c r="AZ39" i="55"/>
  <c r="CP176" i="51"/>
  <c r="CD53" i="55"/>
  <c r="BW73" i="51"/>
  <c r="BD49" i="55"/>
  <c r="BZ11" i="53"/>
  <c r="BR128" i="51"/>
  <c r="CI29" i="55"/>
  <c r="AZ20" i="55"/>
  <c r="CD39" i="55"/>
  <c r="CW136" i="51"/>
  <c r="DG74" i="51"/>
  <c r="BQ29" i="53"/>
  <c r="BG34" i="55"/>
  <c r="DJ34" i="51"/>
  <c r="BR60" i="51"/>
  <c r="AZ42" i="55"/>
  <c r="CF11" i="55"/>
  <c r="BS146" i="51"/>
  <c r="BQ43" i="53"/>
  <c r="BB56" i="53"/>
  <c r="AZ26" i="55"/>
  <c r="CI23" i="55"/>
  <c r="BQ31" i="51"/>
  <c r="CV141" i="51"/>
  <c r="BQ20" i="55"/>
  <c r="BG36" i="55"/>
  <c r="AU51" i="53"/>
  <c r="CD30" i="53"/>
  <c r="CT130" i="51"/>
  <c r="CP40" i="51"/>
  <c r="CG23" i="53"/>
  <c r="BH25" i="55"/>
  <c r="CO53" i="53"/>
  <c r="BC22" i="53"/>
  <c r="AX20" i="55"/>
  <c r="CJ131" i="51"/>
  <c r="BU41" i="55"/>
  <c r="BX27" i="55"/>
  <c r="AU14" i="53"/>
  <c r="DB151" i="51"/>
  <c r="AV38" i="53"/>
  <c r="BY27" i="51"/>
  <c r="BJ36" i="53"/>
  <c r="CM21" i="55"/>
  <c r="CB26" i="55"/>
  <c r="BP53" i="53"/>
  <c r="AV34" i="55"/>
  <c r="CK27" i="55"/>
  <c r="CT171" i="51"/>
  <c r="DA22" i="51"/>
  <c r="AV51" i="53"/>
  <c r="AV22" i="53"/>
  <c r="BN59" i="53"/>
  <c r="CY78" i="51"/>
  <c r="BR24" i="55"/>
  <c r="AT35" i="55"/>
  <c r="CC58" i="55"/>
  <c r="CJ58" i="55"/>
  <c r="DM38" i="51"/>
  <c r="CK18" i="53"/>
  <c r="BW30" i="53"/>
  <c r="AW34" i="55"/>
  <c r="AT48" i="53"/>
  <c r="CP39" i="51"/>
  <c r="CX31" i="51"/>
  <c r="CG101" i="51"/>
  <c r="BU13" i="55"/>
  <c r="CC36" i="53"/>
  <c r="CS28" i="51"/>
  <c r="CK143" i="51"/>
  <c r="CR144" i="51"/>
  <c r="CK20" i="53"/>
  <c r="BV19" i="53"/>
  <c r="CU23" i="51"/>
  <c r="CJ24" i="53"/>
  <c r="CJ30" i="53"/>
  <c r="AS12" i="53"/>
  <c r="BF24" i="55"/>
  <c r="BT18" i="51"/>
  <c r="BZ20" i="55"/>
  <c r="CF51" i="53"/>
  <c r="DL90" i="51"/>
  <c r="CL18" i="55"/>
  <c r="BZ102" i="51"/>
  <c r="BY29" i="53"/>
  <c r="CL26" i="53"/>
  <c r="BX98" i="51"/>
  <c r="BH47" i="53"/>
  <c r="CP15" i="53"/>
  <c r="BM13" i="55"/>
  <c r="BY30" i="53"/>
  <c r="CQ133" i="51"/>
  <c r="BU17" i="53"/>
  <c r="BO24" i="53"/>
  <c r="BZ44" i="55"/>
  <c r="DG151" i="51"/>
  <c r="CO39" i="55"/>
  <c r="CM44" i="53"/>
  <c r="BK39" i="53"/>
  <c r="AW37" i="55"/>
  <c r="BV21" i="53"/>
  <c r="CI158" i="51"/>
  <c r="CZ159" i="51"/>
  <c r="BT44" i="53"/>
  <c r="CG44" i="55"/>
  <c r="BY52" i="55"/>
  <c r="CQ155" i="51"/>
  <c r="AY44" i="55"/>
  <c r="BT55" i="55"/>
  <c r="AT52" i="55"/>
  <c r="AT20" i="53"/>
  <c r="CD24" i="55"/>
  <c r="CU154" i="51"/>
  <c r="CL51" i="51"/>
  <c r="CH48" i="55"/>
  <c r="CP41" i="51"/>
  <c r="BS52" i="55"/>
  <c r="BO58" i="55"/>
  <c r="DL132" i="51"/>
  <c r="DD153" i="51"/>
  <c r="CV134" i="51"/>
  <c r="BP34" i="51"/>
  <c r="AW35" i="55"/>
  <c r="BA35" i="55"/>
  <c r="CA99" i="51"/>
  <c r="BU46" i="55"/>
  <c r="DF19" i="51"/>
  <c r="CW100" i="51"/>
  <c r="AS19" i="53"/>
  <c r="CH128" i="51"/>
  <c r="CM50" i="53"/>
  <c r="CQ16" i="55"/>
  <c r="BF45" i="53"/>
  <c r="CD47" i="53"/>
  <c r="CM57" i="53"/>
  <c r="CK48" i="53"/>
  <c r="DH141" i="51"/>
  <c r="CR29" i="51"/>
  <c r="BT59" i="53"/>
  <c r="DH173" i="51"/>
  <c r="CP25" i="55"/>
  <c r="CT133" i="51"/>
  <c r="DA131" i="51"/>
  <c r="BP128" i="51"/>
  <c r="BH19" i="53"/>
  <c r="BP21" i="53"/>
  <c r="CC53" i="55"/>
  <c r="CQ56" i="55"/>
  <c r="CB34" i="53"/>
  <c r="CL15" i="55"/>
  <c r="CW133" i="51"/>
  <c r="BQ10" i="55"/>
  <c r="AT17" i="53"/>
  <c r="CL28" i="51"/>
  <c r="BD29" i="55"/>
  <c r="CG40" i="53"/>
  <c r="CF57" i="53"/>
  <c r="BZ20" i="51"/>
  <c r="BG58" i="53"/>
  <c r="BG35" i="53"/>
  <c r="CN59" i="53"/>
  <c r="DE159" i="51"/>
  <c r="BP33" i="53"/>
  <c r="DA145" i="51"/>
  <c r="CP22" i="55"/>
  <c r="AZ28" i="55"/>
  <c r="CF31" i="55"/>
  <c r="BW27" i="53"/>
  <c r="CB44" i="55"/>
  <c r="BY46" i="53"/>
  <c r="BK29" i="53"/>
  <c r="BE18" i="55"/>
  <c r="AT37" i="53"/>
  <c r="DD117" i="51"/>
  <c r="CJ38" i="53"/>
  <c r="AY10" i="53"/>
  <c r="BG10" i="53"/>
  <c r="BE45" i="53"/>
  <c r="BA45" i="55"/>
  <c r="BI31" i="55"/>
  <c r="CQ78" i="51"/>
  <c r="BM41" i="53"/>
  <c r="AU45" i="53"/>
  <c r="CG140" i="51"/>
  <c r="CC47" i="55"/>
  <c r="BH38" i="55"/>
  <c r="BI25" i="55"/>
  <c r="CO155" i="51"/>
  <c r="CA23" i="51"/>
  <c r="CJ14" i="55"/>
  <c r="BF40" i="53"/>
  <c r="CV22" i="51"/>
  <c r="BU38" i="55"/>
  <c r="BY21" i="55"/>
  <c r="BM51" i="53"/>
  <c r="CE158" i="51"/>
  <c r="CE36" i="53"/>
  <c r="AX11" i="53"/>
  <c r="BF57" i="55"/>
  <c r="AU39" i="53"/>
  <c r="CL137" i="51"/>
  <c r="AY40" i="53"/>
  <c r="CM44" i="55"/>
  <c r="CD19" i="53"/>
  <c r="BL15" i="53"/>
  <c r="BP42" i="55"/>
  <c r="CK59" i="53"/>
  <c r="BT58" i="53"/>
  <c r="BY33" i="55"/>
  <c r="CF14" i="53"/>
  <c r="BE33" i="53"/>
  <c r="CJ51" i="53"/>
  <c r="BO37" i="53"/>
  <c r="BA26" i="53"/>
  <c r="BZ19" i="51"/>
  <c r="BC36" i="55"/>
  <c r="CM36" i="53"/>
  <c r="CD135" i="51"/>
  <c r="CE146" i="51"/>
  <c r="BU46" i="51"/>
  <c r="CI94" i="51"/>
  <c r="CG23" i="55"/>
  <c r="BX57" i="53"/>
  <c r="BN58" i="53"/>
  <c r="BT25" i="53"/>
  <c r="BR25" i="55"/>
  <c r="CC23" i="53"/>
  <c r="CH46" i="55"/>
  <c r="AS45" i="53"/>
  <c r="BT31" i="55"/>
  <c r="CP16" i="53"/>
  <c r="CK30" i="55"/>
  <c r="BC13" i="53"/>
  <c r="BG57" i="53"/>
  <c r="BA31" i="53"/>
  <c r="BE22" i="55"/>
  <c r="BZ22" i="51"/>
  <c r="CK57" i="55"/>
  <c r="BL52" i="55"/>
  <c r="CU35" i="51"/>
  <c r="CK54" i="53"/>
  <c r="AY48" i="53"/>
  <c r="CB51" i="53"/>
  <c r="BN48" i="55"/>
  <c r="CD37" i="53"/>
  <c r="CH49" i="55"/>
  <c r="BW49" i="51"/>
  <c r="BH29" i="53"/>
  <c r="CH39" i="55"/>
  <c r="BU45" i="51"/>
  <c r="CD14" i="53"/>
  <c r="BX24" i="55"/>
  <c r="AV49" i="55"/>
  <c r="CQ13" i="55"/>
  <c r="AX44" i="53"/>
  <c r="AS36" i="53"/>
  <c r="CK129" i="51"/>
  <c r="BQ50" i="55"/>
  <c r="DC139" i="51"/>
  <c r="CM29" i="53"/>
  <c r="BA33" i="53"/>
  <c r="CF39" i="53"/>
  <c r="CK44" i="55"/>
  <c r="CA31" i="53"/>
  <c r="DL145" i="51"/>
  <c r="BM59" i="55"/>
  <c r="BA48" i="53"/>
  <c r="AV37" i="53"/>
  <c r="BH48" i="53"/>
  <c r="CT23" i="51"/>
  <c r="BA59" i="55"/>
  <c r="BN51" i="55"/>
  <c r="BX40" i="53"/>
  <c r="BN26" i="55"/>
  <c r="CN12" i="53"/>
  <c r="CB133" i="51"/>
  <c r="CX148" i="51"/>
  <c r="BJ40" i="55"/>
  <c r="BK16" i="55"/>
  <c r="CN46" i="55"/>
  <c r="CU149" i="51"/>
  <c r="CP53" i="55"/>
  <c r="CG56" i="55"/>
  <c r="BC41" i="53"/>
  <c r="AX46" i="55"/>
  <c r="CL28" i="55"/>
  <c r="CQ40" i="55"/>
  <c r="BQ20" i="53"/>
  <c r="BL38" i="55"/>
  <c r="CN31" i="55"/>
  <c r="CO29" i="53"/>
  <c r="BD16" i="53"/>
  <c r="BZ43" i="51"/>
  <c r="CQ31" i="55"/>
  <c r="CH28" i="53"/>
  <c r="CM150" i="51"/>
  <c r="BJ47" i="53"/>
  <c r="BD24" i="55"/>
  <c r="BR55" i="53"/>
  <c r="BR45" i="55"/>
  <c r="CN156" i="51"/>
  <c r="CG59" i="53"/>
  <c r="BH43" i="53"/>
  <c r="CO21" i="55"/>
  <c r="CE10" i="53"/>
  <c r="BP24" i="55"/>
  <c r="AT29" i="55"/>
  <c r="CA29" i="55"/>
  <c r="BF21" i="55"/>
  <c r="CN22" i="53"/>
  <c r="BI37" i="55"/>
  <c r="BQ31" i="55"/>
  <c r="AS34" i="53"/>
  <c r="CE131" i="51"/>
  <c r="AV36" i="53"/>
  <c r="CB51" i="55"/>
  <c r="BR33" i="55"/>
  <c r="DB82" i="51"/>
  <c r="CE162" i="51"/>
  <c r="AY22" i="53"/>
  <c r="CE40" i="51"/>
  <c r="CM51" i="53"/>
  <c r="BU44" i="51"/>
  <c r="CV175" i="51"/>
  <c r="DH19" i="51"/>
  <c r="BP55" i="53"/>
  <c r="BS176" i="51"/>
  <c r="BM44" i="55"/>
  <c r="CP31" i="53"/>
  <c r="BS54" i="53"/>
  <c r="CG135" i="51"/>
  <c r="CP44" i="55"/>
  <c r="BL55" i="53"/>
  <c r="CD23" i="53"/>
  <c r="CE39" i="55"/>
  <c r="BS20" i="53"/>
  <c r="BC28" i="53"/>
  <c r="DL142" i="51"/>
  <c r="CY32" i="51"/>
  <c r="BV137" i="51"/>
  <c r="BD50" i="55"/>
  <c r="BO55" i="55"/>
  <c r="CD17" i="55"/>
  <c r="CP43" i="55"/>
  <c r="BR38" i="53"/>
  <c r="CJ27" i="55"/>
  <c r="CP29" i="55"/>
  <c r="BZ28" i="53"/>
  <c r="AX16" i="55"/>
  <c r="BS57" i="55"/>
  <c r="BK30" i="53"/>
  <c r="DK134" i="51"/>
  <c r="DK128" i="51"/>
  <c r="BY21" i="53"/>
  <c r="CO78" i="51"/>
  <c r="BP16" i="53"/>
  <c r="CC90" i="51"/>
  <c r="CX153" i="51"/>
  <c r="BI21" i="55"/>
  <c r="BT22" i="55"/>
  <c r="BM12" i="53"/>
  <c r="DJ132" i="51"/>
  <c r="BF44" i="55"/>
  <c r="CC18" i="53"/>
  <c r="CK34" i="53"/>
  <c r="BR29" i="51"/>
  <c r="AW46" i="55"/>
  <c r="BH11" i="55"/>
  <c r="CK41" i="53"/>
  <c r="BW35" i="53"/>
  <c r="DA130" i="51"/>
  <c r="DM62" i="51"/>
  <c r="BC18" i="55"/>
  <c r="DA159" i="51"/>
  <c r="CT135" i="51"/>
  <c r="CQ54" i="55"/>
  <c r="BJ46" i="55"/>
  <c r="AX41" i="53"/>
  <c r="CL22" i="55"/>
  <c r="BW25" i="55"/>
  <c r="CJ21" i="53"/>
  <c r="BD37" i="53"/>
  <c r="CJ146" i="51"/>
  <c r="BS90" i="51"/>
  <c r="BP33" i="55"/>
  <c r="BK41" i="53"/>
  <c r="BA51" i="53"/>
  <c r="DD171" i="51"/>
  <c r="DI130" i="51"/>
  <c r="CB154" i="51"/>
  <c r="CO97" i="51"/>
  <c r="BA44" i="53"/>
  <c r="BZ49" i="51"/>
  <c r="BG28" i="53"/>
  <c r="CH26" i="53"/>
  <c r="CG34" i="55"/>
  <c r="BX47" i="53"/>
  <c r="BC48" i="55"/>
  <c r="BM47" i="55"/>
  <c r="AS23" i="53"/>
  <c r="DJ40" i="51"/>
  <c r="BN50" i="53"/>
  <c r="BS48" i="53"/>
  <c r="CN47" i="55"/>
  <c r="BT52" i="53"/>
  <c r="BA31" i="55"/>
  <c r="AW51" i="53"/>
  <c r="AY19" i="53"/>
  <c r="CB43" i="55"/>
  <c r="AV35" i="55"/>
  <c r="BA20" i="55"/>
  <c r="BJ22" i="53"/>
  <c r="CH13" i="55"/>
  <c r="BE27" i="55"/>
  <c r="DM83" i="51"/>
  <c r="CO25" i="55"/>
  <c r="CH29" i="55"/>
  <c r="BQ166" i="51"/>
  <c r="DE154" i="51"/>
  <c r="DE73" i="51"/>
  <c r="CG35" i="55"/>
  <c r="CG11" i="53"/>
  <c r="BO41" i="55"/>
  <c r="AT25" i="53"/>
  <c r="CK27" i="53"/>
  <c r="BR74" i="51"/>
  <c r="BV130" i="51"/>
  <c r="BA21" i="53"/>
  <c r="CJ58" i="53"/>
  <c r="CG128" i="51"/>
  <c r="CC16" i="55"/>
  <c r="BJ27" i="55"/>
  <c r="BG47" i="53"/>
  <c r="DA80" i="51"/>
  <c r="CM15" i="53"/>
  <c r="BN27" i="53"/>
  <c r="CJ53" i="53"/>
  <c r="CJ34" i="55"/>
  <c r="CK147" i="51"/>
  <c r="CH59" i="53"/>
  <c r="AT19" i="53"/>
  <c r="BS155" i="51"/>
  <c r="BB22" i="55"/>
  <c r="CJ40" i="53"/>
  <c r="CL51" i="53"/>
  <c r="BP35" i="51"/>
  <c r="CC131" i="51"/>
  <c r="CF50" i="55"/>
  <c r="BX129" i="51"/>
  <c r="BU14" i="53"/>
  <c r="CJ35" i="55"/>
  <c r="CM26" i="55"/>
  <c r="BW11" i="53"/>
  <c r="CF145" i="51"/>
  <c r="BJ32" i="55"/>
  <c r="BE40" i="55"/>
  <c r="BM38" i="55"/>
  <c r="CL35" i="55"/>
  <c r="BJ15" i="55"/>
  <c r="AS16" i="53"/>
  <c r="DL20" i="51"/>
  <c r="DC157" i="51"/>
  <c r="BY133" i="51"/>
  <c r="CY23" i="51"/>
  <c r="BN54" i="53"/>
  <c r="DB161" i="51"/>
  <c r="BV24" i="53"/>
  <c r="CU32" i="51"/>
  <c r="BT156" i="51"/>
  <c r="BU54" i="53"/>
  <c r="CT76" i="51"/>
  <c r="CR38" i="51"/>
  <c r="CN51" i="53"/>
  <c r="BZ54" i="53"/>
  <c r="CK58" i="53"/>
  <c r="AV11" i="55"/>
  <c r="DI133" i="51"/>
  <c r="BW43" i="51"/>
  <c r="DD21" i="51"/>
  <c r="CS145" i="51"/>
  <c r="CO143" i="51"/>
  <c r="CE135" i="51"/>
  <c r="DH131" i="51"/>
  <c r="BM18" i="55"/>
  <c r="BU16" i="55"/>
  <c r="DI159" i="51"/>
  <c r="CN73" i="51"/>
  <c r="DA29" i="51"/>
  <c r="BB36" i="55"/>
  <c r="BG50" i="55"/>
  <c r="BJ44" i="53"/>
  <c r="BE52" i="55"/>
  <c r="BV152" i="51"/>
  <c r="AZ59" i="53"/>
  <c r="CT37" i="51"/>
  <c r="BE55" i="53"/>
  <c r="BK45" i="55"/>
  <c r="CS26" i="51"/>
  <c r="BO47" i="53"/>
  <c r="BU35" i="53"/>
  <c r="CJ22" i="55"/>
  <c r="CN24" i="53"/>
  <c r="BQ48" i="55"/>
  <c r="BV29" i="55"/>
  <c r="CC24" i="53"/>
  <c r="CA129" i="51"/>
  <c r="BU19" i="55"/>
  <c r="BH45" i="55"/>
  <c r="BM31" i="55"/>
  <c r="BJ58" i="53"/>
  <c r="BX99" i="51"/>
  <c r="BT37" i="55"/>
  <c r="CE42" i="53"/>
  <c r="BO22" i="53"/>
  <c r="CK28" i="53"/>
  <c r="BZ128" i="51"/>
  <c r="BL34" i="55"/>
  <c r="CB153" i="51"/>
  <c r="BS16" i="55"/>
  <c r="CD51" i="53"/>
  <c r="BA29" i="53"/>
  <c r="CA33" i="53"/>
  <c r="AZ21" i="55"/>
  <c r="BN31" i="53"/>
  <c r="CF22" i="53"/>
  <c r="CX133" i="51"/>
  <c r="CM53" i="55"/>
  <c r="CP13" i="55"/>
  <c r="BS30" i="53"/>
  <c r="CJ11" i="55"/>
  <c r="BY59" i="53"/>
  <c r="DK132" i="51"/>
  <c r="BQ148" i="51"/>
  <c r="BZ30" i="53"/>
  <c r="BU40" i="55"/>
  <c r="CG30" i="55"/>
  <c r="BG17" i="53"/>
  <c r="BS59" i="55"/>
  <c r="CI52" i="53"/>
  <c r="CH45" i="55"/>
  <c r="CN175" i="51"/>
  <c r="AW55" i="53"/>
  <c r="DM139" i="51"/>
  <c r="BY48" i="53"/>
  <c r="BM17" i="55"/>
  <c r="BS152" i="51"/>
  <c r="CI38" i="53"/>
  <c r="BD44" i="53"/>
  <c r="CO46" i="55"/>
  <c r="BC55" i="55"/>
  <c r="AY38" i="53"/>
  <c r="BU138" i="51"/>
  <c r="AU13" i="53"/>
  <c r="CO53" i="55"/>
  <c r="BB10" i="55"/>
  <c r="CO156" i="51"/>
  <c r="BJ26" i="53"/>
  <c r="CZ139" i="51"/>
  <c r="BX133" i="51"/>
  <c r="CF53" i="55"/>
  <c r="CJ59" i="55"/>
  <c r="BN11" i="55"/>
  <c r="CM49" i="53"/>
  <c r="CO42" i="55"/>
  <c r="CE38" i="51"/>
  <c r="BN28" i="55"/>
  <c r="BN57" i="55"/>
  <c r="BX18" i="53"/>
  <c r="CP18" i="53"/>
  <c r="CV131" i="51"/>
  <c r="CI35" i="55"/>
  <c r="CK23" i="51"/>
  <c r="BA17" i="53"/>
  <c r="BQ157" i="51"/>
  <c r="CO41" i="51"/>
  <c r="AW29" i="55"/>
  <c r="CM38" i="53"/>
  <c r="AX57" i="55"/>
  <c r="DJ95" i="51"/>
  <c r="CP49" i="51"/>
  <c r="DC166" i="51"/>
  <c r="CL32" i="55"/>
  <c r="CD10" i="55"/>
  <c r="CF22" i="55"/>
  <c r="AU32" i="53"/>
  <c r="CO17" i="55"/>
  <c r="CC28" i="55"/>
  <c r="BF52" i="55"/>
  <c r="BT44" i="55"/>
  <c r="CF26" i="55"/>
  <c r="CD140" i="51"/>
  <c r="CP22" i="51"/>
  <c r="DC77" i="51"/>
  <c r="DI144" i="51"/>
  <c r="BJ20" i="53"/>
  <c r="CH58" i="53"/>
  <c r="CQ34" i="51"/>
  <c r="BR40" i="53"/>
  <c r="AU43" i="55"/>
  <c r="CN133" i="51"/>
  <c r="BA49" i="55"/>
  <c r="AZ45" i="53"/>
  <c r="BI58" i="53"/>
  <c r="CJ75" i="51"/>
  <c r="BU137" i="51"/>
  <c r="BU24" i="51"/>
  <c r="CI34" i="53"/>
  <c r="DK146" i="51"/>
  <c r="CQ134" i="51"/>
  <c r="BU100" i="51"/>
  <c r="BH14" i="55"/>
  <c r="CP51" i="55"/>
  <c r="BA20" i="53"/>
  <c r="BP140" i="51"/>
  <c r="CM155" i="51"/>
  <c r="CF142" i="51"/>
  <c r="BQ99" i="51"/>
  <c r="CG10" i="55"/>
  <c r="CK39" i="53"/>
  <c r="BP137" i="51"/>
  <c r="CE46" i="55"/>
  <c r="AY55" i="55"/>
  <c r="BV10" i="55"/>
  <c r="BF59" i="53"/>
  <c r="CV24" i="51"/>
  <c r="AV45" i="53"/>
  <c r="BP41" i="55"/>
  <c r="AV50" i="55"/>
  <c r="CO36" i="53"/>
  <c r="CP21" i="53"/>
  <c r="BY60" i="51"/>
  <c r="DE142" i="51"/>
  <c r="AW10" i="53"/>
  <c r="CE47" i="55"/>
  <c r="BW47" i="55"/>
  <c r="AY12" i="53"/>
  <c r="BJ31" i="55"/>
  <c r="BD47" i="53"/>
  <c r="CG155" i="51"/>
  <c r="CU134" i="51"/>
  <c r="BS154" i="51"/>
  <c r="AZ55" i="55"/>
  <c r="BK59" i="55"/>
  <c r="AV39" i="55"/>
  <c r="BJ23" i="53"/>
  <c r="BP25" i="53"/>
  <c r="AU36" i="53"/>
  <c r="CN28" i="51"/>
  <c r="DB155" i="51"/>
  <c r="AT16" i="53"/>
  <c r="AZ33" i="55"/>
  <c r="CU130" i="51"/>
  <c r="CY26" i="51"/>
  <c r="BV38" i="55"/>
  <c r="BT13" i="53"/>
  <c r="AX26" i="55"/>
  <c r="CQ27" i="55"/>
  <c r="BM31" i="53"/>
  <c r="BN22" i="55"/>
  <c r="CF21" i="55"/>
  <c r="AZ15" i="53"/>
  <c r="CB47" i="51"/>
  <c r="BP42" i="51"/>
  <c r="CH15" i="53"/>
  <c r="AX24" i="53"/>
  <c r="BF50" i="55"/>
  <c r="CI51" i="53"/>
  <c r="BS50" i="53"/>
  <c r="AW54" i="53"/>
  <c r="CA42" i="53"/>
  <c r="CG18" i="53"/>
  <c r="BR22" i="55"/>
  <c r="DJ48" i="51"/>
  <c r="BY29" i="55"/>
  <c r="BP43" i="53"/>
  <c r="BO31" i="55"/>
  <c r="DB76" i="51"/>
  <c r="BF53" i="53"/>
  <c r="BJ26" i="55"/>
  <c r="CI131" i="51"/>
  <c r="BJ51" i="53"/>
  <c r="CH77" i="51"/>
  <c r="CM17" i="53"/>
  <c r="AU17" i="55"/>
  <c r="BK10" i="53"/>
  <c r="BF33" i="53"/>
  <c r="AT57" i="55"/>
  <c r="BG59" i="53"/>
  <c r="BR146" i="51"/>
  <c r="BW47" i="51"/>
  <c r="BB49" i="53"/>
  <c r="CN10" i="53"/>
  <c r="BP48" i="55"/>
  <c r="BU132" i="51"/>
  <c r="BL43" i="53"/>
  <c r="BM21" i="53"/>
  <c r="CI30" i="55"/>
  <c r="BP26" i="55"/>
  <c r="CV77" i="51"/>
  <c r="AV20" i="53"/>
  <c r="BV40" i="55"/>
  <c r="BJ34" i="53"/>
  <c r="CN29" i="55"/>
  <c r="CA18" i="51"/>
  <c r="BK58" i="55"/>
  <c r="BS28" i="55"/>
  <c r="BF58" i="53"/>
  <c r="CD130" i="51"/>
  <c r="DF143" i="51"/>
  <c r="CN130" i="51"/>
  <c r="BJ38" i="55"/>
  <c r="CB147" i="51"/>
  <c r="DE156" i="51"/>
  <c r="BN20" i="53"/>
  <c r="BJ42" i="55"/>
  <c r="CN158" i="51"/>
  <c r="CE130" i="51"/>
  <c r="CS140" i="51"/>
  <c r="BM33" i="53"/>
  <c r="CA39" i="55"/>
  <c r="CH129" i="51"/>
  <c r="CA31" i="55"/>
  <c r="BH37" i="55"/>
  <c r="CK25" i="55"/>
  <c r="BD28" i="55"/>
  <c r="CH25" i="53"/>
  <c r="BL34" i="53"/>
  <c r="DK19" i="51"/>
  <c r="AV44" i="53"/>
  <c r="BQ93" i="51"/>
  <c r="BW77" i="51"/>
  <c r="BA22" i="55"/>
  <c r="BQ33" i="53"/>
  <c r="BK23" i="53"/>
  <c r="BG10" i="55"/>
  <c r="CN27" i="55"/>
  <c r="BG22" i="53"/>
  <c r="AY18" i="53"/>
  <c r="AT50" i="55"/>
  <c r="BE49" i="53"/>
  <c r="CJ142" i="51"/>
  <c r="DH145" i="51"/>
  <c r="DL141" i="51"/>
  <c r="BQ46" i="55"/>
  <c r="CY28" i="51"/>
  <c r="BG54" i="55"/>
  <c r="CE48" i="53"/>
  <c r="BO40" i="53"/>
  <c r="CF12" i="53"/>
  <c r="AX47" i="53"/>
  <c r="BE15" i="53"/>
  <c r="BZ131" i="51"/>
  <c r="BH15" i="53"/>
  <c r="CP19" i="55"/>
  <c r="DC131" i="51"/>
  <c r="AV28" i="53"/>
  <c r="CI32" i="53"/>
  <c r="CD155" i="51"/>
  <c r="CL30" i="53"/>
  <c r="BY50" i="55"/>
  <c r="BP131" i="51"/>
  <c r="CJ141" i="51"/>
  <c r="CD56" i="55"/>
  <c r="BR149" i="51"/>
  <c r="BY152" i="51"/>
  <c r="BO24" i="55"/>
  <c r="CG37" i="53"/>
  <c r="CR130" i="51"/>
  <c r="BK37" i="55"/>
  <c r="BH59" i="53"/>
  <c r="CG12" i="53"/>
  <c r="BM26" i="53"/>
  <c r="CH26" i="55"/>
  <c r="CA16" i="55"/>
  <c r="AW24" i="55"/>
  <c r="AU44" i="53"/>
  <c r="AT25" i="55"/>
  <c r="CE12" i="53"/>
  <c r="CL48" i="53"/>
  <c r="BY24" i="53"/>
  <c r="BB21" i="53"/>
  <c r="AT28" i="55"/>
  <c r="CL102" i="51"/>
  <c r="BD42" i="53"/>
  <c r="BB59" i="55"/>
  <c r="AU56" i="53"/>
  <c r="DL27" i="51"/>
  <c r="CD43" i="53"/>
  <c r="BS14" i="53"/>
  <c r="CR136" i="51"/>
  <c r="BD51" i="53"/>
  <c r="BT29" i="51"/>
  <c r="CG26" i="55"/>
  <c r="CO28" i="51"/>
  <c r="BE53" i="55"/>
  <c r="CO171" i="51"/>
  <c r="DJ148" i="51"/>
  <c r="AS35" i="53"/>
  <c r="CD57" i="53"/>
  <c r="CB28" i="53"/>
  <c r="BU32" i="53"/>
  <c r="CO11" i="53"/>
  <c r="BC21" i="55"/>
  <c r="BO12" i="53"/>
  <c r="CY128" i="51"/>
  <c r="DM149" i="51"/>
  <c r="CI99" i="51"/>
  <c r="BL51" i="53"/>
  <c r="CH133" i="51"/>
  <c r="BB31" i="55"/>
  <c r="BT21" i="55"/>
  <c r="CJ12" i="53"/>
  <c r="CP52" i="55"/>
  <c r="CL132" i="51"/>
  <c r="BP58" i="55"/>
  <c r="BN29" i="55"/>
  <c r="AZ20" i="53"/>
  <c r="BO28" i="55"/>
  <c r="CA54" i="55"/>
  <c r="BZ26" i="53"/>
  <c r="CZ140" i="51"/>
  <c r="BF22" i="55"/>
  <c r="BR15" i="53"/>
  <c r="CP136" i="51"/>
  <c r="CF75" i="51"/>
  <c r="DA128" i="51"/>
  <c r="BC51" i="55"/>
  <c r="CM13" i="53"/>
  <c r="BH55" i="55"/>
  <c r="CP49" i="53"/>
  <c r="CK51" i="55"/>
  <c r="BC56" i="53"/>
  <c r="BH35" i="55"/>
  <c r="CO128" i="51"/>
  <c r="BD16" i="55"/>
  <c r="BD13" i="55"/>
  <c r="DJ140" i="51"/>
  <c r="CK22" i="53"/>
  <c r="BQ32" i="55"/>
  <c r="BK12" i="53"/>
  <c r="BB52" i="53"/>
  <c r="CL34" i="55"/>
  <c r="BX25" i="51"/>
  <c r="BG27" i="53"/>
  <c r="CA43" i="53"/>
  <c r="CJ155" i="51"/>
  <c r="BA54" i="55"/>
  <c r="CN44" i="53"/>
  <c r="CP156" i="51"/>
  <c r="BD56" i="55"/>
  <c r="AZ19" i="53"/>
  <c r="BF45" i="55"/>
  <c r="BL24" i="53"/>
  <c r="DC142" i="51"/>
  <c r="BR140" i="51"/>
  <c r="BW26" i="53"/>
  <c r="CF154" i="51"/>
  <c r="BC36" i="53"/>
  <c r="AX58" i="53"/>
  <c r="BU19" i="53"/>
  <c r="DL55" i="51"/>
  <c r="BL21" i="53"/>
  <c r="BT14" i="53"/>
  <c r="DC34" i="51"/>
  <c r="CG80" i="51"/>
  <c r="BS23" i="53"/>
  <c r="CA93" i="51"/>
  <c r="BQ24" i="53"/>
  <c r="DA44" i="51"/>
  <c r="CA49" i="53"/>
  <c r="CD49" i="51"/>
  <c r="DG128" i="51"/>
  <c r="AX38" i="53"/>
  <c r="AW21" i="55"/>
  <c r="CG25" i="55"/>
  <c r="BO29" i="55"/>
  <c r="BE59" i="53"/>
  <c r="BS43" i="53"/>
  <c r="CN149" i="51"/>
  <c r="CL37" i="51"/>
  <c r="DB150" i="51"/>
  <c r="BC50" i="53"/>
  <c r="DH129" i="51"/>
  <c r="BF11" i="53"/>
  <c r="BU58" i="55"/>
  <c r="BM11" i="53"/>
  <c r="BW31" i="53"/>
  <c r="CK16" i="53"/>
  <c r="BU48" i="53"/>
  <c r="BJ21" i="53"/>
  <c r="BH53" i="53"/>
  <c r="BR175" i="51"/>
  <c r="CH41" i="55"/>
  <c r="CB14" i="53"/>
  <c r="CF43" i="55"/>
  <c r="AV12" i="53"/>
  <c r="BW49" i="53"/>
  <c r="CL29" i="51"/>
  <c r="BL25" i="55"/>
  <c r="BU23" i="55"/>
  <c r="AU58" i="53"/>
  <c r="CT147" i="51"/>
  <c r="BZ37" i="53"/>
  <c r="BZ132" i="51"/>
  <c r="CE56" i="53"/>
  <c r="CP133" i="51"/>
  <c r="CH57" i="53"/>
  <c r="DG32" i="51"/>
  <c r="AT29" i="53"/>
  <c r="CO27" i="55"/>
  <c r="BS32" i="53"/>
  <c r="CX92" i="51"/>
  <c r="BB11" i="53"/>
  <c r="CE77" i="51"/>
  <c r="CJ41" i="55"/>
  <c r="BS36" i="53"/>
  <c r="BN51" i="53"/>
  <c r="BT30" i="53"/>
  <c r="BP31" i="55"/>
  <c r="BY45" i="53"/>
  <c r="BA42" i="53"/>
  <c r="BP56" i="53"/>
  <c r="BS158" i="51"/>
  <c r="BG33" i="53"/>
  <c r="CG27" i="53"/>
  <c r="CB33" i="53"/>
  <c r="AX53" i="55"/>
  <c r="BG11" i="53"/>
  <c r="CK47" i="53"/>
  <c r="CP57" i="55"/>
  <c r="CQ28" i="55"/>
  <c r="DM79" i="51"/>
  <c r="CE23" i="53"/>
  <c r="BB51" i="53"/>
  <c r="BI49" i="53"/>
  <c r="BY36" i="55"/>
  <c r="BM54" i="53"/>
  <c r="CA121" i="51"/>
  <c r="CE18" i="55"/>
  <c r="CO34" i="53"/>
  <c r="BM25" i="53"/>
  <c r="CZ128" i="51"/>
  <c r="BS50" i="55"/>
  <c r="BI27" i="53"/>
  <c r="BQ18" i="53"/>
  <c r="BA55" i="55"/>
  <c r="DE76" i="51"/>
  <c r="BJ56" i="53"/>
  <c r="BC39" i="53"/>
  <c r="CG42" i="55"/>
  <c r="AY21" i="53"/>
  <c r="DB142" i="51"/>
  <c r="BD25" i="53"/>
  <c r="BX38" i="53"/>
  <c r="BL10" i="55"/>
  <c r="CA59" i="53"/>
  <c r="BU29" i="55"/>
  <c r="DC129" i="51"/>
  <c r="AU38" i="55"/>
  <c r="CR154" i="51"/>
  <c r="BQ35" i="53"/>
  <c r="AW10" i="55"/>
  <c r="BT32" i="53"/>
  <c r="CO12" i="55"/>
  <c r="BT22" i="53"/>
  <c r="DJ35" i="51"/>
  <c r="CG30" i="53"/>
  <c r="CI14" i="55"/>
  <c r="BF35" i="55"/>
  <c r="AS32" i="53"/>
  <c r="DE145" i="51"/>
  <c r="BJ12" i="53"/>
  <c r="BD54" i="53"/>
  <c r="AT42" i="53"/>
  <c r="DF156" i="51"/>
  <c r="CF28" i="55"/>
  <c r="CS156" i="51"/>
  <c r="CW129" i="51"/>
  <c r="CZ170" i="51"/>
  <c r="CJ50" i="53"/>
  <c r="BG51" i="53"/>
  <c r="BQ47" i="53"/>
  <c r="BJ18" i="53"/>
  <c r="BX58" i="55"/>
  <c r="BI39" i="55"/>
  <c r="CA59" i="55"/>
  <c r="BT128" i="51"/>
  <c r="DL58" i="51"/>
  <c r="BK34" i="55"/>
  <c r="CG27" i="55"/>
  <c r="BW55" i="55"/>
  <c r="BJ44" i="55"/>
  <c r="CB139" i="51"/>
  <c r="AX54" i="53"/>
  <c r="AX32" i="55"/>
  <c r="BM15" i="55"/>
  <c r="AT53" i="55"/>
  <c r="BV26" i="55"/>
  <c r="BX157" i="51"/>
  <c r="AZ54" i="55"/>
  <c r="CK79" i="51"/>
  <c r="BJ49" i="55"/>
  <c r="CI145" i="51"/>
  <c r="DD152" i="51"/>
  <c r="CV157" i="51"/>
  <c r="BB14" i="53"/>
  <c r="BA47" i="55"/>
  <c r="CZ25" i="51"/>
  <c r="BE48" i="53"/>
  <c r="AY42" i="53"/>
  <c r="BL35" i="53"/>
  <c r="CI140" i="51"/>
  <c r="CO35" i="55"/>
  <c r="BX112" i="51"/>
  <c r="CM42" i="53"/>
  <c r="CQ158" i="51"/>
  <c r="BZ138" i="51"/>
  <c r="CW81" i="51"/>
  <c r="CT38" i="51"/>
  <c r="CD40" i="53"/>
  <c r="BX43" i="53"/>
  <c r="BU55" i="53"/>
  <c r="CL27" i="53"/>
  <c r="BL11" i="53"/>
  <c r="BR11" i="53"/>
  <c r="BP38" i="53"/>
  <c r="DA132" i="51"/>
  <c r="BY47" i="53"/>
  <c r="CA23" i="53"/>
  <c r="BI36" i="55"/>
  <c r="BQ13" i="55"/>
  <c r="CM16" i="55"/>
  <c r="DK144" i="51"/>
  <c r="AZ47" i="55"/>
  <c r="BP59" i="55"/>
  <c r="BU22" i="51"/>
  <c r="AT49" i="55"/>
  <c r="BT34" i="51"/>
  <c r="CQ21" i="51"/>
  <c r="CK35" i="53"/>
  <c r="CC142" i="51"/>
  <c r="BZ37" i="55"/>
  <c r="CF73" i="51"/>
  <c r="CJ24" i="55"/>
  <c r="BV55" i="55"/>
  <c r="CJ29" i="53"/>
  <c r="BV22" i="53"/>
  <c r="AT58" i="53"/>
  <c r="BT155" i="51"/>
  <c r="BV73" i="51"/>
  <c r="CB75" i="51"/>
  <c r="BA43" i="53"/>
  <c r="BY57" i="53"/>
  <c r="CI13" i="55"/>
  <c r="BZ42" i="53"/>
  <c r="AW34" i="53"/>
  <c r="CE39" i="53"/>
  <c r="BV25" i="53"/>
  <c r="CA24" i="55"/>
  <c r="BZ39" i="55"/>
  <c r="CH35" i="55"/>
  <c r="AU19" i="53"/>
  <c r="CF43" i="53"/>
  <c r="AU35" i="55"/>
  <c r="CO37" i="55"/>
  <c r="BS51" i="55"/>
  <c r="CH20" i="51"/>
  <c r="CG37" i="55"/>
  <c r="CK48" i="55"/>
  <c r="CQ29" i="51"/>
  <c r="BS33" i="53"/>
  <c r="CQ29" i="55"/>
  <c r="BI38" i="55"/>
  <c r="BT31" i="53"/>
  <c r="CF130" i="51"/>
  <c r="DA168" i="51"/>
  <c r="CP38" i="51"/>
  <c r="CX156" i="51"/>
  <c r="CQ104" i="51"/>
  <c r="CK58" i="55"/>
  <c r="CN23" i="53"/>
  <c r="BY58" i="55"/>
  <c r="CX128" i="51"/>
  <c r="CN157" i="51"/>
  <c r="BP50" i="53"/>
  <c r="AX50" i="53"/>
  <c r="AY47" i="55"/>
  <c r="DC148" i="51"/>
  <c r="AZ44" i="53"/>
  <c r="DJ157" i="51"/>
  <c r="BJ37" i="53"/>
  <c r="AU28" i="55"/>
  <c r="BI13" i="53"/>
  <c r="CE28" i="51"/>
  <c r="CN38" i="53"/>
  <c r="DF138" i="51"/>
  <c r="CG50" i="53"/>
  <c r="BJ28" i="53"/>
  <c r="CI22" i="53"/>
  <c r="BZ38" i="53"/>
  <c r="DA104" i="51"/>
  <c r="BQ22" i="53"/>
  <c r="AY37" i="55"/>
  <c r="BK48" i="53"/>
  <c r="BD27" i="53"/>
  <c r="CJ16" i="53"/>
  <c r="CC129" i="51"/>
  <c r="BT15" i="53"/>
  <c r="BS138" i="51"/>
  <c r="CA51" i="55"/>
  <c r="BX35" i="55"/>
  <c r="CA30" i="55"/>
  <c r="CG59" i="55"/>
  <c r="BA57" i="53"/>
  <c r="CB138" i="51"/>
  <c r="BE28" i="53"/>
  <c r="AW25" i="55"/>
  <c r="BN31" i="55"/>
  <c r="CN36" i="55"/>
  <c r="DD146" i="51"/>
  <c r="BX46" i="55"/>
  <c r="BX140" i="51"/>
  <c r="AW38" i="55"/>
  <c r="CG43" i="53"/>
  <c r="CD11" i="53"/>
  <c r="BW52" i="53"/>
  <c r="BM13" i="53"/>
  <c r="BL48" i="53"/>
  <c r="DJ131" i="51"/>
  <c r="BC41" i="55"/>
  <c r="BQ40" i="53"/>
  <c r="CL42" i="51"/>
  <c r="CE29" i="53"/>
  <c r="CS173" i="51"/>
  <c r="CW128" i="51"/>
  <c r="BR46" i="53"/>
  <c r="BG41" i="55"/>
  <c r="AY14" i="55"/>
  <c r="DB31" i="51"/>
  <c r="CK22" i="55"/>
  <c r="BP154" i="51"/>
  <c r="BS129" i="51"/>
  <c r="CF172" i="51"/>
  <c r="BL37" i="53"/>
  <c r="DG140" i="51"/>
  <c r="CJ45" i="51"/>
  <c r="CK33" i="53"/>
  <c r="CG17" i="53"/>
  <c r="BJ13" i="53"/>
  <c r="BO32" i="53"/>
  <c r="CC96" i="51"/>
  <c r="BD20" i="53"/>
  <c r="BQ15" i="55"/>
  <c r="BN52" i="53"/>
  <c r="CK130" i="51"/>
  <c r="CN29" i="53"/>
  <c r="CN129" i="51"/>
  <c r="BK23" i="55"/>
  <c r="CD145" i="51"/>
  <c r="BI33" i="53"/>
  <c r="BY11" i="53"/>
  <c r="CB48" i="53"/>
  <c r="CO43" i="53"/>
  <c r="CH145" i="51"/>
  <c r="CH82" i="51"/>
  <c r="BU30" i="55"/>
  <c r="CP46" i="53"/>
  <c r="CE156" i="51"/>
  <c r="BT21" i="53"/>
  <c r="BV46" i="55"/>
  <c r="CS147" i="51"/>
  <c r="BK33" i="53"/>
  <c r="BU30" i="51"/>
  <c r="CN37" i="51"/>
  <c r="BP54" i="55"/>
  <c r="BP156" i="51"/>
  <c r="BV15" i="53"/>
  <c r="CB46" i="53"/>
  <c r="CN173" i="51"/>
  <c r="BS27" i="53"/>
  <c r="CQ131" i="51"/>
  <c r="BA34" i="55"/>
  <c r="BV155" i="51"/>
  <c r="CR133" i="51"/>
  <c r="BQ53" i="55"/>
  <c r="BF34" i="53"/>
  <c r="BR50" i="53"/>
  <c r="CN148" i="51"/>
  <c r="BX17" i="53"/>
  <c r="AV30" i="53"/>
  <c r="BY75" i="51"/>
  <c r="CD144" i="51"/>
  <c r="BP38" i="55"/>
  <c r="DB131" i="51"/>
  <c r="CB167" i="51"/>
  <c r="CC10" i="55"/>
  <c r="BU43" i="53"/>
  <c r="DL134" i="51"/>
  <c r="CQ166" i="51"/>
  <c r="BO44" i="55"/>
  <c r="CF44" i="55"/>
  <c r="BG48" i="55"/>
  <c r="BQ133" i="51"/>
  <c r="BT133" i="51"/>
  <c r="CC23" i="55"/>
  <c r="CO16" i="53"/>
  <c r="BF53" i="55"/>
  <c r="BI40" i="53"/>
  <c r="CG24" i="55"/>
  <c r="CF50" i="53"/>
  <c r="BT34" i="53"/>
  <c r="BL51" i="55"/>
  <c r="CR47" i="51"/>
  <c r="BV37" i="53"/>
  <c r="CG48" i="55"/>
  <c r="BY44" i="53"/>
  <c r="DA138" i="51"/>
  <c r="CJ47" i="55"/>
  <c r="CA10" i="55"/>
  <c r="DE32" i="51"/>
  <c r="CH90" i="51"/>
  <c r="DA45" i="51"/>
  <c r="CX86" i="51"/>
  <c r="BH54" i="53"/>
  <c r="DM86" i="51"/>
  <c r="BR53" i="53"/>
  <c r="BO11" i="55"/>
  <c r="CN11" i="55"/>
  <c r="AY10" i="55"/>
  <c r="BC25" i="53"/>
  <c r="CN34" i="55"/>
  <c r="AW13" i="53"/>
  <c r="BU46" i="53"/>
  <c r="BE42" i="53"/>
  <c r="DI158" i="51"/>
  <c r="BB46" i="55"/>
  <c r="CZ32" i="51"/>
  <c r="BK46" i="53"/>
  <c r="BR41" i="53"/>
  <c r="CW87" i="51"/>
  <c r="AU32" i="55"/>
  <c r="CE38" i="55"/>
  <c r="CD48" i="55"/>
  <c r="DJ138" i="51"/>
  <c r="BU21" i="55"/>
  <c r="AT59" i="55"/>
  <c r="CI51" i="55"/>
  <c r="BE46" i="55"/>
  <c r="BD46" i="55"/>
  <c r="AW58" i="53"/>
  <c r="CM29" i="55"/>
  <c r="CJ20" i="55"/>
  <c r="CQ146" i="51"/>
  <c r="BS151" i="51"/>
  <c r="BQ51" i="53"/>
  <c r="BT41" i="55"/>
  <c r="AT26" i="55"/>
  <c r="BZ43" i="53"/>
  <c r="CN18" i="55"/>
  <c r="BB15" i="53"/>
  <c r="BF46" i="53"/>
  <c r="CO28" i="55"/>
  <c r="BR167" i="51"/>
  <c r="CN16" i="55"/>
  <c r="CK56" i="53"/>
  <c r="BT36" i="53"/>
  <c r="CA21" i="53"/>
  <c r="BB19" i="55"/>
  <c r="DI23" i="51"/>
  <c r="CQ175" i="51"/>
  <c r="BQ131" i="51"/>
  <c r="CC29" i="55"/>
  <c r="CV35" i="51"/>
  <c r="CG55" i="53"/>
  <c r="BF42" i="53"/>
  <c r="CI37" i="53"/>
  <c r="CV128" i="51"/>
  <c r="BW58" i="53"/>
  <c r="DH40" i="51"/>
  <c r="BZ133" i="51"/>
  <c r="CX143" i="51"/>
  <c r="CB130" i="51"/>
  <c r="CB157" i="51"/>
  <c r="BV131" i="51"/>
  <c r="BA41" i="53"/>
  <c r="BD22" i="53"/>
  <c r="BY49" i="55"/>
  <c r="BD50" i="53"/>
  <c r="BE37" i="53"/>
  <c r="CP23" i="51"/>
  <c r="CH27" i="55"/>
  <c r="BE58" i="53"/>
  <c r="DK138" i="51"/>
  <c r="BB29" i="55"/>
  <c r="CI15" i="55"/>
  <c r="CF139" i="51"/>
  <c r="CH148" i="51"/>
  <c r="AU36" i="55"/>
  <c r="DD143" i="51"/>
  <c r="AV43" i="53"/>
  <c r="CP27" i="53"/>
  <c r="BN58" i="55"/>
  <c r="AW56" i="53"/>
  <c r="CK29" i="53"/>
  <c r="BV47" i="53"/>
  <c r="BF43" i="55"/>
  <c r="BN21" i="55"/>
  <c r="BQ44" i="55"/>
  <c r="CX36" i="51"/>
  <c r="BM24" i="55"/>
  <c r="CZ151" i="51"/>
  <c r="DI32" i="51"/>
  <c r="BO52" i="55"/>
  <c r="AZ32" i="53"/>
  <c r="CO58" i="51"/>
  <c r="CL10" i="55"/>
  <c r="AT30" i="55"/>
  <c r="CF42" i="55"/>
  <c r="CW156" i="51"/>
  <c r="AS31" i="53"/>
  <c r="CQ130" i="51"/>
  <c r="BW138" i="51"/>
  <c r="CM38" i="55"/>
  <c r="BW47" i="53"/>
  <c r="BF36" i="53"/>
  <c r="BZ23" i="55"/>
  <c r="BK50" i="53"/>
  <c r="CC51" i="55"/>
  <c r="BY58" i="53"/>
  <c r="CM19" i="53"/>
  <c r="CJ37" i="55"/>
  <c r="DA73" i="51"/>
  <c r="CI159" i="51"/>
  <c r="AS47" i="53"/>
  <c r="BS75" i="51"/>
  <c r="BR59" i="53"/>
  <c r="CM130" i="51"/>
  <c r="AV50" i="53"/>
  <c r="CF56" i="53"/>
  <c r="CG53" i="53"/>
  <c r="CM33" i="55"/>
  <c r="CT149" i="51"/>
  <c r="BZ33" i="53"/>
  <c r="DJ44" i="51"/>
  <c r="DM98" i="51"/>
  <c r="CP132" i="51"/>
  <c r="BE33" i="55"/>
  <c r="BH24" i="55"/>
  <c r="BX44" i="53"/>
  <c r="AV41" i="53"/>
  <c r="CK154" i="51"/>
  <c r="BX16" i="55"/>
  <c r="BS48" i="55"/>
  <c r="DK31" i="51"/>
  <c r="BT37" i="53"/>
  <c r="BI23" i="53"/>
  <c r="BH20" i="53"/>
  <c r="BZ28" i="55"/>
  <c r="BO47" i="55"/>
  <c r="CK26" i="55"/>
  <c r="CJ149" i="51"/>
  <c r="AT16" i="55"/>
  <c r="BW40" i="55"/>
  <c r="BT134" i="51"/>
  <c r="AX51" i="53"/>
  <c r="CA47" i="55"/>
  <c r="BS47" i="53"/>
  <c r="CW84" i="51"/>
  <c r="CB26" i="53"/>
  <c r="CG96" i="51"/>
  <c r="BO34" i="55"/>
  <c r="CX132" i="51"/>
  <c r="CX47" i="51"/>
  <c r="CI157" i="51"/>
  <c r="BA54" i="53"/>
  <c r="BB59" i="53"/>
  <c r="BG40" i="53"/>
  <c r="AZ26" i="53"/>
  <c r="CC56" i="55"/>
  <c r="BW38" i="55"/>
  <c r="CC141" i="51"/>
  <c r="DH157" i="51"/>
  <c r="BU157" i="51"/>
  <c r="BZ56" i="53"/>
  <c r="BU31" i="53"/>
  <c r="BX20" i="53"/>
  <c r="BH36" i="53"/>
  <c r="CJ29" i="55"/>
  <c r="CH53" i="55"/>
  <c r="CB30" i="55"/>
  <c r="CG24" i="53"/>
  <c r="CG148" i="51"/>
  <c r="AV42" i="53"/>
  <c r="CN137" i="51"/>
  <c r="CO39" i="53"/>
  <c r="AW43" i="55"/>
  <c r="BC58" i="55"/>
  <c r="CK31" i="51"/>
  <c r="CF28" i="51"/>
  <c r="O26" i="32" l="1"/>
  <c r="AB26" i="32" s="1"/>
  <c r="O27" i="32"/>
  <c r="AB27" i="32" s="1"/>
  <c r="O25" i="32"/>
  <c r="AB25" i="32" s="1"/>
  <c r="CR16" i="55"/>
  <c r="CR10" i="55"/>
  <c r="AS10" i="55" s="1"/>
  <c r="N20" i="56" s="1"/>
  <c r="CQ46" i="53"/>
  <c r="CQ36" i="53"/>
  <c r="BO131" i="51"/>
  <c r="CR59" i="55"/>
  <c r="CR12" i="55"/>
  <c r="BO156" i="51"/>
  <c r="CR28" i="55"/>
  <c r="CQ45" i="53"/>
  <c r="CR50" i="55"/>
  <c r="CR53" i="55"/>
  <c r="CR25" i="55"/>
  <c r="CQ16" i="53"/>
  <c r="M22" i="32"/>
  <c r="N22" i="32" s="1"/>
  <c r="M27" i="32"/>
  <c r="N27" i="32" s="1"/>
  <c r="AD23" i="51" s="1"/>
  <c r="AG23" i="51" s="1"/>
  <c r="BF23" i="51" s="1"/>
  <c r="DN35" i="51"/>
  <c r="CQ47" i="53"/>
  <c r="CR57" i="55"/>
  <c r="BO154" i="51"/>
  <c r="DN42" i="51"/>
  <c r="CQ23" i="53"/>
  <c r="BO128" i="51"/>
  <c r="CR49" i="55"/>
  <c r="CQ19" i="53"/>
  <c r="CQ31" i="53"/>
  <c r="DN34" i="51"/>
  <c r="CR30" i="55"/>
  <c r="BP26" i="45"/>
  <c r="BT26" i="45"/>
  <c r="CR52" i="55"/>
  <c r="CQ42" i="53"/>
  <c r="CQ43" i="53"/>
  <c r="BO26" i="45"/>
  <c r="BM26" i="45"/>
  <c r="BO137" i="51"/>
  <c r="BO130" i="51"/>
  <c r="CQ32" i="53"/>
  <c r="M25" i="32"/>
  <c r="N25" i="32" s="1"/>
  <c r="AD21" i="51" s="1"/>
  <c r="AG21" i="51" s="1"/>
  <c r="BF21" i="51" s="1"/>
  <c r="CR27" i="55"/>
  <c r="CQ58" i="53"/>
  <c r="M30" i="32"/>
  <c r="N30" i="32" s="1"/>
  <c r="AD26" i="51" s="1"/>
  <c r="AG26" i="51" s="1"/>
  <c r="BF26" i="51" s="1"/>
  <c r="BO140" i="51"/>
  <c r="M29" i="32"/>
  <c r="N29" i="32" s="1"/>
  <c r="AD25" i="51" s="1"/>
  <c r="AG25" i="51" s="1"/>
  <c r="BF25" i="51" s="1"/>
  <c r="CQ44" i="53"/>
  <c r="BO149" i="51"/>
  <c r="CR54" i="55"/>
  <c r="DN45" i="51"/>
  <c r="DN19" i="51"/>
  <c r="CQ10" i="53"/>
  <c r="AR10" i="53" s="1"/>
  <c r="N18" i="56" s="1"/>
  <c r="CQ22" i="53"/>
  <c r="CQ49" i="53"/>
  <c r="CQ59" i="53"/>
  <c r="BO164" i="51"/>
  <c r="CQ20" i="53"/>
  <c r="CR13" i="55"/>
  <c r="CR48" i="55"/>
  <c r="CQ12" i="53"/>
  <c r="BO148" i="51"/>
  <c r="BO147" i="51"/>
  <c r="CR34" i="55"/>
  <c r="CR46" i="55"/>
  <c r="BO138" i="51"/>
  <c r="CR55" i="55"/>
  <c r="BO133" i="51"/>
  <c r="CQ34" i="53"/>
  <c r="DN22" i="51"/>
  <c r="CR35" i="55"/>
  <c r="CQ35" i="53"/>
  <c r="CR31" i="55"/>
  <c r="CR43" i="55"/>
  <c r="CR29" i="55"/>
  <c r="CR17" i="55"/>
  <c r="BO170" i="51"/>
  <c r="CR26" i="55"/>
  <c r="CQ48" i="53"/>
  <c r="BS26" i="45"/>
  <c r="DN43" i="51"/>
  <c r="CR39" i="55"/>
  <c r="CQ55" i="53"/>
  <c r="CR41" i="55"/>
  <c r="BO132" i="51"/>
  <c r="BO27" i="45"/>
  <c r="M23" i="32"/>
  <c r="N23" i="32" s="1"/>
  <c r="AD19" i="51" s="1"/>
  <c r="AG19" i="51" s="1"/>
  <c r="CQ11" i="53"/>
  <c r="AR11" i="53" s="1"/>
  <c r="BO166" i="51"/>
  <c r="BO129" i="51"/>
  <c r="CQ21" i="53"/>
  <c r="CQ24" i="53"/>
  <c r="CQ17" i="53"/>
  <c r="M31" i="32"/>
  <c r="M26" i="32"/>
  <c r="N26" i="32" s="1"/>
  <c r="AD22" i="51" s="1"/>
  <c r="AG22" i="51" s="1"/>
  <c r="BF22" i="51" s="1"/>
  <c r="BT27" i="45"/>
  <c r="CQ52" i="53"/>
  <c r="CR23" i="55"/>
  <c r="CQ25" i="53"/>
  <c r="CQ57" i="53"/>
  <c r="CQ26" i="53"/>
  <c r="CR24" i="55"/>
  <c r="DN21" i="51"/>
  <c r="CR36" i="55"/>
  <c r="BK26" i="45"/>
  <c r="CR32" i="55"/>
  <c r="CQ41" i="53"/>
  <c r="CR47" i="55"/>
  <c r="CR58" i="55"/>
  <c r="CR37" i="55"/>
  <c r="CR14" i="55"/>
  <c r="DN48" i="51"/>
  <c r="CR45" i="55"/>
  <c r="CQ33" i="53"/>
  <c r="CQ54" i="53"/>
  <c r="BO141" i="51"/>
  <c r="CQ15" i="53"/>
  <c r="CQ29" i="53"/>
  <c r="CQ40" i="53"/>
  <c r="CQ56" i="53"/>
  <c r="BO134" i="51"/>
  <c r="M28" i="32"/>
  <c r="N28" i="32" s="1"/>
  <c r="AD24" i="51" s="1"/>
  <c r="AG24" i="51" s="1"/>
  <c r="DN20" i="51"/>
  <c r="BJ27" i="45"/>
  <c r="BO153" i="51"/>
  <c r="CR11" i="55"/>
  <c r="AS11" i="55" s="1"/>
  <c r="N21" i="56" s="1"/>
  <c r="CQ13" i="53"/>
  <c r="CQ39" i="53"/>
  <c r="BO172" i="51"/>
  <c r="CQ30" i="53"/>
  <c r="BU27" i="45"/>
  <c r="BO152" i="51"/>
  <c r="BJ26" i="45"/>
  <c r="BO177" i="51"/>
  <c r="CQ27" i="53"/>
  <c r="DN25" i="51"/>
  <c r="DN27" i="51"/>
  <c r="DN33" i="51"/>
  <c r="CR33" i="55"/>
  <c r="DN49" i="51"/>
  <c r="BQ26" i="45"/>
  <c r="BL27" i="45"/>
  <c r="BO155" i="51"/>
  <c r="DN26" i="51"/>
  <c r="CR15" i="55"/>
  <c r="CQ53" i="53"/>
  <c r="BO174" i="51"/>
  <c r="BO159" i="51"/>
  <c r="CR22" i="55"/>
  <c r="DN62" i="51"/>
  <c r="CR18" i="55"/>
  <c r="BO135" i="51"/>
  <c r="DN39" i="51"/>
  <c r="DN31" i="51"/>
  <c r="BO144" i="51"/>
  <c r="BO151" i="51"/>
  <c r="CR21" i="55"/>
  <c r="CR40" i="55"/>
  <c r="DN23" i="51"/>
  <c r="DN46" i="51"/>
  <c r="CQ28" i="53"/>
  <c r="DN38" i="51"/>
  <c r="CR44" i="55"/>
  <c r="CQ38" i="53"/>
  <c r="DN51" i="51"/>
  <c r="BO161" i="51"/>
  <c r="CQ51" i="53"/>
  <c r="CR51" i="55"/>
  <c r="CR38" i="55"/>
  <c r="DN24" i="51"/>
  <c r="M24" i="32"/>
  <c r="N24" i="32" s="1"/>
  <c r="O24" i="32" s="1"/>
  <c r="AB24" i="32" s="1"/>
  <c r="BO145" i="51"/>
  <c r="DN28" i="51"/>
  <c r="CQ50" i="53"/>
  <c r="BL26" i="45"/>
  <c r="CQ37" i="53"/>
  <c r="DN29" i="51"/>
  <c r="BM27" i="45"/>
  <c r="DN18" i="51"/>
  <c r="DN47" i="51"/>
  <c r="CR56" i="55"/>
  <c r="BO163" i="51"/>
  <c r="BO136" i="51"/>
  <c r="BO150" i="51"/>
  <c r="CR19" i="55"/>
  <c r="CQ18" i="53"/>
  <c r="BO157" i="51"/>
  <c r="N31" i="32"/>
  <c r="BO165" i="51"/>
  <c r="BO171" i="51"/>
  <c r="BR26" i="45"/>
  <c r="BO173" i="51"/>
  <c r="BO175" i="51"/>
  <c r="DN44" i="51"/>
  <c r="DN41" i="51"/>
  <c r="CQ14" i="53"/>
  <c r="DN55" i="51"/>
  <c r="DN32" i="51"/>
  <c r="BO139" i="51"/>
  <c r="DN40" i="51"/>
  <c r="DN54" i="51"/>
  <c r="BO162" i="51"/>
  <c r="CR42" i="55"/>
  <c r="BO160" i="51"/>
  <c r="BO167" i="51"/>
  <c r="BO158" i="51"/>
  <c r="CR20" i="55"/>
  <c r="BO143" i="51"/>
  <c r="DN61" i="51"/>
  <c r="BU26" i="45"/>
  <c r="DN36" i="51"/>
  <c r="BP27" i="45"/>
  <c r="DN52" i="51"/>
  <c r="DN66" i="51"/>
  <c r="BO146" i="51"/>
  <c r="BK27" i="45"/>
  <c r="BN26" i="45"/>
  <c r="DN67" i="51"/>
  <c r="BN27" i="45"/>
  <c r="DN30" i="51"/>
  <c r="DN53" i="51"/>
  <c r="BO142" i="51"/>
  <c r="DN37" i="51"/>
  <c r="DN59" i="51"/>
  <c r="DN60" i="51"/>
  <c r="DN57" i="51"/>
  <c r="DN63" i="51"/>
  <c r="BQ27" i="45"/>
  <c r="DN58" i="51"/>
  <c r="DN64" i="51"/>
  <c r="BO168" i="51"/>
  <c r="BO176" i="51"/>
  <c r="BS27" i="45"/>
  <c r="BR27" i="45"/>
  <c r="BO169" i="51"/>
  <c r="DN56" i="51"/>
  <c r="DN65" i="51"/>
  <c r="DN50" i="51"/>
  <c r="AD27" i="51"/>
  <c r="AG27" i="51" s="1"/>
  <c r="BE20" i="51"/>
  <c r="BE18" i="51"/>
  <c r="BF19" i="51"/>
  <c r="O23" i="32"/>
  <c r="AB23" i="32" s="1"/>
  <c r="O22" i="32"/>
  <c r="AD18" i="51"/>
  <c r="AG18" i="51" s="1"/>
  <c r="BD24" i="51"/>
  <c r="BE24" i="51"/>
  <c r="BV27" i="32"/>
  <c r="BW27" i="32" s="1"/>
  <c r="BL27" i="32"/>
  <c r="BM27" i="32" s="1"/>
  <c r="BT27" i="32"/>
  <c r="BU27" i="32" s="1"/>
  <c r="CF27" i="32"/>
  <c r="CG27" i="32" s="1"/>
  <c r="BN27" i="32"/>
  <c r="BO27" i="32" s="1"/>
  <c r="CD27" i="32"/>
  <c r="CE27" i="32" s="1"/>
  <c r="BR27" i="32"/>
  <c r="BS27" i="32" s="1"/>
  <c r="CB27" i="32"/>
  <c r="CC27" i="32" s="1"/>
  <c r="CH27" i="32"/>
  <c r="CI27" i="32" s="1"/>
  <c r="BJ27" i="32"/>
  <c r="BK27" i="32" s="1"/>
  <c r="BP27" i="32"/>
  <c r="BQ27" i="32" s="1"/>
  <c r="BZ27" i="32"/>
  <c r="CA27" i="32" s="1"/>
  <c r="X19" i="42"/>
  <c r="T29" i="53"/>
  <c r="AI28" i="53"/>
  <c r="BE54" i="51"/>
  <c r="BF54" i="51" s="1"/>
  <c r="BE61" i="51"/>
  <c r="BF61" i="51" s="1"/>
  <c r="BE64" i="51"/>
  <c r="BF64" i="51" s="1"/>
  <c r="BE55" i="51"/>
  <c r="BF55" i="51" s="1"/>
  <c r="BE65" i="51"/>
  <c r="BF65" i="51" s="1"/>
  <c r="Z146" i="5"/>
  <c r="Z143" i="5"/>
  <c r="Z144" i="5"/>
  <c r="Z145" i="5"/>
  <c r="Z147" i="5"/>
  <c r="N19" i="56" l="1"/>
  <c r="G27" i="51"/>
  <c r="BF27" i="51"/>
  <c r="BX26" i="45"/>
  <c r="AQ26" i="45" s="1"/>
  <c r="AD20" i="51"/>
  <c r="AG20" i="51" s="1"/>
  <c r="AG11" i="51" s="1"/>
  <c r="BF24" i="51"/>
  <c r="O28" i="32"/>
  <c r="AB28" i="32" s="1"/>
  <c r="BX27" i="45"/>
  <c r="AQ27" i="45" s="1"/>
  <c r="BF18" i="51"/>
  <c r="CL27" i="32"/>
  <c r="CM27" i="32" s="1"/>
  <c r="S18" i="42"/>
  <c r="L18" i="42" s="1"/>
  <c r="T30" i="53"/>
  <c r="AI29" i="53"/>
  <c r="BE59" i="51"/>
  <c r="BF59" i="51" s="1"/>
  <c r="BE62" i="51"/>
  <c r="BF62" i="51" s="1"/>
  <c r="BE58" i="51"/>
  <c r="BF58" i="51" s="1"/>
  <c r="Z140" i="5"/>
  <c r="Z142" i="5"/>
  <c r="Z139" i="5"/>
  <c r="AB22" i="32"/>
  <c r="BF20" i="51" l="1"/>
  <c r="M18" i="42"/>
  <c r="M14" i="42" s="1"/>
  <c r="O41" i="5" s="1"/>
  <c r="U41" i="5" s="1"/>
  <c r="T18" i="42"/>
  <c r="BB22" i="32" s="1"/>
  <c r="BC22" i="32" s="1"/>
  <c r="AC18" i="42"/>
  <c r="T31" i="53"/>
  <c r="AI30" i="53"/>
  <c r="BE63" i="51"/>
  <c r="BF63" i="51" s="1"/>
  <c r="BP87" i="51"/>
  <c r="BP104" i="51"/>
  <c r="BP84" i="51"/>
  <c r="BP96" i="51"/>
  <c r="BP90" i="51"/>
  <c r="BP109" i="51"/>
  <c r="BP73" i="51"/>
  <c r="BP75" i="51"/>
  <c r="BP95" i="51"/>
  <c r="BP85" i="51"/>
  <c r="BP117" i="51"/>
  <c r="BP86" i="51"/>
  <c r="BP112" i="51"/>
  <c r="BP118" i="51"/>
  <c r="BP88" i="51"/>
  <c r="BP114" i="51"/>
  <c r="BP102" i="51"/>
  <c r="BP101" i="51"/>
  <c r="BP110" i="51"/>
  <c r="BP92" i="51"/>
  <c r="BP91" i="51"/>
  <c r="BP120" i="51"/>
  <c r="BP93" i="51"/>
  <c r="BP116" i="51"/>
  <c r="BP77" i="51"/>
  <c r="BP98" i="51"/>
  <c r="BP99" i="51"/>
  <c r="BP121" i="51"/>
  <c r="BP105" i="51"/>
  <c r="BP76" i="51"/>
  <c r="BP94" i="51"/>
  <c r="BP82" i="51"/>
  <c r="BP115" i="51"/>
  <c r="BP103" i="51"/>
  <c r="BP97" i="51"/>
  <c r="BP107" i="51"/>
  <c r="BP119" i="51"/>
  <c r="BP81" i="51"/>
  <c r="BP78" i="51"/>
  <c r="BP83" i="51"/>
  <c r="BP100" i="51"/>
  <c r="BP111" i="51"/>
  <c r="BP122" i="51"/>
  <c r="BP106" i="51"/>
  <c r="BP79" i="51"/>
  <c r="BP80" i="51"/>
  <c r="BP74" i="51"/>
  <c r="BP89" i="51"/>
  <c r="BP113" i="51"/>
  <c r="BP108" i="51"/>
  <c r="BO106" i="51" l="1"/>
  <c r="BO51" i="51" s="1"/>
  <c r="BO105" i="51"/>
  <c r="BO50" i="51" s="1"/>
  <c r="BO116" i="51"/>
  <c r="BO61" i="51" s="1"/>
  <c r="BO112" i="51"/>
  <c r="BO57" i="51" s="1"/>
  <c r="BO119" i="51"/>
  <c r="BO64" i="51" s="1"/>
  <c r="BO115" i="51"/>
  <c r="BO60" i="51" s="1"/>
  <c r="BO108" i="51"/>
  <c r="BO53" i="51" s="1"/>
  <c r="BO109" i="51"/>
  <c r="BO54" i="51" s="1"/>
  <c r="BO122" i="51"/>
  <c r="BO67" i="51" s="1"/>
  <c r="BO88" i="51"/>
  <c r="BO33" i="51" s="1"/>
  <c r="BO118" i="51"/>
  <c r="BO63" i="51" s="1"/>
  <c r="BO86" i="51"/>
  <c r="BO31" i="51" s="1"/>
  <c r="BO110" i="51"/>
  <c r="BO55" i="51" s="1"/>
  <c r="BO82" i="51"/>
  <c r="BO27" i="51" s="1"/>
  <c r="BO113" i="51"/>
  <c r="BO58" i="51" s="1"/>
  <c r="BO90" i="51"/>
  <c r="BO35" i="51" s="1"/>
  <c r="BO111" i="51"/>
  <c r="BO56" i="51" s="1"/>
  <c r="BO121" i="51"/>
  <c r="BO66" i="51" s="1"/>
  <c r="BO93" i="51"/>
  <c r="BO38" i="51" s="1"/>
  <c r="BO117" i="51"/>
  <c r="BO62" i="51" s="1"/>
  <c r="BO107" i="51"/>
  <c r="BO52" i="51" s="1"/>
  <c r="BO102" i="51"/>
  <c r="BO47" i="51" s="1"/>
  <c r="BO89" i="51"/>
  <c r="BO34" i="51" s="1"/>
  <c r="BO96" i="51"/>
  <c r="BO41" i="51" s="1"/>
  <c r="BO100" i="51"/>
  <c r="BO45" i="51" s="1"/>
  <c r="BO99" i="51"/>
  <c r="BO44" i="51" s="1"/>
  <c r="BO120" i="51"/>
  <c r="BO65" i="51" s="1"/>
  <c r="BO85" i="51"/>
  <c r="BO30" i="51" s="1"/>
  <c r="BO97" i="51"/>
  <c r="BO42" i="51" s="1"/>
  <c r="BO94" i="51"/>
  <c r="BO39" i="51" s="1"/>
  <c r="BO74" i="51"/>
  <c r="BO19" i="51" s="1"/>
  <c r="BO84" i="51"/>
  <c r="BO29" i="51" s="1"/>
  <c r="BO83" i="51"/>
  <c r="BO28" i="51" s="1"/>
  <c r="BO98" i="51"/>
  <c r="BO43" i="51" s="1"/>
  <c r="BO91" i="51"/>
  <c r="BO36" i="51" s="1"/>
  <c r="BO95" i="51"/>
  <c r="BO40" i="51" s="1"/>
  <c r="BO101" i="51"/>
  <c r="BO46" i="51" s="1"/>
  <c r="BO114" i="51"/>
  <c r="BO59" i="51" s="1"/>
  <c r="BO80" i="51"/>
  <c r="BO25" i="51" s="1"/>
  <c r="BO104" i="51"/>
  <c r="BO49" i="51" s="1"/>
  <c r="BO78" i="51"/>
  <c r="BO23" i="51" s="1"/>
  <c r="BO77" i="51"/>
  <c r="BO22" i="51" s="1"/>
  <c r="BO92" i="51"/>
  <c r="BO37" i="51" s="1"/>
  <c r="BO75" i="51"/>
  <c r="BO20" i="51" s="1"/>
  <c r="BO103" i="51"/>
  <c r="BO48" i="51" s="1"/>
  <c r="BO76" i="51"/>
  <c r="BO21" i="51" s="1"/>
  <c r="BO79" i="51"/>
  <c r="BO24" i="51" s="1"/>
  <c r="BO87" i="51"/>
  <c r="BO32" i="51" s="1"/>
  <c r="BO81" i="51"/>
  <c r="BO26" i="51" s="1"/>
  <c r="BO73" i="51"/>
  <c r="BO18" i="51" s="1"/>
  <c r="X18" i="42"/>
  <c r="AT18" i="43"/>
  <c r="T32" i="53"/>
  <c r="AI31" i="53"/>
  <c r="BE66" i="51"/>
  <c r="BF66" i="51" s="1"/>
  <c r="BE67" i="51"/>
  <c r="BF67" i="51" s="1"/>
  <c r="AN43" i="32"/>
  <c r="AN68" i="32"/>
  <c r="AN51" i="32"/>
  <c r="AN39" i="32"/>
  <c r="AN55" i="32"/>
  <c r="AN50" i="32"/>
  <c r="AN60" i="32"/>
  <c r="AN62" i="32"/>
  <c r="AN52" i="32"/>
  <c r="AN66" i="32"/>
  <c r="AN61" i="32"/>
  <c r="AN67" i="32"/>
  <c r="AN59" i="32"/>
  <c r="AN45" i="32"/>
  <c r="AN71" i="32"/>
  <c r="AN48" i="32"/>
  <c r="AN65" i="32"/>
  <c r="AN63" i="32"/>
  <c r="AN42" i="32"/>
  <c r="AN46" i="32"/>
  <c r="AN57" i="32"/>
  <c r="AN58" i="32"/>
  <c r="AN44" i="32"/>
  <c r="AN64" i="32"/>
  <c r="AN56" i="32"/>
  <c r="AN53" i="32"/>
  <c r="AN54" i="32"/>
  <c r="AN70" i="32"/>
  <c r="AN40" i="32"/>
  <c r="AN47" i="32"/>
  <c r="AN69" i="32"/>
  <c r="AN49" i="32"/>
  <c r="AN41" i="32"/>
  <c r="N18" i="42" l="1"/>
  <c r="W18" i="42" s="1"/>
  <c r="W68" i="42" s="1"/>
  <c r="W69" i="42" s="1"/>
  <c r="N14" i="42" s="1"/>
  <c r="Q41" i="5" s="1"/>
  <c r="R18" i="42"/>
  <c r="T33" i="53"/>
  <c r="AI32" i="53"/>
  <c r="BE11" i="51"/>
  <c r="M53" i="32"/>
  <c r="M52" i="32"/>
  <c r="M51" i="32"/>
  <c r="M50" i="32"/>
  <c r="M49" i="32"/>
  <c r="M48" i="32"/>
  <c r="M47" i="32"/>
  <c r="M46" i="32"/>
  <c r="M45" i="32"/>
  <c r="M44" i="32"/>
  <c r="M43" i="32"/>
  <c r="M42" i="32"/>
  <c r="M41" i="32"/>
  <c r="M40" i="32"/>
  <c r="M39" i="32"/>
  <c r="T34" i="53" l="1"/>
  <c r="AI33" i="53"/>
  <c r="T35" i="53" l="1"/>
  <c r="AI34" i="53"/>
  <c r="T36" i="53" l="1"/>
  <c r="AI35" i="53"/>
  <c r="BN53" i="32"/>
  <c r="BO53" i="32" s="1"/>
  <c r="T37" i="53" l="1"/>
  <c r="AI36" i="53"/>
  <c r="Z141" i="5"/>
  <c r="Z138" i="5"/>
  <c r="Z137" i="5"/>
  <c r="Z136" i="5"/>
  <c r="Z134" i="5"/>
  <c r="BV38" i="45"/>
  <c r="BV76" i="45" s="1"/>
  <c r="AN76" i="45"/>
  <c r="BU38" i="45"/>
  <c r="BU76" i="45" s="1"/>
  <c r="AL13" i="45" s="1"/>
  <c r="AL76" i="45"/>
  <c r="BO38" i="45"/>
  <c r="BO76" i="45" s="1"/>
  <c r="BN38" i="45"/>
  <c r="BN76" i="45" s="1"/>
  <c r="BS38" i="45"/>
  <c r="BS76" i="45" s="1"/>
  <c r="AH13" i="45" s="1"/>
  <c r="AI23" i="45" s="1"/>
  <c r="BR38" i="45"/>
  <c r="BR76" i="45" s="1"/>
  <c r="BM38" i="45"/>
  <c r="BM76" i="45" s="1"/>
  <c r="BP38" i="45"/>
  <c r="BP76" i="45" s="1"/>
  <c r="BJ38" i="45"/>
  <c r="BR53" i="32"/>
  <c r="BS53" i="32" s="1"/>
  <c r="BP53" i="32"/>
  <c r="BQ53" i="32" s="1"/>
  <c r="BV53" i="32"/>
  <c r="BW53" i="32" s="1"/>
  <c r="BT53" i="32"/>
  <c r="BU53" i="32" s="1"/>
  <c r="CB53" i="32"/>
  <c r="CC53" i="32" s="1"/>
  <c r="BZ53" i="32"/>
  <c r="CA53" i="32" s="1"/>
  <c r="O29" i="32"/>
  <c r="T38" i="53" l="1"/>
  <c r="AI37" i="53"/>
  <c r="AB13" i="45"/>
  <c r="Z13" i="45"/>
  <c r="X13" i="45"/>
  <c r="V13" i="45"/>
  <c r="AF13" i="45"/>
  <c r="AN13" i="45"/>
  <c r="AM77" i="45"/>
  <c r="AM23" i="45"/>
  <c r="V141" i="5"/>
  <c r="BJ76" i="45"/>
  <c r="P13" i="45" s="1"/>
  <c r="Q23" i="45" s="1"/>
  <c r="AJ76" i="45"/>
  <c r="BT38" i="45"/>
  <c r="BT76" i="45" s="1"/>
  <c r="BL38" i="45"/>
  <c r="BK38" i="45"/>
  <c r="BK76" i="45" s="1"/>
  <c r="BQ38" i="45"/>
  <c r="BQ76" i="45" s="1"/>
  <c r="O31" i="32"/>
  <c r="AB31" i="32" s="1"/>
  <c r="O30" i="32"/>
  <c r="AH76" i="45"/>
  <c r="AB29" i="32"/>
  <c r="T39" i="53" l="1"/>
  <c r="AI38" i="53"/>
  <c r="W77" i="45"/>
  <c r="W23" i="45"/>
  <c r="Y77" i="45"/>
  <c r="Y23" i="45"/>
  <c r="AA77" i="45"/>
  <c r="AA23" i="45"/>
  <c r="AC77" i="45"/>
  <c r="AC23" i="45"/>
  <c r="AG77" i="45"/>
  <c r="AG23" i="45"/>
  <c r="AO77" i="45"/>
  <c r="AO23" i="45"/>
  <c r="R13" i="45"/>
  <c r="AD13" i="45"/>
  <c r="AJ13" i="45"/>
  <c r="V144" i="5"/>
  <c r="V142" i="5"/>
  <c r="BX38" i="45"/>
  <c r="AQ38" i="45" s="1"/>
  <c r="Q77" i="45"/>
  <c r="BL76" i="45"/>
  <c r="AI77" i="45"/>
  <c r="AB30" i="32"/>
  <c r="T40" i="53" l="1"/>
  <c r="AI39" i="53"/>
  <c r="AX33" i="45"/>
  <c r="AX31" i="45"/>
  <c r="AX32" i="45"/>
  <c r="S77" i="45"/>
  <c r="S23" i="45"/>
  <c r="AE77" i="45"/>
  <c r="AE23" i="45"/>
  <c r="AK77" i="45"/>
  <c r="AK23" i="45"/>
  <c r="T13" i="45"/>
  <c r="AZ59" i="45"/>
  <c r="AZ66" i="45"/>
  <c r="AZ57" i="45"/>
  <c r="AZ72" i="45"/>
  <c r="AZ71" i="45"/>
  <c r="AZ55" i="45"/>
  <c r="AZ52" i="45"/>
  <c r="AZ62" i="45"/>
  <c r="AZ46" i="45"/>
  <c r="AZ69" i="45"/>
  <c r="AZ53" i="45"/>
  <c r="AZ75" i="45"/>
  <c r="AZ64" i="45"/>
  <c r="AZ50" i="45"/>
  <c r="AZ73" i="45"/>
  <c r="AZ60" i="45"/>
  <c r="AZ67" i="45"/>
  <c r="AZ51" i="45"/>
  <c r="AZ74" i="45"/>
  <c r="AZ58" i="45"/>
  <c r="AZ68" i="45"/>
  <c r="AZ65" i="45"/>
  <c r="AZ49" i="45"/>
  <c r="AZ48" i="45"/>
  <c r="AZ63" i="45"/>
  <c r="AZ47" i="45"/>
  <c r="AZ70" i="45"/>
  <c r="AZ54" i="45"/>
  <c r="AZ56" i="45"/>
  <c r="AZ61" i="45"/>
  <c r="AZ45" i="45"/>
  <c r="AZ30" i="45"/>
  <c r="AZ43" i="45"/>
  <c r="AZ36" i="45"/>
  <c r="AZ39" i="45"/>
  <c r="AZ28" i="45"/>
  <c r="AZ42" i="45"/>
  <c r="T41" i="53" l="1"/>
  <c r="AI40" i="53"/>
  <c r="AQ13" i="45"/>
  <c r="U23" i="45"/>
  <c r="U77" i="45"/>
  <c r="AZ44" i="45"/>
  <c r="T42" i="53" l="1"/>
  <c r="AI41" i="53"/>
  <c r="AQ77" i="45"/>
  <c r="T43" i="53" l="1"/>
  <c r="AI42" i="53"/>
  <c r="T44" i="53" l="1"/>
  <c r="AI43" i="53"/>
  <c r="T45" i="53" l="1"/>
  <c r="AI44" i="53"/>
  <c r="T46" i="53" l="1"/>
  <c r="AI45" i="53"/>
  <c r="T47" i="53" l="1"/>
  <c r="AI46" i="53"/>
  <c r="BH23" i="51"/>
  <c r="BK23" i="51" s="1"/>
  <c r="BI21" i="51"/>
  <c r="BI25" i="32" s="1"/>
  <c r="BH21" i="51"/>
  <c r="BH26" i="51"/>
  <c r="BH22" i="51"/>
  <c r="BH25" i="51"/>
  <c r="BI22" i="51"/>
  <c r="BI26" i="32" s="1"/>
  <c r="CB26" i="32" s="1"/>
  <c r="CC26" i="32" s="1"/>
  <c r="BI25" i="51"/>
  <c r="BI29" i="32" s="1"/>
  <c r="CF29" i="32" s="1"/>
  <c r="CG29" i="32" s="1"/>
  <c r="AK14" i="53"/>
  <c r="AM14" i="53" s="1"/>
  <c r="AK18" i="53"/>
  <c r="AM18" i="53" s="1"/>
  <c r="AK17" i="53"/>
  <c r="AM17" i="53" s="1"/>
  <c r="AK12" i="53"/>
  <c r="AM12" i="53" s="1"/>
  <c r="T48" i="53" l="1"/>
  <c r="AI47" i="53"/>
  <c r="BJ26" i="51"/>
  <c r="T26" i="51" s="1"/>
  <c r="I26" i="51"/>
  <c r="BK25" i="51"/>
  <c r="I25" i="51"/>
  <c r="BK22" i="51"/>
  <c r="I22" i="51"/>
  <c r="I21" i="51"/>
  <c r="BT25" i="32"/>
  <c r="BU25" i="32" s="1"/>
  <c r="CF25" i="32"/>
  <c r="CG25" i="32" s="1"/>
  <c r="BN25" i="32"/>
  <c r="BO25" i="32" s="1"/>
  <c r="CH25" i="32"/>
  <c r="CI25" i="32" s="1"/>
  <c r="BV25" i="32"/>
  <c r="BW25" i="32" s="1"/>
  <c r="BR25" i="32"/>
  <c r="BS25" i="32" s="1"/>
  <c r="BJ25" i="32"/>
  <c r="BK25" i="32" s="1"/>
  <c r="CB25" i="32"/>
  <c r="CC25" i="32" s="1"/>
  <c r="CD25" i="32"/>
  <c r="CE25" i="32" s="1"/>
  <c r="BL25" i="32"/>
  <c r="BM25" i="32" s="1"/>
  <c r="BP25" i="32"/>
  <c r="BQ25" i="32" s="1"/>
  <c r="BZ25" i="32"/>
  <c r="CA25" i="32" s="1"/>
  <c r="BJ23" i="51"/>
  <c r="T23" i="51" s="1"/>
  <c r="I23" i="51"/>
  <c r="BK21" i="51"/>
  <c r="BK26" i="51"/>
  <c r="BZ29" i="32"/>
  <c r="CA29" i="32" s="1"/>
  <c r="BJ26" i="32"/>
  <c r="BK26" i="32" s="1"/>
  <c r="BJ29" i="32"/>
  <c r="BK29" i="32" s="1"/>
  <c r="BP29" i="32"/>
  <c r="BQ29" i="32" s="1"/>
  <c r="BT29" i="32"/>
  <c r="BU29" i="32" s="1"/>
  <c r="BL29" i="32"/>
  <c r="BM29" i="32" s="1"/>
  <c r="BR29" i="32"/>
  <c r="BS29" i="32" s="1"/>
  <c r="CD29" i="32"/>
  <c r="CE29" i="32" s="1"/>
  <c r="BN29" i="32"/>
  <c r="BO29" i="32" s="1"/>
  <c r="CB29" i="32"/>
  <c r="CC29" i="32" s="1"/>
  <c r="BV29" i="32"/>
  <c r="BW29" i="32" s="1"/>
  <c r="CH29" i="32"/>
  <c r="CI29" i="32" s="1"/>
  <c r="BV26" i="32"/>
  <c r="BW26" i="32" s="1"/>
  <c r="BR26" i="32"/>
  <c r="BS26" i="32" s="1"/>
  <c r="BP26" i="32"/>
  <c r="BQ26" i="32" s="1"/>
  <c r="BZ26" i="32"/>
  <c r="CA26" i="32" s="1"/>
  <c r="CF26" i="32"/>
  <c r="CG26" i="32" s="1"/>
  <c r="CD26" i="32"/>
  <c r="CE26" i="32" s="1"/>
  <c r="BT26" i="32"/>
  <c r="BU26" i="32" s="1"/>
  <c r="BN26" i="32"/>
  <c r="BO26" i="32" s="1"/>
  <c r="CH26" i="32"/>
  <c r="CI26" i="32" s="1"/>
  <c r="BL26" i="32"/>
  <c r="BM26" i="32" s="1"/>
  <c r="AN12" i="53"/>
  <c r="AN17" i="53"/>
  <c r="AN18" i="53"/>
  <c r="AN14" i="53"/>
  <c r="Z135" i="5"/>
  <c r="H23" i="51" l="1"/>
  <c r="L23" i="51" s="1"/>
  <c r="G23" i="51"/>
  <c r="H26" i="51"/>
  <c r="G26" i="51"/>
  <c r="G21" i="51"/>
  <c r="H21" i="51"/>
  <c r="L21" i="51" s="1"/>
  <c r="G25" i="51"/>
  <c r="H25" i="51"/>
  <c r="H22" i="51"/>
  <c r="L22" i="51" s="1"/>
  <c r="G22" i="51"/>
  <c r="CS27" i="32"/>
  <c r="CS30" i="32"/>
  <c r="CS25" i="32"/>
  <c r="CS29" i="32"/>
  <c r="CS26" i="32"/>
  <c r="T49" i="53"/>
  <c r="AI48" i="53"/>
  <c r="CL25" i="32"/>
  <c r="CM25" i="32" s="1"/>
  <c r="CL29" i="32"/>
  <c r="CM29" i="32" s="1"/>
  <c r="BJ25" i="51" s="1"/>
  <c r="T25" i="51" s="1"/>
  <c r="CL26" i="32"/>
  <c r="CM26" i="32" s="1"/>
  <c r="BJ22" i="51" s="1"/>
  <c r="T22" i="51" s="1"/>
  <c r="L26" i="51"/>
  <c r="L25" i="51"/>
  <c r="M21" i="51" l="1"/>
  <c r="M25" i="51"/>
  <c r="M23" i="51"/>
  <c r="M22" i="51"/>
  <c r="M26" i="51"/>
  <c r="K21" i="51"/>
  <c r="O21" i="51"/>
  <c r="U21" i="51"/>
  <c r="P21" i="51"/>
  <c r="R21" i="51" s="1"/>
  <c r="Q21" i="51"/>
  <c r="K25" i="51"/>
  <c r="O25" i="51"/>
  <c r="U25" i="51"/>
  <c r="P25" i="51"/>
  <c r="R25" i="51" s="1"/>
  <c r="Q25" i="51"/>
  <c r="O23" i="51"/>
  <c r="U23" i="51"/>
  <c r="Q23" i="51"/>
  <c r="P23" i="51"/>
  <c r="R23" i="51" s="1"/>
  <c r="K23" i="51"/>
  <c r="P22" i="51"/>
  <c r="R22" i="51" s="1"/>
  <c r="Q22" i="51"/>
  <c r="O22" i="51"/>
  <c r="K22" i="51"/>
  <c r="U22" i="51"/>
  <c r="K26" i="51"/>
  <c r="U26" i="51"/>
  <c r="P26" i="51"/>
  <c r="R26" i="51" s="1"/>
  <c r="O26" i="51"/>
  <c r="Q26" i="51"/>
  <c r="T50" i="53"/>
  <c r="AI49" i="53"/>
  <c r="BJ21" i="51"/>
  <c r="T21" i="51" s="1"/>
  <c r="AX38" i="45" l="1"/>
  <c r="T51" i="53"/>
  <c r="AI50" i="53"/>
  <c r="AY26" i="45" l="1"/>
  <c r="AZ26" i="45" s="1"/>
  <c r="AZ76" i="45" s="1"/>
  <c r="T52" i="53"/>
  <c r="AI51" i="53"/>
  <c r="T53" i="53" l="1"/>
  <c r="AI52" i="53"/>
  <c r="T54" i="53" l="1"/>
  <c r="AI53" i="53"/>
  <c r="T55" i="53" l="1"/>
  <c r="AI54" i="53"/>
  <c r="T56" i="53" l="1"/>
  <c r="AI55" i="53"/>
  <c r="T57" i="53" l="1"/>
  <c r="AI56" i="53"/>
  <c r="T58" i="53" l="1"/>
  <c r="AI57" i="53"/>
  <c r="T59" i="53" l="1"/>
  <c r="AI59" i="53" s="1"/>
  <c r="AI58" i="53"/>
  <c r="AI6" i="53" l="1"/>
  <c r="AI4" i="53" s="1"/>
  <c r="AL11" i="53" s="1"/>
  <c r="AK11" i="53" l="1"/>
  <c r="AK10" i="53"/>
  <c r="AL10" i="53"/>
  <c r="AM10" i="53" l="1"/>
  <c r="AN11" i="53"/>
  <c r="AM11" i="53"/>
  <c r="AN10" i="53"/>
  <c r="J20" i="56"/>
  <c r="J13" i="56" s="1"/>
  <c r="U5" i="55"/>
  <c r="T10" i="55"/>
  <c r="AN9" i="53" l="1"/>
  <c r="AN6" i="53" s="1"/>
  <c r="W61" i="5" s="1"/>
  <c r="V10" i="55"/>
  <c r="W10" i="55" s="1"/>
  <c r="T11" i="55"/>
  <c r="T12" i="55" s="1"/>
  <c r="O63" i="5"/>
  <c r="S11" i="54"/>
  <c r="S13" i="54" s="1"/>
  <c r="S7" i="54" s="1"/>
  <c r="S63" i="5" s="1"/>
  <c r="Q26" i="54"/>
  <c r="AE10" i="55" l="1"/>
  <c r="AF10" i="55" s="1"/>
  <c r="AI10" i="55" s="1"/>
  <c r="AL10" i="55"/>
  <c r="K18" i="56" s="1"/>
  <c r="V12" i="55"/>
  <c r="T13" i="55"/>
  <c r="V11" i="55"/>
  <c r="W11" i="55" s="1"/>
  <c r="AH5" i="54"/>
  <c r="AB5" i="37" s="1"/>
  <c r="Q27" i="54"/>
  <c r="R26" i="54"/>
  <c r="S28" i="54" l="1"/>
  <c r="AJ28" i="54" s="1"/>
  <c r="AJ10" i="55"/>
  <c r="AL11" i="55"/>
  <c r="K19" i="56" s="1"/>
  <c r="AE11" i="55"/>
  <c r="AF11" i="55" s="1"/>
  <c r="AI11" i="55" s="1"/>
  <c r="AJ11" i="55" s="1"/>
  <c r="K20" i="56"/>
  <c r="S27" i="54"/>
  <c r="AJ27" i="54" s="1"/>
  <c r="S26" i="54"/>
  <c r="AJ26" i="54" s="1"/>
  <c r="AO10" i="55"/>
  <c r="T14" i="55"/>
  <c r="V13" i="55"/>
  <c r="R27" i="54"/>
  <c r="Q28" i="54"/>
  <c r="K21" i="56" l="1"/>
  <c r="AO11" i="55"/>
  <c r="AO9" i="55" s="1"/>
  <c r="AO6" i="55" s="1"/>
  <c r="W63" i="5" s="1"/>
  <c r="AJ6" i="55"/>
  <c r="S29" i="54"/>
  <c r="AJ29" i="54" s="1"/>
  <c r="AJ46" i="54" s="1"/>
  <c r="AI6" i="55"/>
  <c r="T15" i="55"/>
  <c r="V14" i="55"/>
  <c r="R28" i="54"/>
  <c r="Q29" i="54"/>
  <c r="AJ4" i="55" l="1"/>
  <c r="AM10" i="55" s="1"/>
  <c r="T16" i="55"/>
  <c r="V15" i="55"/>
  <c r="R29" i="54"/>
  <c r="Q30" i="54"/>
  <c r="AN10" i="55" l="1"/>
  <c r="AM11" i="55"/>
  <c r="T17" i="55"/>
  <c r="V16" i="55"/>
  <c r="Q31" i="54"/>
  <c r="R30" i="54"/>
  <c r="M20" i="56" l="1"/>
  <c r="M18" i="56"/>
  <c r="AN11" i="55"/>
  <c r="T18" i="55"/>
  <c r="V17" i="55"/>
  <c r="Q32" i="54"/>
  <c r="R31" i="54"/>
  <c r="M21" i="56" l="1"/>
  <c r="M19" i="56"/>
  <c r="T19" i="55"/>
  <c r="V18" i="55"/>
  <c r="Q33" i="54"/>
  <c r="R32" i="54"/>
  <c r="T20" i="55" l="1"/>
  <c r="V19" i="55"/>
  <c r="R33" i="54"/>
  <c r="Q34" i="54"/>
  <c r="T21" i="55" l="1"/>
  <c r="V20" i="55"/>
  <c r="R34" i="54"/>
  <c r="Q35" i="54"/>
  <c r="T22" i="55" l="1"/>
  <c r="V21" i="55"/>
  <c r="Q36" i="54"/>
  <c r="R35" i="54"/>
  <c r="T23" i="55" l="1"/>
  <c r="V22" i="55"/>
  <c r="Q37" i="54"/>
  <c r="R36" i="54"/>
  <c r="T24" i="55" l="1"/>
  <c r="V23" i="55"/>
  <c r="R37" i="54"/>
  <c r="Q38" i="54"/>
  <c r="T25" i="55" l="1"/>
  <c r="V24" i="55"/>
  <c r="R38" i="54"/>
  <c r="Q39" i="54"/>
  <c r="T26" i="55" l="1"/>
  <c r="V25" i="55"/>
  <c r="Q40" i="54"/>
  <c r="R39" i="54"/>
  <c r="T27" i="55" l="1"/>
  <c r="V26" i="55"/>
  <c r="R40" i="54"/>
  <c r="Q41" i="54"/>
  <c r="T28" i="55" l="1"/>
  <c r="V27" i="55"/>
  <c r="R41" i="54"/>
  <c r="Q42" i="54"/>
  <c r="T29" i="55" l="1"/>
  <c r="V28" i="55"/>
  <c r="R42" i="54"/>
  <c r="Q43" i="54"/>
  <c r="T30" i="55" l="1"/>
  <c r="V29" i="55"/>
  <c r="Q44" i="54"/>
  <c r="R43" i="54"/>
  <c r="T31" i="55" l="1"/>
  <c r="V30" i="55"/>
  <c r="Q45" i="54"/>
  <c r="R45" i="54" s="1"/>
  <c r="R44" i="54"/>
  <c r="T32" i="55" l="1"/>
  <c r="V31" i="55"/>
  <c r="T33" i="55" l="1"/>
  <c r="V32" i="55"/>
  <c r="T34" i="55" l="1"/>
  <c r="V33" i="55"/>
  <c r="T35" i="55" l="1"/>
  <c r="V34" i="55"/>
  <c r="T36" i="55" l="1"/>
  <c r="V35" i="55"/>
  <c r="T37" i="55" l="1"/>
  <c r="V36" i="55"/>
  <c r="T38" i="55" l="1"/>
  <c r="V37" i="55"/>
  <c r="T39" i="55" l="1"/>
  <c r="V38" i="55"/>
  <c r="T40" i="55" l="1"/>
  <c r="V39" i="55"/>
  <c r="T41" i="55" l="1"/>
  <c r="V40" i="55"/>
  <c r="T42" i="55" l="1"/>
  <c r="V41" i="55"/>
  <c r="T43" i="55" l="1"/>
  <c r="V42" i="55"/>
  <c r="T44" i="55" l="1"/>
  <c r="V43" i="55"/>
  <c r="T45" i="55" l="1"/>
  <c r="V44" i="55"/>
  <c r="T46" i="55" l="1"/>
  <c r="V45" i="55"/>
  <c r="T47" i="55" l="1"/>
  <c r="V46" i="55"/>
  <c r="T48" i="55" l="1"/>
  <c r="V47" i="55"/>
  <c r="T49" i="55" l="1"/>
  <c r="V48" i="55"/>
  <c r="T50" i="55" l="1"/>
  <c r="V49" i="55"/>
  <c r="T51" i="55" l="1"/>
  <c r="V50" i="55"/>
  <c r="T52" i="55" l="1"/>
  <c r="V51" i="55"/>
  <c r="T53" i="55" l="1"/>
  <c r="V52" i="55"/>
  <c r="T54" i="55" l="1"/>
  <c r="V53" i="55"/>
  <c r="T55" i="55" l="1"/>
  <c r="V54" i="55"/>
  <c r="T56" i="55" l="1"/>
  <c r="V55" i="55"/>
  <c r="T57" i="55" l="1"/>
  <c r="V56" i="55"/>
  <c r="T58" i="55" l="1"/>
  <c r="V57" i="55"/>
  <c r="T59" i="55" l="1"/>
  <c r="V58" i="55"/>
  <c r="V59" i="55" l="1"/>
  <c r="U6" i="55"/>
  <c r="AX27" i="45" l="1"/>
  <c r="AX26" i="45"/>
  <c r="O68" i="32"/>
  <c r="AB68" i="32" s="1"/>
  <c r="O56" i="32"/>
  <c r="AB56" i="32" s="1"/>
  <c r="O45" i="32"/>
  <c r="AB45" i="32" s="1"/>
  <c r="O44" i="32"/>
  <c r="AB44" i="32" s="1"/>
  <c r="O48" i="32"/>
  <c r="AB48" i="32" s="1"/>
  <c r="O59" i="32"/>
  <c r="AB59" i="32" s="1"/>
  <c r="O62" i="32"/>
  <c r="AB62" i="32" s="1"/>
  <c r="O57" i="32"/>
  <c r="AB57" i="32" s="1"/>
  <c r="O71" i="32"/>
  <c r="AB71" i="32" s="1"/>
  <c r="O49" i="32"/>
  <c r="AB49" i="32" s="1"/>
  <c r="O35" i="32"/>
  <c r="AB35" i="32" s="1"/>
  <c r="O67" i="32"/>
  <c r="AB67" i="32" s="1"/>
  <c r="O36" i="32"/>
  <c r="AB36" i="32" s="1"/>
  <c r="O65" i="32"/>
  <c r="AB65" i="32" s="1"/>
  <c r="O42" i="32"/>
  <c r="AB42" i="32" s="1"/>
  <c r="O38" i="32"/>
  <c r="AB38" i="32" s="1"/>
  <c r="O52" i="32"/>
  <c r="AB52" i="32" s="1"/>
  <c r="O54" i="32"/>
  <c r="AB54" i="32" s="1"/>
  <c r="O50" i="32"/>
  <c r="AB50" i="32" s="1"/>
  <c r="O43" i="32"/>
  <c r="AB43" i="32" s="1"/>
  <c r="O34" i="32"/>
  <c r="AB34" i="32" s="1"/>
  <c r="O40" i="32"/>
  <c r="AB40" i="32" s="1"/>
  <c r="O66" i="32"/>
  <c r="AB66" i="32" s="1"/>
  <c r="O64" i="32"/>
  <c r="AB64" i="32" s="1"/>
  <c r="O41" i="32"/>
  <c r="AB41" i="32" s="1"/>
  <c r="O58" i="32"/>
  <c r="AB58" i="32" s="1"/>
  <c r="O51" i="32"/>
  <c r="AB51" i="32" s="1"/>
  <c r="O47" i="32"/>
  <c r="AB47" i="32" s="1"/>
  <c r="O39" i="32"/>
  <c r="AB39" i="32" s="1"/>
  <c r="O63" i="32"/>
  <c r="AB63" i="32" s="1"/>
  <c r="O61" i="32"/>
  <c r="AB61" i="32" s="1"/>
  <c r="O69" i="32"/>
  <c r="AB69" i="32" s="1"/>
  <c r="O55" i="32"/>
  <c r="AB55" i="32" s="1"/>
  <c r="O60" i="32"/>
  <c r="AB60" i="32" s="1"/>
  <c r="O46" i="32"/>
  <c r="AB46" i="32" s="1"/>
  <c r="O53" i="32"/>
  <c r="AB53" i="32" s="1"/>
  <c r="O37" i="32"/>
  <c r="AB37" i="32" s="1"/>
  <c r="O33" i="32"/>
  <c r="AB33" i="32" s="1"/>
  <c r="O70" i="32"/>
  <c r="AB70" i="32" s="1"/>
  <c r="O32" i="32"/>
  <c r="AB32" i="32" s="1"/>
  <c r="AX41" i="45" l="1"/>
  <c r="O18" i="32"/>
  <c r="AX28" i="45"/>
  <c r="AX72" i="45"/>
  <c r="AX45" i="45"/>
  <c r="AX50" i="45"/>
  <c r="AX62" i="45"/>
  <c r="AX53" i="45"/>
  <c r="AX35" i="45"/>
  <c r="AX46" i="45"/>
  <c r="AX30" i="45"/>
  <c r="AX56" i="45"/>
  <c r="AX57" i="45"/>
  <c r="AX48" i="45"/>
  <c r="AX52" i="45"/>
  <c r="AX34" i="45"/>
  <c r="AX69" i="45"/>
  <c r="AX70" i="45"/>
  <c r="AX51" i="45"/>
  <c r="AX68" i="45"/>
  <c r="AX39" i="45"/>
  <c r="AX44" i="45"/>
  <c r="AX61" i="45"/>
  <c r="AX58" i="45"/>
  <c r="AX66" i="45"/>
  <c r="AX65" i="45"/>
  <c r="AX74" i="45"/>
  <c r="AX40" i="45"/>
  <c r="AX59" i="45"/>
  <c r="AX36" i="45"/>
  <c r="AX29" i="45"/>
  <c r="AX67" i="45"/>
  <c r="AX64" i="45"/>
  <c r="AX60" i="45"/>
  <c r="AX42" i="45"/>
  <c r="AX55" i="45"/>
  <c r="AX71" i="45"/>
  <c r="AX73" i="45"/>
  <c r="AX63" i="45"/>
  <c r="AX43" i="45"/>
  <c r="AX54" i="45"/>
  <c r="AX75" i="45"/>
  <c r="AX49" i="45"/>
  <c r="AX47" i="45"/>
  <c r="AX37" i="45"/>
  <c r="W33" i="32" l="1"/>
  <c r="W71" i="32"/>
  <c r="W62" i="32"/>
  <c r="W66" i="32"/>
  <c r="W70" i="32"/>
  <c r="W44" i="32"/>
  <c r="W43" i="32"/>
  <c r="W53" i="32"/>
  <c r="W52" i="32"/>
  <c r="W55" i="32"/>
  <c r="W49" i="32"/>
  <c r="W58" i="32"/>
  <c r="W35" i="32"/>
  <c r="W51" i="32"/>
  <c r="W32" i="32"/>
  <c r="W57" i="32"/>
  <c r="W64" i="32"/>
  <c r="W68" i="32"/>
  <c r="W34" i="32"/>
  <c r="W37" i="32"/>
  <c r="W65" i="32"/>
  <c r="W63" i="32"/>
  <c r="W42" i="32"/>
  <c r="W61" i="32"/>
  <c r="W67" i="32"/>
  <c r="W47" i="32"/>
  <c r="W48" i="32"/>
  <c r="W41" i="32"/>
  <c r="W56" i="32"/>
  <c r="W54" i="32"/>
  <c r="W60" i="32"/>
  <c r="W45" i="32"/>
  <c r="W50" i="32"/>
  <c r="W46" i="32"/>
  <c r="W31" i="32"/>
  <c r="W38" i="32"/>
  <c r="W69" i="32"/>
  <c r="W36" i="32"/>
  <c r="W39" i="32"/>
  <c r="W59" i="32"/>
  <c r="W40" i="32"/>
  <c r="W30" i="32"/>
  <c r="W24" i="32"/>
  <c r="W23" i="32"/>
  <c r="W26" i="32"/>
  <c r="W28" i="32"/>
  <c r="W27" i="32"/>
  <c r="W29" i="32"/>
  <c r="W25" i="32"/>
  <c r="W22" i="32"/>
  <c r="W18" i="32" l="1"/>
  <c r="BF71" i="51" s="1"/>
  <c r="BF11" i="51" s="1"/>
  <c r="BF7" i="51" s="1"/>
  <c r="BH24" i="51" l="1"/>
  <c r="BI24" i="51"/>
  <c r="BI28" i="32" s="1"/>
  <c r="BH20" i="51"/>
  <c r="I20" i="51" s="1"/>
  <c r="BI20" i="51"/>
  <c r="BI24" i="32" s="1"/>
  <c r="L9" i="45"/>
  <c r="K13" i="45" s="1"/>
  <c r="M45" i="5"/>
  <c r="BH18" i="51"/>
  <c r="BI18" i="51"/>
  <c r="BI22" i="32" s="1"/>
  <c r="BI19" i="51"/>
  <c r="BI23" i="32" s="1"/>
  <c r="BH19" i="51"/>
  <c r="BK20" i="51" l="1"/>
  <c r="BN28" i="32"/>
  <c r="BO28" i="32" s="1"/>
  <c r="CF28" i="32"/>
  <c r="CG28" i="32" s="1"/>
  <c r="BZ28" i="32"/>
  <c r="CA28" i="32" s="1"/>
  <c r="BR28" i="32"/>
  <c r="BS28" i="32" s="1"/>
  <c r="BL28" i="32"/>
  <c r="BM28" i="32" s="1"/>
  <c r="CD28" i="32"/>
  <c r="CE28" i="32" s="1"/>
  <c r="BP28" i="32"/>
  <c r="BQ28" i="32" s="1"/>
  <c r="BJ28" i="32"/>
  <c r="BK28" i="32" s="1"/>
  <c r="BT28" i="32"/>
  <c r="BU28" i="32" s="1"/>
  <c r="BV28" i="32"/>
  <c r="BW28" i="32" s="1"/>
  <c r="CH28" i="32"/>
  <c r="CI28" i="32" s="1"/>
  <c r="CB28" i="32"/>
  <c r="CC28" i="32" s="1"/>
  <c r="BK24" i="51"/>
  <c r="I24" i="51"/>
  <c r="G20" i="51"/>
  <c r="H20" i="51"/>
  <c r="O20" i="51" s="1"/>
  <c r="BZ24" i="32"/>
  <c r="CA24" i="32" s="1"/>
  <c r="BJ24" i="32"/>
  <c r="BK24" i="32" s="1"/>
  <c r="BP24" i="32"/>
  <c r="BQ24" i="32" s="1"/>
  <c r="CB24" i="32"/>
  <c r="CC24" i="32" s="1"/>
  <c r="BN24" i="32"/>
  <c r="BO24" i="32" s="1"/>
  <c r="BL24" i="32"/>
  <c r="BM24" i="32" s="1"/>
  <c r="CD24" i="32"/>
  <c r="CE24" i="32" s="1"/>
  <c r="BV24" i="32"/>
  <c r="BW24" i="32" s="1"/>
  <c r="BX24" i="32"/>
  <c r="BY24" i="32" s="1"/>
  <c r="BT24" i="32"/>
  <c r="BU24" i="32" s="1"/>
  <c r="CF24" i="32"/>
  <c r="CG24" i="32" s="1"/>
  <c r="BR24" i="32"/>
  <c r="BS24" i="32" s="1"/>
  <c r="CH24" i="32"/>
  <c r="CI24" i="32" s="1"/>
  <c r="CS24" i="32"/>
  <c r="BZ23" i="32"/>
  <c r="CA23" i="32" s="1"/>
  <c r="CH23" i="32"/>
  <c r="CI23" i="32" s="1"/>
  <c r="CD23" i="32"/>
  <c r="CE23" i="32" s="1"/>
  <c r="BT23" i="32"/>
  <c r="BU23" i="32" s="1"/>
  <c r="BV23" i="32"/>
  <c r="BW23" i="32" s="1"/>
  <c r="BP23" i="32"/>
  <c r="BQ23" i="32" s="1"/>
  <c r="BJ23" i="32"/>
  <c r="BK23" i="32" s="1"/>
  <c r="BN23" i="32"/>
  <c r="BO23" i="32" s="1"/>
  <c r="BX23" i="32"/>
  <c r="BY23" i="32" s="1"/>
  <c r="CF23" i="32"/>
  <c r="CG23" i="32" s="1"/>
  <c r="BR23" i="32"/>
  <c r="BS23" i="32" s="1"/>
  <c r="CB23" i="32"/>
  <c r="CC23" i="32" s="1"/>
  <c r="BL23" i="32"/>
  <c r="BM23" i="32" s="1"/>
  <c r="BJ22" i="32"/>
  <c r="BK22" i="32" s="1"/>
  <c r="CH22" i="32"/>
  <c r="CI22" i="32" s="1"/>
  <c r="BR22" i="32"/>
  <c r="BS22" i="32" s="1"/>
  <c r="BV22" i="32"/>
  <c r="BW22" i="32" s="1"/>
  <c r="BT22" i="32"/>
  <c r="BU22" i="32" s="1"/>
  <c r="BN22" i="32"/>
  <c r="BO22" i="32" s="1"/>
  <c r="CF22" i="32"/>
  <c r="CG22" i="32" s="1"/>
  <c r="BP22" i="32"/>
  <c r="BQ22" i="32" s="1"/>
  <c r="CB22" i="32"/>
  <c r="CC22" i="32" s="1"/>
  <c r="CD22" i="32"/>
  <c r="CE22" i="32" s="1"/>
  <c r="BX22" i="32"/>
  <c r="BY22" i="32" s="1"/>
  <c r="BZ22" i="32"/>
  <c r="CA22" i="32" s="1"/>
  <c r="BL22" i="32"/>
  <c r="BM22" i="32" s="1"/>
  <c r="BK18" i="51"/>
  <c r="I18" i="51"/>
  <c r="I19" i="51"/>
  <c r="BK19" i="51"/>
  <c r="L20" i="51"/>
  <c r="CL28" i="32" l="1"/>
  <c r="CM28" i="32" s="1"/>
  <c r="BJ24" i="51" s="1"/>
  <c r="T24" i="51" s="1"/>
  <c r="G24" i="51"/>
  <c r="H24" i="51"/>
  <c r="CS28" i="32"/>
  <c r="G19" i="51"/>
  <c r="H19" i="51"/>
  <c r="G18" i="51"/>
  <c r="H18" i="51"/>
  <c r="U20" i="51"/>
  <c r="P20" i="51"/>
  <c r="R20" i="51" s="1"/>
  <c r="CL24" i="32"/>
  <c r="CM24" i="32" s="1"/>
  <c r="BJ20" i="51" s="1"/>
  <c r="T20" i="51" s="1"/>
  <c r="Q20" i="51"/>
  <c r="M20" i="51"/>
  <c r="K20" i="51"/>
  <c r="CS23" i="32"/>
  <c r="CS22" i="32"/>
  <c r="BK16" i="51"/>
  <c r="W39" i="5" s="1"/>
  <c r="CL23" i="32"/>
  <c r="CM23" i="32" s="1"/>
  <c r="BJ19" i="51" s="1"/>
  <c r="T19" i="51" s="1"/>
  <c r="CL22" i="32"/>
  <c r="CM22" i="32" s="1"/>
  <c r="BJ18" i="51" s="1"/>
  <c r="T18" i="51" s="1"/>
  <c r="L24" i="51"/>
  <c r="L18" i="51"/>
  <c r="L19" i="51"/>
  <c r="M24" i="51" l="1"/>
  <c r="P24" i="51"/>
  <c r="R24" i="51" s="1"/>
  <c r="Q24" i="51"/>
  <c r="K24" i="51"/>
  <c r="O24" i="51"/>
  <c r="U24" i="51"/>
  <c r="M19" i="51"/>
  <c r="G13" i="51"/>
  <c r="M39" i="5" s="1"/>
  <c r="O19" i="51"/>
  <c r="P19" i="51"/>
  <c r="R19" i="51" s="1"/>
  <c r="K19" i="51"/>
  <c r="Q19" i="51"/>
  <c r="U19" i="51"/>
  <c r="M18" i="51"/>
  <c r="L13" i="51"/>
  <c r="Q18" i="51"/>
  <c r="K18" i="51"/>
  <c r="P18" i="51"/>
  <c r="O18" i="51"/>
  <c r="U18" i="51"/>
  <c r="H13" i="51"/>
  <c r="O39" i="5" s="1"/>
  <c r="U39" i="5" l="1"/>
  <c r="K13" i="51"/>
  <c r="Q13" i="51"/>
  <c r="O13" i="51"/>
  <c r="R18" i="51"/>
  <c r="P13" i="51"/>
  <c r="Q39" i="5"/>
  <c r="Y39" i="5" l="1"/>
  <c r="Q27" i="37"/>
  <c r="AI27" i="37" s="1"/>
  <c r="AJ27" i="37"/>
  <c r="AJ46" i="37" s="1"/>
  <c r="S13" i="37" s="1"/>
  <c r="T23" i="37" s="1"/>
  <c r="AK27" i="37"/>
  <c r="AK46" i="37" s="1"/>
  <c r="U13" i="37" s="1"/>
  <c r="V23" i="37" s="1"/>
  <c r="AL27" i="37"/>
  <c r="AL46" i="37" s="1"/>
  <c r="W13" i="37" s="1"/>
  <c r="X23" i="37" s="1"/>
  <c r="AI46" i="37" l="1"/>
  <c r="Q13" i="37" s="1"/>
  <c r="R23" i="37" s="1"/>
  <c r="AO27" i="37"/>
  <c r="AB27" i="37" l="1"/>
  <c r="AB13" i="37"/>
  <c r="U61" i="5" l="1"/>
  <c r="U63" i="5"/>
  <c r="AB3" i="37"/>
  <c r="AH3" i="54" s="1"/>
  <c r="Y5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Lane</author>
  </authors>
  <commentList>
    <comment ref="A17" authorId="0" shapeId="0" xr:uid="{00000000-0006-0000-0000-000001000000}">
      <text>
        <r>
          <rPr>
            <sz val="9"/>
            <color indexed="81"/>
            <rFont val="Tahoma"/>
            <family val="2"/>
          </rPr>
          <t>Click link to go to the Project information section 
(Name, Address and Contact information)</t>
        </r>
      </text>
    </comment>
    <comment ref="A19" authorId="0" shapeId="0" xr:uid="{00000000-0006-0000-0000-000002000000}">
      <text>
        <r>
          <rPr>
            <sz val="9"/>
            <color indexed="81"/>
            <rFont val="Tahoma"/>
            <family val="2"/>
          </rPr>
          <t xml:space="preserve">Click the link to select if the project is a building </t>
        </r>
        <r>
          <rPr>
            <b/>
            <sz val="9"/>
            <color indexed="81"/>
            <rFont val="Tahoma"/>
            <family val="2"/>
          </rPr>
          <t>Alteration</t>
        </r>
        <r>
          <rPr>
            <sz val="9"/>
            <color indexed="81"/>
            <rFont val="Tahoma"/>
            <family val="2"/>
          </rPr>
          <t xml:space="preserve"> or </t>
        </r>
        <r>
          <rPr>
            <b/>
            <sz val="9"/>
            <color indexed="81"/>
            <rFont val="Tahoma"/>
            <family val="2"/>
          </rPr>
          <t>New Construction</t>
        </r>
      </text>
    </comment>
    <comment ref="A21" authorId="0" shapeId="0" xr:uid="{00000000-0006-0000-0000-000003000000}">
      <text>
        <r>
          <rPr>
            <sz val="9"/>
            <color indexed="81"/>
            <rFont val="Tahoma"/>
            <family val="2"/>
          </rPr>
          <t xml:space="preserve">Click the link to go to the selection of </t>
        </r>
        <r>
          <rPr>
            <b/>
            <sz val="9"/>
            <color indexed="81"/>
            <rFont val="Tahoma"/>
            <family val="2"/>
          </rPr>
          <t>Building Method Method</t>
        </r>
        <r>
          <rPr>
            <sz val="9"/>
            <color indexed="81"/>
            <rFont val="Tahoma"/>
            <family val="2"/>
          </rPr>
          <t xml:space="preserve"> or </t>
        </r>
        <r>
          <rPr>
            <b/>
            <sz val="9"/>
            <color indexed="81"/>
            <rFont val="Tahoma"/>
            <family val="2"/>
          </rPr>
          <t>Space by Space Method</t>
        </r>
        <r>
          <rPr>
            <sz val="9"/>
            <color indexed="81"/>
            <rFont val="Tahoma"/>
            <family val="2"/>
          </rPr>
          <t xml:space="preserve"> for the interior lighting of this project</t>
        </r>
      </text>
    </comment>
    <comment ref="A23" authorId="0" shapeId="0" xr:uid="{00000000-0006-0000-0000-000004000000}">
      <text>
        <r>
          <rPr>
            <sz val="9"/>
            <color indexed="81"/>
            <rFont val="Tahoma"/>
            <family val="2"/>
          </rPr>
          <t xml:space="preserve">Click on this link to go to the </t>
        </r>
        <r>
          <rPr>
            <b/>
            <sz val="9"/>
            <color indexed="81"/>
            <rFont val="Tahoma"/>
            <family val="2"/>
          </rPr>
          <t>Luminaire Schedule</t>
        </r>
        <r>
          <rPr>
            <sz val="9"/>
            <color indexed="81"/>
            <rFont val="Tahoma"/>
            <family val="2"/>
          </rPr>
          <t xml:space="preserve"> and enter the lights used on this project. </t>
        </r>
      </text>
    </comment>
    <comment ref="A25" authorId="0" shapeId="0" xr:uid="{00000000-0006-0000-0000-000005000000}">
      <text>
        <r>
          <rPr>
            <sz val="9"/>
            <color indexed="81"/>
            <rFont val="Tahoma"/>
            <family val="2"/>
          </rPr>
          <t xml:space="preserve">Click on this link to go to the </t>
        </r>
        <r>
          <rPr>
            <b/>
            <sz val="9"/>
            <color indexed="81"/>
            <rFont val="Tahoma"/>
            <family val="2"/>
          </rPr>
          <t>Interior Room Schedule</t>
        </r>
        <r>
          <rPr>
            <sz val="9"/>
            <color indexed="81"/>
            <rFont val="Tahoma"/>
            <family val="2"/>
          </rPr>
          <t xml:space="preserve"> to enter the spaces on this project. </t>
        </r>
      </text>
    </comment>
    <comment ref="A27" authorId="0" shapeId="0" xr:uid="{00000000-0006-0000-0000-000006000000}">
      <text>
        <r>
          <rPr>
            <sz val="9"/>
            <color indexed="81"/>
            <rFont val="Tahoma"/>
            <family val="2"/>
          </rPr>
          <t xml:space="preserve">Click this link to go to the </t>
        </r>
        <r>
          <rPr>
            <b/>
            <sz val="9"/>
            <color indexed="81"/>
            <rFont val="Tahoma"/>
            <family val="2"/>
          </rPr>
          <t>installed Interior Lighting</t>
        </r>
        <r>
          <rPr>
            <sz val="9"/>
            <color indexed="81"/>
            <rFont val="Tahoma"/>
            <family val="2"/>
          </rPr>
          <t xml:space="preserve"> page when using the </t>
        </r>
        <r>
          <rPr>
            <b/>
            <sz val="9"/>
            <color indexed="81"/>
            <rFont val="Tahoma"/>
            <family val="2"/>
          </rPr>
          <t>Building Area Method</t>
        </r>
        <r>
          <rPr>
            <sz val="9"/>
            <color indexed="81"/>
            <rFont val="Tahoma"/>
            <family val="2"/>
          </rPr>
          <t xml:space="preserve"> and enter all of the planned lighting.</t>
        </r>
      </text>
    </comment>
    <comment ref="A29" authorId="0" shapeId="0" xr:uid="{00000000-0006-0000-0000-000007000000}">
      <text>
        <r>
          <rPr>
            <sz val="9"/>
            <color indexed="81"/>
            <rFont val="Tahoma"/>
            <family val="2"/>
          </rPr>
          <t xml:space="preserve">Click one of the links below to go to the </t>
        </r>
        <r>
          <rPr>
            <b/>
            <sz val="9"/>
            <color indexed="81"/>
            <rFont val="Tahoma"/>
            <family val="2"/>
          </rPr>
          <t>Space by Space Method</t>
        </r>
        <r>
          <rPr>
            <sz val="9"/>
            <color indexed="81"/>
            <rFont val="Tahoma"/>
            <family val="2"/>
          </rPr>
          <t xml:space="preserve"> steps to enter all of the planned lighting.</t>
        </r>
      </text>
    </comment>
    <comment ref="A31" authorId="0" shapeId="0" xr:uid="{00000000-0006-0000-0000-000008000000}">
      <text>
        <r>
          <rPr>
            <sz val="9"/>
            <color indexed="81"/>
            <rFont val="Tahoma"/>
            <family val="2"/>
          </rPr>
          <t xml:space="preserve">Click this link to go to the </t>
        </r>
        <r>
          <rPr>
            <b/>
            <sz val="9"/>
            <color indexed="81"/>
            <rFont val="Tahoma"/>
            <family val="2"/>
          </rPr>
          <t>Space by Space Method</t>
        </r>
        <r>
          <rPr>
            <sz val="9"/>
            <color indexed="81"/>
            <rFont val="Tahoma"/>
            <family val="2"/>
          </rPr>
          <t xml:space="preserve"> (step-a) which is for calculating the LPA and specifying RCR, spaces that have Retail or Decorative Lighting.</t>
        </r>
      </text>
    </comment>
    <comment ref="A33" authorId="0" shapeId="0" xr:uid="{00000000-0006-0000-0000-000009000000}">
      <text>
        <r>
          <rPr>
            <sz val="9"/>
            <color indexed="81"/>
            <rFont val="Tahoma"/>
            <family val="2"/>
          </rPr>
          <t xml:space="preserve">Click this link to go to the </t>
        </r>
        <r>
          <rPr>
            <b/>
            <sz val="9"/>
            <color indexed="81"/>
            <rFont val="Tahoma"/>
            <family val="2"/>
          </rPr>
          <t>Space by Space Method</t>
        </r>
        <r>
          <rPr>
            <sz val="9"/>
            <color indexed="81"/>
            <rFont val="Tahoma"/>
            <family val="2"/>
          </rPr>
          <t xml:space="preserve"> (step-b) which is for specifying spaces and the luminaires in each room along with the required controls.</t>
        </r>
      </text>
    </comment>
    <comment ref="A35" authorId="0" shapeId="0" xr:uid="{00000000-0006-0000-0000-00000A000000}">
      <text>
        <r>
          <rPr>
            <sz val="9"/>
            <color indexed="81"/>
            <rFont val="Tahoma"/>
            <family val="2"/>
          </rPr>
          <t xml:space="preserve">Click this link to go to the </t>
        </r>
        <r>
          <rPr>
            <b/>
            <sz val="9"/>
            <color indexed="81"/>
            <rFont val="Tahoma"/>
            <family val="2"/>
          </rPr>
          <t>Space by Space Method</t>
        </r>
        <r>
          <rPr>
            <sz val="9"/>
            <color indexed="81"/>
            <rFont val="Tahoma"/>
            <family val="2"/>
          </rPr>
          <t xml:space="preserve"> (step-c) which is for specifying Decorative lighting.</t>
        </r>
      </text>
    </comment>
    <comment ref="A37" authorId="0" shapeId="0" xr:uid="{00000000-0006-0000-0000-00000B000000}">
      <text>
        <r>
          <rPr>
            <sz val="9"/>
            <color indexed="81"/>
            <rFont val="Tahoma"/>
            <family val="2"/>
          </rPr>
          <t xml:space="preserve">Click this link to go to the </t>
        </r>
        <r>
          <rPr>
            <b/>
            <sz val="9"/>
            <color indexed="81"/>
            <rFont val="Tahoma"/>
            <family val="2"/>
          </rPr>
          <t>Space by Space Method</t>
        </r>
        <r>
          <rPr>
            <sz val="9"/>
            <color indexed="81"/>
            <rFont val="Tahoma"/>
            <family val="2"/>
          </rPr>
          <t xml:space="preserve"> (step-d) which is for specifying Retail lighting.</t>
        </r>
      </text>
    </comment>
    <comment ref="A41" authorId="0" shapeId="0" xr:uid="{00000000-0006-0000-0000-00000C000000}">
      <text>
        <r>
          <rPr>
            <sz val="9"/>
            <color indexed="81"/>
            <rFont val="Tahoma"/>
            <family val="2"/>
          </rPr>
          <t xml:space="preserve">Click on this link to go to the </t>
        </r>
        <r>
          <rPr>
            <b/>
            <sz val="9"/>
            <color indexed="81"/>
            <rFont val="Tahoma"/>
            <family val="2"/>
          </rPr>
          <t>Exterior Room Schedule</t>
        </r>
        <r>
          <rPr>
            <sz val="9"/>
            <color indexed="81"/>
            <rFont val="Tahoma"/>
            <family val="2"/>
          </rPr>
          <t xml:space="preserve"> to enter the spaces on this project. </t>
        </r>
      </text>
    </comment>
    <comment ref="A43" authorId="0" shapeId="0" xr:uid="{00000000-0006-0000-0000-00000D000000}">
      <text>
        <r>
          <rPr>
            <sz val="9"/>
            <color indexed="81"/>
            <rFont val="Tahoma"/>
            <family val="2"/>
          </rPr>
          <t xml:space="preserve">Click one of the links below to go to the </t>
        </r>
        <r>
          <rPr>
            <b/>
            <sz val="9"/>
            <color indexed="81"/>
            <rFont val="Tahoma"/>
            <family val="2"/>
          </rPr>
          <t>installed Exterior Lighting</t>
        </r>
        <r>
          <rPr>
            <sz val="9"/>
            <color indexed="81"/>
            <rFont val="Tahoma"/>
            <family val="2"/>
          </rPr>
          <t xml:space="preserve"> pages and enter all of the planned lighting.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lane</author>
  </authors>
  <commentList>
    <comment ref="BE14" authorId="0" shapeId="0" xr:uid="{00000000-0006-0000-0100-000001000000}">
      <text>
        <r>
          <rPr>
            <b/>
            <sz val="9"/>
            <color indexed="81"/>
            <rFont val="Tahoma"/>
            <family val="2"/>
          </rPr>
          <t>Michael lane:</t>
        </r>
        <r>
          <rPr>
            <sz val="9"/>
            <color indexed="81"/>
            <rFont val="Tahoma"/>
            <family val="2"/>
          </rPr>
          <t xml:space="preserve">
If Exception is used then the watts don't count towards the overall LPA compliance.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Lane</author>
  </authors>
  <commentList>
    <comment ref="M15" authorId="0" shapeId="0" xr:uid="{00000000-0006-0000-0300-000001000000}">
      <text>
        <r>
          <rPr>
            <sz val="9"/>
            <color indexed="81"/>
            <rFont val="Tahoma"/>
            <family val="2"/>
          </rPr>
          <t>If you are using track lighting it must comply with 9.1.4. Select the track type from the drop down and enter the wattage per 9.1.4.
If using 9.1.4.c1, enter 30 in the Watts column.
If using 9.1.4.c2, enter the VA rating of the circuit breaker and remember to use a quantity of 1 on the Compliance Worksheet.
If using 9.1.4.c3, enter the VA rating of the current limiter and  remember to use a quantity of 1 on the Compliance Worksheet.
If using 9.1.4.d, enter the maximum transformer wattage and remember to use a quantity of 1 on the Compliance Worksheet.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Lane</author>
    <author>mlane</author>
  </authors>
  <commentList>
    <comment ref="J14" authorId="0" shapeId="0" xr:uid="{00000000-0006-0000-0400-000001000000}">
      <text>
        <r>
          <rPr>
            <sz val="9"/>
            <color indexed="81"/>
            <rFont val="Tahoma"/>
            <family val="2"/>
          </rPr>
          <t>'Select the 9.5.1 Building Area Method "Building Type" from the Drop Down list. Reference 90.1 Table 9.5.1.</t>
        </r>
      </text>
    </comment>
    <comment ref="L14" authorId="0" shapeId="0" xr:uid="{00000000-0006-0000-0400-000002000000}">
      <text>
        <r>
          <rPr>
            <sz val="9"/>
            <color indexed="81"/>
            <rFont val="Tahoma"/>
            <family val="2"/>
          </rPr>
          <t>Enter the square footage of each space in the cells below.</t>
        </r>
      </text>
    </comment>
    <comment ref="R14" authorId="0" shapeId="0" xr:uid="{00000000-0006-0000-0400-000003000000}">
      <text>
        <r>
          <rPr>
            <sz val="9"/>
            <color indexed="81"/>
            <rFont val="Tahoma"/>
            <family val="2"/>
          </rPr>
          <t>'Select the 9.6.1 Space by Space Method "Space Type(s)" from the Drop Down list. Reference 90.1 Table 9.6.1.</t>
        </r>
      </text>
    </comment>
    <comment ref="S14" authorId="1" shapeId="0" xr:uid="{00000000-0006-0000-0400-000004000000}">
      <text>
        <r>
          <rPr>
            <sz val="9"/>
            <color indexed="81"/>
            <rFont val="Tahoma"/>
            <family val="2"/>
          </rPr>
          <t>Enter an optional room name.
Eg: Classroom 102</t>
        </r>
      </text>
    </comment>
    <comment ref="T14" authorId="0" shapeId="0" xr:uid="{00000000-0006-0000-0400-000005000000}">
      <text>
        <r>
          <rPr>
            <sz val="9"/>
            <color indexed="81"/>
            <rFont val="Tahoma"/>
            <family val="2"/>
          </rPr>
          <t>Enter the square footage of each space in the cells below.</t>
        </r>
      </text>
    </comment>
    <comment ref="U14" authorId="0" shapeId="0" xr:uid="{00000000-0006-0000-0400-000006000000}">
      <text>
        <r>
          <rPr>
            <sz val="9"/>
            <color indexed="81"/>
            <rFont val="Tahoma"/>
            <family val="2"/>
          </rPr>
          <t xml:space="preserve">Enter the Atrium height in feet.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mlane</author>
    <author>Michael Lane</author>
  </authors>
  <commentList>
    <comment ref="L20" authorId="0" shapeId="0" xr:uid="{00000000-0006-0000-0600-000001000000}">
      <text>
        <r>
          <rPr>
            <sz val="9"/>
            <color indexed="81"/>
            <rFont val="Tahoma"/>
            <family val="2"/>
          </rPr>
          <t xml:space="preserve">To calculate the Actual RCR of a space click on </t>
        </r>
        <r>
          <rPr>
            <b/>
            <sz val="9"/>
            <color indexed="81"/>
            <rFont val="Tahoma"/>
            <family val="2"/>
          </rPr>
          <t>RCR Calculator</t>
        </r>
        <r>
          <rPr>
            <sz val="9"/>
            <color indexed="81"/>
            <rFont val="Tahoma"/>
            <family val="2"/>
          </rPr>
          <t xml:space="preserve"> above for help.  
Enter </t>
        </r>
        <r>
          <rPr>
            <b/>
            <sz val="9"/>
            <color indexed="81"/>
            <rFont val="Tahoma"/>
            <family val="2"/>
          </rPr>
          <t>width</t>
        </r>
        <r>
          <rPr>
            <sz val="9"/>
            <color indexed="81"/>
            <rFont val="Tahoma"/>
            <family val="2"/>
          </rPr>
          <t xml:space="preserve"> for corridors.</t>
        </r>
      </text>
    </comment>
    <comment ref="P20" authorId="1" shapeId="0" xr:uid="{00000000-0006-0000-0600-000002000000}">
      <text>
        <r>
          <rPr>
            <sz val="9"/>
            <color indexed="81"/>
            <rFont val="Tahoma"/>
            <family val="2"/>
          </rPr>
          <t xml:space="preserve">If </t>
        </r>
        <r>
          <rPr>
            <b/>
            <sz val="9"/>
            <color indexed="81"/>
            <rFont val="Tahoma"/>
            <family val="2"/>
          </rPr>
          <t>Decorative Lighting</t>
        </r>
        <r>
          <rPr>
            <sz val="9"/>
            <color indexed="81"/>
            <rFont val="Tahoma"/>
            <family val="2"/>
          </rPr>
          <t xml:space="preserve"> will be installed in addition to general lighting it </t>
        </r>
        <r>
          <rPr>
            <b/>
            <sz val="9"/>
            <color indexed="81"/>
            <rFont val="Tahoma"/>
            <family val="2"/>
          </rPr>
          <t>must</t>
        </r>
        <r>
          <rPr>
            <sz val="9"/>
            <color indexed="81"/>
            <rFont val="Tahoma"/>
            <family val="2"/>
          </rPr>
          <t xml:space="preserve"> meet 9.6.2 Additional Interior Lighting Power and control requirements?
</t>
        </r>
      </text>
    </comment>
    <comment ref="Q20" authorId="0" shapeId="0" xr:uid="{00000000-0006-0000-0600-000003000000}">
      <text>
        <r>
          <rPr>
            <sz val="9"/>
            <color indexed="81"/>
            <rFont val="Tahoma"/>
            <family val="2"/>
          </rPr>
          <t>Decorative area must be equal to or less than the Space Area.</t>
        </r>
      </text>
    </comment>
    <comment ref="R20" authorId="1" shapeId="0" xr:uid="{00000000-0006-0000-0600-000004000000}">
      <text>
        <r>
          <rPr>
            <sz val="9"/>
            <color indexed="81"/>
            <rFont val="Tahoma"/>
            <family val="2"/>
          </rPr>
          <t xml:space="preserve">If Cell below says "sq.ft. ERROR" you have entered a larger square footage than the space square footage. Please revise!
</t>
        </r>
      </text>
    </comment>
    <comment ref="V20" authorId="1" shapeId="0" xr:uid="{00000000-0006-0000-0600-000005000000}">
      <text>
        <r>
          <rPr>
            <sz val="9"/>
            <color indexed="81"/>
            <rFont val="Tahoma"/>
            <family val="2"/>
          </rPr>
          <t>If Cell below says "sq.ft. ERROR" you have entered a larger square footage than the space square footage. Please revise!</t>
        </r>
        <r>
          <rPr>
            <b/>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mlane</author>
    <author>Michael Lane</author>
  </authors>
  <commentList>
    <comment ref="I14" authorId="0" shapeId="0" xr:uid="{00000000-0006-0000-0B00-000001000000}">
      <text>
        <r>
          <rPr>
            <sz val="9"/>
            <color indexed="81"/>
            <rFont val="Tahoma"/>
            <family val="2"/>
          </rPr>
          <t>Enter your Exterior Area name</t>
        </r>
      </text>
    </comment>
    <comment ref="J14" authorId="1" shapeId="0" xr:uid="{00000000-0006-0000-0B00-000002000000}">
      <text>
        <r>
          <rPr>
            <sz val="9"/>
            <color indexed="81"/>
            <rFont val="Tahoma"/>
            <family val="2"/>
          </rPr>
          <t>Select the Building Space Type for the drop down list.
Building/Space Type
(C = Common Space Types)
(S = Building Specific Space Types)</t>
        </r>
      </text>
    </comment>
    <comment ref="K14" authorId="1" shapeId="0" xr:uid="{00000000-0006-0000-0B00-000003000000}">
      <text>
        <r>
          <rPr>
            <sz val="9"/>
            <color indexed="81"/>
            <rFont val="Tahoma"/>
            <family val="2"/>
          </rPr>
          <t xml:space="preserve">Enter the square footage of each space in the cells below.
Enter length of walkways when using "Walkways &lt; 10' wide (by length)"
</t>
        </r>
      </text>
    </comment>
    <comment ref="O14" authorId="0" shapeId="0" xr:uid="{00000000-0006-0000-0B00-000004000000}">
      <text>
        <r>
          <rPr>
            <sz val="9"/>
            <color indexed="81"/>
            <rFont val="Tahoma"/>
            <family val="2"/>
          </rPr>
          <t>Enter your Exterior Area name</t>
        </r>
      </text>
    </comment>
    <comment ref="P14" authorId="1" shapeId="0" xr:uid="{00000000-0006-0000-0B00-000005000000}">
      <text>
        <r>
          <rPr>
            <sz val="9"/>
            <color indexed="81"/>
            <rFont val="Tahoma"/>
            <family val="2"/>
          </rPr>
          <t>Select the Building Space Type for the drop down list.
Building/Space Type
(C = Common Space Types)
(S = Building Specific Space Types)</t>
        </r>
      </text>
    </comment>
    <comment ref="Q14" authorId="1" shapeId="0" xr:uid="{00000000-0006-0000-0B00-000006000000}">
      <text>
        <r>
          <rPr>
            <sz val="9"/>
            <color indexed="81"/>
            <rFont val="Tahoma"/>
            <family val="2"/>
          </rPr>
          <t>Enter the square footage, Linear footage or Number of areas in the cells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Michael lane</author>
  </authors>
  <commentList>
    <comment ref="AH8" authorId="0" shapeId="0" xr:uid="{00000000-0006-0000-0D00-000001000000}">
      <text>
        <r>
          <rPr>
            <b/>
            <sz val="9"/>
            <color indexed="81"/>
            <rFont val="Tahoma"/>
            <family val="2"/>
          </rPr>
          <t>Michael lane:</t>
        </r>
        <r>
          <rPr>
            <sz val="9"/>
            <color indexed="81"/>
            <rFont val="Tahoma"/>
            <family val="2"/>
          </rPr>
          <t xml:space="preserve">
If Exception is used then the watts don't count towards the overall LPA compliance.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Michael lane</author>
  </authors>
  <commentList>
    <comment ref="AI8" authorId="0" shapeId="0" xr:uid="{00000000-0006-0000-0F00-000001000000}">
      <text>
        <r>
          <rPr>
            <b/>
            <sz val="9"/>
            <color indexed="81"/>
            <rFont val="Tahoma"/>
            <family val="2"/>
          </rPr>
          <t>Michael lane:</t>
        </r>
        <r>
          <rPr>
            <sz val="9"/>
            <color indexed="81"/>
            <rFont val="Tahoma"/>
            <family val="2"/>
          </rPr>
          <t xml:space="preserve">
If Exception is used then the watts don't count towards the overall LPA compliance.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Acuity Brands Lighting</author>
  </authors>
  <commentList>
    <comment ref="F4" authorId="0" shapeId="0" xr:uid="{00000000-0006-0000-1500-000001000000}">
      <text>
        <r>
          <rPr>
            <sz val="8"/>
            <color indexed="81"/>
            <rFont val="Tahoma"/>
            <family val="2"/>
          </rPr>
          <t>See footnote 1</t>
        </r>
      </text>
    </comment>
    <comment ref="F5" authorId="0" shapeId="0" xr:uid="{00000000-0006-0000-1500-000002000000}">
      <text>
        <r>
          <rPr>
            <sz val="8"/>
            <color indexed="81"/>
            <rFont val="Tahoma"/>
            <family val="2"/>
          </rPr>
          <t>These control factors may only be used if the requirements of section 9.4.1.2 are met using an occupancy sensor.</t>
        </r>
      </text>
    </comment>
    <comment ref="C7" authorId="0" shapeId="0" xr:uid="{00000000-0006-0000-1500-000003000000}">
      <text>
        <r>
          <rPr>
            <sz val="8"/>
            <color indexed="81"/>
            <rFont val="Tahoma"/>
            <family val="2"/>
          </rPr>
          <t>See footnote 2.</t>
        </r>
      </text>
    </comment>
    <comment ref="C8" authorId="0" shapeId="0" xr:uid="{00000000-0006-0000-1500-000004000000}">
      <text>
        <r>
          <rPr>
            <sz val="8"/>
            <color indexed="81"/>
            <rFont val="Tahoma"/>
            <family val="2"/>
          </rPr>
          <t>See footnote 3.</t>
        </r>
      </text>
    </comment>
    <comment ref="C9" authorId="0" shapeId="0" xr:uid="{00000000-0006-0000-1500-000005000000}">
      <text>
        <r>
          <rPr>
            <sz val="8"/>
            <color indexed="81"/>
            <rFont val="Tahoma"/>
            <family val="2"/>
          </rPr>
          <t>See footnote 4.</t>
        </r>
      </text>
    </comment>
    <comment ref="W45" authorId="0" shapeId="0" xr:uid="{00000000-0006-0000-1500-000006000000}">
      <text>
        <r>
          <rPr>
            <sz val="8"/>
            <color indexed="81"/>
            <rFont val="Tahoma"/>
            <family val="2"/>
          </rPr>
          <t>See footnote 2.</t>
        </r>
      </text>
    </comment>
    <comment ref="X45" authorId="0" shapeId="0" xr:uid="{00000000-0006-0000-1500-000007000000}">
      <text>
        <r>
          <rPr>
            <sz val="8"/>
            <color indexed="81"/>
            <rFont val="Tahoma"/>
            <family val="2"/>
          </rPr>
          <t>See footnote 3.</t>
        </r>
      </text>
    </comment>
    <comment ref="Y45" authorId="0" shapeId="0" xr:uid="{00000000-0006-0000-1500-000008000000}">
      <text>
        <r>
          <rPr>
            <sz val="8"/>
            <color indexed="81"/>
            <rFont val="Tahoma"/>
            <family val="2"/>
          </rPr>
          <t>See footnote 4.</t>
        </r>
      </text>
    </comment>
    <comment ref="T48" authorId="0" shapeId="0" xr:uid="{00000000-0006-0000-1500-000009000000}">
      <text>
        <r>
          <rPr>
            <sz val="8"/>
            <color indexed="81"/>
            <rFont val="Tahoma"/>
            <family val="2"/>
          </rPr>
          <t>See footnote 1</t>
        </r>
      </text>
    </comment>
    <comment ref="U48" authorId="0" shapeId="0" xr:uid="{00000000-0006-0000-1500-00000A000000}">
      <text>
        <r>
          <rPr>
            <sz val="8"/>
            <color indexed="81"/>
            <rFont val="Tahoma"/>
            <family val="2"/>
          </rPr>
          <t>These control factors may only be used if the requirements of section 9.4.1.2 are met using an occupancy sensor.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Acuity Brands Lighting</author>
  </authors>
  <commentList>
    <comment ref="C7" authorId="0" shapeId="0" xr:uid="{00000000-0006-0000-1600-000001000000}">
      <text>
        <r>
          <rPr>
            <sz val="8"/>
            <color indexed="81"/>
            <rFont val="Tahoma"/>
            <family val="2"/>
          </rPr>
          <t>See footnote 2.</t>
        </r>
      </text>
    </comment>
    <comment ref="C8" authorId="0" shapeId="0" xr:uid="{00000000-0006-0000-1600-000002000000}">
      <text>
        <r>
          <rPr>
            <sz val="8"/>
            <color indexed="81"/>
            <rFont val="Tahoma"/>
            <family val="2"/>
          </rPr>
          <t>See footnote 3.</t>
        </r>
      </text>
    </comment>
    <comment ref="W38" authorId="0" shapeId="0" xr:uid="{00000000-0006-0000-1600-000003000000}">
      <text>
        <r>
          <rPr>
            <sz val="8"/>
            <color indexed="81"/>
            <rFont val="Tahoma"/>
            <family val="2"/>
          </rPr>
          <t>See footnote 2.</t>
        </r>
      </text>
    </comment>
    <comment ref="X38" authorId="0" shapeId="0" xr:uid="{00000000-0006-0000-1600-000004000000}">
      <text>
        <r>
          <rPr>
            <sz val="8"/>
            <color indexed="81"/>
            <rFont val="Tahoma"/>
            <family val="2"/>
          </rPr>
          <t>See footnote 3.</t>
        </r>
      </text>
    </comment>
    <comment ref="Y38" authorId="0" shapeId="0" xr:uid="{00000000-0006-0000-1600-000005000000}">
      <text>
        <r>
          <rPr>
            <sz val="8"/>
            <color indexed="81"/>
            <rFont val="Tahoma"/>
            <family val="2"/>
          </rPr>
          <t>See footnote 4.</t>
        </r>
      </text>
    </comment>
    <comment ref="T41" authorId="0" shapeId="0" xr:uid="{00000000-0006-0000-1600-000006000000}">
      <text>
        <r>
          <rPr>
            <sz val="8"/>
            <color indexed="81"/>
            <rFont val="Tahoma"/>
            <family val="2"/>
          </rPr>
          <t>See footnote 1</t>
        </r>
      </text>
    </comment>
    <comment ref="U41" authorId="0" shapeId="0" xr:uid="{00000000-0006-0000-1600-000007000000}">
      <text>
        <r>
          <rPr>
            <sz val="8"/>
            <color indexed="81"/>
            <rFont val="Tahoma"/>
            <family val="2"/>
          </rPr>
          <t>These control factors may only be used if the requirements of section 9.4.1.2 are met using an occupancy sensor.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_SpaceDefinition2" description="Connection to the '_SpaceDefinition2' query in the workbook." type="5" refreshedVersion="0" background="1">
    <dbPr connection="Provider=Microsoft.Mashup.OleDb.1;Data Source=$Workbook$;Location=_SpaceDefinition2;Extended Properties=&quot;&quot;" command="SELECT * FROM [_SpaceDefinition2]"/>
  </connection>
  <connection id="2" xr16:uid="{00000000-0015-0000-FFFF-FFFF01000000}" keepAlive="1" name="Query - _SpaceDefinition2 (2)" description="Connection to the '_SpaceDefinition2 (2)' query in the workbook." type="5" refreshedVersion="6" background="1">
    <dbPr connection="Provider=Microsoft.Mashup.OleDb.1;Data Source=$Workbook$;Location=&quot;_SpaceDefinition2 (2)&quot;;Extended Properties=&quot;&quot;" command="SELECT * FROM [_SpaceDefinition2 (2)]"/>
  </connection>
</connections>
</file>

<file path=xl/sharedStrings.xml><?xml version="1.0" encoding="utf-8"?>
<sst xmlns="http://schemas.openxmlformats.org/spreadsheetml/2006/main" count="14635" uniqueCount="1342">
  <si>
    <t>Quick Links</t>
  </si>
  <si>
    <t>Compliance Worksheet Instructions</t>
  </si>
  <si>
    <t>Select Version &gt;</t>
  </si>
  <si>
    <t>90.1-2010</t>
  </si>
  <si>
    <r>
      <t xml:space="preserve">Throughout this form Fill in all </t>
    </r>
    <r>
      <rPr>
        <b/>
        <i/>
        <sz val="10"/>
        <rFont val="Arial"/>
        <family val="2"/>
      </rPr>
      <t>YELLOW</t>
    </r>
    <r>
      <rPr>
        <sz val="10"/>
        <rFont val="Arial"/>
        <family val="2"/>
      </rPr>
      <t xml:space="preserve"> cells</t>
    </r>
  </si>
  <si>
    <t>Project Name:</t>
  </si>
  <si>
    <t>Address:</t>
  </si>
  <si>
    <t>Name</t>
  </si>
  <si>
    <t>Email Address</t>
  </si>
  <si>
    <t>Telephone</t>
  </si>
  <si>
    <t>Designer:</t>
  </si>
  <si>
    <t>www.ashrae.org</t>
  </si>
  <si>
    <t>Project Contact:</t>
  </si>
  <si>
    <t>www.ies.org</t>
  </si>
  <si>
    <t>Interior</t>
  </si>
  <si>
    <t>No</t>
  </si>
  <si>
    <t>Exterior</t>
  </si>
  <si>
    <t>ALTERATIONS</t>
  </si>
  <si>
    <t>Spaces must comply with Space by Space Method (Steps a, b, c &amp; d)</t>
  </si>
  <si>
    <t>Spaces must comply with 9.1.2 Alteration requirements</t>
  </si>
  <si>
    <t>ASHRAE/IES 90.1-2010 Lighting Compliance Documentation</t>
  </si>
  <si>
    <t>ASHRAE/IES 90.1-2016 Lighting Compliance Documentation</t>
  </si>
  <si>
    <t>Base Allowance</t>
  </si>
  <si>
    <t>Area
ID</t>
  </si>
  <si>
    <t>9.5.1 Building Area Method "Building Type"</t>
  </si>
  <si>
    <t>Enter Building Area (sq.ft)</t>
  </si>
  <si>
    <t>W/sf.ft. Allowance</t>
  </si>
  <si>
    <t>Watts Allowed</t>
  </si>
  <si>
    <t>Space
ID</t>
  </si>
  <si>
    <t xml:space="preserve">9.6.1 Space by Space Method  "Space Type" </t>
  </si>
  <si>
    <t>Optional Space Name</t>
  </si>
  <si>
    <t>Enter Space Area (sq.ft)</t>
  </si>
  <si>
    <t>Atrium Height
(ft)</t>
  </si>
  <si>
    <t>Base LPA</t>
  </si>
  <si>
    <t>SF</t>
  </si>
  <si>
    <t>LPD</t>
  </si>
  <si>
    <t>Retail</t>
  </si>
  <si>
    <t>Laboratory - All other laboratories</t>
  </si>
  <si>
    <t>Room Schedule Instructions</t>
  </si>
  <si>
    <t>Office</t>
  </si>
  <si>
    <t>Office - Enclosed and &gt;250 ft2</t>
  </si>
  <si>
    <t>Throughout this form</t>
  </si>
  <si>
    <t>Health-care Clinic</t>
  </si>
  <si>
    <t>Office - Open plan</t>
  </si>
  <si>
    <t>Fill in all yellow cells</t>
  </si>
  <si>
    <t>Restroom - All other restrooms</t>
  </si>
  <si>
    <t>White cells are calculated</t>
  </si>
  <si>
    <t>Sales Area</t>
  </si>
  <si>
    <t>If you are using the Building Area Method to comply with the Interior Power Allowance, select from the drop down your 9.5 Building Area type(s). Also fill in the square footage of each Building Area.</t>
  </si>
  <si>
    <t>If you are using the Space by Space Method to comply with the Interior Power Allowance, select from the drop down your 9.6.1 Space type(s). Also fill in the square footage of each Building Area.</t>
  </si>
  <si>
    <t>LZ0 - Undeveloped areas within national parks, state parks, forest land, rural areas, and other undeveloped areas as defined by the authority having jurisdiction</t>
  </si>
  <si>
    <t>LZ1 - Developed areas of national parks, state parks, forest land, and rural areas</t>
  </si>
  <si>
    <t>LZ2 - Areas predominantly consisting of residential zoning, neighborhood business districts, light industrial with limited nighttime use and residential mixed use areas</t>
  </si>
  <si>
    <t>Select Appropriate Lighting Zone:</t>
  </si>
  <si>
    <t>LZ3 - All other areas</t>
  </si>
  <si>
    <t>Base Allowance:</t>
  </si>
  <si>
    <t>LZ4 - High-activity commercial districts in major metropolitan areas as designated by the local jurisdiction</t>
  </si>
  <si>
    <t>Tradable Exterior Areas</t>
  </si>
  <si>
    <t>NonTradable Exterior Areas</t>
  </si>
  <si>
    <t>Enter your Exterior Area Name</t>
  </si>
  <si>
    <t>Select a Building Area Type from the 
Drop Down list</t>
  </si>
  <si>
    <t>Enter Area (sq.ft.)</t>
  </si>
  <si>
    <t>Select Building/Area Type from the Drop Down list</t>
  </si>
  <si>
    <t>Enter Allowed Quantity</t>
  </si>
  <si>
    <t>Int</t>
  </si>
  <si>
    <t>Ext</t>
  </si>
  <si>
    <t>Luminaire Schedule</t>
  </si>
  <si>
    <r>
      <t xml:space="preserve">Line Voltage Track systems
</t>
    </r>
    <r>
      <rPr>
        <i/>
        <sz val="10"/>
        <rFont val="Arial"/>
        <family val="2"/>
      </rPr>
      <t>(fill in all yellow cells below for Line Voltage Track)</t>
    </r>
  </si>
  <si>
    <t>OR</t>
  </si>
  <si>
    <t>Yes</t>
  </si>
  <si>
    <t>specified luminaires and track length</t>
  </si>
  <si>
    <t xml:space="preserve"> system’s circuit breaker</t>
  </si>
  <si>
    <r>
      <rPr>
        <b/>
        <sz val="9"/>
        <rFont val="Arial"/>
        <family val="2"/>
      </rPr>
      <t xml:space="preserve">Optional </t>
    </r>
    <r>
      <rPr>
        <sz val="9"/>
        <rFont val="Arial"/>
        <family val="2"/>
      </rPr>
      <t>current-limiting device(s)</t>
    </r>
  </si>
  <si>
    <t>Type ID</t>
  </si>
  <si>
    <t>Source</t>
  </si>
  <si>
    <t>If using track lighting select from the dropdown list</t>
  </si>
  <si>
    <t>Total System Wattage</t>
  </si>
  <si>
    <t>Track Type Calculated</t>
  </si>
  <si>
    <t>TOTAL
Installed Watts</t>
  </si>
  <si>
    <t>TOTAL
Track
Length</t>
  </si>
  <si>
    <t>System
Volts</t>
  </si>
  <si>
    <t>Current Limiter installed?</t>
  </si>
  <si>
    <t>TOTAL
Limiter(s)
Amps</t>
  </si>
  <si>
    <t>TOTAL
Transformer(s)
Wattage</t>
  </si>
  <si>
    <t>Installed Wattage</t>
  </si>
  <si>
    <t>30W/ft</t>
  </si>
  <si>
    <t>Line Voltage Max</t>
  </si>
  <si>
    <t>Circuit</t>
  </si>
  <si>
    <t>current</t>
  </si>
  <si>
    <t>Low Voltage</t>
  </si>
  <si>
    <t>Downlight (lensed)</t>
  </si>
  <si>
    <t>LED</t>
  </si>
  <si>
    <t>Luminaire Schedule Instructions</t>
  </si>
  <si>
    <t>Wall Sconce</t>
  </si>
  <si>
    <t>Track</t>
  </si>
  <si>
    <t>Strip</t>
  </si>
  <si>
    <t>Step 1:</t>
  </si>
  <si>
    <r>
      <t xml:space="preserve">The first step is to verify that all </t>
    </r>
    <r>
      <rPr>
        <b/>
        <sz val="8"/>
        <rFont val="Arial"/>
        <family val="2"/>
      </rPr>
      <t>Exit Signs</t>
    </r>
    <r>
      <rPr>
        <sz val="8"/>
        <rFont val="Arial"/>
        <family val="2"/>
      </rPr>
      <t xml:space="preserve"> meet the </t>
    </r>
    <r>
      <rPr>
        <u/>
        <sz val="8"/>
        <rFont val="Arial"/>
        <family val="2"/>
      </rPr>
      <t>&lt;</t>
    </r>
    <r>
      <rPr>
        <sz val="8"/>
        <rFont val="Arial"/>
        <family val="2"/>
      </rPr>
      <t xml:space="preserve"> 5 watts per face requirement. Click on the hyperlink above to go directly to the </t>
    </r>
    <r>
      <rPr>
        <b/>
        <sz val="8"/>
        <rFont val="Arial"/>
        <family val="2"/>
      </rPr>
      <t>Exit Sign checkoff</t>
    </r>
    <r>
      <rPr>
        <sz val="8"/>
        <rFont val="Arial"/>
        <family val="2"/>
      </rPr>
      <t xml:space="preserve">. </t>
    </r>
  </si>
  <si>
    <t>Fixture Types</t>
  </si>
  <si>
    <t>Step 2:</t>
  </si>
  <si>
    <t>Troffer (1x4)</t>
  </si>
  <si>
    <t>Troffer (2x2)</t>
  </si>
  <si>
    <t>Troffer (2x4)</t>
  </si>
  <si>
    <t>High Bay</t>
  </si>
  <si>
    <t>Low Bay</t>
  </si>
  <si>
    <t>Downlight (open)</t>
  </si>
  <si>
    <t>Downlight (wall washer)</t>
  </si>
  <si>
    <t>Pendant (direct / indirect)</t>
  </si>
  <si>
    <t>Pendant (direct)</t>
  </si>
  <si>
    <t>Pendant (indirect)</t>
  </si>
  <si>
    <t>Linear Industrial</t>
  </si>
  <si>
    <t>Chandelier</t>
  </si>
  <si>
    <t>Cove</t>
  </si>
  <si>
    <t>Task</t>
  </si>
  <si>
    <t>Parking Shoebox</t>
  </si>
  <si>
    <t>Façade Uplight</t>
  </si>
  <si>
    <t>Landscape</t>
  </si>
  <si>
    <t>Wall Pack</t>
  </si>
  <si>
    <t>Track Types</t>
  </si>
  <si>
    <t>Line Voltage (30W/lf)</t>
  </si>
  <si>
    <t>&lt; Enter Calculated Wattage</t>
  </si>
  <si>
    <t>Line Voltage (circuit breaker)</t>
  </si>
  <si>
    <t>Line Voltage (current limiter)</t>
  </si>
  <si>
    <t>Low Voltage (transformer wattage)</t>
  </si>
  <si>
    <t>TOTAL:</t>
  </si>
  <si>
    <t>Lighting Controls</t>
  </si>
  <si>
    <t>Building Area</t>
  </si>
  <si>
    <t>Luminaire Type</t>
  </si>
  <si>
    <t>Quantity</t>
  </si>
  <si>
    <t>Source Type</t>
  </si>
  <si>
    <t>Watts</t>
  </si>
  <si>
    <t>Total Watts</t>
  </si>
  <si>
    <t>Are Controls Complete?</t>
  </si>
  <si>
    <t xml:space="preserve">
Select from Drop Down of Luminaire Schedule</t>
  </si>
  <si>
    <t>Per Luminaire or Linear Foot</t>
  </si>
  <si>
    <t>''Building Area Method"
Building Type</t>
  </si>
  <si>
    <t>Lighting Power Allowance
(Watts)</t>
  </si>
  <si>
    <t>LPD Allowance
(watts per sq.ft)</t>
  </si>
  <si>
    <t>Building Area
(sq.ft)</t>
  </si>
  <si>
    <t>Retail Area 1</t>
  </si>
  <si>
    <t>= the floor area for all products not listed in Retail Areas 2, 3, or 4</t>
  </si>
  <si>
    <t>9.6 Space by Space Method for Interior Lighting</t>
  </si>
  <si>
    <t>Retail Area 2</t>
  </si>
  <si>
    <t>= the floor area used for the sale of vehicles, sporting goods, and small electronics</t>
  </si>
  <si>
    <t>Space by Space</t>
  </si>
  <si>
    <t>Lighting Power Allowance</t>
  </si>
  <si>
    <t>Retail Area 3</t>
  </si>
  <si>
    <t>= the floor area used for the sale of furniture, clothing, cosmetics, and artwork</t>
  </si>
  <si>
    <t>Retail Area 4</t>
  </si>
  <si>
    <t>= the floor area used for the sale of jewelry, crystal, and china</t>
  </si>
  <si>
    <r>
      <t xml:space="preserve">This is Space by Space (step 8a) - </t>
    </r>
    <r>
      <rPr>
        <b/>
        <i/>
        <sz val="10"/>
        <rFont val="Arial"/>
        <family val="2"/>
      </rPr>
      <t>Calculates the Allowed Watts</t>
    </r>
  </si>
  <si>
    <t>9.6.2a Decorative Lighting</t>
  </si>
  <si>
    <t>9.6.2b Retail Lighting</t>
  </si>
  <si>
    <r>
      <rPr>
        <b/>
        <sz val="10"/>
        <rFont val="Arial"/>
        <family val="2"/>
      </rPr>
      <t>Space</t>
    </r>
  </si>
  <si>
    <t>Space Area (sq.ft)</t>
  </si>
  <si>
    <t xml:space="preserve">RCR Threshold
</t>
  </si>
  <si>
    <t>Leave blank for standard RCR or Enter
Claculated RCR</t>
  </si>
  <si>
    <t>RCR / Corridor factor</t>
  </si>
  <si>
    <t>Will Decorative Lighting be installed
(Yes, No)?</t>
  </si>
  <si>
    <t>Enter the Decorative Area
 of each space
 (sq.ft)</t>
  </si>
  <si>
    <t>Possible Decorative Watts</t>
  </si>
  <si>
    <t>Will Retail Display Lighting be installed?</t>
  </si>
  <si>
    <r>
      <t xml:space="preserve">Retail Display Area
 </t>
    </r>
    <r>
      <rPr>
        <b/>
        <u/>
        <sz val="8"/>
        <rFont val="Arial"/>
        <family val="2"/>
      </rPr>
      <t xml:space="preserve">of each space
</t>
    </r>
    <r>
      <rPr>
        <b/>
        <sz val="8"/>
        <rFont val="Arial"/>
        <family val="2"/>
      </rPr>
      <t xml:space="preserve"> (sq.ft)</t>
    </r>
  </si>
  <si>
    <t>Retail Area Type?</t>
  </si>
  <si>
    <t>Retail Area Display Allowed Watts</t>
  </si>
  <si>
    <t>Atrium Space Height (ft)</t>
  </si>
  <si>
    <t>Space</t>
  </si>
  <si>
    <t>Decorative</t>
  </si>
  <si>
    <t>Allowed</t>
  </si>
  <si>
    <t>Installed</t>
  </si>
  <si>
    <t>NO</t>
  </si>
  <si>
    <t>Installed Interior Lighting</t>
  </si>
  <si>
    <r>
      <t xml:space="preserve">This is Space by Space (step 8b) -  </t>
    </r>
    <r>
      <rPr>
        <b/>
        <i/>
        <sz val="10"/>
        <rFont val="Arial"/>
        <family val="2"/>
      </rPr>
      <t>Installed Luminaire and Control Requirements</t>
    </r>
  </si>
  <si>
    <t>ADD1</t>
  </si>
  <si>
    <t>ADD2</t>
  </si>
  <si>
    <t>Control factor</t>
  </si>
  <si>
    <t xml:space="preserve">Additional Watts </t>
  </si>
  <si>
    <t>Wattage</t>
  </si>
  <si>
    <t>Controls</t>
  </si>
  <si>
    <r>
      <t xml:space="preserve">This is Space by Space (step 8c) - </t>
    </r>
    <r>
      <rPr>
        <b/>
        <i/>
        <sz val="10"/>
        <rFont val="Arial"/>
        <family val="2"/>
      </rPr>
      <t>Decorative Lighting</t>
    </r>
  </si>
  <si>
    <t>Space ID</t>
  </si>
  <si>
    <t>Allowed Decorative Watts</t>
  </si>
  <si>
    <t>Number of Luminaires or Linear Feet</t>
  </si>
  <si>
    <t>Watts Per Luminaire or Linear Foot</t>
  </si>
  <si>
    <t>automatically controlled, separately from the general lighting</t>
  </si>
  <si>
    <t>Controls Compliant</t>
  </si>
  <si>
    <t xml:space="preserve">9.6.2b Additional Interior Lighting - Retail Lighting </t>
  </si>
  <si>
    <r>
      <t xml:space="preserve">This is Space by Space (step 8d) - </t>
    </r>
    <r>
      <rPr>
        <b/>
        <i/>
        <sz val="9"/>
        <rFont val="Arial"/>
        <family val="2"/>
      </rPr>
      <t>Additional Retail Lighting</t>
    </r>
  </si>
  <si>
    <t>Base Remaining</t>
  </si>
  <si>
    <t>Step 9a: Tradable Areas</t>
  </si>
  <si>
    <t>Step 9b: NonTradable Areas</t>
  </si>
  <si>
    <t>Exterior Controls compliant?</t>
  </si>
  <si>
    <t>Astronomical Time Switch</t>
  </si>
  <si>
    <t>YES</t>
  </si>
  <si>
    <t>LZ2 - Areas predominantly consisting of residential zoning, neighborhood business districts, light industrial
with limited nighttime use and residential mixed use areas</t>
  </si>
  <si>
    <t>LZ4 - High activity commercial districts in major metropolitan areas as designated by the local jurisdiction</t>
  </si>
  <si>
    <t>RCR Calculator</t>
  </si>
  <si>
    <t>Enter these three values:</t>
  </si>
  <si>
    <t>Length of the Room Perimeter</t>
  </si>
  <si>
    <t>Area of the Room</t>
  </si>
  <si>
    <t>Room Cavity Height</t>
  </si>
  <si>
    <t>RCR</t>
  </si>
  <si>
    <t>Example:</t>
  </si>
  <si>
    <t>Length:</t>
  </si>
  <si>
    <t>Area:</t>
  </si>
  <si>
    <t>RCR:</t>
  </si>
  <si>
    <t>2010 TABLE  9.4.2-1 Exterior Lighting Zones</t>
  </si>
  <si>
    <t>2016 TABLE  9.4.2-1 Exterior Lighting Zones</t>
  </si>
  <si>
    <t>Lighting Zone</t>
  </si>
  <si>
    <t>LZ0</t>
  </si>
  <si>
    <t>LZ1</t>
  </si>
  <si>
    <t>LZ2</t>
  </si>
  <si>
    <t>LZ3</t>
  </si>
  <si>
    <t>LZ4</t>
  </si>
  <si>
    <t>TABLE  9.4.2-2 Individual Lighting Power Allowances for Building Exteriors</t>
  </si>
  <si>
    <t>Units</t>
  </si>
  <si>
    <t>watts</t>
  </si>
  <si>
    <t>TRADABLE SURFACES</t>
  </si>
  <si>
    <t>sq.ft.</t>
  </si>
  <si>
    <t>Uncovered parking areas and drives</t>
  </si>
  <si>
    <t>Linear ft</t>
  </si>
  <si>
    <t>Walkways &lt; 10' wide</t>
  </si>
  <si>
    <t>Walkways ≥ 10' wide OR plazas</t>
  </si>
  <si>
    <t>Dining Areas</t>
  </si>
  <si>
    <t>Stairways</t>
  </si>
  <si>
    <t>Pedestrian tunnels</t>
  </si>
  <si>
    <t>Landscaping</t>
  </si>
  <si>
    <t>Main entries</t>
  </si>
  <si>
    <t>Pedestrian and vehicular entry/exit</t>
  </si>
  <si>
    <t>Other doors</t>
  </si>
  <si>
    <t>Entry canopies</t>
  </si>
  <si>
    <t>Loading Docks</t>
  </si>
  <si>
    <t>Sales canopies</t>
  </si>
  <si>
    <t>Open sales areas</t>
  </si>
  <si>
    <t>Outdoor Sales - Open areas (including vehicle sales lots)</t>
  </si>
  <si>
    <t>Street frontage</t>
  </si>
  <si>
    <t>Street frontage for vehicle sales lots</t>
  </si>
  <si>
    <t>NONTRADABLE SURFACES</t>
  </si>
  <si>
    <t>sq.ft</t>
  </si>
  <si>
    <t>Building facades by area</t>
  </si>
  <si>
    <t>Building facades by length</t>
  </si>
  <si>
    <t>Number of</t>
  </si>
  <si>
    <t>ATMs &amp; night depository location</t>
  </si>
  <si>
    <t>Additional ATMs</t>
  </si>
  <si>
    <t>Uncovered entrances &amp; gatehouse inspection facilities at guarded facilities</t>
  </si>
  <si>
    <t>Uncovered loading areas for law enforcement, fire, ambulance, and other emergency service vehicles</t>
  </si>
  <si>
    <t>Drive-through windows/doors (per drive through)</t>
  </si>
  <si>
    <t>Parking near 24-hour retail entrances</t>
  </si>
  <si>
    <t>Roadway/parking entry, trail head, and toilet facility, or other locations approved by the authority having jurisdiction.</t>
  </si>
  <si>
    <t>Table 9.5.1 Lighting Power Density Allowances</t>
  </si>
  <si>
    <t>Using the Building Area Method</t>
  </si>
  <si>
    <t xml:space="preserve">Building Area Type(a) </t>
  </si>
  <si>
    <t>LPD, W/ft2</t>
  </si>
  <si>
    <r>
      <t>LPD, W/ft</t>
    </r>
    <r>
      <rPr>
        <vertAlign val="superscript"/>
        <sz val="10"/>
        <rFont val="Arial"/>
        <family val="2"/>
      </rPr>
      <t>2</t>
    </r>
  </si>
  <si>
    <t>Automotive Facility</t>
  </si>
  <si>
    <t>Convention Center</t>
  </si>
  <si>
    <t>Courthouse</t>
  </si>
  <si>
    <t>Dining: Bar lounge/leisure</t>
  </si>
  <si>
    <t>Dining: Bar Lounge/Leisure</t>
  </si>
  <si>
    <t>Dining: Cafeteria/fast food</t>
  </si>
  <si>
    <t>Dining: Cafeteria/Fast Food</t>
  </si>
  <si>
    <t>Dining: Family</t>
  </si>
  <si>
    <t>Dormitory</t>
  </si>
  <si>
    <t>Exercise Center</t>
  </si>
  <si>
    <t>Fire Station</t>
  </si>
  <si>
    <t>Gymnasium</t>
  </si>
  <si>
    <t>Hospital</t>
  </si>
  <si>
    <t>Hotel</t>
  </si>
  <si>
    <t>Library</t>
  </si>
  <si>
    <t>Manufacturing Facility</t>
  </si>
  <si>
    <t>Motel</t>
  </si>
  <si>
    <t>Motion Picture Theater</t>
  </si>
  <si>
    <t>Multifamily</t>
  </si>
  <si>
    <t>Museum</t>
  </si>
  <si>
    <t>Parking Garage</t>
  </si>
  <si>
    <t>Penitentiary</t>
  </si>
  <si>
    <t>Performing Arts Theater</t>
  </si>
  <si>
    <t>Police Station</t>
  </si>
  <si>
    <t>Post Office</t>
  </si>
  <si>
    <t>Religious Facility</t>
  </si>
  <si>
    <t>School/University</t>
  </si>
  <si>
    <t>Sports Arena</t>
  </si>
  <si>
    <t>Town hall</t>
  </si>
  <si>
    <t>Town Hall</t>
  </si>
  <si>
    <t>Transportation</t>
  </si>
  <si>
    <t>Warehouse</t>
  </si>
  <si>
    <t>Workshop</t>
  </si>
  <si>
    <t>a. In cases where both a general building area</t>
  </si>
  <si>
    <t xml:space="preserve">    type and a specific building area type are listed,</t>
  </si>
  <si>
    <t xml:space="preserve">    the specific building area type shall apply.</t>
  </si>
  <si>
    <t>2016 LPD</t>
  </si>
  <si>
    <t>2016 RCR</t>
  </si>
  <si>
    <t>2016
9.6.2c</t>
  </si>
  <si>
    <t>2010
LPD</t>
  </si>
  <si>
    <t>2010
RCR</t>
  </si>
  <si>
    <t>2010
9.4.1.1 Automatic Lighting Shutoff</t>
  </si>
  <si>
    <t>9.4.1.2 Space Control (a) Bi-Level</t>
  </si>
  <si>
    <t>9.4.1.2 Space Control (b) Occ</t>
  </si>
  <si>
    <t>9.4.1.2 Space Control (c)</t>
  </si>
  <si>
    <t>9.4.1.3 Parking Garage Lighting Control</t>
  </si>
  <si>
    <t>9.4.1.4 Automatic Daylighting Controls for Primary Sidelighted Areas</t>
  </si>
  <si>
    <t>9.4.1.5 Automatic Daylighting Controls for Toplighting</t>
  </si>
  <si>
    <t>9.4.1.6 Additional Control</t>
  </si>
  <si>
    <t>Atrium &lt;20 ft in height</t>
  </si>
  <si>
    <t>NA</t>
  </si>
  <si>
    <t>REQ</t>
  </si>
  <si>
    <t>Lobby, Atrium, Dining Area, Corridors, Stairways, Gym, Pool, Mall Concourse, Parking Garage</t>
  </si>
  <si>
    <t>Atrium - First 40 ft in height</t>
  </si>
  <si>
    <t/>
  </si>
  <si>
    <t>Atrium &gt;=20 ft and &lt;40 ft in height</t>
  </si>
  <si>
    <t>Atrium &gt;40 ft in height</t>
  </si>
  <si>
    <t>Audience Seating Area - All other areas</t>
  </si>
  <si>
    <t>Audience Seating Area - Auditorium</t>
  </si>
  <si>
    <t>Audience/Seating Area - Auditorium</t>
  </si>
  <si>
    <t>Audience Seating Area - Convention center</t>
  </si>
  <si>
    <t>Convention Center - Audience Seating</t>
  </si>
  <si>
    <t>Audience Seating Area - Gymnasium</t>
  </si>
  <si>
    <t>Gymnasium/Fitness Center - Gymnasium - Audience Seating</t>
  </si>
  <si>
    <t>Audience Seating Area - Motion picture theater</t>
  </si>
  <si>
    <t>Audience/Seating Area - Motion Picture Theater</t>
  </si>
  <si>
    <t>Audience Seating Area - Penitentiary</t>
  </si>
  <si>
    <t>Courthouse/Police Station/Penitentiary - Penitentiary Audience Seating</t>
  </si>
  <si>
    <t>Audience Seating Area - Performing arts theater</t>
  </si>
  <si>
    <t>Audience/Seating Area - Performing Arts Theater</t>
  </si>
  <si>
    <t>Audience Seating Area - Religious facility</t>
  </si>
  <si>
    <t>Religious Buildings - Audience Seating</t>
  </si>
  <si>
    <t>Audience Seating Area - Sports arena</t>
  </si>
  <si>
    <t>Sports Arena - Audience Seating</t>
  </si>
  <si>
    <t>Transportation - Audience Seating</t>
  </si>
  <si>
    <t>Banking Activity Area</t>
  </si>
  <si>
    <t>Bank/Office - Banking Activity Area</t>
  </si>
  <si>
    <t>Chapel - Facility for the Visually Impaired (used primarily by residents)</t>
  </si>
  <si>
    <t>Conference Room, Meeting Room, Classroom (Lecture/Training)</t>
  </si>
  <si>
    <t>Classroom/Lecture/Training</t>
  </si>
  <si>
    <t>Classroom/Lecture Hall/Training Room - Penitentiary</t>
  </si>
  <si>
    <t>Courthouse/Police Station/Penitentiary - Pentitentiary Classroom</t>
  </si>
  <si>
    <t>Computer Room</t>
  </si>
  <si>
    <t>Conference/Meeting/Multipurpose Room</t>
  </si>
  <si>
    <t>Conference/Meeting/Multipurpose</t>
  </si>
  <si>
    <t>Confinement Cells</t>
  </si>
  <si>
    <t>Courthouse/Police Station/Penitentiary - Confinement Cells</t>
  </si>
  <si>
    <t>Convention Center - Exhibit Space</t>
  </si>
  <si>
    <t>Copy/Print Room</t>
  </si>
  <si>
    <t>Corridor - All other</t>
  </si>
  <si>
    <t>width &lt;8 ft</t>
  </si>
  <si>
    <t>Corridor/Transition</t>
  </si>
  <si>
    <t>8' wide</t>
  </si>
  <si>
    <t>Corridor - Facility for the visually impaired not used primarily by the staff</t>
  </si>
  <si>
    <t>Corridor - Hospital</t>
  </si>
  <si>
    <t>Hospital - Corridor/Transition</t>
  </si>
  <si>
    <t>Corridor - Manufacturing facility</t>
  </si>
  <si>
    <t>Manufacturing - Corridor/Transition</t>
  </si>
  <si>
    <t>Courthouse/Police Station/Penitentiary - Judges' Chambers</t>
  </si>
  <si>
    <t>Private Office</t>
  </si>
  <si>
    <t>Courtroom</t>
  </si>
  <si>
    <t>Courthouse/Police Station/Penitentiary - Courtroom</t>
  </si>
  <si>
    <t>Dining Area - All other dining areas</t>
  </si>
  <si>
    <t>Dining Area</t>
  </si>
  <si>
    <t>Dining Area - Bar/lounge or leisure dining</t>
  </si>
  <si>
    <t>Dining Area - Bar Lounge/Leisure Dining</t>
  </si>
  <si>
    <t>Dining Area - Cafeteria or fast food dining</t>
  </si>
  <si>
    <t>Dining Area - Family Dining</t>
  </si>
  <si>
    <t>Dining Area - Facility for the visually impaired not used primarily by the staff</t>
  </si>
  <si>
    <t>Dining Area - Family dining</t>
  </si>
  <si>
    <t>Hotel/Motel - Highway Lodging Dining</t>
  </si>
  <si>
    <t>Hotel/Motel - Hotel Dining</t>
  </si>
  <si>
    <t>Dining Area - Penitentiary</t>
  </si>
  <si>
    <t>Courthouse/Police Station/Penitentiary - Penitentiary Dining</t>
  </si>
  <si>
    <t>Dormitory - Living Quarters</t>
  </si>
  <si>
    <t>Electrical/Mechanical Room</t>
  </si>
  <si>
    <t>Emergency Vehicle Garage</t>
  </si>
  <si>
    <t>Fire Stations - Engine Room</t>
  </si>
  <si>
    <t>Fire Station - Sleeping Quarters</t>
  </si>
  <si>
    <t>Fire Stations - Sleeping Quarters</t>
  </si>
  <si>
    <t>Food Preparation Area</t>
  </si>
  <si>
    <t>Food Preperation</t>
  </si>
  <si>
    <t>Guest Room</t>
  </si>
  <si>
    <t>Hotel/Motel - Highway Lodging Guest Room</t>
  </si>
  <si>
    <t>Hotel/Motel - Hotel Guest Rooms</t>
  </si>
  <si>
    <t>Gymnasium/Fitness Center - Exercise area</t>
  </si>
  <si>
    <t>Gymnasium/Fitness Center - Fitness Area</t>
  </si>
  <si>
    <t>Gymnasium/Fitness Center - Playing area</t>
  </si>
  <si>
    <t>Gymnasium/Fitness Center - Playing Area</t>
  </si>
  <si>
    <t>Hospital - Emergency</t>
  </si>
  <si>
    <t>Healthcare Facility - Exam/treatment room</t>
  </si>
  <si>
    <t>Hospital - Exam/Treatment</t>
  </si>
  <si>
    <t>Healthcare Facility - Imaging room</t>
  </si>
  <si>
    <t>Hospital - Radiology/Imaging</t>
  </si>
  <si>
    <t>Storage</t>
  </si>
  <si>
    <t>Healthcare Facility - Medical supply room &lt;50 ft2</t>
  </si>
  <si>
    <t>Healthcare Facility - Nurse’s station</t>
  </si>
  <si>
    <t>Hospital - Nurses' Station</t>
  </si>
  <si>
    <t>Healthcare Facility - Nursery</t>
  </si>
  <si>
    <t>Hospital - Nursery</t>
  </si>
  <si>
    <t>Healthcare Facility - Operating room</t>
  </si>
  <si>
    <t>Hospital - Operating Room</t>
  </si>
  <si>
    <t>Healthcare Facility - Patient room</t>
  </si>
  <si>
    <t>Hospital - Patient Room</t>
  </si>
  <si>
    <t>Healthcare Facility - Physical therapy room</t>
  </si>
  <si>
    <t>Hospital - Physical Therapy</t>
  </si>
  <si>
    <t>Healthcare Facility - Recovery room</t>
  </si>
  <si>
    <t>Hospital - Recovery</t>
  </si>
  <si>
    <t>Laboratory - Research</t>
  </si>
  <si>
    <t>Laboratory - In or as a classroom</t>
  </si>
  <si>
    <t>Laboratory - Classroom</t>
  </si>
  <si>
    <t>Laundry/Washing Area</t>
  </si>
  <si>
    <t>Hospital - Laundry - Washing</t>
  </si>
  <si>
    <t>Library - Card File &amp; Cataloging</t>
  </si>
  <si>
    <t>Library - Reading area</t>
  </si>
  <si>
    <t>Library - Reading Area</t>
  </si>
  <si>
    <t>Library - Stacks</t>
  </si>
  <si>
    <t>Loading Dock, Interior</t>
  </si>
  <si>
    <t>Lobby - All other lobbies</t>
  </si>
  <si>
    <t>Lobby</t>
  </si>
  <si>
    <t>Lobby - Elevator</t>
  </si>
  <si>
    <t>Lobby - Facility for the visually impaired and not used primarily by the staff</t>
  </si>
  <si>
    <t>Lobby - Hotel</t>
  </si>
  <si>
    <t>Hotel/Motel - Hotel Lobby</t>
  </si>
  <si>
    <t>Lobby - Motion picture theater</t>
  </si>
  <si>
    <t>Lobby - Motion Picture Theater</t>
  </si>
  <si>
    <t>Lobby - Performing arts theater</t>
  </si>
  <si>
    <t>Lobby - Performing Arts Theater</t>
  </si>
  <si>
    <t>Locker Room</t>
  </si>
  <si>
    <t>Lounge/Breakroom - All other lounges/breakrooms</t>
  </si>
  <si>
    <t>Lounge/Recreation</t>
  </si>
  <si>
    <t>Lounge/Breakroom - Healthcare facility</t>
  </si>
  <si>
    <t>Hospital - Lounge/Recreation</t>
  </si>
  <si>
    <t>Manufacturing Facility - Detailed manufacturing area</t>
  </si>
  <si>
    <t>Manufacturing - Detailed Manufacturing</t>
  </si>
  <si>
    <t>Manufacturing Facility - Equipment room</t>
  </si>
  <si>
    <t>Manufacturing - Equipment Room</t>
  </si>
  <si>
    <t>Manufacturing Facility - Extra high bay area (&gt;50 ft floor-to-ceiling height)</t>
  </si>
  <si>
    <t>Manufacturing - Extra High Bay (≥ 50')</t>
  </si>
  <si>
    <t>Manufacturing Facility - High bay area (25 to 50 ft floor-to-ceiling height)</t>
  </si>
  <si>
    <t>Manufacturing - High Bay (≥ 25' &amp; &lt; 50')</t>
  </si>
  <si>
    <t>Manufacturing Facility - Low bay area (&lt;25 ft floor-to-ceiling height)</t>
  </si>
  <si>
    <t>Manufacturing - Low Bay (&lt; 25')</t>
  </si>
  <si>
    <t>Museum - General exhibition area</t>
  </si>
  <si>
    <t>Museum - General Exhibition</t>
  </si>
  <si>
    <t>Museum - Restoration room</t>
  </si>
  <si>
    <t>Museum - Restoration</t>
  </si>
  <si>
    <t>Office - Enclosed and &lt;=250 ft2</t>
  </si>
  <si>
    <t>Office-Enclosed</t>
  </si>
  <si>
    <t>Open Office</t>
  </si>
  <si>
    <t>Office-Open</t>
  </si>
  <si>
    <t>Parking Area, Interior</t>
  </si>
  <si>
    <t>Parking Garage - Garage Area</t>
  </si>
  <si>
    <t>Performing Arts Theater - Dressing Room</t>
  </si>
  <si>
    <t>Dressing/Fitting Room - Performing Arts Theater</t>
  </si>
  <si>
    <t>Pharmacy Area</t>
  </si>
  <si>
    <t>Hospital - Pharmacy</t>
  </si>
  <si>
    <t>Post Office - Sorting Area</t>
  </si>
  <si>
    <t>Recreation room/common living room - Facility for the Visually Impaired not used primarily by staff</t>
  </si>
  <si>
    <t>Religious Facility - Fellowship hall</t>
  </si>
  <si>
    <t>Religious Buildings - Fellowship Hall</t>
  </si>
  <si>
    <t>Religious Facility - Worship/pulpit/choir area</t>
  </si>
  <si>
    <t>Religious Buildings - Worship Pulpit, Choir</t>
  </si>
  <si>
    <t>Restrooms</t>
  </si>
  <si>
    <t>Restroom - Facility for the visually impaired nd not used primarily by the staff</t>
  </si>
  <si>
    <t>Retail Facilities - Dressing/fitting room</t>
  </si>
  <si>
    <t>Retail - Dressing/Fitting Room</t>
  </si>
  <si>
    <t>Retail Facilities - Mall concourse</t>
  </si>
  <si>
    <t>Retail - Mall Concourse</t>
  </si>
  <si>
    <t>Retail Sales Area</t>
  </si>
  <si>
    <t>Retail - Sales Area</t>
  </si>
  <si>
    <t>Seating Area, General</t>
  </si>
  <si>
    <t>Sports Arena - Ring Sports Area</t>
  </si>
  <si>
    <t>Sports Arena Playing Area - Class I facility</t>
  </si>
  <si>
    <t>Sports Arena - Court Sports Area - Class 1</t>
  </si>
  <si>
    <t>Sports Arena Playing Area - Class II facility</t>
  </si>
  <si>
    <t>Sports Arena - Court Sports Area - Class 2</t>
  </si>
  <si>
    <t>Sports Arena Playing Area - Class III facility</t>
  </si>
  <si>
    <t>Sports Arena - Court Sports Area - Class 3</t>
  </si>
  <si>
    <t>Sports Arena Playing Area - Class IV facility</t>
  </si>
  <si>
    <t>Sports Arena - Court Sports Area - Class 4</t>
  </si>
  <si>
    <t>Stairwell</t>
  </si>
  <si>
    <t>Stairway</t>
  </si>
  <si>
    <t>Storage Room &lt;50 ft2</t>
  </si>
  <si>
    <t>Transportation Facility - Airport concourse</t>
  </si>
  <si>
    <t>Transportation - Airport Concourse</t>
  </si>
  <si>
    <t>Transportation Facility - Baggage/carousel area</t>
  </si>
  <si>
    <t>Transportation - Air/Train/Bus Baggage Area</t>
  </si>
  <si>
    <t>Transportation Facility - Terminal ticket counter</t>
  </si>
  <si>
    <t>Transportation - Terminal - Ticket Counter</t>
  </si>
  <si>
    <t>Vehicular Maintenance Area</t>
  </si>
  <si>
    <t>Automotive - Service/Repair</t>
  </si>
  <si>
    <t>Warehouse Storage - Medium to bulky, palletized items</t>
  </si>
  <si>
    <t>Warehouse - Medium/Bulky Material Storage</t>
  </si>
  <si>
    <t>Warehouse Storage - Smaller, hand-carried items</t>
  </si>
  <si>
    <t>Warehouse - Fine Material Storage</t>
  </si>
  <si>
    <r>
      <t>Table 9.6.1 </t>
    </r>
    <r>
      <rPr>
        <b/>
        <i/>
        <sz val="8.5"/>
        <color rgb="FF000000"/>
        <rFont val="Arial"/>
        <family val="2"/>
      </rPr>
      <t>Lighting Power Density</t>
    </r>
    <r>
      <rPr>
        <b/>
        <sz val="8.5"/>
        <color rgb="FF000000"/>
        <rFont val="Arial"/>
        <family val="2"/>
      </rPr>
      <t xml:space="preserve"> Allowances Using the Space-by-Space Method and Minimum </t>
    </r>
    <r>
      <rPr>
        <b/>
        <i/>
        <sz val="8.5"/>
        <color rgb="FF000000"/>
        <rFont val="Arial"/>
        <family val="2"/>
      </rPr>
      <t>Control</t>
    </r>
    <r>
      <rPr>
        <b/>
        <sz val="8.5"/>
        <color rgb="FF000000"/>
        <rFont val="Arial"/>
        <family val="2"/>
      </rPr>
      <t xml:space="preserve"> Requirements Using Either Method</t>
    </r>
    <r>
      <rPr>
        <b/>
        <i/>
        <sz val="8.5"/>
        <color rgb="FF000000"/>
        <rFont val="Arial"/>
        <family val="2"/>
      </rPr>
      <t xml:space="preserve">  </t>
    </r>
  </si>
  <si>
    <r>
      <t xml:space="preserve">Informative Note: </t>
    </r>
    <r>
      <rPr>
        <b/>
        <sz val="8"/>
        <color rgb="FF000000"/>
        <rFont val="Arial"/>
        <family val="2"/>
      </rPr>
      <t xml:space="preserve">This table is divided into two sections; this first section covers </t>
    </r>
    <r>
      <rPr>
        <b/>
        <i/>
        <sz val="8"/>
        <color rgb="FF000000"/>
        <rFont val="Arial"/>
        <family val="2"/>
      </rPr>
      <t>space</t>
    </r>
    <r>
      <rPr>
        <b/>
        <sz val="8"/>
        <color rgb="FF000000"/>
        <rFont val="Arial"/>
        <family val="2"/>
      </rPr>
      <t xml:space="preserve"> types that can be commonly found in multiple </t>
    </r>
    <r>
      <rPr>
        <b/>
        <i/>
        <sz val="8"/>
        <color rgb="FF000000"/>
        <rFont val="Arial"/>
        <family val="2"/>
      </rPr>
      <t>building</t>
    </r>
    <r>
      <rPr>
        <b/>
        <sz val="8"/>
        <color rgb="FF000000"/>
        <rFont val="Arial"/>
        <family val="2"/>
      </rPr>
      <t xml:space="preserve"> types. The second part of this table covers </t>
    </r>
    <r>
      <rPr>
        <b/>
        <i/>
        <sz val="8"/>
        <color rgb="FF000000"/>
        <rFont val="Arial"/>
        <family val="2"/>
      </rPr>
      <t>space</t>
    </r>
    <r>
      <rPr>
        <b/>
        <sz val="8"/>
        <color rgb="FF000000"/>
        <rFont val="Arial"/>
        <family val="2"/>
      </rPr>
      <t xml:space="preserve"> types that are typically found in a single </t>
    </r>
    <r>
      <rPr>
        <b/>
        <i/>
        <sz val="8"/>
        <color rgb="FF000000"/>
        <rFont val="Arial"/>
        <family val="2"/>
      </rPr>
      <t>building</t>
    </r>
    <r>
      <rPr>
        <b/>
        <sz val="8"/>
        <color rgb="FF000000"/>
        <rFont val="Arial"/>
        <family val="2"/>
      </rPr>
      <t xml:space="preserve"> type.</t>
    </r>
  </si>
  <si>
    <r>
      <t xml:space="preserve">The </t>
    </r>
    <r>
      <rPr>
        <b/>
        <i/>
        <sz val="8"/>
        <color rgb="FF000000"/>
        <rFont val="Arial"/>
        <family val="2"/>
      </rPr>
      <t>control</t>
    </r>
    <r>
      <rPr>
        <b/>
        <sz val="8"/>
        <color rgb="FF000000"/>
        <rFont val="Arial"/>
        <family val="2"/>
      </rPr>
      <t xml:space="preserve"> functions below shall be implemented in accordance with the descriptions found in the referenced paragraphs within</t>
    </r>
  </si>
  <si>
    <r>
      <t xml:space="preserve">Section </t>
    </r>
    <r>
      <rPr>
        <b/>
        <u/>
        <sz val="8"/>
        <color rgb="FF000000"/>
        <rFont val="Arial"/>
        <family val="2"/>
      </rPr>
      <t>9.4.1.1</t>
    </r>
    <r>
      <rPr>
        <b/>
        <sz val="8"/>
        <color rgb="FF000000"/>
        <rFont val="Arial"/>
        <family val="2"/>
      </rPr>
      <t xml:space="preserve">. For each </t>
    </r>
    <r>
      <rPr>
        <b/>
        <i/>
        <sz val="8"/>
        <color rgb="FF000000"/>
        <rFont val="Arial"/>
        <family val="2"/>
      </rPr>
      <t>space</t>
    </r>
    <r>
      <rPr>
        <b/>
        <sz val="8"/>
        <color rgb="FF000000"/>
        <rFont val="Arial"/>
        <family val="2"/>
      </rPr>
      <t xml:space="preserve"> type:</t>
    </r>
  </si>
  <si>
    <t xml:space="preserve">   (1) All REQs shall be implemented.</t>
  </si>
  <si>
    <t xml:space="preserve">   (2) At least one ADD1 (when present) shall be implemented.</t>
  </si>
  <si>
    <t xml:space="preserve">   (3) At least one ADD2 (when present) shall be implemented. </t>
  </si>
  <si>
    <t>0.40 + 0.02/ft total height</t>
  </si>
  <si>
    <r>
      <t xml:space="preserve">Local </t>
    </r>
    <r>
      <rPr>
        <b/>
        <i/>
        <sz val="8"/>
        <color rgb="FF000000"/>
        <rFont val="Arial"/>
        <family val="2"/>
      </rPr>
      <t>Control</t>
    </r>
    <r>
      <rPr>
        <b/>
        <sz val="8"/>
        <color rgb="FF000000"/>
        <rFont val="Arial"/>
        <family val="2"/>
      </rPr>
      <t xml:space="preserve"> (See Section </t>
    </r>
    <r>
      <rPr>
        <b/>
        <u/>
        <sz val="8"/>
        <color rgb="FF000000"/>
        <rFont val="Arial"/>
        <family val="2"/>
      </rPr>
      <t>9.4.1.1</t>
    </r>
    <r>
      <rPr>
        <b/>
        <sz val="8"/>
        <color rgb="FF000000"/>
        <rFont val="Arial"/>
        <family val="2"/>
      </rPr>
      <t>[a])</t>
    </r>
  </si>
  <si>
    <r>
      <t xml:space="preserve">Restricted to </t>
    </r>
    <r>
      <rPr>
        <b/>
        <i/>
        <sz val="8"/>
        <color rgb="FF000000"/>
        <rFont val="Arial"/>
        <family val="2"/>
      </rPr>
      <t>Manual</t>
    </r>
    <r>
      <rPr>
        <b/>
        <sz val="8"/>
        <color rgb="FF000000"/>
        <rFont val="Arial"/>
        <family val="2"/>
      </rPr>
      <t xml:space="preserve"> ON (See Section </t>
    </r>
    <r>
      <rPr>
        <b/>
        <u/>
        <sz val="8"/>
        <color rgb="FF000000"/>
        <rFont val="Arial"/>
        <family val="2"/>
      </rPr>
      <t>9.4.1.1</t>
    </r>
    <r>
      <rPr>
        <b/>
        <sz val="8"/>
        <color rgb="FF000000"/>
        <rFont val="Arial"/>
        <family val="2"/>
      </rPr>
      <t>[b])</t>
    </r>
  </si>
  <si>
    <t>Restricted to Partial Automatic ON (See Section 9.4.1.1[c])</t>
  </si>
  <si>
    <r>
      <t xml:space="preserve">Bilevel Lighting </t>
    </r>
    <r>
      <rPr>
        <b/>
        <i/>
        <sz val="8"/>
        <color rgb="FF000000"/>
        <rFont val="Arial"/>
        <family val="2"/>
      </rPr>
      <t>Control (See Section 9.4.1.1[d])</t>
    </r>
  </si>
  <si>
    <r>
      <t>Automatic</t>
    </r>
    <r>
      <rPr>
        <b/>
        <sz val="8"/>
        <color rgb="FF000000"/>
        <rFont val="Arial"/>
        <family val="2"/>
      </rPr>
      <t xml:space="preserve"> Daylight Responsive </t>
    </r>
    <r>
      <rPr>
        <b/>
        <i/>
        <sz val="8"/>
        <color rgb="FF000000"/>
        <rFont val="Arial"/>
        <family val="2"/>
      </rPr>
      <t>Controls</t>
    </r>
    <r>
      <rPr>
        <b/>
        <sz val="8"/>
        <color rgb="FF000000"/>
        <rFont val="Arial"/>
        <family val="2"/>
      </rPr>
      <t xml:space="preserve"> for Sidelighting (See Section </t>
    </r>
    <r>
      <rPr>
        <b/>
        <u/>
        <sz val="8"/>
        <color rgb="FF000000"/>
        <rFont val="Arial"/>
        <family val="2"/>
      </rPr>
      <t>9.4.1.1</t>
    </r>
    <r>
      <rPr>
        <b/>
        <sz val="8"/>
        <color rgb="FF000000"/>
        <rFont val="Arial"/>
        <family val="2"/>
      </rPr>
      <t>[e]</t>
    </r>
    <r>
      <rPr>
        <b/>
        <vertAlign val="superscript"/>
        <sz val="8"/>
        <color rgb="FF000000"/>
        <rFont val="Arial"/>
        <family val="2"/>
      </rPr>
      <t>6</t>
    </r>
    <r>
      <rPr>
        <b/>
        <sz val="8"/>
        <color rgb="FF000000"/>
        <rFont val="Arial"/>
        <family val="2"/>
      </rPr>
      <t>)</t>
    </r>
  </si>
  <si>
    <r>
      <t>Automatic</t>
    </r>
    <r>
      <rPr>
        <b/>
        <sz val="8"/>
        <color rgb="FF000000"/>
        <rFont val="Arial"/>
        <family val="2"/>
      </rPr>
      <t xml:space="preserve"> Daylight Responsive </t>
    </r>
    <r>
      <rPr>
        <b/>
        <i/>
        <sz val="8"/>
        <color rgb="FF000000"/>
        <rFont val="Arial"/>
        <family val="2"/>
      </rPr>
      <t>Controls</t>
    </r>
    <r>
      <rPr>
        <b/>
        <sz val="8"/>
        <color rgb="FF000000"/>
        <rFont val="Arial"/>
        <family val="2"/>
      </rPr>
      <t xml:space="preserve"> for </t>
    </r>
    <r>
      <rPr>
        <b/>
        <i/>
        <sz val="8"/>
        <color rgb="FF000000"/>
        <rFont val="Arial"/>
        <family val="2"/>
      </rPr>
      <t>Toplighting</t>
    </r>
    <r>
      <rPr>
        <b/>
        <sz val="8"/>
        <color rgb="FF000000"/>
        <rFont val="Arial"/>
        <family val="2"/>
      </rPr>
      <t xml:space="preserve"> (See Section </t>
    </r>
    <r>
      <rPr>
        <b/>
        <u/>
        <sz val="8"/>
        <color rgb="FF000000"/>
        <rFont val="Arial"/>
        <family val="2"/>
      </rPr>
      <t>9.4.1.1</t>
    </r>
    <r>
      <rPr>
        <b/>
        <sz val="8"/>
        <color rgb="FF000000"/>
        <rFont val="Arial"/>
        <family val="2"/>
      </rPr>
      <t>[f]</t>
    </r>
    <r>
      <rPr>
        <b/>
        <vertAlign val="superscript"/>
        <sz val="8"/>
        <color rgb="FF000000"/>
        <rFont val="Arial"/>
        <family val="2"/>
      </rPr>
      <t>6</t>
    </r>
    <r>
      <rPr>
        <b/>
        <sz val="8"/>
        <color rgb="FF000000"/>
        <rFont val="Arial"/>
        <family val="2"/>
      </rPr>
      <t>)</t>
    </r>
  </si>
  <si>
    <r>
      <t>Automatic</t>
    </r>
    <r>
      <rPr>
        <b/>
        <sz val="8"/>
        <color rgb="FF000000"/>
        <rFont val="Arial"/>
        <family val="2"/>
      </rPr>
      <t xml:space="preserve"> Partial OFF (See Section </t>
    </r>
    <r>
      <rPr>
        <b/>
        <u/>
        <sz val="8"/>
        <color rgb="FF000000"/>
        <rFont val="Arial"/>
        <family val="2"/>
      </rPr>
      <t>9.4.1.1</t>
    </r>
    <r>
      <rPr>
        <b/>
        <sz val="8"/>
        <color rgb="FF000000"/>
        <rFont val="Arial"/>
        <family val="2"/>
      </rPr>
      <t>[g]
[Full Off complies])</t>
    </r>
  </si>
  <si>
    <t>Automatic Full OFF
(See Section 9.4.1.1[h])</t>
  </si>
  <si>
    <t>Scheduled Shutoff
(See Section 9.4.1.1[i])</t>
  </si>
  <si>
    <r>
      <rPr>
        <b/>
        <i/>
        <sz val="8"/>
        <color rgb="FF000000"/>
        <rFont val="Arial"/>
        <family val="2"/>
      </rPr>
      <t>Space</t>
    </r>
    <r>
      <rPr>
        <b/>
        <sz val="8"/>
        <color rgb="FF000000"/>
        <rFont val="Arial"/>
        <family val="2"/>
      </rPr>
      <t xml:space="preserve"> Types</t>
    </r>
    <r>
      <rPr>
        <b/>
        <vertAlign val="superscript"/>
        <sz val="8"/>
        <color rgb="FF000000"/>
        <rFont val="Arial"/>
        <family val="2"/>
      </rPr>
      <t>1</t>
    </r>
  </si>
  <si>
    <r>
      <t>LPD</t>
    </r>
    <r>
      <rPr>
        <b/>
        <sz val="8"/>
        <color rgb="FF000000"/>
        <rFont val="Arial"/>
        <family val="2"/>
      </rPr>
      <t xml:space="preserve"> Allowances, W/ft</t>
    </r>
    <r>
      <rPr>
        <b/>
        <vertAlign val="superscript"/>
        <sz val="8"/>
        <color rgb="FF000000"/>
        <rFont val="Arial"/>
        <family val="2"/>
      </rPr>
      <t>2</t>
    </r>
  </si>
  <si>
    <r>
      <t>RCR</t>
    </r>
    <r>
      <rPr>
        <b/>
        <sz val="8"/>
        <color rgb="FF000000"/>
        <rFont val="Arial"/>
        <family val="2"/>
      </rPr>
      <t xml:space="preserve"> Threshold</t>
    </r>
  </si>
  <si>
    <t>a</t>
  </si>
  <si>
    <t>b</t>
  </si>
  <si>
    <t>c</t>
  </si>
  <si>
    <t>d</t>
  </si>
  <si>
    <t>e</t>
  </si>
  <si>
    <t>f</t>
  </si>
  <si>
    <t>g</t>
  </si>
  <si>
    <t>h</t>
  </si>
  <si>
    <t>i</t>
  </si>
  <si>
    <t>9.6.2c</t>
  </si>
  <si>
    <t>Atrium</t>
  </si>
  <si>
    <t>&lt;20 ft in height</t>
  </si>
  <si>
    <t>&gt;=20 ft and &lt;=40 ft in height</t>
  </si>
  <si>
    <t>&gt;40 ft in height</t>
  </si>
  <si>
    <t>Audience Seating Area in</t>
  </si>
  <si>
    <t>all other audience areas</t>
  </si>
  <si>
    <t>Auditorium</t>
  </si>
  <si>
    <t>Convention center</t>
  </si>
  <si>
    <t>Motion picture theater</t>
  </si>
  <si>
    <t>Performing arts theater</t>
  </si>
  <si>
    <t>Religious facility</t>
  </si>
  <si>
    <t>Sports arena</t>
  </si>
  <si>
    <t>Banking Activity Area -</t>
  </si>
  <si>
    <t>Bank/Office</t>
  </si>
  <si>
    <t>Chapel</t>
  </si>
  <si>
    <t>for the Visually Impaired (used primarily by residents)</t>
  </si>
  <si>
    <t>Classroom - Laboratory in or as a classroom</t>
  </si>
  <si>
    <t xml:space="preserve">Classroom/ Lecture Hall/ Training Room in a Penitentiary </t>
  </si>
  <si>
    <t>Classrooms/ lecture halls/ training rooms in all other areas</t>
  </si>
  <si>
    <t>Conference/ Meeting/ Multipurpose Room</t>
  </si>
  <si>
    <r>
      <t xml:space="preserve">Convention Center - Exhibit </t>
    </r>
    <r>
      <rPr>
        <i/>
        <sz val="8"/>
        <color rgb="FF000000"/>
        <rFont val="Arial"/>
        <family val="2"/>
      </rPr>
      <t>Space</t>
    </r>
  </si>
  <si>
    <t>Corridor</t>
  </si>
  <si>
    <t>Facility for the visually impaired (and not used primarily by the staff)</t>
  </si>
  <si>
    <t>Corridor in</t>
  </si>
  <si>
    <t>all other other areas</t>
  </si>
  <si>
    <t>Corridor in a</t>
  </si>
  <si>
    <t>Manufacturing facility</t>
  </si>
  <si>
    <t>Dining Area in</t>
  </si>
  <si>
    <t>all other dining areas</t>
  </si>
  <si>
    <t>Dining Area in a</t>
  </si>
  <si>
    <t>Bar/lounge or leisure dining</t>
  </si>
  <si>
    <t>Cafeteria or fast food dining</t>
  </si>
  <si>
    <t>Facility for the visually impaired (and not u(and not used primarily by staff)sed primarily by the staff)</t>
  </si>
  <si>
    <t>Family dining area</t>
  </si>
  <si>
    <r>
      <t xml:space="preserve">See Section </t>
    </r>
    <r>
      <rPr>
        <u/>
        <sz val="8"/>
        <color rgb="FF0000FF"/>
        <rFont val="Arial"/>
        <family val="2"/>
      </rPr>
      <t>9.4.1.3</t>
    </r>
    <r>
      <rPr>
        <sz val="8"/>
        <color rgb="FF000000"/>
        <rFont val="Arial"/>
        <family val="2"/>
      </rPr>
      <t>(b).</t>
    </r>
  </si>
  <si>
    <t>Gymnasium/Fitness Center</t>
  </si>
  <si>
    <t>Exercise area</t>
  </si>
  <si>
    <t>Playing area</t>
  </si>
  <si>
    <t>Healthcare Facility -</t>
  </si>
  <si>
    <t>Exam/treatment room</t>
  </si>
  <si>
    <t>Imaging room</t>
  </si>
  <si>
    <t>Medical supply room</t>
  </si>
  <si>
    <t xml:space="preserve">See “Storage Room” </t>
  </si>
  <si>
    <t>Nurse’s station</t>
  </si>
  <si>
    <t>Nursery</t>
  </si>
  <si>
    <t>Operating room</t>
  </si>
  <si>
    <t>Patient room</t>
  </si>
  <si>
    <t>Physical therapy room</t>
  </si>
  <si>
    <t>Recovery room</t>
  </si>
  <si>
    <t>Laboratories - not in or as a classroom</t>
  </si>
  <si>
    <t>Library -</t>
  </si>
  <si>
    <t>Reading area</t>
  </si>
  <si>
    <t>Stacks</t>
  </si>
  <si>
    <t>Lobby -</t>
  </si>
  <si>
    <t>All other lobbies</t>
  </si>
  <si>
    <t>Elevator lobby</t>
  </si>
  <si>
    <t>Lobby in a</t>
  </si>
  <si>
    <t>Lounge/Breakroom in a Healthcare facility</t>
  </si>
  <si>
    <t xml:space="preserve">Lounges/breakrooms - All other </t>
  </si>
  <si>
    <t>Manufacturing Facility -</t>
  </si>
  <si>
    <r>
      <t xml:space="preserve">(&lt;25 ft </t>
    </r>
    <r>
      <rPr>
        <i/>
        <sz val="8"/>
        <color rgb="FF000000"/>
        <rFont val="Arial"/>
        <family val="2"/>
      </rPr>
      <t>floor</t>
    </r>
    <r>
      <rPr>
        <sz val="8"/>
        <color rgb="FF000000"/>
        <rFont val="Arial"/>
        <family val="2"/>
      </rPr>
      <t>-to-ceiling height)</t>
    </r>
  </si>
  <si>
    <r>
      <t xml:space="preserve">(&gt;50 ft </t>
    </r>
    <r>
      <rPr>
        <i/>
        <sz val="8"/>
        <color rgb="FF000000"/>
        <rFont val="Arial"/>
        <family val="2"/>
      </rPr>
      <t>floor</t>
    </r>
    <r>
      <rPr>
        <sz val="8"/>
        <color rgb="FF000000"/>
        <rFont val="Arial"/>
        <family val="2"/>
      </rPr>
      <t>-to-ceiling height)</t>
    </r>
  </si>
  <si>
    <r>
      <t xml:space="preserve">(25 to 50 ft </t>
    </r>
    <r>
      <rPr>
        <i/>
        <sz val="8"/>
        <color rgb="FF000000"/>
        <rFont val="Arial"/>
        <family val="2"/>
      </rPr>
      <t>floor</t>
    </r>
    <r>
      <rPr>
        <sz val="8"/>
        <color rgb="FF000000"/>
        <rFont val="Arial"/>
        <family val="2"/>
      </rPr>
      <t>-to-ceiling height)</t>
    </r>
  </si>
  <si>
    <t>Detailed manufacturing area</t>
  </si>
  <si>
    <t>Equipment room</t>
  </si>
  <si>
    <t>Extra high bay area</t>
  </si>
  <si>
    <t>High bay area</t>
  </si>
  <si>
    <t>Low bay area</t>
  </si>
  <si>
    <t>Museum -</t>
  </si>
  <si>
    <t>General exhibition area</t>
  </si>
  <si>
    <t>Restoration room</t>
  </si>
  <si>
    <t>Office -</t>
  </si>
  <si>
    <t>Enclosed and &lt;=250 ft</t>
  </si>
  <si>
    <t>Enclosed and &gt;250 ft</t>
  </si>
  <si>
    <t>Open plan</t>
  </si>
  <si>
    <t>Parking Area - Garage</t>
  </si>
  <si>
    <r>
      <t xml:space="preserve">See Section </t>
    </r>
    <r>
      <rPr>
        <u/>
        <sz val="8"/>
        <color rgb="FF0000FF"/>
        <rFont val="Arial"/>
        <family val="2"/>
      </rPr>
      <t>9.4.1.2</t>
    </r>
    <r>
      <rPr>
        <sz val="8"/>
        <color rgb="FF000000"/>
        <rFont val="Arial"/>
        <family val="2"/>
      </rPr>
      <t>.</t>
    </r>
  </si>
  <si>
    <t>Recreation Room/ Common Living Room (and not used primarily by staff)</t>
  </si>
  <si>
    <t>Religious Facility -</t>
  </si>
  <si>
    <t>Fellowship hall</t>
  </si>
  <si>
    <t>Worship/pulpit/choir area</t>
  </si>
  <si>
    <r>
      <t>Restroom in a facility for the visually impaired (and not used primarily by the staff)</t>
    </r>
    <r>
      <rPr>
        <vertAlign val="superscript"/>
        <sz val="8"/>
        <color rgb="FF000000"/>
        <rFont val="Arial"/>
        <family val="2"/>
      </rPr>
      <t>3</t>
    </r>
  </si>
  <si>
    <t>Restrooms - All other</t>
  </si>
  <si>
    <t>Retail Facilities -</t>
  </si>
  <si>
    <t>Dressing/fitting room</t>
  </si>
  <si>
    <t xml:space="preserve">Mall concourse </t>
  </si>
  <si>
    <t>Sports Arena - Playing Area</t>
  </si>
  <si>
    <t>Class I facility</t>
  </si>
  <si>
    <t>Class II facility</t>
  </si>
  <si>
    <t>Class III facility</t>
  </si>
  <si>
    <t>Class IV facility</t>
  </si>
  <si>
    <t>Storage Room</t>
  </si>
  <si>
    <r>
      <t>&lt;50 ft</t>
    </r>
    <r>
      <rPr>
        <vertAlign val="superscript"/>
        <sz val="8"/>
        <color rgb="FF000000"/>
        <rFont val="Arial"/>
        <family val="2"/>
      </rPr>
      <t>2</t>
    </r>
  </si>
  <si>
    <r>
      <t>&gt;=50 ft</t>
    </r>
    <r>
      <rPr>
        <vertAlign val="superscript"/>
        <sz val="8"/>
        <color rgb="FF000000"/>
        <rFont val="Arial"/>
        <family val="2"/>
      </rPr>
      <t>2</t>
    </r>
    <r>
      <rPr>
        <sz val="8"/>
        <color rgb="FF000000"/>
        <rFont val="Arial"/>
        <family val="2"/>
      </rPr>
      <t xml:space="preserve"> and &lt;=1000 ft</t>
    </r>
    <r>
      <rPr>
        <vertAlign val="superscript"/>
        <sz val="8"/>
        <color rgb="FF000000"/>
        <rFont val="Arial"/>
        <family val="2"/>
      </rPr>
      <t>2</t>
    </r>
  </si>
  <si>
    <t>All other storage rooms</t>
  </si>
  <si>
    <t>Transportation Facility -</t>
  </si>
  <si>
    <t>Airport concourse</t>
  </si>
  <si>
    <t>Baggage/carousel area</t>
  </si>
  <si>
    <t>Ticket counter</t>
  </si>
  <si>
    <t>Warehouse - Storage Area</t>
  </si>
  <si>
    <t>Medium to bulky, palletized items</t>
  </si>
  <si>
    <t>Smaller, hand-carried items</t>
  </si>
  <si>
    <r>
      <t xml:space="preserve">1. In cases where both a common </t>
    </r>
    <r>
      <rPr>
        <i/>
        <sz val="8"/>
        <color rgb="FF000000"/>
        <rFont val="Arial"/>
        <family val="2"/>
      </rPr>
      <t>space</t>
    </r>
    <r>
      <rPr>
        <sz val="8"/>
        <color rgb="FF000000"/>
        <rFont val="Arial"/>
        <family val="2"/>
      </rPr>
      <t xml:space="preserve"> type and a </t>
    </r>
    <r>
      <rPr>
        <i/>
        <sz val="8"/>
        <color rgb="FF000000"/>
        <rFont val="Arial"/>
        <family val="2"/>
      </rPr>
      <t>building</t>
    </r>
    <r>
      <rPr>
        <sz val="8"/>
        <color rgb="FF000000"/>
        <rFont val="Arial"/>
        <family val="2"/>
      </rPr>
      <t xml:space="preserve"> area specific </t>
    </r>
    <r>
      <rPr>
        <i/>
        <sz val="8"/>
        <color rgb="FF000000"/>
        <rFont val="Arial"/>
        <family val="2"/>
      </rPr>
      <t>space</t>
    </r>
    <r>
      <rPr>
        <sz val="8"/>
        <color rgb="FF000000"/>
        <rFont val="Arial"/>
        <family val="2"/>
      </rPr>
      <t xml:space="preserve"> type are listed, the </t>
    </r>
    <r>
      <rPr>
        <i/>
        <sz val="8"/>
        <color rgb="FF000000"/>
        <rFont val="Arial"/>
        <family val="2"/>
      </rPr>
      <t>building</t>
    </r>
    <r>
      <rPr>
        <sz val="8"/>
        <color rgb="FF000000"/>
        <rFont val="Arial"/>
        <family val="2"/>
      </rPr>
      <t xml:space="preserve"> area specific </t>
    </r>
    <r>
      <rPr>
        <i/>
        <sz val="8"/>
        <color rgb="FF000000"/>
        <rFont val="Arial"/>
        <family val="2"/>
      </rPr>
      <t>space</t>
    </r>
    <r>
      <rPr>
        <sz val="8"/>
        <color rgb="FF000000"/>
        <rFont val="Arial"/>
        <family val="2"/>
      </rPr>
      <t xml:space="preserve"> type shall apply</t>
    </r>
  </si>
  <si>
    <r>
      <t xml:space="preserve">2. In corridors, the extra </t>
    </r>
    <r>
      <rPr>
        <i/>
        <sz val="8"/>
        <color rgb="FF000000"/>
        <rFont val="Arial"/>
        <family val="2"/>
      </rPr>
      <t>lighting power density</t>
    </r>
    <r>
      <rPr>
        <sz val="8"/>
        <color rgb="FF000000"/>
        <rFont val="Arial"/>
        <family val="2"/>
      </rPr>
      <t xml:space="preserve"> allowance is permitted when the width of the corridor is less than 8 ft and is not based on the </t>
    </r>
    <r>
      <rPr>
        <i/>
        <sz val="8"/>
        <color rgb="FF000000"/>
        <rFont val="Arial"/>
        <family val="2"/>
      </rPr>
      <t>RCR</t>
    </r>
    <r>
      <rPr>
        <sz val="8"/>
        <color rgb="FF000000"/>
        <rFont val="Arial"/>
        <family val="2"/>
      </rPr>
      <t>.</t>
    </r>
  </si>
  <si>
    <t>3. A “Facility for the Visually Impaired” is a facility that can be documented as being designed to comply with the light levels in ANSI/IES RP-28 and is licensed or will be licensed by local/state authorities for either senior long-term care, adult daycare, senior support and/or people with special visual needs.</t>
  </si>
  <si>
    <r>
      <t xml:space="preserve">4. For accent lighting, see Section </t>
    </r>
    <r>
      <rPr>
        <u/>
        <sz val="8"/>
        <color rgb="FF0000FF"/>
        <rFont val="Arial"/>
        <family val="2"/>
      </rPr>
      <t>9.6.2</t>
    </r>
    <r>
      <rPr>
        <sz val="8"/>
        <color rgb="FF000000"/>
        <rFont val="Arial"/>
        <family val="2"/>
      </rPr>
      <t>(b).</t>
    </r>
  </si>
  <si>
    <t>5. Sometimes referred to as a “Picking Area.”</t>
  </si>
  <si>
    <r>
      <t xml:space="preserve">6. </t>
    </r>
    <r>
      <rPr>
        <i/>
        <sz val="8"/>
        <color rgb="FF000000"/>
        <rFont val="Arial"/>
        <family val="2"/>
      </rPr>
      <t>Automatic</t>
    </r>
    <r>
      <rPr>
        <sz val="8"/>
        <color rgb="FF000000"/>
        <rFont val="Arial"/>
        <family val="2"/>
      </rPr>
      <t xml:space="preserve"> daylight responsive </t>
    </r>
    <r>
      <rPr>
        <i/>
        <sz val="8"/>
        <color rgb="FF000000"/>
        <rFont val="Arial"/>
        <family val="2"/>
      </rPr>
      <t>controls</t>
    </r>
    <r>
      <rPr>
        <sz val="8"/>
        <color rgb="FF000000"/>
        <rFont val="Arial"/>
        <family val="2"/>
      </rPr>
      <t xml:space="preserve"> are mandatory only if the requirements of the specified sections are present.</t>
    </r>
  </si>
  <si>
    <r>
      <t>7. An additional 0.52 W/ft</t>
    </r>
    <r>
      <rPr>
        <vertAlign val="superscript"/>
        <sz val="8"/>
        <color rgb="FF000000"/>
        <rFont val="Arial"/>
        <family val="2"/>
      </rPr>
      <t>2</t>
    </r>
    <r>
      <rPr>
        <sz val="8"/>
        <color rgb="FF000000"/>
        <rFont val="Arial"/>
        <family val="2"/>
      </rPr>
      <t xml:space="preserve"> shall be allowed, provided that the additional lighting is controlled separately from the base allowance of 0.43 W/ft</t>
    </r>
    <r>
      <rPr>
        <vertAlign val="superscript"/>
        <sz val="8"/>
        <color rgb="FF000000"/>
        <rFont val="Arial"/>
        <family val="2"/>
      </rPr>
      <t>2</t>
    </r>
    <r>
      <rPr>
        <sz val="8"/>
        <color rgb="FF000000"/>
        <rFont val="Arial"/>
        <family val="2"/>
      </rPr>
      <t>. The additional 0.52 W/ft</t>
    </r>
    <r>
      <rPr>
        <vertAlign val="superscript"/>
        <sz val="8"/>
        <color rgb="FF000000"/>
        <rFont val="Arial"/>
        <family val="2"/>
      </rPr>
      <t>2</t>
    </r>
    <r>
      <rPr>
        <sz val="8"/>
        <color rgb="FF000000"/>
        <rFont val="Arial"/>
        <family val="2"/>
      </rPr>
      <t xml:space="preserve"> allowance shall not be used for any other purpose.</t>
    </r>
  </si>
  <si>
    <t>8. Class of play as defined by IES RP-6.</t>
  </si>
  <si>
    <t>Space Types (SSpaceType3)</t>
  </si>
  <si>
    <t>9.4.1.1 Automatic Lighting Shutoff</t>
  </si>
  <si>
    <t>na</t>
  </si>
  <si>
    <t>N/A</t>
  </si>
  <si>
    <t>-</t>
  </si>
  <si>
    <t>Hospital - Medical Supply</t>
  </si>
  <si>
    <t>Base</t>
  </si>
  <si>
    <t>Overall Compliance?</t>
  </si>
  <si>
    <t>Notes</t>
  </si>
  <si>
    <t>Count</t>
  </si>
  <si>
    <t>EA</t>
  </si>
  <si>
    <t>LF</t>
  </si>
  <si>
    <t>Table 9.6.2 Control Factors in Calculating Additional Lighting Power Allowance</t>
  </si>
  <si>
    <t>Method #</t>
  </si>
  <si>
    <t>Description</t>
  </si>
  <si>
    <t>01</t>
  </si>
  <si>
    <t>Manual, continuous dimming control or
Programmable multi-level dimming control</t>
  </si>
  <si>
    <t>02</t>
  </si>
  <si>
    <t>Programmable multi-level dimming control using programmable time scheduling</t>
  </si>
  <si>
    <t>03</t>
  </si>
  <si>
    <t>Multi-level occupancy sensors</t>
  </si>
  <si>
    <t>04</t>
  </si>
  <si>
    <t>Occupancy sensors controlling the downlight component of workstation specific luminaires with continuous dimming to off capabilities.</t>
  </si>
  <si>
    <t>05</t>
  </si>
  <si>
    <t>Occupancy sensors controlling the downlight component of workstation specific luminaires with continuous dimming to off operation, in combination with personal continuous dimming control of downlight illumination by workstation occupant.</t>
  </si>
  <si>
    <t>06</t>
  </si>
  <si>
    <t>Automatic bi-level or multi-level switching in primary sidelighted areas when sidelighting effective aperture is greater than 0.15</t>
  </si>
  <si>
    <t>07</t>
  </si>
  <si>
    <t>Automatic bi-level or multi-level switching in primary sidelighted areas when sidelighting effective aperture is greater than 0.15 and when primary sidelighted area is less than 250 sq.ft</t>
  </si>
  <si>
    <t>08</t>
  </si>
  <si>
    <t>Automatic continuous daylight dimming in primary sidelighted areas when sidelighting effective aperture is greater than 0.15 and when primary sidelighted area is less than 250 sq.ft</t>
  </si>
  <si>
    <t>09</t>
  </si>
  <si>
    <t>Automatic continuous daylight dimming in primary sidelighted areas when sidelighting effective aperture is greater than 0.15 and when primary sidelighted area is greater than 250 sq.ft</t>
  </si>
  <si>
    <t>Automatic continuous daylight dimming in secondary sidelighted areas when sidelighting effective aperture is greater than 0.3</t>
  </si>
  <si>
    <t>Automatic continuous daylight dimming in daylighted areas under skylights when the total of those areas is less than 900 sq.ft and when skylight effective aperture is greater than 0.01</t>
  </si>
  <si>
    <t>Automatic continuous daylight dimming in daylighted areas under skylights when the total of those areas is greater than 900 sq.ft and when skylight effective aperture is greater than 0.01</t>
  </si>
  <si>
    <t>Footnotes</t>
  </si>
  <si>
    <t>These control factors may only be used if the requirements of section 9.4.1.2 are met using an occupancy sensor.</t>
  </si>
  <si>
    <t>Control factor is limited to the wattage of workstation-specific luminaires in partitioned single occupant workspaces contained within an open office environment (i.e. direct-indirect luminaires with separately controlled downlight and uplight components, with the downward component providing illumination to a single occupant in an open plan workstation).
Within 30 minutes of the occupant leaving the space, the downward component shall continuously dim to off over a minimum of 2 minutes. Upon the occupant entering the space, the downward component shall turn on at the minimum level and continuously raise the illumination to a preset level over a minimum of 30 seconds. The uplight component of workstation specific luminaire shall comply with section 9.4.1.1 (automatic shutoff).</t>
  </si>
  <si>
    <t>In addition to the requirements described in footnote 2, the control shall allow the occupant to select their preferred light level via a personal computer, handheld device, or similarly accessible device located within the workstation.</t>
  </si>
  <si>
    <t>Control factors may not be used if controls are used to satisfy exceptions to Section 5.5.4.2.3</t>
  </si>
  <si>
    <t>Compliance Codes (ComCodes)</t>
  </si>
  <si>
    <t>Building Types (BuildingType)</t>
  </si>
  <si>
    <t>Space-by-Space Building Types (SBuildingType)</t>
  </si>
  <si>
    <t>Current</t>
  </si>
  <si>
    <t>Control Types</t>
  </si>
  <si>
    <t>90.1-2001</t>
  </si>
  <si>
    <t>1-Common Space Types</t>
  </si>
  <si>
    <t>Building Automation</t>
  </si>
  <si>
    <t>Daylight Continuous Dimming</t>
  </si>
  <si>
    <t>90.1-2004</t>
  </si>
  <si>
    <t>2-Automotive</t>
  </si>
  <si>
    <t>w/sq.ft</t>
  </si>
  <si>
    <t>Daylight Step Dimming</t>
  </si>
  <si>
    <t>90.1-2007</t>
  </si>
  <si>
    <t>2-Bank/Office</t>
  </si>
  <si>
    <t>Exempt</t>
  </si>
  <si>
    <t>lin.ft</t>
  </si>
  <si>
    <t>w/lin.ft</t>
  </si>
  <si>
    <t>Occupancy Sensor</t>
  </si>
  <si>
    <t>2-Convention Center</t>
  </si>
  <si>
    <t>Occupancy &amp; Daylight sensors</t>
  </si>
  <si>
    <t>2-Courthouse/Police Station/Penitentiary</t>
  </si>
  <si>
    <t>Timer Switch</t>
  </si>
  <si>
    <t>Fixture Quantity Units (FQUnits)</t>
  </si>
  <si>
    <t>2-Dormitory</t>
  </si>
  <si>
    <t>Vacancy Sensor</t>
  </si>
  <si>
    <t>count</t>
  </si>
  <si>
    <t>2-Fire Stations</t>
  </si>
  <si>
    <t>Exterior Photocell</t>
  </si>
  <si>
    <t>linear feet</t>
  </si>
  <si>
    <t>2-Gymnasium/Fitness Center</t>
  </si>
  <si>
    <t>2-Hospital</t>
  </si>
  <si>
    <t>Dimmer</t>
  </si>
  <si>
    <t>YES/NO (YesNo)</t>
  </si>
  <si>
    <t>2-Hotel/Motel</t>
  </si>
  <si>
    <t>Multi-Scene Control</t>
  </si>
  <si>
    <t>2-Library</t>
  </si>
  <si>
    <t>9.6.2c - Method 01</t>
  </si>
  <si>
    <t>2-Manufacturing</t>
  </si>
  <si>
    <t>9.6.2c - Method 02</t>
  </si>
  <si>
    <t>2-Museum</t>
  </si>
  <si>
    <t>9.6.2c - Method 03</t>
  </si>
  <si>
    <t>YES/NO/NA (YesNoNA)</t>
  </si>
  <si>
    <t>2-Parking Garage</t>
  </si>
  <si>
    <t>9.6.2c - Method 04</t>
  </si>
  <si>
    <t>2-Post Office</t>
  </si>
  <si>
    <t>9.6.2c - Method 05</t>
  </si>
  <si>
    <t>2-Religious Buildings</t>
  </si>
  <si>
    <t>9.6.2c - Method 06</t>
  </si>
  <si>
    <t>2-Retail</t>
  </si>
  <si>
    <t>locations</t>
  </si>
  <si>
    <t>9.6.2c - Method 07</t>
  </si>
  <si>
    <t xml:space="preserve"> </t>
  </si>
  <si>
    <t>2-Sports Arena</t>
  </si>
  <si>
    <t>additional ATMs</t>
  </si>
  <si>
    <t>9.6.2c - Method 08</t>
  </si>
  <si>
    <t>2-Transportation</t>
  </si>
  <si>
    <t>9.6.2c - Method 09</t>
  </si>
  <si>
    <t>Source Type (SourceType)</t>
  </si>
  <si>
    <t>2-Warehouse</t>
  </si>
  <si>
    <t>9.6.2c - Method 10</t>
  </si>
  <si>
    <t>drive-throughs</t>
  </si>
  <si>
    <t>9.6.2c - Method 11</t>
  </si>
  <si>
    <t>entrances</t>
  </si>
  <si>
    <t>9.6.2c - Method 12</t>
  </si>
  <si>
    <t>Bi-Level</t>
  </si>
  <si>
    <t>Occ</t>
  </si>
  <si>
    <t>Police</t>
  </si>
  <si>
    <t>Atrium (first 40' in height)</t>
  </si>
  <si>
    <t>0.03/foot in height</t>
  </si>
  <si>
    <t>Atrium ( height above 40')</t>
  </si>
  <si>
    <t>0.02/foot in height</t>
  </si>
  <si>
    <t>.03/.02</t>
  </si>
  <si>
    <t>Religious Building</t>
  </si>
  <si>
    <t>Fluorescent</t>
  </si>
  <si>
    <r>
      <t xml:space="preserve">                   </t>
    </r>
    <r>
      <rPr>
        <sz val="10"/>
        <color rgb="FF000000"/>
        <rFont val="Arial"/>
        <family val="2"/>
      </rPr>
      <t>TABLE  9.4.2-1 </t>
    </r>
    <r>
      <rPr>
        <b/>
        <sz val="10"/>
        <color rgb="FF000000"/>
        <rFont val="Arial"/>
        <family val="2"/>
      </rPr>
      <t>Exterior Lighting Zones</t>
    </r>
  </si>
  <si>
    <t>High Pressure Sodium</t>
  </si>
  <si>
    <t>Metal Halide</t>
  </si>
  <si>
    <t>Undeveloped areas within national parks, state parks, forest land, rural areas, and other undeveloped areas as defined by the authority having jurisdiction</t>
  </si>
  <si>
    <t>Retail Area Type (RetailType)</t>
  </si>
  <si>
    <t>Mercury Vapor</t>
  </si>
  <si>
    <t>Low Pressure Sodium</t>
  </si>
  <si>
    <t>Developed areas of national parks, state parks, forest land, and rural areas</t>
  </si>
  <si>
    <t>Incandescent</t>
  </si>
  <si>
    <t>Areas predominantly consisting of residential zoning, neighborhood business districts, light industrial with limited nighttime use and residential mixed use areas</t>
  </si>
  <si>
    <t>Induction</t>
  </si>
  <si>
    <t>Plasma</t>
  </si>
  <si>
    <t>All other areas</t>
  </si>
  <si>
    <t>Other</t>
  </si>
  <si>
    <t>High-activity commercial districts in major metropolitan areas as designated by the local jurisdiction</t>
  </si>
  <si>
    <t>Control Methods</t>
  </si>
  <si>
    <t>Open office</t>
  </si>
  <si>
    <t>Private office</t>
  </si>
  <si>
    <t>Conference Room</t>
  </si>
  <si>
    <t>Meeting Room</t>
  </si>
  <si>
    <t>Classroom (Lecture/Training)</t>
  </si>
  <si>
    <t>C-Lobby - Elevator</t>
  </si>
  <si>
    <t>Gym</t>
  </si>
  <si>
    <t>Pool</t>
  </si>
  <si>
    <t>Mall Concourse</t>
  </si>
  <si>
    <t>x</t>
  </si>
  <si>
    <t>Automotive</t>
  </si>
  <si>
    <t>Service/Repair</t>
  </si>
  <si>
    <t>Audience Seating</t>
  </si>
  <si>
    <t>Exhibit Space</t>
  </si>
  <si>
    <t>Courthouse/Police Station/Penitentiary</t>
  </si>
  <si>
    <t>Judges' Chambers</t>
  </si>
  <si>
    <t>Penitentiary Audience Seating</t>
  </si>
  <si>
    <t>Lounge/Recreation - Hospital</t>
  </si>
  <si>
    <t>Penitentiary Dining</t>
  </si>
  <si>
    <t>Pentitentiary Classroom</t>
  </si>
  <si>
    <t>Living Quarters</t>
  </si>
  <si>
    <t>Fire Stations</t>
  </si>
  <si>
    <t>Engine Room</t>
  </si>
  <si>
    <t>Sleeping Quarters</t>
  </si>
  <si>
    <t>Fitness Area</t>
  </si>
  <si>
    <t>Fitness Center - Audience Seating</t>
  </si>
  <si>
    <t>Storage - Hospital</t>
  </si>
  <si>
    <t>Gymnasium - Audience Seating</t>
  </si>
  <si>
    <t>Storage - Museum</t>
  </si>
  <si>
    <t>Playing Area</t>
  </si>
  <si>
    <t>Emergency</t>
  </si>
  <si>
    <t>Exam/Treatment</t>
  </si>
  <si>
    <t>Laundry - Washing</t>
  </si>
  <si>
    <t>Medical Supply</t>
  </si>
  <si>
    <t>Nurses' Station</t>
  </si>
  <si>
    <t>Operating Room</t>
  </si>
  <si>
    <t>Patient Room</t>
  </si>
  <si>
    <t>Pharmacy</t>
  </si>
  <si>
    <t>Physical Therapy</t>
  </si>
  <si>
    <t>Radiology/Imaging</t>
  </si>
  <si>
    <t>Recovery</t>
  </si>
  <si>
    <t>Hotel/Motel</t>
  </si>
  <si>
    <t>Highway Lodging Dining</t>
  </si>
  <si>
    <t>Highway Lodging Guest Room</t>
  </si>
  <si>
    <t>Hotel Dining</t>
  </si>
  <si>
    <t>Hotel Guest Rooms</t>
  </si>
  <si>
    <t>Hotel Lobby</t>
  </si>
  <si>
    <t xml:space="preserve">          1. Lights in corridors, electrical/mechanical rooms, public lobbies, restrooms, stairways, and storage rooms</t>
  </si>
  <si>
    <t>Card File &amp; Cataloging</t>
  </si>
  <si>
    <t xml:space="preserve">          2. Spaces with only one luminaire with rated input power less than 100 W.</t>
  </si>
  <si>
    <t>Reading Area</t>
  </si>
  <si>
    <t xml:space="preserve">          3. Spaces types with lighting power allowance of less than 0.6 W/sq.ft (see Table 9.6.1).</t>
  </si>
  <si>
    <t>Manufacturing</t>
  </si>
  <si>
    <t>Detailed Manufacturing</t>
  </si>
  <si>
    <t>Equipment Room</t>
  </si>
  <si>
    <t>Extra High Bay (≥ 50')</t>
  </si>
  <si>
    <t>High Bay (≥ 25' &amp; &lt; 50')</t>
  </si>
  <si>
    <t>Low Bay (&lt; 25')</t>
  </si>
  <si>
    <t>General Exhibition</t>
  </si>
  <si>
    <t>Restoration</t>
  </si>
  <si>
    <t>Garage Area</t>
  </si>
  <si>
    <t>Sorting Area</t>
  </si>
  <si>
    <t>Religious Buildings</t>
  </si>
  <si>
    <t>Fellowship Hall</t>
  </si>
  <si>
    <t>Worship Pulpit, Choir</t>
  </si>
  <si>
    <t>Dressing/Fitting Room</t>
  </si>
  <si>
    <t>Court Sports Area - Class 1</t>
  </si>
  <si>
    <t>Court Sports Area - Class 2</t>
  </si>
  <si>
    <t>Court Sports Area - Class 3</t>
  </si>
  <si>
    <t>Court Sports Area - Class 4</t>
  </si>
  <si>
    <t>Ring Sports Area</t>
  </si>
  <si>
    <t>Air/Train/Bus Baggage Area</t>
  </si>
  <si>
    <t>Airport Concourse</t>
  </si>
  <si>
    <t>Terminal - Ticket Counter</t>
  </si>
  <si>
    <t>Fine Material Storage</t>
  </si>
  <si>
    <t>Medium/Bulky Material Storage</t>
  </si>
  <si>
    <t>◄ Select Compliance Method</t>
  </si>
  <si>
    <t xml:space="preserve">Is this lighting installation an alteration (Yes/No)? </t>
  </si>
  <si>
    <t xml:space="preserve">Interior Room and Exterior Area Schedule </t>
  </si>
  <si>
    <t>Per Luminaire or Track</t>
  </si>
  <si>
    <t>Enter the # of Luminaires or Tracks</t>
  </si>
  <si>
    <t>LPA</t>
  </si>
  <si>
    <t>#1</t>
  </si>
  <si>
    <t>#2</t>
  </si>
  <si>
    <r>
      <t xml:space="preserve">The second step is to create your </t>
    </r>
    <r>
      <rPr>
        <b/>
        <sz val="8"/>
        <rFont val="Arial"/>
        <family val="2"/>
      </rPr>
      <t>Luminaire Schedule</t>
    </r>
    <r>
      <rPr>
        <sz val="8"/>
        <rFont val="Arial"/>
        <family val="2"/>
      </rPr>
      <t xml:space="preserve">. Click on the hyperlink below to go directly to the </t>
    </r>
    <r>
      <rPr>
        <b/>
        <sz val="8"/>
        <rFont val="Arial"/>
        <family val="2"/>
      </rPr>
      <t>Luminaire Schedule</t>
    </r>
    <r>
      <rPr>
        <sz val="8"/>
        <rFont val="Arial"/>
        <family val="2"/>
      </rPr>
      <t>. Once there fill in all YELLOW cells.</t>
    </r>
  </si>
  <si>
    <t>Watts per Luminaire</t>
  </si>
  <si>
    <t>New /
Existing /
Retrofit</t>
  </si>
  <si>
    <t>Alteration</t>
  </si>
  <si>
    <t>9.1.2 Lighting Alterations
For the alteration of any lighting system in an interior space, that space shall comply with the lighting power density (LPD) allowances of Section 9.5.1 or 9.6.1 and the control requirements of Section 9.4.1.1 (a), (b), (c), (d), (g), (h), and (i), as applicable to that space.
Exception to 9.1.2
1. Alterations that involve 20% or less of the connected lighting load...
2. Lighting alterations that only involve replacement of lamps plus ballasts/drivers or only involve one-for-one luminaire replacement...
3. Routine maintenance or repair situations.</t>
  </si>
  <si>
    <t>Control Requirements</t>
  </si>
  <si>
    <t>Designed LPD</t>
  </si>
  <si>
    <t>Allowed LPA</t>
  </si>
  <si>
    <t>ZIP:</t>
  </si>
  <si>
    <t>State / Province:</t>
  </si>
  <si>
    <t>Square feet</t>
  </si>
  <si>
    <t>Allowed Watts</t>
  </si>
  <si>
    <t>Link to this tool on ASHRAE.com</t>
  </si>
  <si>
    <t>Maximum Base Power (Watts)</t>
  </si>
  <si>
    <t>Allowed 
Base Power  (Watts)</t>
  </si>
  <si>
    <t>IF(SUM(AY17:AY66)&gt;=$AW67,$AW67,SUM(AY17:AY66))</t>
  </si>
  <si>
    <t>Does Control comply with 9.4.1.1a "Local Control"?</t>
  </si>
  <si>
    <t>Does Control comply with 9.4.1.1b "Restricted to Manual on"?</t>
  </si>
  <si>
    <t>Does Control comply with 9.4.1.1c "Restricted to partial automatic on"?</t>
  </si>
  <si>
    <t>Does Control comply with 9.4.1.1d "Bi-level lighting control"?</t>
  </si>
  <si>
    <t>Does Control comply with 9.4.1.1e "Automatic daylight responsive controls for Sidelighting"?</t>
  </si>
  <si>
    <t>Does Control comply with 9.4.1.1f "Automatic daylight responsive controls for Toplighting"?</t>
  </si>
  <si>
    <t>Does Control comply with 9.4.1.1g "Automatic partial off (full off complies)"?</t>
  </si>
  <si>
    <t>Does Control comply with 9.4.1.1h "Automatic full off"?</t>
  </si>
  <si>
    <t>Does Control comply with 9.4.1.1i "Scheduled shutoff"?</t>
  </si>
  <si>
    <t>System Watts</t>
  </si>
  <si>
    <t>1 for 1</t>
  </si>
  <si>
    <t>OFFSET('Interior Room Schedule'!$AD$10:$AG$59,0,1,'Interior Room Schedule'!$AD$8,1)</t>
  </si>
  <si>
    <t>OFFSET('Interior Room Schedule'!$AR$10:$AV$15,0,1,'Interior Room Schedule'!$AR$8,1)</t>
  </si>
  <si>
    <t xml:space="preserve">Select the Building Type </t>
  </si>
  <si>
    <t xml:space="preserve">
Select the Luminaire</t>
  </si>
  <si>
    <t>Enter the Number of Luminaires or Linear Feet</t>
  </si>
  <si>
    <t>Complies?</t>
  </si>
  <si>
    <t>SUM</t>
  </si>
  <si>
    <t>Allowed Watts:</t>
  </si>
  <si>
    <r>
      <t xml:space="preserve">Space Type
</t>
    </r>
    <r>
      <rPr>
        <sz val="8"/>
        <color rgb="FFFF0000"/>
        <rFont val="Arial"/>
        <family val="2"/>
      </rPr>
      <t>(this narrows down control requirements)</t>
    </r>
  </si>
  <si>
    <r>
      <t xml:space="preserve">Description
</t>
    </r>
    <r>
      <rPr>
        <sz val="9"/>
        <rFont val="Arial"/>
        <family val="2"/>
      </rPr>
      <t>(select from drop down list or enter your own)</t>
    </r>
  </si>
  <si>
    <r>
      <t>Type ID
(</t>
    </r>
    <r>
      <rPr>
        <sz val="9"/>
        <rFont val="Arial"/>
        <family val="2"/>
      </rPr>
      <t>enter a unique luminaire name)</t>
    </r>
  </si>
  <si>
    <r>
      <t xml:space="preserve">Watts per Luminaire
</t>
    </r>
    <r>
      <rPr>
        <sz val="9"/>
        <rFont val="Arial"/>
        <family val="2"/>
      </rPr>
      <t>(calculate track at right)</t>
    </r>
  </si>
  <si>
    <t>Missing infromation cells</t>
  </si>
  <si>
    <t>Leave Blank</t>
  </si>
  <si>
    <t>Total LPA</t>
  </si>
  <si>
    <t>Total Sq.ft.</t>
  </si>
  <si>
    <t>Interior Room Schedule</t>
  </si>
  <si>
    <t>Area Schedule Instructions</t>
  </si>
  <si>
    <t>Exterior Area Schedule</t>
  </si>
  <si>
    <r>
      <t xml:space="preserve">Go to the </t>
    </r>
    <r>
      <rPr>
        <b/>
        <sz val="8"/>
        <rFont val="Arial"/>
        <family val="2"/>
      </rPr>
      <t>Tradable Exterior Areas</t>
    </r>
    <r>
      <rPr>
        <sz val="8"/>
        <rFont val="Arial"/>
        <family val="2"/>
      </rPr>
      <t xml:space="preserve"> table and enter an area name in the first column. Select a Building Area from the drop down in the second column. Enter the square footage of the exterior area.</t>
    </r>
  </si>
  <si>
    <r>
      <t xml:space="preserve">Go to the </t>
    </r>
    <r>
      <rPr>
        <b/>
        <sz val="8"/>
        <rFont val="Arial"/>
        <family val="2"/>
      </rPr>
      <t>NonTradable Exterior Areas</t>
    </r>
    <r>
      <rPr>
        <sz val="8"/>
        <rFont val="Arial"/>
        <family val="2"/>
      </rPr>
      <t xml:space="preserve"> table and enter an area name in the first column. Select a Building Area from the drop down in the second column. Enter the square footage of the exterior area.</t>
    </r>
  </si>
  <si>
    <t>Select either LZ0, LZ1, LZ2, LZ3 or LZ4</t>
  </si>
  <si>
    <t>Has 9.4.4 Functional Testing been completed?</t>
  </si>
  <si>
    <t>Have 9.7 Submittals Requirements been met?</t>
  </si>
  <si>
    <t># of Spaces listed on step-b</t>
  </si>
  <si>
    <t>9.4.1.1a Local Control</t>
  </si>
  <si>
    <t>9.4.1.1b Restricted to Manual on</t>
  </si>
  <si>
    <t>9.4.1.1c Restricted to partial automatic on</t>
  </si>
  <si>
    <t>9.4.1.1d Bi-level lighting control</t>
  </si>
  <si>
    <t>9.4.1.1e Automatic daylight controls for Sidelighting</t>
  </si>
  <si>
    <t>9.4.1.1f Automatic daylight controls for Toplighting</t>
  </si>
  <si>
    <t>9.4.1.1g Automatic partial off (full off complies)</t>
  </si>
  <si>
    <t>9.4.1.1h Automatic full off</t>
  </si>
  <si>
    <t>9.4.1.1i Scheduled shutoff</t>
  </si>
  <si>
    <t>9.4.1.2 Parking Garage Lighting Control</t>
  </si>
  <si>
    <t>O</t>
  </si>
  <si>
    <t>Q</t>
  </si>
  <si>
    <t>S</t>
  </si>
  <si>
    <t>U</t>
  </si>
  <si>
    <t>W</t>
  </si>
  <si>
    <t>Y</t>
  </si>
  <si>
    <t>AA</t>
  </si>
  <si>
    <t>AC</t>
  </si>
  <si>
    <t>AE</t>
  </si>
  <si>
    <t>AG</t>
  </si>
  <si>
    <t>INTERIOR LIGHTING</t>
  </si>
  <si>
    <t>Total Designed Lighting Power</t>
  </si>
  <si>
    <t>Total Lighting Power Allowance</t>
  </si>
  <si>
    <t>Wattage Compliant?</t>
  </si>
  <si>
    <t>Exit Sign Compliant?</t>
  </si>
  <si>
    <t>Controls Compliant?</t>
  </si>
  <si>
    <t>City:</t>
  </si>
  <si>
    <t>2016
Local Control (9.4.1.1[a])</t>
  </si>
  <si>
    <t>2016
Restricted to Manual ON (9.4.1.1[b])</t>
  </si>
  <si>
    <t>2016
Restricted to Partial Automatic ON (9.4.1.1[c])</t>
  </si>
  <si>
    <t>2016
Bilevel Lighting Control (9.4.1.1[d])</t>
  </si>
  <si>
    <t>2016
Automatic Daylight Responsive Controls for Sidelighting (9.4.1.1[e]6)</t>
  </si>
  <si>
    <t>2016
Automatic Daylight Responsive Controls for Toplighting (9.4.1.1[f]6)</t>
  </si>
  <si>
    <t>2016
Automatic Partial OFF (9.4.1.1[g]
[Full Off complies])</t>
  </si>
  <si>
    <t>2016
Automatic Full OFF
(9.4.1.1[h])</t>
  </si>
  <si>
    <t>2016
Scheduled Shutoff
(9.4.1.1[i])</t>
  </si>
  <si>
    <t>9.4.1.3 Guest Room Lighting Control</t>
  </si>
  <si>
    <t>EXTERIOR LIGHTING</t>
  </si>
  <si>
    <t>Lighting Zone Base Allowance</t>
  </si>
  <si>
    <t xml:space="preserve">Tradable </t>
  </si>
  <si>
    <t>Non Tradable</t>
  </si>
  <si>
    <t>POST INSTALLATION COMPLIANCE REQUIREMENTS</t>
  </si>
  <si>
    <t xml:space="preserve">
Space </t>
  </si>
  <si>
    <t>Lighting Power Reduction</t>
  </si>
  <si>
    <t>9.4.1.2b Parking Lighting Power Reduction</t>
  </si>
  <si>
    <t>9.4.1.2b Parking Vehicle Entrances</t>
  </si>
  <si>
    <t>9.4.1.2b Parking Daylighting Power Reduction</t>
  </si>
  <si>
    <t>9.4.1.3b Lighting Guest Rooms</t>
  </si>
  <si>
    <t>2019 TABLE  9.4.2-1 Exterior Lighting Zones</t>
  </si>
  <si>
    <t>2019 LPD</t>
  </si>
  <si>
    <t>2019 RCR</t>
  </si>
  <si>
    <t>2019
Local Control (9.4.1.1[a])</t>
  </si>
  <si>
    <t>2019
Restricted to Manual ON (9.4.1.1[b])</t>
  </si>
  <si>
    <t>2019
Restricted to Partial Automatic ON (9.4.1.1[c])</t>
  </si>
  <si>
    <t>2019
Bilevel Lighting Control (9.4.1.1[d])</t>
  </si>
  <si>
    <t>2019
Automatic Daylight Responsive Controls for Sidelighting (9.4.1.1[e]6)</t>
  </si>
  <si>
    <t>2019
Automatic Daylight Responsive Controls for Toplighting (9.4.1.1[f]6)</t>
  </si>
  <si>
    <t>2019
Automatic Partial OFF (9.4.1.1[g]
[Full Off complies])</t>
  </si>
  <si>
    <t>2019
Automatic Full OFF
(9.4.1.1[h])</t>
  </si>
  <si>
    <t>2019
Scheduled Shutoff
(9.4.1.1[i])</t>
  </si>
  <si>
    <t>2019
9.6.2c</t>
  </si>
  <si>
    <t>a. In cases where both a general building area type and a specific building area type are listed,</t>
  </si>
  <si>
    <t>the specific building area type shall apply.</t>
  </si>
  <si>
    <t xml:space="preserve">Banking Activity Area </t>
  </si>
  <si>
    <t>Storage Room &gt;=50 ft2</t>
  </si>
  <si>
    <t>Classroom/Lecture Hall/Training Room - All other classrooms/lecture halls/training rooms</t>
  </si>
  <si>
    <t>9.6.2 Additional Interior Lighting Power</t>
  </si>
  <si>
    <t>Garage 9.4.1.2b</t>
  </si>
  <si>
    <t>Garage 9.4.1.2c</t>
  </si>
  <si>
    <t>Garage 9.4.1.2d</t>
  </si>
  <si>
    <t>Guest Room 9.4.1.3b.2</t>
  </si>
  <si>
    <t>= Base allowance</t>
  </si>
  <si>
    <t>_Space_X_Space_List</t>
  </si>
  <si>
    <t>Year</t>
  </si>
  <si>
    <t>Healthcare Facility - Medical supply room &gt;=50 ft2</t>
  </si>
  <si>
    <t>Motion picture theater - Audience Seating Area</t>
  </si>
  <si>
    <t>Penitentiary - Audience Seating Area</t>
  </si>
  <si>
    <t>Religious facility - Audience Seating Area</t>
  </si>
  <si>
    <t>Sports arena - Audience Seating Area</t>
  </si>
  <si>
    <t>Penitentiary - Classroom/Lecture Hall/Training Room</t>
  </si>
  <si>
    <t>Healthcare Facility - Corridor</t>
  </si>
  <si>
    <t>Penitentiary - Dining Area</t>
  </si>
  <si>
    <t>Motion picture theater - Lobby</t>
  </si>
  <si>
    <t>Healthcare facility - Lounge/Breakroom</t>
  </si>
  <si>
    <t>Master</t>
  </si>
  <si>
    <t>Performing Arts theater - Lobby</t>
  </si>
  <si>
    <t>Performing Arts theater - Audience Seating Area</t>
  </si>
  <si>
    <t>Table_9.6.1_2016</t>
  </si>
  <si>
    <t>Table_9.6.1_2019</t>
  </si>
  <si>
    <t>_Table_9.6.1_2010</t>
  </si>
  <si>
    <t>Heathcare Facility - Emergency</t>
  </si>
  <si>
    <t>Dining Area - Hotel</t>
  </si>
  <si>
    <t>Library - Card File and Cataloging</t>
  </si>
  <si>
    <t>Dining Area - Highway Lodging</t>
  </si>
  <si>
    <t>Guest Room - Hotel</t>
  </si>
  <si>
    <t>Guest Room - Highway Lodging</t>
  </si>
  <si>
    <t>Audience Seating Area - Transportation</t>
  </si>
  <si>
    <t>9.4.1.3.b Parking Garage Lighting Control</t>
  </si>
  <si>
    <t>9.4.1.3.c Parking Garage Lighting Control</t>
  </si>
  <si>
    <t>9.4.1.3.d Parking Garage Lighting Control</t>
  </si>
  <si>
    <t>2010
9.6.2c2</t>
  </si>
  <si>
    <t>9.4.1.6</t>
  </si>
  <si>
    <t>9.4.1.6g</t>
  </si>
  <si>
    <t>2019</t>
  </si>
  <si>
    <t>2016</t>
  </si>
  <si>
    <t>2010</t>
  </si>
  <si>
    <t>2010 Spaces</t>
  </si>
  <si>
    <t>2019 Spaces</t>
  </si>
  <si>
    <t>2016 Spaces</t>
  </si>
  <si>
    <t>Column2</t>
  </si>
  <si>
    <t>Guest Room 9.4.1.3b.3</t>
  </si>
  <si>
    <t>Not Used</t>
  </si>
  <si>
    <t>Not Used2</t>
  </si>
  <si>
    <t>Guest Room 9.4.1.6c</t>
  </si>
  <si>
    <t>90.1 Space Type</t>
  </si>
  <si>
    <t>Space Name</t>
  </si>
  <si>
    <t>Square Feet</t>
  </si>
  <si>
    <t>True Allowed Watts</t>
  </si>
  <si>
    <t>"BLANK" Watts</t>
  </si>
  <si>
    <t>"New" Watts</t>
  </si>
  <si>
    <t>TOTAL "Installed"</t>
  </si>
  <si>
    <t>Existing "Remains" watts</t>
  </si>
  <si>
    <t>Existing "Removed" Watts</t>
  </si>
  <si>
    <t>Existing Total</t>
  </si>
  <si>
    <t>Quantity "Removed"</t>
  </si>
  <si>
    <t>Quantity "New" and "BLANK"</t>
  </si>
  <si>
    <t>LPA Pass/ Fail</t>
  </si>
  <si>
    <t>Exception #1</t>
  </si>
  <si>
    <t>Exception #2</t>
  </si>
  <si>
    <t>Wattage same or lower</t>
  </si>
  <si>
    <t>Overall</t>
  </si>
  <si>
    <t>ALTERATION</t>
  </si>
  <si>
    <t>LPA Project Level</t>
  </si>
  <si>
    <t>Watts Designed</t>
  </si>
  <si>
    <t>Exception pass</t>
  </si>
  <si>
    <t>Space Level</t>
  </si>
  <si>
    <t>Exception Pass/ Fail</t>
  </si>
  <si>
    <t>Exceptions</t>
  </si>
  <si>
    <t>ALT</t>
  </si>
  <si>
    <t>Interior lighting alterations are determined on either step 6 - Building Area Method (9.5.1) page or step 7 - Space by Space Method (9.6.1) pages. 
Exterior lighting alterations are determined on step 9.</t>
  </si>
  <si>
    <t>Alterations</t>
  </si>
  <si>
    <t>A</t>
  </si>
  <si>
    <t>B</t>
  </si>
  <si>
    <t>C</t>
  </si>
  <si>
    <t>D</t>
  </si>
  <si>
    <t>E</t>
  </si>
  <si>
    <t>F</t>
  </si>
  <si>
    <t>G</t>
  </si>
  <si>
    <t>H</t>
  </si>
  <si>
    <t>I</t>
  </si>
  <si>
    <t>J</t>
  </si>
  <si>
    <t>K</t>
  </si>
  <si>
    <t>l</t>
  </si>
  <si>
    <t>M</t>
  </si>
  <si>
    <t>N</t>
  </si>
  <si>
    <t>P</t>
  </si>
  <si>
    <t>R</t>
  </si>
  <si>
    <t>T</t>
  </si>
  <si>
    <t>V</t>
  </si>
  <si>
    <t>X</t>
  </si>
  <si>
    <t>Z</t>
  </si>
  <si>
    <t>Col#</t>
  </si>
  <si>
    <t>Col Name</t>
  </si>
  <si>
    <t>Table 9.63 Control Factors in Calculating Additional Lighting Power Allowance</t>
  </si>
  <si>
    <t>9.6.3 - Manual dimming</t>
  </si>
  <si>
    <t>9.6.3 - Programmable multi-level dimming</t>
  </si>
  <si>
    <t>9.6.3</t>
  </si>
  <si>
    <t>HIDE</t>
  </si>
  <si>
    <t>Manual, continuous dimming control or Programmable multi-level dimming control</t>
  </si>
  <si>
    <t>9.6.3 Nonmandatory Controls</t>
  </si>
  <si>
    <t>9.6.3
Control Watts
(determined in step-b)</t>
  </si>
  <si>
    <t>one of these two controls 
must be included if 
ADD1 is listed below</t>
  </si>
  <si>
    <t>one of these two controls 
must be included if 
ADD2 is listed below</t>
  </si>
  <si>
    <t>9.4.1.4.a
Daylight hours  OFF</t>
  </si>
  <si>
    <t>Exterior Table area</t>
  </si>
  <si>
    <t>2010 areas</t>
  </si>
  <si>
    <t>Ext Area List</t>
  </si>
  <si>
    <t>2016 areas</t>
  </si>
  <si>
    <t>2019 areas</t>
  </si>
  <si>
    <t>2010 Table</t>
  </si>
  <si>
    <t>2016 Table</t>
  </si>
  <si>
    <t>2019 Table</t>
  </si>
  <si>
    <t>Ext_Tradable_Areas_2010</t>
  </si>
  <si>
    <t>Ext_Tradable_Areas_2016</t>
  </si>
  <si>
    <t>Ext_Tradable_Areas_2019</t>
  </si>
  <si>
    <t>Ext_Tradable_Table_2016</t>
  </si>
  <si>
    <t>Ext_Tradable_Table_2010</t>
  </si>
  <si>
    <t>Ext_Tradable_Table_2019</t>
  </si>
  <si>
    <t>Walkways &lt; 10' wide (by length)</t>
  </si>
  <si>
    <t>Building facades (by length)</t>
  </si>
  <si>
    <t>Building facades (by area)</t>
  </si>
  <si>
    <t>Walkways ≥ 10' wide OR plaza (by area)</t>
  </si>
  <si>
    <t>9.4.2
Controlled separately</t>
  </si>
  <si>
    <r>
      <t xml:space="preserve">Step 9a: Installed Exterior Lighting Power (Tradable)
</t>
    </r>
    <r>
      <rPr>
        <i/>
        <sz val="8"/>
        <rFont val="Arial"/>
        <family val="2"/>
      </rPr>
      <t>see NonTradable below also</t>
    </r>
  </si>
  <si>
    <t>Calculated</t>
  </si>
  <si>
    <t>Used</t>
  </si>
  <si>
    <t>Remaning</t>
  </si>
  <si>
    <t>Tradable Watts</t>
  </si>
  <si>
    <t>Count of Measures</t>
  </si>
  <si>
    <t>Sum of Compliant (Compliant = 5)</t>
  </si>
  <si>
    <t>"NEW" Watts</t>
  </si>
  <si>
    <t>9.6.3 Nonmandatory Control 
 (OPTIONAL)</t>
  </si>
  <si>
    <t>Row #</t>
  </si>
  <si>
    <t>9.4.3 Table Name</t>
  </si>
  <si>
    <t>NOT available for Exterior?</t>
  </si>
  <si>
    <t>IF(OR(R10=0,B10=""),"",IF(Y$6=FALSE,"",IF(OR(Z10="Pass",AD10="Pass"),"Pass","Fail")))</t>
  </si>
  <si>
    <t>Meet control requirements of Section 9.4.1.4 a, c, d &amp; 9.4.2</t>
  </si>
  <si>
    <t>Meet control requirements of Section 9.4.1.4 a, c &amp; 9.4.2</t>
  </si>
  <si>
    <t>Meet control requirements of Section 9.4.1.4 a, b, &amp; 9.4.2</t>
  </si>
  <si>
    <t>Area Level</t>
  </si>
  <si>
    <t>Exterior Lighting Power - Nontradable Areas</t>
  </si>
  <si>
    <t>Exterior Lighting Power - Tradable Areas</t>
  </si>
  <si>
    <t>Ext_Nontradable_Areas_2010</t>
  </si>
  <si>
    <t>Ext_Nontradable_Areas_2016</t>
  </si>
  <si>
    <t>Ext_Nontradable_Areas_2019</t>
  </si>
  <si>
    <t>Ext_Nontradable_Table_2010</t>
  </si>
  <si>
    <t>Ext_Nontradable_Table_2016</t>
  </si>
  <si>
    <t>Ext_Nontradable_Table_2019</t>
  </si>
  <si>
    <r>
      <t xml:space="preserve">Step 9b: Installed Exterior Lighting Power (Nontradable)
</t>
    </r>
    <r>
      <rPr>
        <i/>
        <sz val="8"/>
        <rFont val="Arial"/>
        <family val="2"/>
      </rPr>
      <t>see NonTradable below also</t>
    </r>
  </si>
  <si>
    <t>Designed</t>
  </si>
  <si>
    <t>HIDE column</t>
  </si>
  <si>
    <t>HIDE
Base remaining</t>
  </si>
  <si>
    <t>Nontradable Watts</t>
  </si>
  <si>
    <t>Compliant?</t>
  </si>
  <si>
    <t>Base remaining from Tradable Areas</t>
  </si>
  <si>
    <t>Used below</t>
  </si>
  <si>
    <t>Allocated base</t>
  </si>
  <si>
    <t>Allowed Watts (w/base)</t>
  </si>
  <si>
    <t>Watts Pass/ Fail</t>
  </si>
  <si>
    <t>Watts allowed if space is used</t>
  </si>
  <si>
    <t>Base Allocated</t>
  </si>
  <si>
    <t>Pass=0</t>
  </si>
  <si>
    <t>watts over under</t>
  </si>
  <si>
    <t>Base 
allocated</t>
  </si>
  <si>
    <t>from Tradable &gt;</t>
  </si>
  <si>
    <t>Alocated &gt;</t>
  </si>
  <si>
    <t>Remaining &gt;</t>
  </si>
  <si>
    <t>9.4.1.3.d Parking Garage Control</t>
  </si>
  <si>
    <t>9.4.1.3.b Parking Garage Control</t>
  </si>
  <si>
    <t>9.4.1.3.c Parking Garage Control</t>
  </si>
  <si>
    <t>9.6 Space by Space Method for Interior Lighting (step-a)</t>
  </si>
  <si>
    <t>Exit Signs. Internally illuminated exit signs 
shall not exceed 5 W per face.</t>
  </si>
  <si>
    <t>TOTAL
Breaker
Amps</t>
  </si>
  <si>
    <t>Watts at 30W/ft min.</t>
  </si>
  <si>
    <r>
      <t xml:space="preserve">Low Voltage Track
</t>
    </r>
    <r>
      <rPr>
        <i/>
        <sz val="9"/>
        <rFont val="Arial"/>
        <family val="2"/>
      </rPr>
      <t>(fill in yellow cells below for Low Voltage Track)</t>
    </r>
  </si>
  <si>
    <t>__2016_Space_List</t>
  </si>
  <si>
    <t>__2019_Space_List</t>
  </si>
  <si>
    <t>__2010_Space_List</t>
  </si>
  <si>
    <t>&lt;20'</t>
  </si>
  <si>
    <t>&gt;=20' and &lt;=40'</t>
  </si>
  <si>
    <t>&gt;40'</t>
  </si>
  <si>
    <t>base LPA</t>
  </si>
  <si>
    <t>ALL LPA</t>
  </si>
  <si>
    <t>Atrium LPA calculation</t>
  </si>
  <si>
    <t>Click on the links below to go to each step/section</t>
  </si>
  <si>
    <t xml:space="preserve">9.4.1.1a
Local Control </t>
  </si>
  <si>
    <t xml:space="preserve">9.4.1.1b
Restricted to Manual ON </t>
  </si>
  <si>
    <t xml:space="preserve">9.4.1.1c
Restricted to Partial Automatic ON </t>
  </si>
  <si>
    <t xml:space="preserve">9.4.1.1d
Bilevel Lighting Control </t>
  </si>
  <si>
    <t xml:space="preserve">9.4.1.1e
Automatic Daylight Controls for Sidelighting </t>
  </si>
  <si>
    <t xml:space="preserve">9.4.1.1f
Automatic Daylight Controls for Toplighting </t>
  </si>
  <si>
    <t xml:space="preserve">9.4.1.1g
Automatic Partial OFF </t>
  </si>
  <si>
    <t xml:space="preserve">9.4.1.1h
Automatic Full OFF
</t>
  </si>
  <si>
    <t>9.4.1.1i
Scheduled Shutoff</t>
  </si>
  <si>
    <t>9.4.1.2b
Garage</t>
  </si>
  <si>
    <t xml:space="preserve">9.4.1.2c
Garage </t>
  </si>
  <si>
    <t xml:space="preserve">9.4.1.2d
Garage </t>
  </si>
  <si>
    <t xml:space="preserve">9.4.1.3b.2
Guest Room </t>
  </si>
  <si>
    <t xml:space="preserve">Alteration
9.4.1.1a
Local Control </t>
  </si>
  <si>
    <t xml:space="preserve">Alterations
9.4.1.1b
Restricted to Manual ON </t>
  </si>
  <si>
    <t xml:space="preserve">Alteration 
9.4.1.1c
Restricted to Partial Automatic ON </t>
  </si>
  <si>
    <t xml:space="preserve">Alteration
9.4.1.1d
Bilevel Lighting Control </t>
  </si>
  <si>
    <t xml:space="preserve">Alteration
9.4.1.1e
Automatic Daylight Controls for Sidelighting </t>
  </si>
  <si>
    <t xml:space="preserve">Alteration
9.4.1.1f
Automatic Daylight Controls for Toplighting </t>
  </si>
  <si>
    <t xml:space="preserve">Alteration
9.4.1.1g
Automatic Partial OFF </t>
  </si>
  <si>
    <t xml:space="preserve">Alteration 
9.4.1.1h
Automatic Full OFF
</t>
  </si>
  <si>
    <t>Alteration
9.4.1.1i
Scheduled Shutoff</t>
  </si>
  <si>
    <t>Alteration
9.4.1.2b
Garage</t>
  </si>
  <si>
    <t xml:space="preserve">Alteration
9.4.1.2c
Garage </t>
  </si>
  <si>
    <t xml:space="preserve">Alteration
9.4.1.2d
Garage </t>
  </si>
  <si>
    <t>2016
Master</t>
  </si>
  <si>
    <t>Shift Column</t>
  </si>
  <si>
    <t>9.4.1.1 Automatic Lighting Shutoff2</t>
  </si>
  <si>
    <t>9.4.1.2 Space Control (a) Bi-Level3</t>
  </si>
  <si>
    <t>9.4.1.2 Space Control (b) Occ4</t>
  </si>
  <si>
    <t>9.4.1.2 Space Control (c)5</t>
  </si>
  <si>
    <t>9.4.1.4 Automatic Daylighting Controls for Primary Sidelighted Areas6</t>
  </si>
  <si>
    <t>9.4.1.5 Automatic Daylighting Controls for Toplighting7</t>
  </si>
  <si>
    <t>9.4.1.6 Additional Control8</t>
  </si>
  <si>
    <t>Not Used9</t>
  </si>
  <si>
    <t>Not Used210</t>
  </si>
  <si>
    <t>9.4.1.3.b Parking Garage Control11</t>
  </si>
  <si>
    <t>9.4.1.3.c Parking Garage Control12</t>
  </si>
  <si>
    <t>9.4.1.3.d Parking Garage Control13</t>
  </si>
  <si>
    <t>Guest Room 9.4.1.6c14</t>
  </si>
  <si>
    <t>9.4.1.4  Daylighting Controls for Primary Sidelighted Areas</t>
  </si>
  <si>
    <t>9.4.1.4  Daylighting Controls for  Sidelighted Areas</t>
  </si>
  <si>
    <t>9.4.1.5  Daylighting Controls for Toplighting</t>
  </si>
  <si>
    <t>Base Wattage used</t>
  </si>
  <si>
    <t>Base Watts</t>
  </si>
  <si>
    <t>Tradable deficit before base</t>
  </si>
  <si>
    <t>What's Installed</t>
  </si>
  <si>
    <t>a
b</t>
  </si>
  <si>
    <t>a
b
c
d</t>
  </si>
  <si>
    <t>Watts Installed</t>
  </si>
  <si>
    <t xml:space="preserve">9.6.2b Retail </t>
  </si>
  <si>
    <t xml:space="preserve">9.6.2a Decorative </t>
  </si>
  <si>
    <t>9.6.1</t>
  </si>
  <si>
    <t xml:space="preserve">9.6.2a Additional Interior Lighting - Decorative Lighting </t>
  </si>
  <si>
    <t>Base Watts Used</t>
  </si>
  <si>
    <t>9.6 Space by Space Method Compliance Details</t>
  </si>
  <si>
    <t>Tradable</t>
  </si>
  <si>
    <t>Nontradable</t>
  </si>
  <si>
    <t>9.4.2 Exterior Lighting Compliance Details</t>
  </si>
  <si>
    <t>9.4.2</t>
  </si>
  <si>
    <t>Base required</t>
  </si>
  <si>
    <t>9.5 Building Area Method for Interior Lighting</t>
  </si>
  <si>
    <r>
      <t xml:space="preserve">Table 9.3.1-1 Simplified Building Method for Office </t>
    </r>
    <r>
      <rPr>
        <b/>
        <i/>
        <sz val="10"/>
        <color rgb="FF0D0D0D"/>
        <rFont val="Arial"/>
        <family val="2"/>
      </rPr>
      <t>Building</t>
    </r>
    <r>
      <rPr>
        <b/>
        <sz val="10"/>
        <color rgb="FF0D0D0D"/>
        <rFont val="Arial"/>
        <family val="2"/>
      </rPr>
      <t>s</t>
    </r>
  </si>
  <si>
    <r>
      <t xml:space="preserve">Interior </t>
    </r>
    <r>
      <rPr>
        <b/>
        <i/>
        <sz val="10"/>
        <color rgb="FF0D0D0D"/>
        <rFont val="Arial"/>
        <family val="2"/>
      </rPr>
      <t>Space</t>
    </r>
    <r>
      <rPr>
        <b/>
        <sz val="10"/>
        <color rgb="FF0D0D0D"/>
        <rFont val="Arial"/>
        <family val="2"/>
      </rPr>
      <t xml:space="preserve"> Type</t>
    </r>
  </si>
  <si>
    <r>
      <t xml:space="preserve">Interior Lighting Power </t>
    </r>
    <r>
      <rPr>
        <b/>
        <i/>
        <sz val="10"/>
        <color rgb="FF0D0D0D"/>
        <rFont val="Arial"/>
        <family val="2"/>
      </rPr>
      <t>Allowance</t>
    </r>
  </si>
  <si>
    <r>
      <t>Control</t>
    </r>
    <r>
      <rPr>
        <b/>
        <sz val="10"/>
        <color rgb="FF0D0D0D"/>
        <rFont val="Arial"/>
        <family val="2"/>
      </rPr>
      <t xml:space="preserve">s (All lights in the </t>
    </r>
    <r>
      <rPr>
        <b/>
        <i/>
        <sz val="10"/>
        <color rgb="FF0D0D0D"/>
        <rFont val="Arial"/>
        <family val="2"/>
      </rPr>
      <t>space</t>
    </r>
    <r>
      <rPr>
        <b/>
        <sz val="10"/>
        <color rgb="FF0D0D0D"/>
        <rFont val="Arial"/>
        <family val="2"/>
      </rPr>
      <t xml:space="preserve"> shall be controlled)</t>
    </r>
  </si>
  <si>
    <t>Parking Garages</t>
  </si>
  <si>
    <t>These spaces shall also be controlled by occupant sensors that reduce the lighting power by a minimum of 50% when no activity is detected for not longer than 20 minutes and be controlled to turn off when the building is either unoccupied or scheduled to be unoccupied.</t>
  </si>
  <si>
    <r>
      <t xml:space="preserve">Table 9.3.1-2 Simplified Building Method for Retail </t>
    </r>
    <r>
      <rPr>
        <b/>
        <i/>
        <sz val="10"/>
        <color rgb="FF0D0D0D"/>
        <rFont val="Arial"/>
        <family val="2"/>
      </rPr>
      <t>Building</t>
    </r>
    <r>
      <rPr>
        <b/>
        <sz val="10"/>
        <color rgb="FF0D0D0D"/>
        <rFont val="Arial"/>
        <family val="2"/>
      </rPr>
      <t>s</t>
    </r>
  </si>
  <si>
    <t>Sales area</t>
  </si>
  <si>
    <r>
      <t>a</t>
    </r>
    <r>
      <rPr>
        <sz val="10"/>
        <color rgb="FF0D0D0D"/>
        <rFont val="Arial"/>
        <family val="2"/>
      </rPr>
      <t xml:space="preserve"> </t>
    </r>
    <r>
      <rPr>
        <sz val="8"/>
        <color rgb="FF0D0D0D"/>
        <rFont val="Arial"/>
        <family val="2"/>
      </rPr>
      <t>When th</t>
    </r>
    <r>
      <rPr>
        <sz val="8"/>
        <rFont val="Arial"/>
        <family val="2"/>
      </rPr>
      <t xml:space="preserve">e combined input power of the general lights completely or partially within the </t>
    </r>
    <r>
      <rPr>
        <i/>
        <sz val="8"/>
        <rFont val="Arial"/>
        <family val="2"/>
      </rPr>
      <t>daylight areas</t>
    </r>
    <r>
      <rPr>
        <sz val="8"/>
        <rFont val="Arial"/>
        <family val="2"/>
      </rPr>
      <t xml:space="preserve"> is 1</t>
    </r>
    <r>
      <rPr>
        <sz val="8"/>
        <color rgb="FF0D0D0D"/>
        <rFont val="Arial"/>
        <family val="2"/>
      </rPr>
      <t>50 watts or greater.</t>
    </r>
  </si>
  <si>
    <t>These spaces shall also be controlled by manual-ON occupant sensors.</t>
  </si>
  <si>
    <t>These spaces shall also be controlled by occupant sensors.</t>
  </si>
  <si>
    <t>All lighting shall be automatically controlled to turn off during garage nonoperating hours. Lighting shall also be controlled by occupant sensors. Controls shall reduce the power by a minimum of 50% when no activity is detected for not longer than 20 minutes. No device shall control more than 3600 ft2.</t>
  </si>
  <si>
    <t>All lighting shall be automatically controlled to turn off when the building is either unoccupied or scheduled to be unoccupied. (Exception: Lighting load not exceeding 0.02 W/ft2 multiplied by the gross lighted area of the building shall be permitted to operate at all times.)
Each space shall have a manual control device that allows the occupant to reduce lighting power by a minimum of 50% and to turn the lighting off.</t>
  </si>
  <si>
    <t>These spaces shall also be controlled
• to reduce the general lighting power by a minimum of 75% during nonbusiness hours,
• to turn off all lighting other than general lighting during nonbusiness hours, and
• by continuous daylight dimming controls b in spaces with toplighting.</t>
  </si>
  <si>
    <t xml:space="preserve">These spaces shall also be controlled by; auto-ON or manual-ON occupant sensors, and continuous daylight dimming controls b in spaces with toplighting.
</t>
  </si>
  <si>
    <t>These spaces shall also be controlled by; manual-ON occupant sensors, and continuous daylight dimming controls b in spaces with toplighting.</t>
  </si>
  <si>
    <t>a. All lights in the space shall be controlled.</t>
  </si>
  <si>
    <t>Table 9.3.1-3 Simplified Building Method for School Buildings</t>
  </si>
  <si>
    <t>Gymnasiums and cafeterias</t>
  </si>
  <si>
    <t>All lighting shall be automatically controlled to turn off when the building is either unoccupied or scheduled to be unoccupied. (Exception: Lighting load not exceeding 0.02 W/ft2 multiplied by the gross lighted area of the building shall be permitted to operate at all times.)
Each space shall have a manual control device that allows the occupant to reduce lighting power by a minimum of 50% and to turn the lighting off.</t>
  </si>
  <si>
    <t>These spaces shall also be controlled by occupant sensors</t>
  </si>
  <si>
    <t>Table 9.3.2 Simplified Building Method for Building Exteriors</t>
  </si>
  <si>
    <t>Exterior Area Type</t>
  </si>
  <si>
    <t>Controls c</t>
  </si>
  <si>
    <t>Exterior Lighting Power Allowance a,b</t>
  </si>
  <si>
    <t>Base allowance</t>
  </si>
  <si>
    <t>Stairs and ramps</t>
  </si>
  <si>
    <t>Parking lots and drives</t>
  </si>
  <si>
    <t>All other areas not listed</t>
  </si>
  <si>
    <t>Luminaires shall be turned off or the power reduced
by a minimum of 75% during nonoperating hours.</t>
  </si>
  <si>
    <t>No additional controls required.</t>
  </si>
  <si>
    <t>Luminaires mounted 25 ft or less above grade shall
be controlled to reduce the power by at least 50%
when no activity is detected for not longer than 15
minutes.</t>
  </si>
  <si>
    <t>a. To calculate the exterior allowance, multiply the space or area square footage by the allowed W/ft2 and sum the exterior allowances and the base allowance.</t>
  </si>
  <si>
    <t>Façade lighting shall be calculated separately by multiplying the façade area by the allowed W/ft2. Façade allowance shall not be traded with other exterior areas</t>
  </si>
  <si>
    <t>or between separate façade areas.</t>
  </si>
  <si>
    <t>b. For buildings in Lighting Zone 2, as defined in Table 9.4.2-1, decrease exterior allowances by 20%. For buildings in Lighting Zone 4, as defined in Table 9.4.2-1,</t>
  </si>
  <si>
    <t>increase exterior allowances by 25%.</t>
  </si>
  <si>
    <t>c. All exterior lighting shall be automatically controlled by either a photocell or an astronomical time switch to shut off the lighting when daylight is available.</t>
  </si>
  <si>
    <t>Office spaces less than or equal to 250 ft2</t>
  </si>
  <si>
    <t>storage rooms</t>
  </si>
  <si>
    <r>
      <t>Controls</t>
    </r>
    <r>
      <rPr>
        <b/>
        <sz val="10"/>
        <color rgb="FF0D0D0D"/>
        <rFont val="Arial"/>
        <family val="2"/>
      </rPr>
      <t xml:space="preserve"> (All lights in the </t>
    </r>
    <r>
      <rPr>
        <b/>
        <i/>
        <sz val="10"/>
        <color rgb="FF0D0D0D"/>
        <rFont val="Arial"/>
        <family val="2"/>
      </rPr>
      <t>space</t>
    </r>
    <r>
      <rPr>
        <b/>
        <sz val="10"/>
        <color rgb="FF0D0D0D"/>
        <rFont val="Arial"/>
        <family val="2"/>
      </rPr>
      <t xml:space="preserve"> shall be controlled)</t>
    </r>
  </si>
  <si>
    <t>manual-ON occupant sensors</t>
  </si>
  <si>
    <t>automatic off when building is unoccupied</t>
  </si>
  <si>
    <t>manual-ON or auto-ON occupant sensors</t>
  </si>
  <si>
    <t>classrooms and training rooms</t>
  </si>
  <si>
    <t>conference, meeting, and break rooms</t>
  </si>
  <si>
    <t>Stairwells and corridors</t>
  </si>
  <si>
    <t>Stairwells and corridors in parking garages</t>
  </si>
  <si>
    <t>All other spaces</t>
  </si>
  <si>
    <t>manual control device reducing the lighting power by a minimum of 50% when no activity is detected for not longer than 20 minutes</t>
  </si>
  <si>
    <t>occupant sensor reducing the lighting power by a minimum of 50% when no activity is detected for not longer than 20 minutes</t>
  </si>
  <si>
    <t>controls to reduce ethe general lighting power by 75% during nonbusiness hours</t>
  </si>
  <si>
    <t>Top lighting daylight dimming</t>
  </si>
  <si>
    <t>turn off all lighting other than general lighting during nonbusiness hours</t>
  </si>
  <si>
    <t>Office spaces</t>
  </si>
  <si>
    <t>conference, meeting, training, and break rooms</t>
  </si>
  <si>
    <t>storage rooms and utility spaces</t>
  </si>
  <si>
    <t>Classrooms</t>
  </si>
  <si>
    <t>library and storage rooms</t>
  </si>
  <si>
    <t>power reduced
by a minimum of 75% during nonoperating hours</t>
  </si>
  <si>
    <t>Auto off during daylight hours</t>
  </si>
  <si>
    <t>Luminaires mounted 25 ft or less above grade shall be controlled to reduce the power by at least 50% when no activity is detected for not longer than 15 minutes.</t>
  </si>
  <si>
    <t>Stock, dressing/fitting, locker, and restrooms</t>
  </si>
  <si>
    <t>walkways, plazas</t>
  </si>
  <si>
    <t>Building Type &gt;</t>
  </si>
  <si>
    <t>School</t>
  </si>
  <si>
    <t>Used in calculation</t>
  </si>
  <si>
    <t>Offices greater than 250 ft2</t>
  </si>
  <si>
    <t>9.3 Simplified Method for Interior Lighting</t>
  </si>
  <si>
    <t>W/sf</t>
  </si>
  <si>
    <t>Building Square footage &gt;</t>
  </si>
  <si>
    <t>Parking Garage Square footage &gt;</t>
  </si>
  <si>
    <t>reduce the general lighting by 75% during nonbusiness hours</t>
  </si>
  <si>
    <t>turn off all non-general lighting during non-business hours</t>
  </si>
  <si>
    <t>occupant sensor reduction by at least 50% within 20 minutes</t>
  </si>
  <si>
    <t>manual reduction by at least 50% within 20 minutes</t>
  </si>
  <si>
    <t>Space Type</t>
  </si>
  <si>
    <t>Section 9.3 (only available using 2019 version)</t>
  </si>
  <si>
    <t>Interior Totals</t>
  </si>
  <si>
    <t>Façade lighting</t>
  </si>
  <si>
    <t>Special feature areas</t>
  </si>
  <si>
    <t xml:space="preserve"> W/ft2</t>
  </si>
  <si>
    <t xml:space="preserve"> W/linear foot</t>
  </si>
  <si>
    <t>Entry doors (per linear foot)</t>
  </si>
  <si>
    <t>Area illuminated</t>
  </si>
  <si>
    <t>Per Square Foot (or Linear Foot for doors)</t>
  </si>
  <si>
    <t>Designed Watts</t>
  </si>
  <si>
    <t>Calculated for LZ</t>
  </si>
  <si>
    <t>Base Used</t>
  </si>
  <si>
    <t>Façade</t>
  </si>
  <si>
    <t>Base Wattage Needed</t>
  </si>
  <si>
    <t xml:space="preserve"> &lt; Building Type</t>
  </si>
  <si>
    <t xml:space="preserve"> &lt; Lighting Zone</t>
  </si>
  <si>
    <t xml:space="preserve"> Base Allowance</t>
  </si>
  <si>
    <t>Building</t>
  </si>
  <si>
    <t>Garage</t>
  </si>
  <si>
    <t>Existing Luminaire</t>
  </si>
  <si>
    <t>Qty</t>
  </si>
  <si>
    <t>Total</t>
  </si>
  <si>
    <t>% reduction</t>
  </si>
  <si>
    <t>threshold</t>
  </si>
  <si>
    <t>0=yes, 1=no</t>
  </si>
  <si>
    <t>Alterations selected "Yes" above</t>
  </si>
  <si>
    <t>By using the 9.1.2 Exceptions, step 8 - Space by Space Method must be used. See "SpxSp Compliance Details" for detailed compliance.</t>
  </si>
  <si>
    <t xml:space="preserve">Base (General) Lighting </t>
  </si>
  <si>
    <t>Retail Area (sf)</t>
  </si>
  <si>
    <t>RCR = 2.5 × Room Cavity Height × room perimeter length/room area</t>
  </si>
  <si>
    <t>9.5'</t>
  </si>
  <si>
    <t>2.5'</t>
  </si>
  <si>
    <t>desktop</t>
  </si>
  <si>
    <t>Workplane Height:</t>
  </si>
  <si>
    <t>Luminaires mounted at:</t>
  </si>
  <si>
    <t>Room Cavity Height*:</t>
  </si>
  <si>
    <t>Where:</t>
  </si>
  <si>
    <t>*Room Cavity Height = Luminaire mounting height – Workplane height</t>
  </si>
  <si>
    <t>Room Geometry Adjustment. When using the space by space method, an adjustment of the space LPD is allowed for individual spaces where the Room Cavity Ratio (RCR) calculated for the empty room is documented to be greater than the RCR threshold for that space type shown in Table 9.6.1.
Adjustment is entered in SpxSp (step-a)</t>
  </si>
  <si>
    <t>9.4.1.7.a
Daylight hours  OFF</t>
  </si>
  <si>
    <t>9.4.1.7.b
Façade automatic shutoff</t>
  </si>
  <si>
    <t>9.4.1.7.c
30% reduction</t>
  </si>
  <si>
    <t>Meet control requirements of Section 9.4.1.7 a, c &amp; 9.4.3</t>
  </si>
  <si>
    <t>Meet control requirements of Section 9.4.1.7 a, b &amp; 9.4.3</t>
  </si>
  <si>
    <t>9.4.3
Controlled separately</t>
  </si>
  <si>
    <t>9.4.1.4.b
Façade automatic shutoff</t>
  </si>
  <si>
    <t>9.4.1.4.c
50% reduction</t>
  </si>
  <si>
    <t>9.4.1.4.d
Parking 50% reduction</t>
  </si>
  <si>
    <t>Col</t>
  </si>
  <si>
    <t>Select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</si>
</sst>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
    <numFmt numFmtId="167" formatCode="General&quot; Base&quot;"/>
    <numFmt numFmtId="168" formatCode="0.000"/>
    <numFmt numFmtId="169" formatCode="General&quot; watts&quot;"/>
    <numFmt numFmtId="170" formatCode="#,##0\ &quot;Watts&quot;"/>
    <numFmt numFmtId="171" formatCode="General&quot; W Base&quot;"/>
    <numFmt numFmtId="172" formatCode="#,##0&quot; Watts&quot;"/>
  </numFmts>
  <fonts count="89" x14ac:knownFonts="1">
    <font>
      <sz val="10"/>
      <name val="Arial"/>
    </font>
    <font>
      <sz val="10"/>
      <name val="Arial"/>
      <family val="2"/>
    </font>
    <font>
      <sz val="8"/>
      <color indexed="81"/>
      <name val="Tahoma"/>
      <family val="2"/>
    </font>
    <font>
      <u/>
      <sz val="10"/>
      <color indexed="12"/>
      <name val="Arial"/>
      <family val="2"/>
    </font>
    <font>
      <sz val="8"/>
      <name val="Arial"/>
      <family val="2"/>
    </font>
    <font>
      <b/>
      <sz val="10"/>
      <name val="Arial"/>
      <family val="2"/>
    </font>
    <font>
      <u/>
      <sz val="8"/>
      <name val="Arial"/>
      <family val="2"/>
    </font>
    <font>
      <b/>
      <sz val="8"/>
      <name val="Arial"/>
      <family val="2"/>
    </font>
    <font>
      <b/>
      <u/>
      <sz val="10"/>
      <name val="Arial"/>
      <family val="2"/>
    </font>
    <font>
      <u/>
      <sz val="8"/>
      <color indexed="12"/>
      <name val="Arial"/>
      <family val="2"/>
    </font>
    <font>
      <b/>
      <sz val="10"/>
      <color indexed="9"/>
      <name val="Arial"/>
      <family val="2"/>
    </font>
    <font>
      <b/>
      <u/>
      <sz val="8"/>
      <name val="Arial"/>
      <family val="2"/>
    </font>
    <font>
      <b/>
      <sz val="8"/>
      <color indexed="9"/>
      <name val="Arial"/>
      <family val="2"/>
    </font>
    <font>
      <sz val="9"/>
      <color indexed="81"/>
      <name val="Tahoma"/>
      <family val="2"/>
    </font>
    <font>
      <b/>
      <sz val="9"/>
      <color indexed="81"/>
      <name val="Tahoma"/>
      <family val="2"/>
    </font>
    <font>
      <sz val="8"/>
      <color theme="0"/>
      <name val="Arial"/>
      <family val="2"/>
    </font>
    <font>
      <b/>
      <sz val="12"/>
      <name val="Arial"/>
      <family val="2"/>
    </font>
    <font>
      <i/>
      <u/>
      <sz val="10"/>
      <name val="Arial"/>
      <family val="2"/>
    </font>
    <font>
      <b/>
      <sz val="9"/>
      <name val="Arial"/>
      <family val="2"/>
    </font>
    <font>
      <b/>
      <sz val="11"/>
      <color indexed="9"/>
      <name val="Arial"/>
      <family val="2"/>
    </font>
    <font>
      <sz val="8"/>
      <color theme="0" tint="-0.14999847407452621"/>
      <name val="Arial"/>
      <family val="2"/>
    </font>
    <font>
      <b/>
      <sz val="8"/>
      <color rgb="FFFF0000"/>
      <name val="Arial"/>
      <family val="2"/>
    </font>
    <font>
      <sz val="10"/>
      <color theme="0" tint="-0.249977111117893"/>
      <name val="Arial"/>
      <family val="2"/>
    </font>
    <font>
      <b/>
      <sz val="14"/>
      <name val="Arial"/>
      <family val="2"/>
    </font>
    <font>
      <u/>
      <sz val="14"/>
      <color indexed="12"/>
      <name val="Arial"/>
      <family val="2"/>
    </font>
    <font>
      <sz val="10"/>
      <color rgb="FF000000"/>
      <name val="Arial"/>
      <family val="2"/>
    </font>
    <font>
      <sz val="7"/>
      <color rgb="FF000000"/>
      <name val="Times New Roman"/>
      <family val="1"/>
    </font>
    <font>
      <b/>
      <sz val="10"/>
      <color rgb="FF000000"/>
      <name val="Arial"/>
      <family val="2"/>
    </font>
    <font>
      <b/>
      <sz val="9"/>
      <color rgb="FF000000"/>
      <name val="Times New Roman"/>
      <family val="1"/>
    </font>
    <font>
      <sz val="9"/>
      <color rgb="FF000000"/>
      <name val="Times New Roman"/>
      <family val="1"/>
    </font>
    <font>
      <sz val="8"/>
      <color theme="0" tint="-4.9989318521683403E-2"/>
      <name val="Arial"/>
      <family val="2"/>
    </font>
    <font>
      <i/>
      <sz val="8"/>
      <name val="Arial"/>
      <family val="2"/>
    </font>
    <font>
      <sz val="10"/>
      <color rgb="FFFF0000"/>
      <name val="Arial"/>
      <family val="2"/>
    </font>
    <font>
      <sz val="10"/>
      <color theme="0" tint="-0.14999847407452621"/>
      <name val="Arial"/>
      <family val="2"/>
    </font>
    <font>
      <sz val="10"/>
      <color theme="0"/>
      <name val="Arial"/>
      <family val="2"/>
    </font>
    <font>
      <b/>
      <i/>
      <sz val="10"/>
      <name val="Arial"/>
      <family val="2"/>
    </font>
    <font>
      <sz val="9"/>
      <name val="Arial"/>
      <family val="2"/>
    </font>
    <font>
      <sz val="8"/>
      <color rgb="FF000000"/>
      <name val="Arial"/>
      <family val="2"/>
    </font>
    <font>
      <b/>
      <i/>
      <sz val="8.5"/>
      <color rgb="FF000000"/>
      <name val="Arial"/>
      <family val="2"/>
    </font>
    <font>
      <b/>
      <sz val="8.5"/>
      <color rgb="FF000000"/>
      <name val="Arial"/>
      <family val="2"/>
    </font>
    <font>
      <b/>
      <i/>
      <sz val="8"/>
      <color rgb="FF000000"/>
      <name val="Arial"/>
      <family val="2"/>
    </font>
    <font>
      <b/>
      <sz val="8"/>
      <color rgb="FF000000"/>
      <name val="Arial"/>
      <family val="2"/>
    </font>
    <font>
      <b/>
      <u/>
      <sz val="8"/>
      <color rgb="FF000000"/>
      <name val="Arial"/>
      <family val="2"/>
    </font>
    <font>
      <b/>
      <vertAlign val="superscript"/>
      <sz val="8"/>
      <color rgb="FF000000"/>
      <name val="Arial"/>
      <family val="2"/>
    </font>
    <font>
      <i/>
      <sz val="8"/>
      <color rgb="FF000000"/>
      <name val="Arial"/>
      <family val="2"/>
    </font>
    <font>
      <u/>
      <sz val="8"/>
      <color rgb="FF0000FF"/>
      <name val="Arial"/>
      <family val="2"/>
    </font>
    <font>
      <vertAlign val="superscript"/>
      <sz val="8"/>
      <color rgb="FF000000"/>
      <name val="Arial"/>
      <family val="2"/>
    </font>
    <font>
      <b/>
      <sz val="14"/>
      <color indexed="9"/>
      <name val="Arial"/>
      <family val="2"/>
    </font>
    <font>
      <u/>
      <sz val="9"/>
      <color indexed="12"/>
      <name val="Arial"/>
      <family val="2"/>
    </font>
    <font>
      <sz val="9"/>
      <name val="Symbol"/>
      <family val="1"/>
      <charset val="2"/>
    </font>
    <font>
      <sz val="9"/>
      <color theme="0"/>
      <name val="Arial"/>
      <family val="2"/>
    </font>
    <font>
      <i/>
      <sz val="9"/>
      <name val="Arial"/>
      <family val="2"/>
    </font>
    <font>
      <i/>
      <sz val="10"/>
      <name val="Arial"/>
      <family val="2"/>
    </font>
    <font>
      <sz val="8"/>
      <color rgb="FFFF0000"/>
      <name val="Arial"/>
      <family val="2"/>
    </font>
    <font>
      <sz val="10"/>
      <color theme="0" tint="-4.9989318521683403E-2"/>
      <name val="Arial"/>
      <family val="2"/>
    </font>
    <font>
      <i/>
      <sz val="8"/>
      <color rgb="FF0000FF"/>
      <name val="Arial"/>
      <family val="2"/>
    </font>
    <font>
      <i/>
      <u/>
      <sz val="8"/>
      <color rgb="FF0000FF"/>
      <name val="Arial"/>
      <family val="2"/>
    </font>
    <font>
      <b/>
      <sz val="10"/>
      <color theme="0"/>
      <name val="Arial"/>
      <family val="2"/>
    </font>
    <font>
      <vertAlign val="superscript"/>
      <sz val="10"/>
      <name val="Arial"/>
      <family val="2"/>
    </font>
    <font>
      <b/>
      <sz val="12"/>
      <color theme="8" tint="-0.249977111117893"/>
      <name val="Arial"/>
      <family val="2"/>
    </font>
    <font>
      <b/>
      <sz val="10"/>
      <color theme="8" tint="-0.249977111117893"/>
      <name val="Arial"/>
      <family val="2"/>
    </font>
    <font>
      <sz val="7"/>
      <name val="Arial"/>
      <family val="2"/>
    </font>
    <font>
      <sz val="7"/>
      <color theme="0" tint="-0.14999847407452621"/>
      <name val="Arial"/>
      <family val="2"/>
    </font>
    <font>
      <b/>
      <sz val="9"/>
      <color rgb="FF0000FF"/>
      <name val="Arial"/>
      <family val="2"/>
    </font>
    <font>
      <b/>
      <sz val="10"/>
      <color rgb="FF0000FF"/>
      <name val="Arial"/>
      <family val="2"/>
    </font>
    <font>
      <sz val="10"/>
      <name val="Arial"/>
      <family val="2"/>
    </font>
    <font>
      <u/>
      <sz val="9"/>
      <color rgb="FF0000FF"/>
      <name val="Arial"/>
      <family val="2"/>
    </font>
    <font>
      <b/>
      <sz val="11"/>
      <name val="Arial"/>
      <family val="2"/>
    </font>
    <font>
      <b/>
      <i/>
      <sz val="9"/>
      <name val="Arial"/>
      <family val="2"/>
    </font>
    <font>
      <b/>
      <sz val="10"/>
      <color theme="0" tint="-0.14999847407452621"/>
      <name val="Arial"/>
      <family val="2"/>
    </font>
    <font>
      <u/>
      <sz val="10"/>
      <color theme="0" tint="-0.14999847407452621"/>
      <name val="Arial"/>
      <family val="2"/>
    </font>
    <font>
      <b/>
      <sz val="8"/>
      <color theme="0" tint="-0.14999847407452621"/>
      <name val="Arial"/>
      <family val="2"/>
    </font>
    <font>
      <sz val="10"/>
      <color theme="1"/>
      <name val="Arial"/>
      <family val="2"/>
    </font>
    <font>
      <b/>
      <sz val="9"/>
      <color rgb="FFFF0000"/>
      <name val="Arial"/>
      <family val="2"/>
    </font>
    <font>
      <u/>
      <sz val="10"/>
      <color theme="0" tint="-4.9989318521683403E-2"/>
      <name val="Arial"/>
      <family val="2"/>
    </font>
    <font>
      <b/>
      <i/>
      <sz val="11"/>
      <color theme="0"/>
      <name val="Arial"/>
      <family val="2"/>
    </font>
    <font>
      <b/>
      <sz val="8"/>
      <color theme="0" tint="-4.9989318521683403E-2"/>
      <name val="Arial"/>
      <family val="2"/>
    </font>
    <font>
      <b/>
      <sz val="8"/>
      <color rgb="FF006600"/>
      <name val="Arial"/>
      <family val="2"/>
    </font>
    <font>
      <b/>
      <sz val="10"/>
      <name val="Arial"/>
      <family val="2"/>
    </font>
    <font>
      <sz val="8"/>
      <name val="Arial"/>
      <family val="2"/>
    </font>
    <font>
      <i/>
      <sz val="10"/>
      <color theme="0"/>
      <name val="Arial"/>
      <family val="2"/>
    </font>
    <font>
      <b/>
      <sz val="10"/>
      <color rgb="FF0D0D0D"/>
      <name val="Arial"/>
      <family val="2"/>
    </font>
    <font>
      <b/>
      <i/>
      <sz val="10"/>
      <color rgb="FF0D0D0D"/>
      <name val="Arial"/>
      <family val="2"/>
    </font>
    <font>
      <sz val="9"/>
      <color rgb="FF0D0D0D"/>
      <name val="Arial"/>
      <family val="2"/>
    </font>
    <font>
      <vertAlign val="superscript"/>
      <sz val="10"/>
      <color rgb="FF0D0D0D"/>
      <name val="Arial"/>
      <family val="2"/>
    </font>
    <font>
      <sz val="10"/>
      <color rgb="FF0D0D0D"/>
      <name val="Arial"/>
      <family val="2"/>
    </font>
    <font>
      <sz val="8"/>
      <color rgb="FF0D0D0D"/>
      <name val="Arial"/>
      <family val="2"/>
    </font>
    <font>
      <sz val="10"/>
      <name val="Wingdings"/>
      <charset val="2"/>
    </font>
    <font>
      <b/>
      <sz val="8"/>
      <color rgb="FF0000FF"/>
      <name val="Arial"/>
      <family val="2"/>
    </font>
  </fonts>
  <fills count="33">
    <fill>
      <patternFill patternType="none"/>
    </fill>
    <fill>
      <patternFill patternType="gray125"/>
    </fill>
    <fill>
      <patternFill patternType="solid">
        <fgColor indexed="43"/>
        <bgColor indexed="64"/>
      </patternFill>
    </fill>
    <fill>
      <patternFill patternType="solid">
        <fgColor indexed="21"/>
        <bgColor indexed="64"/>
      </patternFill>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theme="0" tint="-0.14999847407452621"/>
        <bgColor indexed="64"/>
      </patternFill>
    </fill>
    <fill>
      <patternFill patternType="solid">
        <fgColor theme="9" tint="0.59996337778862885"/>
        <bgColor indexed="64"/>
      </patternFill>
    </fill>
    <fill>
      <patternFill patternType="solid">
        <fgColor theme="5" tint="0.59999389629810485"/>
        <bgColor indexed="64"/>
      </patternFill>
    </fill>
    <fill>
      <patternFill patternType="solid">
        <fgColor rgb="FFFFFFCC"/>
        <bgColor indexed="24"/>
      </patternFill>
    </fill>
    <fill>
      <patternFill patternType="solid">
        <fgColor rgb="FFFFFFCC"/>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AEAAAA"/>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CCCC"/>
        <bgColor indexed="64"/>
      </patternFill>
    </fill>
    <fill>
      <patternFill patternType="gray125">
        <bgColor theme="0"/>
      </patternFill>
    </fill>
    <fill>
      <patternFill patternType="solid">
        <fgColor theme="0"/>
        <bgColor indexed="64"/>
      </patternFill>
    </fill>
    <fill>
      <patternFill patternType="solid">
        <fgColor theme="0" tint="-0.249977111117893"/>
        <bgColor indexed="64"/>
      </patternFill>
    </fill>
    <fill>
      <patternFill patternType="solid">
        <fgColor rgb="FFD9D9D9"/>
        <bgColor indexed="64"/>
      </patternFill>
    </fill>
  </fills>
  <borders count="214">
    <border>
      <left/>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n">
        <color indexed="64"/>
      </bottom>
      <diagonal/>
    </border>
    <border>
      <left style="thick">
        <color indexed="53"/>
      </left>
      <right style="thin">
        <color indexed="64"/>
      </right>
      <top/>
      <bottom style="thin">
        <color indexed="64"/>
      </bottom>
      <diagonal/>
    </border>
    <border>
      <left style="thick">
        <color indexed="53"/>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style="thick">
        <color indexed="64"/>
      </bottom>
      <diagonal/>
    </border>
    <border>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top/>
      <bottom/>
      <diagonal/>
    </border>
    <border>
      <left style="thick">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8"/>
      </right>
      <top style="thin">
        <color indexed="64"/>
      </top>
      <bottom style="medium">
        <color indexed="64"/>
      </bottom>
      <diagonal/>
    </border>
    <border>
      <left/>
      <right/>
      <top style="thick">
        <color rgb="FF000000"/>
      </top>
      <bottom style="double">
        <color rgb="FF000000"/>
      </bottom>
      <diagonal/>
    </border>
    <border>
      <left/>
      <right/>
      <top/>
      <bottom style="thick">
        <color rgb="FF000000"/>
      </bottom>
      <diagonal/>
    </border>
    <border>
      <left/>
      <right/>
      <top style="double">
        <color rgb="FF000000"/>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rgb="FFFFFFFF"/>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top/>
      <bottom/>
      <diagonal/>
    </border>
    <border>
      <left/>
      <right style="medium">
        <color rgb="FFFFFFFF"/>
      </right>
      <top/>
      <bottom/>
      <diagonal/>
    </border>
    <border>
      <left style="medium">
        <color rgb="FFFFFFFF"/>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thin">
        <color indexed="64"/>
      </left>
      <right/>
      <top style="medium">
        <color indexed="64"/>
      </top>
      <bottom style="thin">
        <color indexed="8"/>
      </bottom>
      <diagonal/>
    </border>
    <border>
      <left style="medium">
        <color indexed="64"/>
      </left>
      <right style="medium">
        <color indexed="64"/>
      </right>
      <top style="medium">
        <color indexed="64"/>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style="thin">
        <color theme="0" tint="-0.499984740745262"/>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8"/>
      </right>
      <top style="thin">
        <color indexed="64"/>
      </top>
      <bottom style="thin">
        <color indexed="64"/>
      </bottom>
      <diagonal/>
    </border>
    <border>
      <left/>
      <right style="thick">
        <color indexed="64"/>
      </right>
      <top style="thin">
        <color indexed="64"/>
      </top>
      <bottom style="thin">
        <color indexed="64"/>
      </bottom>
      <diagonal/>
    </border>
    <border>
      <left style="thick">
        <color indexed="53"/>
      </left>
      <right style="thin">
        <color indexed="64"/>
      </right>
      <top style="thin">
        <color indexed="64"/>
      </top>
      <bottom/>
      <diagonal/>
    </border>
    <border>
      <left style="thick">
        <color indexed="53"/>
      </left>
      <right/>
      <top style="thin">
        <color indexed="64"/>
      </top>
      <bottom/>
      <diagonal/>
    </border>
    <border>
      <left style="thin">
        <color auto="1"/>
      </left>
      <right style="thin">
        <color auto="1"/>
      </right>
      <top style="thin">
        <color auto="1"/>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bottom style="thin">
        <color auto="1"/>
      </bottom>
      <diagonal/>
    </border>
    <border>
      <left style="thin">
        <color auto="1"/>
      </left>
      <right style="medium">
        <color indexed="64"/>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medium">
        <color indexed="64"/>
      </right>
      <top style="thin">
        <color auto="1"/>
      </top>
      <bottom style="thin">
        <color auto="1"/>
      </bottom>
      <diagonal/>
    </border>
    <border>
      <left style="thin">
        <color indexed="64"/>
      </left>
      <right style="medium">
        <color indexed="64"/>
      </right>
      <top/>
      <bottom style="thin">
        <color indexed="64"/>
      </bottom>
      <diagonal/>
    </border>
    <border>
      <left style="thin">
        <color auto="1"/>
      </left>
      <right style="thick">
        <color indexed="64"/>
      </right>
      <top style="medium">
        <color indexed="64"/>
      </top>
      <bottom style="thin">
        <color auto="1"/>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diagonal/>
    </border>
    <border>
      <left style="thin">
        <color theme="0"/>
      </left>
      <right/>
      <top/>
      <bottom style="thin">
        <color theme="0" tint="-0.499984740745262"/>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tint="-0.499984740745262"/>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double">
        <color indexed="64"/>
      </right>
      <top/>
      <bottom/>
      <diagonal/>
    </border>
    <border>
      <left style="double">
        <color indexed="64"/>
      </left>
      <right style="thin">
        <color auto="1"/>
      </right>
      <top/>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diagonal/>
    </border>
    <border>
      <left/>
      <right style="double">
        <color indexed="64"/>
      </right>
      <top/>
      <bottom/>
      <diagonal/>
    </border>
    <border>
      <left style="thin">
        <color indexed="64"/>
      </left>
      <right style="double">
        <color indexed="64"/>
      </right>
      <top/>
      <bottom/>
      <diagonal/>
    </border>
    <border>
      <left style="thick">
        <color indexed="64"/>
      </left>
      <right style="double">
        <color indexed="64"/>
      </right>
      <top/>
      <bottom/>
      <diagonal/>
    </border>
    <border>
      <left/>
      <right/>
      <top style="thin">
        <color indexed="64"/>
      </top>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uble">
        <color indexed="64"/>
      </right>
      <top style="medium">
        <color indexed="64"/>
      </top>
      <bottom/>
      <diagonal/>
    </border>
    <border>
      <left style="thick">
        <color indexed="64"/>
      </left>
      <right style="double">
        <color indexed="64"/>
      </right>
      <top style="medium">
        <color indexed="64"/>
      </top>
      <bottom/>
      <diagonal/>
    </border>
    <border>
      <left style="medium">
        <color indexed="64"/>
      </left>
      <right style="double">
        <color indexed="64"/>
      </right>
      <top/>
      <bottom/>
      <diagonal/>
    </border>
    <border>
      <left/>
      <right style="medium">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8"/>
      </right>
      <top/>
      <bottom style="thin">
        <color indexed="64"/>
      </bottom>
      <diagonal/>
    </border>
    <border>
      <left style="thin">
        <color auto="1"/>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8"/>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9" fontId="65" fillId="0" borderId="0" applyFont="0" applyFill="0" applyBorder="0" applyAlignment="0" applyProtection="0"/>
  </cellStyleXfs>
  <cellXfs count="1881">
    <xf numFmtId="0" fontId="0" fillId="0" borderId="0" xfId="0"/>
    <xf numFmtId="0" fontId="0" fillId="0" borderId="0" xfId="0" applyAlignment="1">
      <alignment horizontal="right"/>
    </xf>
    <xf numFmtId="0" fontId="0" fillId="0" borderId="0" xfId="0" applyAlignment="1">
      <alignment horizontal="center"/>
    </xf>
    <xf numFmtId="0" fontId="0" fillId="0" borderId="0" xfId="0" quotePrefix="1" applyAlignment="1">
      <alignment horizontal="center"/>
    </xf>
    <xf numFmtId="0" fontId="0" fillId="0" borderId="0" xfId="0" applyAlignment="1">
      <alignment horizontal="left"/>
    </xf>
    <xf numFmtId="0" fontId="4" fillId="0" borderId="0" xfId="0" applyFont="1" applyAlignment="1">
      <alignment horizontal="center"/>
    </xf>
    <xf numFmtId="0" fontId="4" fillId="0" borderId="0" xfId="0" applyFont="1" applyAlignment="1">
      <alignment horizontal="center" wrapText="1"/>
    </xf>
    <xf numFmtId="0" fontId="0" fillId="0" borderId="0" xfId="0" applyBorder="1"/>
    <xf numFmtId="0" fontId="0" fillId="0" borderId="0" xfId="0" applyBorder="1" applyAlignment="1">
      <alignment vertical="center"/>
    </xf>
    <xf numFmtId="0" fontId="0" fillId="0" borderId="0" xfId="0" applyFill="1" applyBorder="1" applyAlignment="1">
      <alignment horizontal="left" vertical="center"/>
    </xf>
    <xf numFmtId="165" fontId="0" fillId="0" borderId="0" xfId="0" applyNumberForma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left"/>
    </xf>
    <xf numFmtId="0" fontId="0" fillId="0" borderId="0" xfId="0" applyFill="1" applyBorder="1" applyAlignment="1">
      <alignment horizontal="center"/>
    </xf>
    <xf numFmtId="0" fontId="0" fillId="0" borderId="0" xfId="0" applyFill="1" applyBorder="1"/>
    <xf numFmtId="0" fontId="0" fillId="0" borderId="0" xfId="0" applyAlignment="1">
      <alignment vertical="top" wrapText="1"/>
    </xf>
    <xf numFmtId="0" fontId="0" fillId="0" borderId="4" xfId="0" applyFill="1" applyBorder="1"/>
    <xf numFmtId="2" fontId="0" fillId="0" borderId="5" xfId="0" applyNumberFormat="1" applyBorder="1" applyAlignment="1">
      <alignment horizontal="center"/>
    </xf>
    <xf numFmtId="0" fontId="0" fillId="0" borderId="2" xfId="0" applyFill="1" applyBorder="1"/>
    <xf numFmtId="0" fontId="0" fillId="0" borderId="1" xfId="0" applyFill="1" applyBorder="1" applyAlignment="1">
      <alignment horizontal="center"/>
    </xf>
    <xf numFmtId="0" fontId="0" fillId="0" borderId="6" xfId="0" applyFill="1" applyBorder="1" applyAlignment="1">
      <alignment horizontal="center"/>
    </xf>
    <xf numFmtId="1" fontId="0" fillId="0" borderId="6" xfId="0" applyNumberFormat="1" applyFill="1" applyBorder="1" applyAlignment="1">
      <alignment horizontal="center"/>
    </xf>
    <xf numFmtId="0" fontId="0" fillId="0" borderId="1" xfId="0" applyFill="1" applyBorder="1" applyAlignment="1"/>
    <xf numFmtId="0" fontId="0" fillId="0" borderId="0" xfId="0" applyFill="1" applyBorder="1" applyAlignment="1"/>
    <xf numFmtId="0" fontId="0" fillId="0" borderId="5" xfId="0" applyFill="1" applyBorder="1" applyAlignment="1"/>
    <xf numFmtId="0" fontId="0" fillId="0" borderId="7" xfId="0" applyFill="1" applyBorder="1" applyAlignment="1">
      <alignment horizontal="center" vertical="center"/>
    </xf>
    <xf numFmtId="0" fontId="0" fillId="0" borderId="8" xfId="0" applyFill="1" applyBorder="1" applyAlignment="1">
      <alignment horizontal="center" vertical="center"/>
    </xf>
    <xf numFmtId="2" fontId="0" fillId="0" borderId="6" xfId="0" applyNumberFormat="1" applyFill="1" applyBorder="1" applyAlignment="1">
      <alignment horizontal="center"/>
    </xf>
    <xf numFmtId="2" fontId="0" fillId="0" borderId="9" xfId="0" applyNumberFormat="1"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center"/>
    </xf>
    <xf numFmtId="1" fontId="0" fillId="0" borderId="11" xfId="0" applyNumberFormat="1" applyFill="1" applyBorder="1" applyAlignment="1">
      <alignment horizontal="center"/>
    </xf>
    <xf numFmtId="1" fontId="0" fillId="0" borderId="13" xfId="0" applyNumberFormat="1" applyFill="1" applyBorder="1" applyAlignment="1">
      <alignment horizontal="center"/>
    </xf>
    <xf numFmtId="2" fontId="0" fillId="0" borderId="0" xfId="0" applyNumberFormat="1" applyFill="1" applyBorder="1" applyAlignment="1">
      <alignment horizontal="center"/>
    </xf>
    <xf numFmtId="0" fontId="1" fillId="0" borderId="0" xfId="0" applyFont="1" applyAlignment="1">
      <alignment horizontal="center"/>
    </xf>
    <xf numFmtId="0" fontId="4" fillId="0" borderId="2" xfId="0" applyFont="1" applyBorder="1" applyAlignment="1">
      <alignment horizontal="center"/>
    </xf>
    <xf numFmtId="0" fontId="1" fillId="0" borderId="11" xfId="0" applyFont="1" applyBorder="1" applyAlignment="1">
      <alignment horizontal="center"/>
    </xf>
    <xf numFmtId="0" fontId="4" fillId="0" borderId="3" xfId="0" applyFont="1" applyBorder="1" applyAlignment="1">
      <alignment horizontal="center"/>
    </xf>
    <xf numFmtId="0" fontId="4" fillId="0" borderId="5" xfId="0" applyFont="1" applyBorder="1" applyAlignment="1">
      <alignment horizontal="center" wrapText="1"/>
    </xf>
    <xf numFmtId="0" fontId="1" fillId="0" borderId="5" xfId="0" applyFont="1" applyBorder="1" applyAlignment="1">
      <alignment horizontal="center"/>
    </xf>
    <xf numFmtId="0" fontId="1" fillId="0" borderId="13" xfId="0" applyFont="1" applyBorder="1" applyAlignment="1">
      <alignment horizontal="center"/>
    </xf>
    <xf numFmtId="0" fontId="0" fillId="0" borderId="0" xfId="0" applyProtection="1"/>
    <xf numFmtId="0" fontId="4" fillId="0" borderId="0" xfId="0" applyFont="1" applyProtection="1"/>
    <xf numFmtId="0" fontId="0" fillId="0" borderId="0" xfId="0" applyAlignment="1" applyProtection="1">
      <alignment horizontal="center"/>
    </xf>
    <xf numFmtId="3" fontId="5" fillId="0" borderId="0" xfId="0" applyNumberFormat="1" applyFont="1" applyBorder="1" applyAlignment="1" applyProtection="1">
      <alignment horizontal="center"/>
    </xf>
    <xf numFmtId="0" fontId="4" fillId="0" borderId="0" xfId="0" applyFont="1" applyAlignment="1" applyProtection="1">
      <alignment horizontal="center" wrapText="1"/>
    </xf>
    <xf numFmtId="0" fontId="5" fillId="0" borderId="0" xfId="0" applyFont="1" applyAlignment="1" applyProtection="1">
      <alignment horizontal="right"/>
    </xf>
    <xf numFmtId="0" fontId="0" fillId="0" borderId="0" xfId="0" applyAlignment="1" applyProtection="1">
      <alignment horizontal="center" vertical="top" wrapText="1"/>
    </xf>
    <xf numFmtId="0" fontId="7" fillId="0" borderId="0" xfId="0" applyFont="1" applyAlignment="1" applyProtection="1">
      <alignment horizontal="right"/>
    </xf>
    <xf numFmtId="0" fontId="5" fillId="0" borderId="0" xfId="0" applyFont="1" applyProtection="1"/>
    <xf numFmtId="0" fontId="0" fillId="0" borderId="0" xfId="0" applyAlignment="1">
      <alignment wrapText="1"/>
    </xf>
    <xf numFmtId="0" fontId="0" fillId="0" borderId="15" xfId="0" applyBorder="1" applyAlignment="1">
      <alignment horizontal="left"/>
    </xf>
    <xf numFmtId="0" fontId="0" fillId="0" borderId="16" xfId="0" applyBorder="1" applyAlignment="1">
      <alignment horizontal="center"/>
    </xf>
    <xf numFmtId="0" fontId="0" fillId="0" borderId="17" xfId="0" applyBorder="1" applyAlignment="1">
      <alignment horizontal="center"/>
    </xf>
    <xf numFmtId="0" fontId="0" fillId="0" borderId="2" xfId="0" applyBorder="1" applyAlignment="1">
      <alignment horizontal="left"/>
    </xf>
    <xf numFmtId="0" fontId="0" fillId="0" borderId="11" xfId="0" applyBorder="1" applyAlignment="1">
      <alignment horizontal="center"/>
    </xf>
    <xf numFmtId="0" fontId="0" fillId="0" borderId="5" xfId="0" applyBorder="1" applyAlignment="1">
      <alignment horizontal="center"/>
    </xf>
    <xf numFmtId="0" fontId="0" fillId="0" borderId="13" xfId="0" applyBorder="1" applyAlignment="1">
      <alignment horizontal="center"/>
    </xf>
    <xf numFmtId="0" fontId="5" fillId="4" borderId="16" xfId="0" applyFont="1" applyFill="1" applyBorder="1" applyAlignment="1">
      <alignment horizontal="center"/>
    </xf>
    <xf numFmtId="0" fontId="0" fillId="0" borderId="18" xfId="0" applyBorder="1" applyAlignment="1">
      <alignment horizontal="left"/>
    </xf>
    <xf numFmtId="0" fontId="0" fillId="0" borderId="19" xfId="0" applyBorder="1" applyAlignment="1">
      <alignment horizontal="center" wrapText="1"/>
    </xf>
    <xf numFmtId="0" fontId="5" fillId="0" borderId="0" xfId="0" applyFont="1" applyFill="1" applyBorder="1" applyAlignment="1" applyProtection="1">
      <alignment horizontal="left"/>
    </xf>
    <xf numFmtId="0" fontId="0" fillId="0" borderId="0" xfId="0" applyBorder="1" applyProtection="1"/>
    <xf numFmtId="0" fontId="8" fillId="0" borderId="0" xfId="0" applyFont="1" applyFill="1" applyBorder="1" applyAlignment="1" applyProtection="1">
      <alignment horizontal="right"/>
    </xf>
    <xf numFmtId="0" fontId="0" fillId="0" borderId="0" xfId="0" applyProtection="1">
      <protection locked="0"/>
    </xf>
    <xf numFmtId="0" fontId="4" fillId="0" borderId="0" xfId="0" applyFont="1" applyProtection="1">
      <protection locked="0"/>
    </xf>
    <xf numFmtId="0" fontId="4" fillId="0" borderId="0" xfId="1" applyFont="1" applyFill="1" applyBorder="1" applyAlignment="1" applyProtection="1">
      <alignment horizontal="right"/>
    </xf>
    <xf numFmtId="0" fontId="4" fillId="0" borderId="0" xfId="0" quotePrefix="1" applyFont="1" applyProtection="1"/>
    <xf numFmtId="0" fontId="4" fillId="12" borderId="32" xfId="0" applyFont="1" applyFill="1" applyBorder="1" applyAlignment="1" applyProtection="1">
      <alignment horizontal="center"/>
      <protection locked="0"/>
    </xf>
    <xf numFmtId="0" fontId="1" fillId="0" borderId="0" xfId="0" applyFont="1"/>
    <xf numFmtId="0" fontId="0" fillId="0" borderId="0" xfId="0" applyFont="1" applyFill="1" applyBorder="1"/>
    <xf numFmtId="0" fontId="1" fillId="0" borderId="0" xfId="0" applyFont="1" applyFill="1" applyBorder="1"/>
    <xf numFmtId="0" fontId="0" fillId="0" borderId="0" xfId="0" applyFill="1" applyBorder="1" applyProtection="1"/>
    <xf numFmtId="0" fontId="3" fillId="0" borderId="0" xfId="1" applyAlignment="1" applyProtection="1"/>
    <xf numFmtId="0" fontId="7" fillId="0" borderId="0" xfId="0" applyFont="1" applyAlignment="1" applyProtection="1">
      <alignment horizontal="center" wrapText="1"/>
    </xf>
    <xf numFmtId="0" fontId="5" fillId="0" borderId="0" xfId="0" applyFont="1" applyAlignment="1" applyProtection="1">
      <alignment horizontal="center" vertical="top" wrapText="1"/>
    </xf>
    <xf numFmtId="0" fontId="4" fillId="12" borderId="34" xfId="0" applyFont="1" applyFill="1" applyBorder="1" applyAlignment="1" applyProtection="1">
      <alignment horizontal="center"/>
      <protection locked="0"/>
    </xf>
    <xf numFmtId="0" fontId="4" fillId="0" borderId="0" xfId="0" applyFont="1" applyAlignment="1" applyProtection="1"/>
    <xf numFmtId="0" fontId="15" fillId="0" borderId="0" xfId="0" applyFont="1" applyAlignment="1" applyProtection="1">
      <alignment horizontal="center"/>
    </xf>
    <xf numFmtId="0" fontId="4" fillId="0" borderId="36" xfId="0" applyFont="1" applyFill="1" applyBorder="1" applyAlignment="1" applyProtection="1">
      <alignment horizontal="center"/>
    </xf>
    <xf numFmtId="0" fontId="0" fillId="0" borderId="0" xfId="0" applyAlignment="1">
      <alignment horizontal="center"/>
    </xf>
    <xf numFmtId="0" fontId="3" fillId="0" borderId="0" xfId="1" quotePrefix="1" applyAlignment="1" applyProtection="1"/>
    <xf numFmtId="0" fontId="1" fillId="0" borderId="0" xfId="0" applyFont="1" applyAlignment="1">
      <alignment horizontal="left"/>
    </xf>
    <xf numFmtId="0" fontId="5" fillId="0" borderId="0" xfId="0" applyFont="1" applyFill="1" applyBorder="1" applyAlignment="1" applyProtection="1">
      <alignment horizontal="right" indent="1"/>
    </xf>
    <xf numFmtId="0" fontId="4" fillId="4" borderId="39" xfId="0" applyFont="1" applyFill="1" applyBorder="1" applyAlignment="1" applyProtection="1">
      <alignment horizontal="center" wrapText="1"/>
    </xf>
    <xf numFmtId="0" fontId="1" fillId="0" borderId="2" xfId="0" applyFont="1" applyBorder="1" applyAlignment="1">
      <alignment horizontal="left"/>
    </xf>
    <xf numFmtId="0" fontId="1" fillId="0" borderId="2" xfId="0" applyFont="1" applyBorder="1" applyAlignment="1">
      <alignment horizontal="left" wrapText="1"/>
    </xf>
    <xf numFmtId="0" fontId="1" fillId="0" borderId="3" xfId="0" applyFont="1" applyBorder="1" applyAlignment="1">
      <alignment horizontal="left" wrapText="1"/>
    </xf>
    <xf numFmtId="0" fontId="5" fillId="0" borderId="0" xfId="0" applyFont="1" applyFill="1" applyBorder="1" applyAlignment="1" applyProtection="1"/>
    <xf numFmtId="0" fontId="0" fillId="0" borderId="0" xfId="0" applyFill="1" applyBorder="1" applyAlignment="1" applyProtection="1"/>
    <xf numFmtId="0" fontId="5" fillId="0" borderId="0" xfId="0" applyFont="1" applyBorder="1" applyAlignment="1" applyProtection="1"/>
    <xf numFmtId="0" fontId="3" fillId="0" borderId="0" xfId="1" quotePrefix="1" applyAlignment="1" applyProtection="1">
      <alignment horizontal="center"/>
    </xf>
    <xf numFmtId="0" fontId="0" fillId="0" borderId="0" xfId="0" applyAlignment="1" applyProtection="1">
      <alignment horizontal="right"/>
    </xf>
    <xf numFmtId="0" fontId="5" fillId="0" borderId="0" xfId="0" applyFont="1" applyAlignment="1" applyProtection="1"/>
    <xf numFmtId="0" fontId="1" fillId="0" borderId="0" xfId="0" applyFont="1" applyProtection="1"/>
    <xf numFmtId="0" fontId="0" fillId="0" borderId="0" xfId="0" applyAlignment="1" applyProtection="1">
      <alignment horizontal="right" indent="1"/>
    </xf>
    <xf numFmtId="0" fontId="19" fillId="0" borderId="0" xfId="0" applyFont="1" applyFill="1" applyBorder="1" applyAlignment="1" applyProtection="1">
      <alignment vertical="center" wrapText="1"/>
    </xf>
    <xf numFmtId="0" fontId="0" fillId="0" borderId="0" xfId="0" applyFill="1" applyAlignment="1" applyProtection="1"/>
    <xf numFmtId="0" fontId="0" fillId="0" borderId="0" xfId="0" applyAlignment="1" applyProtection="1">
      <alignment horizontal="left"/>
    </xf>
    <xf numFmtId="0" fontId="5" fillId="0" borderId="0" xfId="0" applyFont="1" applyFill="1" applyBorder="1" applyAlignment="1" applyProtection="1">
      <alignment vertical="top" wrapText="1"/>
    </xf>
    <xf numFmtId="0" fontId="0" fillId="0" borderId="0" xfId="0" applyAlignment="1" applyProtection="1"/>
    <xf numFmtId="0" fontId="28" fillId="0" borderId="67" xfId="0" applyFont="1" applyBorder="1" applyAlignment="1">
      <alignment horizontal="center" vertical="center" wrapText="1"/>
    </xf>
    <xf numFmtId="0" fontId="29" fillId="0" borderId="68" xfId="0" applyFont="1" applyBorder="1" applyAlignment="1">
      <alignment horizontal="center" vertical="center" wrapText="1"/>
    </xf>
    <xf numFmtId="0" fontId="5" fillId="4" borderId="40" xfId="0" applyFont="1" applyFill="1" applyBorder="1" applyAlignment="1">
      <alignment horizontal="center"/>
    </xf>
    <xf numFmtId="0" fontId="0" fillId="0" borderId="39" xfId="0" applyBorder="1" applyAlignment="1">
      <alignment horizontal="center"/>
    </xf>
    <xf numFmtId="0" fontId="0" fillId="0" borderId="33" xfId="0" applyBorder="1" applyAlignment="1">
      <alignment horizontal="center"/>
    </xf>
    <xf numFmtId="0" fontId="0" fillId="0" borderId="35" xfId="0" applyBorder="1" applyAlignment="1">
      <alignment horizontal="center"/>
    </xf>
    <xf numFmtId="0" fontId="27" fillId="0" borderId="38"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34" xfId="0" applyFont="1" applyBorder="1" applyAlignment="1">
      <alignment horizontal="center" vertical="center" wrapText="1"/>
    </xf>
    <xf numFmtId="0" fontId="1" fillId="0" borderId="0" xfId="0" applyFont="1" applyBorder="1" applyAlignment="1"/>
    <xf numFmtId="0" fontId="0" fillId="0" borderId="26" xfId="0" applyFill="1" applyBorder="1" applyAlignment="1">
      <alignment horizontal="center"/>
    </xf>
    <xf numFmtId="0" fontId="1" fillId="0" borderId="33" xfId="0" applyFont="1" applyBorder="1" applyAlignment="1">
      <alignment horizontal="center"/>
    </xf>
    <xf numFmtId="0" fontId="1" fillId="0" borderId="36" xfId="0" applyFont="1" applyBorder="1" applyAlignment="1">
      <alignment horizontal="center"/>
    </xf>
    <xf numFmtId="0" fontId="20" fillId="0" borderId="0" xfId="0" applyFont="1" applyBorder="1" applyAlignment="1" applyProtection="1">
      <alignment horizontal="center"/>
    </xf>
    <xf numFmtId="0" fontId="4" fillId="0" borderId="0" xfId="0" applyFont="1" applyAlignment="1" applyProtection="1">
      <alignment horizontal="right"/>
    </xf>
    <xf numFmtId="0" fontId="10" fillId="0" borderId="0" xfId="0" applyFont="1" applyFill="1" applyAlignment="1" applyProtection="1"/>
    <xf numFmtId="0" fontId="0" fillId="0" borderId="0" xfId="0" applyFill="1" applyProtection="1"/>
    <xf numFmtId="0" fontId="7" fillId="0" borderId="14" xfId="0" applyFont="1" applyFill="1" applyBorder="1" applyAlignment="1" applyProtection="1"/>
    <xf numFmtId="0" fontId="0" fillId="8" borderId="14" xfId="0" applyFill="1" applyBorder="1" applyProtection="1"/>
    <xf numFmtId="0" fontId="4" fillId="0" borderId="0" xfId="0" applyFont="1" applyFill="1" applyBorder="1" applyAlignment="1" applyProtection="1">
      <alignment horizontal="center"/>
    </xf>
    <xf numFmtId="0" fontId="4" fillId="0" borderId="0" xfId="0" applyFont="1" applyFill="1" applyBorder="1" applyAlignment="1" applyProtection="1">
      <alignment horizontal="right"/>
    </xf>
    <xf numFmtId="0" fontId="4" fillId="0" borderId="0" xfId="0" applyFont="1" applyFill="1" applyBorder="1" applyAlignment="1" applyProtection="1"/>
    <xf numFmtId="0" fontId="4" fillId="12" borderId="33" xfId="0" applyFont="1" applyFill="1" applyBorder="1" applyAlignment="1" applyProtection="1">
      <alignment horizontal="center"/>
      <protection locked="0"/>
    </xf>
    <xf numFmtId="0" fontId="4" fillId="12" borderId="36" xfId="0" applyFont="1" applyFill="1" applyBorder="1" applyAlignment="1" applyProtection="1">
      <alignment horizontal="center"/>
      <protection locked="0"/>
    </xf>
    <xf numFmtId="0" fontId="4" fillId="0" borderId="2" xfId="0" quotePrefix="1" applyFont="1" applyBorder="1" applyAlignment="1">
      <alignment horizontal="center"/>
    </xf>
    <xf numFmtId="0" fontId="34" fillId="0" borderId="0" xfId="0" applyFont="1" applyProtection="1"/>
    <xf numFmtId="0" fontId="4" fillId="0" borderId="0" xfId="0" applyFont="1" applyFill="1" applyBorder="1" applyAlignment="1" applyProtection="1">
      <alignment wrapText="1"/>
    </xf>
    <xf numFmtId="0" fontId="6" fillId="0" borderId="0" xfId="0" applyFont="1" applyProtection="1"/>
    <xf numFmtId="0" fontId="7" fillId="0" borderId="0" xfId="0" applyFont="1" applyFill="1" applyBorder="1" applyProtection="1"/>
    <xf numFmtId="0" fontId="7" fillId="0" borderId="0" xfId="0" applyFont="1" applyFill="1" applyBorder="1" applyAlignment="1" applyProtection="1">
      <alignment horizontal="center"/>
    </xf>
    <xf numFmtId="0" fontId="11" fillId="0" borderId="0" xfId="0" applyFont="1" applyProtection="1"/>
    <xf numFmtId="0" fontId="16" fillId="0" borderId="0" xfId="0" applyFont="1" applyAlignment="1" applyProtection="1"/>
    <xf numFmtId="0" fontId="4" fillId="0" borderId="0" xfId="0" applyFont="1" applyBorder="1" applyAlignment="1" applyProtection="1">
      <alignment horizontal="center"/>
    </xf>
    <xf numFmtId="168" fontId="4" fillId="0" borderId="0" xfId="0" applyNumberFormat="1" applyFont="1" applyAlignment="1" applyProtection="1">
      <alignment horizontal="center"/>
    </xf>
    <xf numFmtId="0" fontId="4" fillId="0" borderId="0" xfId="0" applyFont="1" applyFill="1" applyBorder="1" applyAlignment="1" applyProtection="1">
      <alignment vertical="top" wrapText="1"/>
    </xf>
    <xf numFmtId="0" fontId="1" fillId="0" borderId="0" xfId="0" applyFont="1" applyAlignment="1" applyProtection="1">
      <alignment vertical="top" wrapText="1"/>
    </xf>
    <xf numFmtId="0" fontId="1" fillId="0" borderId="0" xfId="0" applyFont="1" applyAlignment="1" applyProtection="1"/>
    <xf numFmtId="0" fontId="24" fillId="0" borderId="0" xfId="1" applyFont="1" applyAlignment="1" applyProtection="1">
      <alignment horizontal="center" vertical="center"/>
    </xf>
    <xf numFmtId="0" fontId="0" fillId="8" borderId="0" xfId="0" applyFill="1" applyBorder="1" applyProtection="1"/>
    <xf numFmtId="0" fontId="1" fillId="0" borderId="4" xfId="0" applyFont="1" applyFill="1" applyBorder="1"/>
    <xf numFmtId="0" fontId="3" fillId="0" borderId="0" xfId="1" applyFill="1" applyBorder="1" applyAlignment="1" applyProtection="1">
      <alignment horizontal="left"/>
    </xf>
    <xf numFmtId="0" fontId="10" fillId="0" borderId="0" xfId="0" applyFont="1" applyFill="1" applyBorder="1" applyAlignment="1" applyProtection="1"/>
    <xf numFmtId="0" fontId="23" fillId="0" borderId="0" xfId="1" applyFont="1" applyAlignment="1" applyProtection="1">
      <alignment vertical="center"/>
    </xf>
    <xf numFmtId="0" fontId="23" fillId="0" borderId="0" xfId="0" applyFont="1" applyAlignment="1" applyProtection="1">
      <alignment vertical="center"/>
    </xf>
    <xf numFmtId="0" fontId="17" fillId="0" borderId="0" xfId="0" applyFont="1" applyFill="1" applyBorder="1" applyAlignment="1" applyProtection="1"/>
    <xf numFmtId="0" fontId="36" fillId="0" borderId="0" xfId="0" applyFont="1" applyFill="1" applyBorder="1" applyAlignment="1" applyProtection="1">
      <alignment vertical="top" wrapText="1"/>
    </xf>
    <xf numFmtId="0" fontId="1" fillId="0" borderId="0" xfId="2"/>
    <xf numFmtId="0" fontId="37" fillId="0" borderId="0" xfId="2" applyFont="1" applyFill="1" applyBorder="1" applyAlignment="1">
      <alignment horizontal="center" vertical="center" wrapText="1"/>
    </xf>
    <xf numFmtId="0" fontId="4" fillId="16" borderId="80" xfId="2" applyFont="1" applyFill="1" applyBorder="1" applyAlignment="1">
      <alignment wrapText="1"/>
    </xf>
    <xf numFmtId="0" fontId="1" fillId="0" borderId="0" xfId="2" applyBorder="1"/>
    <xf numFmtId="0" fontId="40" fillId="16" borderId="78" xfId="2" applyFont="1" applyFill="1" applyBorder="1" applyAlignment="1">
      <alignment horizontal="center" vertical="center" wrapText="1"/>
    </xf>
    <xf numFmtId="0" fontId="41" fillId="16" borderId="78" xfId="2" applyFont="1" applyFill="1" applyBorder="1" applyAlignment="1">
      <alignment horizontal="center" vertical="center" wrapText="1"/>
    </xf>
    <xf numFmtId="0" fontId="37" fillId="0" borderId="0" xfId="2" applyFont="1" applyFill="1" applyBorder="1" applyAlignment="1">
      <alignment vertical="center" wrapText="1"/>
    </xf>
    <xf numFmtId="0" fontId="37" fillId="0" borderId="0" xfId="2" quotePrefix="1" applyFont="1" applyFill="1" applyBorder="1" applyAlignment="1">
      <alignment horizontal="center" vertical="center" wrapText="1"/>
    </xf>
    <xf numFmtId="0" fontId="4" fillId="0" borderId="0" xfId="2" applyFont="1"/>
    <xf numFmtId="0" fontId="37" fillId="0" borderId="0" xfId="2" applyFont="1" applyBorder="1" applyAlignment="1">
      <alignment vertical="center" wrapText="1"/>
    </xf>
    <xf numFmtId="0" fontId="37" fillId="0" borderId="0" xfId="2" applyFont="1" applyBorder="1" applyAlignment="1">
      <alignment horizontal="center" vertical="center" wrapText="1"/>
    </xf>
    <xf numFmtId="0" fontId="4" fillId="0" borderId="0" xfId="2" applyFont="1" applyFill="1" applyBorder="1"/>
    <xf numFmtId="0" fontId="4" fillId="0" borderId="0" xfId="2" applyFont="1" applyFill="1" applyBorder="1" applyAlignment="1"/>
    <xf numFmtId="0" fontId="4" fillId="0" borderId="0" xfId="2" applyFont="1" applyBorder="1" applyAlignment="1"/>
    <xf numFmtId="0" fontId="37" fillId="0" borderId="0" xfId="2" quotePrefix="1" applyFont="1" applyBorder="1" applyAlignment="1">
      <alignment horizontal="center" vertical="center" wrapText="1"/>
    </xf>
    <xf numFmtId="0" fontId="4" fillId="0" borderId="0" xfId="2" applyFont="1" applyBorder="1"/>
    <xf numFmtId="0" fontId="5" fillId="0" borderId="0" xfId="2" applyFont="1" applyAlignment="1">
      <alignment horizontal="left"/>
    </xf>
    <xf numFmtId="0" fontId="5" fillId="0" borderId="0" xfId="2" applyFont="1"/>
    <xf numFmtId="3" fontId="4" fillId="0" borderId="33" xfId="0" applyNumberFormat="1" applyFont="1" applyBorder="1" applyAlignment="1" applyProtection="1">
      <alignment horizontal="center"/>
    </xf>
    <xf numFmtId="166" fontId="4" fillId="0" borderId="0" xfId="0" applyNumberFormat="1" applyFont="1" applyFill="1" applyBorder="1" applyAlignment="1" applyProtection="1">
      <alignment horizontal="center"/>
    </xf>
    <xf numFmtId="0" fontId="5" fillId="0" borderId="0" xfId="0" applyFont="1" applyBorder="1" applyAlignment="1" applyProtection="1">
      <alignment horizontal="right"/>
    </xf>
    <xf numFmtId="166" fontId="4" fillId="0" borderId="32" xfId="0" applyNumberFormat="1" applyFont="1" applyFill="1" applyBorder="1" applyAlignment="1" applyProtection="1">
      <alignment horizontal="center"/>
    </xf>
    <xf numFmtId="166" fontId="4" fillId="0" borderId="34" xfId="0" applyNumberFormat="1" applyFont="1" applyFill="1" applyBorder="1" applyAlignment="1" applyProtection="1">
      <alignment horizontal="center"/>
    </xf>
    <xf numFmtId="0" fontId="4" fillId="4" borderId="38" xfId="0" applyFont="1" applyFill="1" applyBorder="1" applyAlignment="1" applyProtection="1">
      <alignment horizontal="center" wrapText="1"/>
    </xf>
    <xf numFmtId="0" fontId="4" fillId="4" borderId="84" xfId="0" quotePrefix="1" applyFont="1" applyFill="1" applyBorder="1" applyAlignment="1" applyProtection="1">
      <alignment wrapText="1"/>
    </xf>
    <xf numFmtId="0" fontId="4" fillId="4" borderId="57" xfId="0" applyFont="1" applyFill="1" applyBorder="1" applyAlignment="1" applyProtection="1">
      <alignment wrapText="1"/>
    </xf>
    <xf numFmtId="0" fontId="1" fillId="0" borderId="0" xfId="1" applyFont="1" applyAlignment="1" applyProtection="1">
      <alignment vertical="center" wrapText="1"/>
    </xf>
    <xf numFmtId="2" fontId="4" fillId="0" borderId="35" xfId="0" applyNumberFormat="1" applyFont="1" applyBorder="1" applyAlignment="1" applyProtection="1">
      <alignment horizontal="center"/>
    </xf>
    <xf numFmtId="0" fontId="7" fillId="0" borderId="0" xfId="0" applyFont="1" applyFill="1" applyBorder="1" applyAlignment="1" applyProtection="1">
      <alignment vertical="center" wrapText="1"/>
    </xf>
    <xf numFmtId="0" fontId="24" fillId="0" borderId="0" xfId="1" applyFont="1" applyFill="1" applyBorder="1" applyAlignment="1" applyProtection="1">
      <alignment horizontal="center" vertical="center"/>
    </xf>
    <xf numFmtId="0" fontId="4" fillId="0" borderId="0" xfId="0" applyFont="1"/>
    <xf numFmtId="164" fontId="7" fillId="0" borderId="72" xfId="0" applyNumberFormat="1" applyFont="1" applyFill="1" applyBorder="1" applyAlignment="1" applyProtection="1">
      <alignment horizontal="center"/>
    </xf>
    <xf numFmtId="0" fontId="1" fillId="0" borderId="48" xfId="0" applyFont="1" applyBorder="1" applyAlignment="1"/>
    <xf numFmtId="0" fontId="1" fillId="0" borderId="46" xfId="0" applyFont="1" applyBorder="1" applyAlignment="1">
      <alignment wrapText="1"/>
    </xf>
    <xf numFmtId="0" fontId="1" fillId="0" borderId="48" xfId="0" applyFont="1" applyBorder="1" applyAlignment="1">
      <alignment wrapText="1"/>
    </xf>
    <xf numFmtId="0" fontId="1" fillId="0" borderId="48" xfId="0" applyFont="1" applyBorder="1" applyAlignment="1">
      <alignment vertical="top" wrapText="1"/>
    </xf>
    <xf numFmtId="0" fontId="0" fillId="0" borderId="48" xfId="0" applyBorder="1" applyAlignment="1"/>
    <xf numFmtId="0" fontId="0" fillId="0" borderId="30" xfId="0" applyBorder="1" applyAlignment="1"/>
    <xf numFmtId="0" fontId="10" fillId="0" borderId="0" xfId="1" applyFont="1" applyFill="1" applyBorder="1" applyAlignment="1" applyProtection="1">
      <alignment horizontal="center" vertical="center"/>
    </xf>
    <xf numFmtId="0" fontId="10" fillId="0" borderId="0" xfId="1" applyFont="1" applyFill="1" applyBorder="1" applyAlignment="1" applyProtection="1">
      <alignment vertical="center"/>
    </xf>
    <xf numFmtId="0" fontId="8" fillId="0" borderId="0" xfId="0" applyFont="1" applyFill="1" applyBorder="1" applyAlignment="1" applyProtection="1">
      <alignment wrapText="1"/>
    </xf>
    <xf numFmtId="0" fontId="1" fillId="0" borderId="0" xfId="0" applyFont="1" applyBorder="1" applyProtection="1"/>
    <xf numFmtId="0" fontId="20" fillId="0" borderId="0" xfId="0" applyFont="1" applyProtection="1"/>
    <xf numFmtId="0" fontId="36" fillId="0" borderId="0" xfId="0" applyFont="1" applyAlignment="1" applyProtection="1">
      <alignment vertical="top" wrapText="1"/>
    </xf>
    <xf numFmtId="0" fontId="4" fillId="12" borderId="49" xfId="0" applyFont="1" applyFill="1" applyBorder="1" applyAlignment="1" applyProtection="1">
      <alignment horizontal="center"/>
      <protection locked="0"/>
    </xf>
    <xf numFmtId="0" fontId="36" fillId="0" borderId="0" xfId="0" applyFont="1" applyFill="1" applyBorder="1" applyAlignment="1" applyProtection="1">
      <alignment horizontal="center"/>
    </xf>
    <xf numFmtId="0" fontId="36" fillId="0" borderId="0" xfId="0" applyFont="1" applyProtection="1"/>
    <xf numFmtId="0" fontId="50" fillId="0" borderId="0" xfId="0" applyFont="1" applyFill="1" applyBorder="1" applyAlignment="1" applyProtection="1">
      <alignment horizontal="center"/>
    </xf>
    <xf numFmtId="0" fontId="4" fillId="0" borderId="0" xfId="0" applyFont="1" applyFill="1" applyBorder="1" applyAlignment="1" applyProtection="1">
      <alignment horizontal="center" wrapText="1"/>
    </xf>
    <xf numFmtId="0" fontId="4" fillId="0" borderId="22" xfId="0" applyFont="1" applyBorder="1" applyProtection="1"/>
    <xf numFmtId="0" fontId="1" fillId="0" borderId="0" xfId="0" applyFont="1" applyAlignment="1" applyProtection="1">
      <alignment wrapText="1"/>
    </xf>
    <xf numFmtId="0" fontId="0" fillId="8" borderId="0" xfId="0" applyFill="1" applyProtection="1"/>
    <xf numFmtId="0" fontId="24" fillId="0" borderId="0" xfId="1" applyFont="1" applyBorder="1" applyAlignment="1" applyProtection="1">
      <alignment horizontal="center" vertical="center"/>
    </xf>
    <xf numFmtId="0" fontId="5" fillId="8" borderId="86" xfId="0" applyFont="1" applyFill="1" applyBorder="1" applyProtection="1"/>
    <xf numFmtId="0" fontId="0" fillId="0" borderId="87" xfId="0" applyBorder="1" applyProtection="1"/>
    <xf numFmtId="0" fontId="8" fillId="0" borderId="87" xfId="0" applyFont="1" applyFill="1" applyBorder="1" applyAlignment="1" applyProtection="1">
      <alignment wrapText="1"/>
    </xf>
    <xf numFmtId="0" fontId="3" fillId="0" borderId="0" xfId="1" applyBorder="1" applyAlignment="1" applyProtection="1"/>
    <xf numFmtId="0" fontId="3" fillId="8" borderId="0" xfId="1" applyFill="1" applyAlignment="1" applyProtection="1"/>
    <xf numFmtId="0" fontId="4" fillId="8" borderId="0" xfId="0" applyFont="1" applyFill="1" applyProtection="1"/>
    <xf numFmtId="0" fontId="11" fillId="8" borderId="0" xfId="0" applyFont="1" applyFill="1" applyProtection="1"/>
    <xf numFmtId="0" fontId="0" fillId="8" borderId="0" xfId="0" applyFill="1" applyProtection="1">
      <protection locked="0"/>
    </xf>
    <xf numFmtId="0" fontId="0" fillId="0" borderId="88" xfId="0" applyBorder="1" applyProtection="1"/>
    <xf numFmtId="0" fontId="7" fillId="0" borderId="88" xfId="0" applyFont="1" applyBorder="1" applyAlignment="1" applyProtection="1">
      <alignment vertical="center" wrapText="1"/>
      <protection locked="0"/>
    </xf>
    <xf numFmtId="0" fontId="0" fillId="0" borderId="89" xfId="0" applyBorder="1" applyProtection="1"/>
    <xf numFmtId="0" fontId="0" fillId="0" borderId="90" xfId="0" applyBorder="1" applyProtection="1"/>
    <xf numFmtId="0" fontId="4" fillId="0" borderId="0" xfId="0" applyFont="1" applyAlignment="1" applyProtection="1">
      <alignment wrapText="1"/>
    </xf>
    <xf numFmtId="0" fontId="55" fillId="0" borderId="0" xfId="0" applyFont="1" applyAlignment="1" applyProtection="1">
      <alignment horizontal="right"/>
    </xf>
    <xf numFmtId="0" fontId="56" fillId="0" borderId="0" xfId="0" applyFont="1" applyAlignment="1" applyProtection="1">
      <alignment horizontal="center"/>
    </xf>
    <xf numFmtId="0" fontId="0" fillId="0" borderId="0" xfId="0" applyAlignment="1"/>
    <xf numFmtId="0" fontId="33" fillId="0" borderId="0" xfId="1" applyFont="1" applyAlignment="1" applyProtection="1">
      <alignment horizontal="center"/>
    </xf>
    <xf numFmtId="0" fontId="36" fillId="0" borderId="0" xfId="0" applyFont="1" applyFill="1" applyBorder="1" applyAlignment="1">
      <alignment horizontal="center" vertical="center" wrapText="1"/>
    </xf>
    <xf numFmtId="0" fontId="22" fillId="8" borderId="0" xfId="0" applyFont="1" applyFill="1" applyProtection="1"/>
    <xf numFmtId="0" fontId="5" fillId="0" borderId="0" xfId="2" applyFont="1" applyAlignment="1">
      <alignment horizontal="center"/>
    </xf>
    <xf numFmtId="0" fontId="1" fillId="0" borderId="0" xfId="2" applyAlignment="1">
      <alignment horizontal="center"/>
    </xf>
    <xf numFmtId="0" fontId="4" fillId="0" borderId="0" xfId="2" applyFont="1" applyAlignment="1">
      <alignment horizontal="center"/>
    </xf>
    <xf numFmtId="0" fontId="4" fillId="0" borderId="0" xfId="2" quotePrefix="1" applyFont="1" applyAlignment="1">
      <alignment horizontal="center"/>
    </xf>
    <xf numFmtId="0" fontId="5" fillId="0" borderId="0" xfId="0" applyFont="1" applyFill="1" applyAlignment="1" applyProtection="1">
      <alignment horizontal="left" vertical="top" wrapText="1"/>
    </xf>
    <xf numFmtId="0" fontId="25" fillId="0" borderId="35" xfId="0" applyFont="1" applyBorder="1" applyAlignment="1">
      <alignment horizontal="center" vertical="center" wrapText="1"/>
    </xf>
    <xf numFmtId="0" fontId="1" fillId="0" borderId="72" xfId="0" applyFont="1" applyFill="1" applyBorder="1" applyAlignment="1"/>
    <xf numFmtId="1" fontId="4" fillId="0" borderId="35" xfId="0" applyNumberFormat="1" applyFont="1" applyBorder="1" applyAlignment="1" applyProtection="1">
      <alignment horizontal="center"/>
    </xf>
    <xf numFmtId="0" fontId="3" fillId="15" borderId="71" xfId="1" applyFill="1" applyBorder="1" applyAlignment="1" applyProtection="1">
      <alignment vertical="center"/>
    </xf>
    <xf numFmtId="0" fontId="7" fillId="0" borderId="0" xfId="0" applyFont="1" applyAlignment="1" applyProtection="1">
      <alignment horizontal="right" vertical="top" wrapText="1"/>
    </xf>
    <xf numFmtId="3" fontId="7" fillId="0" borderId="22" xfId="0" applyNumberFormat="1" applyFont="1" applyFill="1" applyBorder="1" applyAlignment="1" applyProtection="1">
      <alignment horizontal="center"/>
    </xf>
    <xf numFmtId="3" fontId="4" fillId="0" borderId="0" xfId="0" applyNumberFormat="1" applyFont="1" applyFill="1" applyBorder="1" applyAlignment="1" applyProtection="1">
      <alignment horizontal="center"/>
    </xf>
    <xf numFmtId="0" fontId="4" fillId="0" borderId="0" xfId="0" applyFont="1" applyAlignment="1" applyProtection="1">
      <alignment horizontal="left" wrapText="1"/>
    </xf>
    <xf numFmtId="0" fontId="1" fillId="0" borderId="0" xfId="2" applyAlignment="1">
      <alignment horizontal="left"/>
    </xf>
    <xf numFmtId="0" fontId="4" fillId="12" borderId="91" xfId="0" applyFont="1" applyFill="1" applyBorder="1" applyAlignment="1" applyProtection="1">
      <alignment horizontal="center"/>
      <protection locked="0"/>
    </xf>
    <xf numFmtId="0" fontId="4" fillId="12" borderId="92" xfId="0" applyFont="1" applyFill="1" applyBorder="1" applyAlignment="1" applyProtection="1">
      <alignment horizontal="center"/>
      <protection locked="0"/>
    </xf>
    <xf numFmtId="164" fontId="4" fillId="0" borderId="0" xfId="0" applyNumberFormat="1" applyFont="1" applyFill="1" applyBorder="1" applyAlignment="1" applyProtection="1">
      <alignment horizontal="center"/>
    </xf>
    <xf numFmtId="0" fontId="4" fillId="0" borderId="0" xfId="0" applyFont="1" applyFill="1" applyBorder="1" applyProtection="1"/>
    <xf numFmtId="0" fontId="5" fillId="0" borderId="0" xfId="2" applyFont="1" applyAlignment="1">
      <alignment horizontal="center" wrapText="1"/>
    </xf>
    <xf numFmtId="0" fontId="5" fillId="8" borderId="0" xfId="0" applyFont="1" applyFill="1" applyBorder="1" applyAlignment="1" applyProtection="1">
      <alignment horizontal="left"/>
    </xf>
    <xf numFmtId="0" fontId="5" fillId="8" borderId="44" xfId="0" applyFont="1" applyFill="1" applyBorder="1" applyAlignment="1" applyProtection="1">
      <alignment horizontal="center"/>
    </xf>
    <xf numFmtId="0" fontId="55" fillId="0" borderId="0" xfId="1" applyFont="1" applyFill="1" applyBorder="1" applyAlignment="1" applyProtection="1">
      <alignment horizontal="center"/>
    </xf>
    <xf numFmtId="0" fontId="1" fillId="0" borderId="0" xfId="2" applyAlignment="1">
      <alignment wrapText="1"/>
    </xf>
    <xf numFmtId="0" fontId="1" fillId="0" borderId="0" xfId="2" quotePrefix="1" applyFill="1" applyAlignment="1">
      <alignment horizontal="center"/>
    </xf>
    <xf numFmtId="3" fontId="4" fillId="0" borderId="0" xfId="0" applyNumberFormat="1" applyFont="1" applyBorder="1" applyAlignment="1" applyProtection="1">
      <alignment horizontal="center"/>
    </xf>
    <xf numFmtId="172" fontId="7" fillId="0" borderId="0" xfId="0" applyNumberFormat="1" applyFont="1" applyFill="1" applyBorder="1" applyAlignment="1" applyProtection="1">
      <alignment horizontal="center" vertical="center" wrapText="1"/>
    </xf>
    <xf numFmtId="1" fontId="62" fillId="0" borderId="0" xfId="0" applyNumberFormat="1" applyFont="1" applyBorder="1" applyAlignment="1" applyProtection="1">
      <alignment horizontal="center"/>
    </xf>
    <xf numFmtId="0" fontId="7" fillId="0" borderId="0" xfId="0" applyFont="1" applyAlignment="1" applyProtection="1">
      <alignment horizontal="right" vertical="center"/>
    </xf>
    <xf numFmtId="1" fontId="7" fillId="0" borderId="53" xfId="0" applyNumberFormat="1" applyFont="1" applyBorder="1" applyAlignment="1" applyProtection="1">
      <alignment horizontal="center" vertical="center"/>
    </xf>
    <xf numFmtId="0" fontId="5" fillId="0" borderId="0" xfId="0" applyFont="1" applyFill="1" applyAlignment="1" applyProtection="1">
      <alignment vertical="top" wrapText="1"/>
    </xf>
    <xf numFmtId="1" fontId="7" fillId="0" borderId="49" xfId="0" applyNumberFormat="1" applyFont="1" applyBorder="1" applyAlignment="1" applyProtection="1">
      <alignment horizontal="center" vertical="center"/>
    </xf>
    <xf numFmtId="0" fontId="4" fillId="0" borderId="46" xfId="0" applyFont="1" applyFill="1" applyBorder="1" applyAlignment="1" applyProtection="1">
      <alignment horizontal="left"/>
    </xf>
    <xf numFmtId="0" fontId="7" fillId="9" borderId="30" xfId="0" applyFont="1" applyFill="1" applyBorder="1" applyAlignment="1" applyProtection="1">
      <alignment horizontal="center" vertical="center" wrapText="1"/>
    </xf>
    <xf numFmtId="0" fontId="7" fillId="9" borderId="57" xfId="0" applyFont="1" applyFill="1" applyBorder="1" applyAlignment="1" applyProtection="1">
      <alignment horizontal="center" vertical="center" wrapText="1"/>
    </xf>
    <xf numFmtId="0" fontId="7" fillId="10" borderId="30" xfId="0" applyFont="1" applyFill="1" applyBorder="1" applyAlignment="1" applyProtection="1">
      <alignment horizontal="center" vertical="center" wrapText="1"/>
    </xf>
    <xf numFmtId="0" fontId="7" fillId="10" borderId="57" xfId="0" applyFont="1" applyFill="1" applyBorder="1" applyAlignment="1" applyProtection="1">
      <alignment horizontal="center" vertical="center" wrapText="1"/>
    </xf>
    <xf numFmtId="0" fontId="18" fillId="10" borderId="72" xfId="1" applyFont="1" applyFill="1" applyBorder="1" applyAlignment="1" applyProtection="1">
      <alignment wrapText="1"/>
    </xf>
    <xf numFmtId="0" fontId="18" fillId="10" borderId="0" xfId="1" applyFont="1" applyFill="1" applyBorder="1" applyAlignment="1" applyProtection="1">
      <alignment wrapText="1"/>
    </xf>
    <xf numFmtId="0" fontId="3" fillId="15" borderId="72" xfId="1" applyFill="1" applyBorder="1" applyAlignment="1" applyProtection="1">
      <alignment vertical="center"/>
    </xf>
    <xf numFmtId="0" fontId="3" fillId="15" borderId="0" xfId="1" applyFill="1" applyBorder="1" applyAlignment="1" applyProtection="1">
      <alignment vertical="center"/>
    </xf>
    <xf numFmtId="0" fontId="7" fillId="18" borderId="49" xfId="0" applyFont="1" applyFill="1" applyBorder="1" applyAlignment="1" applyProtection="1">
      <alignment horizontal="center"/>
    </xf>
    <xf numFmtId="0" fontId="7" fillId="10" borderId="22" xfId="0" applyFont="1" applyFill="1" applyBorder="1" applyAlignment="1" applyProtection="1">
      <alignment horizontal="center"/>
    </xf>
    <xf numFmtId="0" fontId="7" fillId="19" borderId="52" xfId="0" applyFont="1" applyFill="1" applyBorder="1" applyAlignment="1" applyProtection="1">
      <alignment horizontal="center"/>
    </xf>
    <xf numFmtId="167" fontId="4" fillId="19" borderId="49" xfId="0" applyNumberFormat="1" applyFont="1" applyFill="1" applyBorder="1" applyAlignment="1" applyProtection="1">
      <alignment horizontal="center"/>
    </xf>
    <xf numFmtId="0" fontId="7" fillId="19" borderId="49" xfId="0" applyFont="1" applyFill="1" applyBorder="1" applyAlignment="1" applyProtection="1">
      <alignment horizontal="center"/>
    </xf>
    <xf numFmtId="0" fontId="18" fillId="10" borderId="72" xfId="1" applyFont="1" applyFill="1" applyBorder="1" applyAlignment="1" applyProtection="1">
      <alignment horizontal="center" wrapText="1"/>
    </xf>
    <xf numFmtId="0" fontId="18" fillId="10" borderId="71" xfId="1" applyFont="1" applyFill="1" applyBorder="1" applyAlignment="1" applyProtection="1">
      <alignment horizontal="center" wrapText="1"/>
    </xf>
    <xf numFmtId="0" fontId="7" fillId="10" borderId="23" xfId="0" applyFont="1" applyFill="1" applyBorder="1" applyAlignment="1" applyProtection="1">
      <alignment horizontal="center"/>
    </xf>
    <xf numFmtId="0" fontId="7" fillId="10" borderId="39" xfId="0" applyFont="1" applyFill="1" applyBorder="1" applyAlignment="1" applyProtection="1">
      <alignment horizontal="center" vertical="center" wrapText="1"/>
    </xf>
    <xf numFmtId="0" fontId="0" fillId="15" borderId="72" xfId="0" applyFill="1" applyBorder="1" applyProtection="1"/>
    <xf numFmtId="0" fontId="0" fillId="15" borderId="0" xfId="0" applyFill="1" applyBorder="1" applyProtection="1"/>
    <xf numFmtId="0" fontId="0" fillId="15" borderId="24" xfId="0" applyFill="1" applyBorder="1" applyProtection="1"/>
    <xf numFmtId="0" fontId="7" fillId="15" borderId="23" xfId="0" applyFont="1" applyFill="1" applyBorder="1" applyAlignment="1" applyProtection="1">
      <alignment horizontal="center"/>
    </xf>
    <xf numFmtId="0" fontId="7" fillId="9" borderId="39" xfId="0" applyFont="1" applyFill="1" applyBorder="1" applyAlignment="1" applyProtection="1">
      <alignment horizontal="center" vertical="center" wrapText="1"/>
    </xf>
    <xf numFmtId="0" fontId="7" fillId="0" borderId="0" xfId="0" applyFont="1" applyFill="1" applyBorder="1" applyAlignment="1" applyProtection="1">
      <alignment horizontal="center" wrapText="1"/>
    </xf>
    <xf numFmtId="0" fontId="18" fillId="10" borderId="23" xfId="1" applyFont="1" applyFill="1" applyBorder="1" applyAlignment="1" applyProtection="1">
      <alignment wrapText="1"/>
    </xf>
    <xf numFmtId="0" fontId="55" fillId="0" borderId="26" xfId="1" applyFont="1" applyFill="1" applyBorder="1" applyAlignment="1" applyProtection="1">
      <alignment horizontal="center"/>
    </xf>
    <xf numFmtId="164" fontId="4" fillId="0" borderId="49" xfId="0" applyNumberFormat="1" applyFont="1" applyFill="1" applyBorder="1" applyAlignment="1" applyProtection="1">
      <alignment horizontal="center" vertical="center"/>
    </xf>
    <xf numFmtId="1" fontId="4" fillId="0" borderId="0" xfId="0" applyNumberFormat="1" applyFont="1" applyAlignment="1" applyProtection="1">
      <alignment horizontal="center"/>
    </xf>
    <xf numFmtId="0" fontId="36" fillId="0" borderId="0" xfId="0" applyFont="1" applyBorder="1" applyAlignment="1">
      <alignment horizontal="center"/>
    </xf>
    <xf numFmtId="0" fontId="5" fillId="0" borderId="0" xfId="0" applyFont="1" applyFill="1" applyBorder="1" applyAlignment="1">
      <alignment horizontal="center" vertical="center" wrapText="1"/>
    </xf>
    <xf numFmtId="0" fontId="10" fillId="0" borderId="0" xfId="0" applyFont="1" applyFill="1" applyAlignment="1" applyProtection="1">
      <alignment horizontal="center"/>
    </xf>
    <xf numFmtId="0" fontId="36" fillId="12" borderId="49" xfId="0" applyFont="1" applyFill="1" applyBorder="1" applyAlignment="1" applyProtection="1">
      <alignment horizontal="center"/>
      <protection locked="0"/>
    </xf>
    <xf numFmtId="0" fontId="36" fillId="0" borderId="91" xfId="0" applyFont="1" applyBorder="1" applyAlignment="1">
      <alignment horizontal="center"/>
    </xf>
    <xf numFmtId="0" fontId="36" fillId="0" borderId="92" xfId="0" applyFont="1" applyBorder="1" applyAlignment="1">
      <alignment horizontal="center"/>
    </xf>
    <xf numFmtId="0" fontId="15" fillId="0" borderId="0" xfId="0" applyFont="1" applyFill="1" applyBorder="1" applyAlignment="1" applyProtection="1">
      <alignment horizontal="center"/>
      <protection locked="0"/>
    </xf>
    <xf numFmtId="0" fontId="33" fillId="8" borderId="0" xfId="0" applyFont="1" applyFill="1" applyProtection="1"/>
    <xf numFmtId="0" fontId="67" fillId="0" borderId="0" xfId="0" applyFont="1" applyFill="1" applyBorder="1" applyAlignment="1" applyProtection="1">
      <alignment vertical="center" wrapText="1"/>
    </xf>
    <xf numFmtId="0" fontId="5" fillId="8" borderId="44" xfId="0" applyFont="1" applyFill="1" applyBorder="1" applyAlignment="1" applyProtection="1">
      <alignment horizontal="center" wrapText="1"/>
    </xf>
    <xf numFmtId="0" fontId="5" fillId="8" borderId="58" xfId="0" applyFont="1" applyFill="1" applyBorder="1" applyAlignment="1" applyProtection="1">
      <alignment horizontal="center" wrapText="1"/>
    </xf>
    <xf numFmtId="0" fontId="55" fillId="0" borderId="0" xfId="0" applyFont="1" applyAlignment="1" applyProtection="1">
      <alignment horizontal="center"/>
    </xf>
    <xf numFmtId="0" fontId="18" fillId="0" borderId="0" xfId="0" applyFont="1" applyFill="1" applyBorder="1" applyAlignment="1">
      <alignment horizontal="center" vertical="center" wrapText="1"/>
    </xf>
    <xf numFmtId="0" fontId="36" fillId="0" borderId="0" xfId="0" applyFont="1" applyFill="1" applyBorder="1" applyAlignment="1">
      <alignment vertical="center" wrapText="1"/>
    </xf>
    <xf numFmtId="0" fontId="18" fillId="12" borderId="49" xfId="1" applyFont="1" applyFill="1" applyBorder="1" applyAlignment="1" applyProtection="1">
      <alignment horizontal="center" vertical="center"/>
      <protection locked="0"/>
    </xf>
    <xf numFmtId="0" fontId="4" fillId="22" borderId="0" xfId="0" applyFont="1" applyFill="1" applyAlignment="1">
      <alignment horizontal="center"/>
    </xf>
    <xf numFmtId="0" fontId="4" fillId="22" borderId="0" xfId="0" applyFont="1" applyFill="1" applyAlignment="1">
      <alignment horizontal="left"/>
    </xf>
    <xf numFmtId="0" fontId="3" fillId="0" borderId="0" xfId="1" applyAlignment="1" applyProtection="1">
      <alignment horizontal="center"/>
      <protection locked="0"/>
    </xf>
    <xf numFmtId="0" fontId="52" fillId="0" borderId="0" xfId="0" applyFont="1" applyFill="1" applyBorder="1" applyAlignment="1" applyProtection="1">
      <alignment horizontal="right"/>
    </xf>
    <xf numFmtId="0" fontId="69" fillId="8" borderId="0" xfId="0" applyFont="1" applyFill="1" applyAlignment="1" applyProtection="1">
      <alignment horizontal="center"/>
    </xf>
    <xf numFmtId="0" fontId="70" fillId="8" borderId="0" xfId="1" applyFont="1" applyFill="1" applyAlignment="1" applyProtection="1"/>
    <xf numFmtId="0" fontId="20" fillId="8" borderId="0" xfId="0" applyFont="1" applyFill="1" applyBorder="1" applyAlignment="1" applyProtection="1">
      <alignment horizontal="center"/>
    </xf>
    <xf numFmtId="0" fontId="71" fillId="8" borderId="0" xfId="0" applyFont="1" applyFill="1" applyBorder="1" applyAlignment="1" applyProtection="1"/>
    <xf numFmtId="0" fontId="33" fillId="8" borderId="0" xfId="0" applyFont="1" applyFill="1" applyBorder="1" applyProtection="1"/>
    <xf numFmtId="0" fontId="70" fillId="8" borderId="0" xfId="1" applyFont="1" applyFill="1" applyAlignment="1" applyProtection="1">
      <alignment horizontal="left"/>
    </xf>
    <xf numFmtId="0" fontId="4" fillId="0" borderId="35" xfId="0" applyFont="1" applyFill="1" applyBorder="1" applyAlignment="1" applyProtection="1">
      <alignment horizontal="center"/>
      <protection locked="0"/>
    </xf>
    <xf numFmtId="0" fontId="18" fillId="0" borderId="0" xfId="0" applyFont="1" applyFill="1" applyBorder="1" applyAlignment="1" applyProtection="1">
      <alignment horizontal="left"/>
    </xf>
    <xf numFmtId="0" fontId="1" fillId="0" borderId="26" xfId="0" applyFont="1" applyFill="1" applyBorder="1" applyAlignment="1">
      <alignment horizontal="center"/>
    </xf>
    <xf numFmtId="0" fontId="7" fillId="4" borderId="26" xfId="0" applyFont="1" applyFill="1" applyBorder="1" applyAlignment="1">
      <alignment horizontal="center" wrapText="1"/>
    </xf>
    <xf numFmtId="0" fontId="7" fillId="0" borderId="0" xfId="0" applyFont="1" applyFill="1" applyBorder="1" applyAlignment="1" applyProtection="1">
      <alignment horizontal="right" vertical="center" indent="1"/>
    </xf>
    <xf numFmtId="0" fontId="0" fillId="0" borderId="0" xfId="0" applyAlignment="1" applyProtection="1">
      <alignment horizontal="center"/>
    </xf>
    <xf numFmtId="0" fontId="0" fillId="0" borderId="0" xfId="0" applyFill="1"/>
    <xf numFmtId="0" fontId="1" fillId="0" borderId="0" xfId="0" applyFont="1" applyAlignment="1" applyProtection="1">
      <alignment horizontal="left"/>
    </xf>
    <xf numFmtId="0" fontId="3" fillId="0" borderId="0" xfId="1" applyFill="1" applyAlignment="1" applyProtection="1">
      <alignment horizontal="center"/>
    </xf>
    <xf numFmtId="0" fontId="3" fillId="8" borderId="0" xfId="1" applyFill="1" applyAlignment="1" applyProtection="1">
      <alignment horizontal="left"/>
    </xf>
    <xf numFmtId="0" fontId="7" fillId="0" borderId="0" xfId="0" applyFont="1" applyFill="1" applyBorder="1" applyAlignment="1" applyProtection="1">
      <alignment horizontal="right"/>
    </xf>
    <xf numFmtId="0" fontId="3" fillId="0" borderId="0" xfId="1" applyAlignment="1" applyProtection="1">
      <alignment horizontal="center"/>
    </xf>
    <xf numFmtId="0" fontId="5" fillId="0" borderId="0" xfId="0" applyFont="1" applyAlignment="1" applyProtection="1">
      <alignment horizontal="center"/>
    </xf>
    <xf numFmtId="0" fontId="4" fillId="0" borderId="0" xfId="0" applyFont="1" applyFill="1" applyBorder="1" applyAlignment="1" applyProtection="1">
      <alignment horizontal="left" vertical="top" wrapText="1"/>
    </xf>
    <xf numFmtId="0" fontId="3" fillId="0" borderId="0" xfId="1" applyBorder="1" applyAlignment="1" applyProtection="1">
      <alignment horizontal="center"/>
    </xf>
    <xf numFmtId="0" fontId="3" fillId="0" borderId="0" xfId="1" applyFill="1" applyAlignment="1" applyProtection="1"/>
    <xf numFmtId="0" fontId="4" fillId="0" borderId="35" xfId="0" applyFont="1" applyBorder="1" applyAlignment="1" applyProtection="1">
      <alignment horizontal="center"/>
    </xf>
    <xf numFmtId="0" fontId="4" fillId="0" borderId="48" xfId="0" applyFont="1" applyFill="1" applyBorder="1" applyAlignment="1" applyProtection="1">
      <alignment horizontal="left"/>
    </xf>
    <xf numFmtId="0" fontId="63" fillId="0" borderId="0" xfId="0" applyFont="1" applyAlignment="1">
      <alignment horizontal="center" vertical="center"/>
    </xf>
    <xf numFmtId="0" fontId="9" fillId="0" borderId="0" xfId="1" applyFont="1" applyBorder="1" applyAlignment="1" applyProtection="1">
      <alignment horizontal="center"/>
    </xf>
    <xf numFmtId="0" fontId="5" fillId="0" borderId="0" xfId="0" applyFont="1" applyFill="1" applyBorder="1" applyAlignment="1" applyProtection="1">
      <alignment horizontal="left" vertical="top" wrapText="1"/>
    </xf>
    <xf numFmtId="0" fontId="0" fillId="0" borderId="0" xfId="0" applyAlignment="1" applyProtection="1">
      <alignment horizontal="center"/>
    </xf>
    <xf numFmtId="0" fontId="4" fillId="0" borderId="0" xfId="0" applyFont="1" applyAlignment="1" applyProtection="1">
      <alignment horizontal="center"/>
    </xf>
    <xf numFmtId="164" fontId="4" fillId="0" borderId="0" xfId="0" applyNumberFormat="1" applyFont="1" applyBorder="1" applyAlignment="1" applyProtection="1">
      <alignment horizontal="center"/>
    </xf>
    <xf numFmtId="0" fontId="4" fillId="0" borderId="33" xfId="0" applyFont="1" applyFill="1" applyBorder="1" applyAlignment="1" applyProtection="1">
      <alignment horizontal="center"/>
    </xf>
    <xf numFmtId="0" fontId="3" fillId="0" borderId="0" xfId="1" applyAlignment="1" applyProtection="1">
      <alignment horizontal="left"/>
    </xf>
    <xf numFmtId="0" fontId="4" fillId="4" borderId="40" xfId="0" applyFont="1" applyFill="1" applyBorder="1" applyAlignment="1" applyProtection="1">
      <alignment horizontal="center" wrapText="1"/>
    </xf>
    <xf numFmtId="0" fontId="4" fillId="12" borderId="35" xfId="0" applyFont="1" applyFill="1" applyBorder="1" applyAlignment="1" applyProtection="1">
      <alignment horizontal="center"/>
      <protection locked="0"/>
    </xf>
    <xf numFmtId="0" fontId="41" fillId="16" borderId="82" xfId="2" applyFont="1" applyFill="1" applyBorder="1" applyAlignment="1">
      <alignment horizontal="center" vertical="center" wrapText="1"/>
    </xf>
    <xf numFmtId="0" fontId="41" fillId="16" borderId="80" xfId="2" applyFont="1" applyFill="1" applyBorder="1" applyAlignment="1">
      <alignment vertical="center" wrapText="1"/>
    </xf>
    <xf numFmtId="0" fontId="40" fillId="16" borderId="81" xfId="2" applyFont="1" applyFill="1" applyBorder="1" applyAlignment="1">
      <alignment horizontal="center" vertical="center" wrapText="1"/>
    </xf>
    <xf numFmtId="0" fontId="40" fillId="16" borderId="82" xfId="2" applyFont="1" applyFill="1" applyBorder="1" applyAlignment="1">
      <alignment horizontal="center" vertical="center" wrapText="1"/>
    </xf>
    <xf numFmtId="0" fontId="29" fillId="0" borderId="0" xfId="0" applyFont="1" applyAlignment="1">
      <alignment horizontal="center" vertical="center" wrapText="1"/>
    </xf>
    <xf numFmtId="0" fontId="1" fillId="0" borderId="14" xfId="0" applyFont="1" applyFill="1" applyBorder="1" applyAlignment="1" applyProtection="1">
      <alignment horizontal="left"/>
    </xf>
    <xf numFmtId="0" fontId="4" fillId="0" borderId="14" xfId="0" applyFont="1" applyFill="1" applyBorder="1" applyAlignment="1" applyProtection="1">
      <alignment horizontal="right"/>
    </xf>
    <xf numFmtId="0" fontId="9" fillId="0" borderId="0" xfId="1" applyFont="1" applyFill="1" applyBorder="1" applyAlignment="1" applyProtection="1">
      <alignment horizontal="center"/>
    </xf>
    <xf numFmtId="0" fontId="4" fillId="0" borderId="0" xfId="0" applyFont="1" applyFill="1" applyBorder="1" applyAlignment="1" applyProtection="1">
      <alignment horizontal="center"/>
      <protection locked="0"/>
    </xf>
    <xf numFmtId="0" fontId="9" fillId="0" borderId="87" xfId="1" applyFont="1" applyFill="1" applyBorder="1" applyAlignment="1" applyProtection="1">
      <alignment horizontal="center"/>
    </xf>
    <xf numFmtId="0" fontId="4" fillId="0" borderId="87" xfId="0" applyFont="1" applyFill="1" applyBorder="1" applyAlignment="1" applyProtection="1">
      <alignment horizontal="center"/>
    </xf>
    <xf numFmtId="0" fontId="4" fillId="8" borderId="87" xfId="0" applyFont="1" applyFill="1" applyBorder="1" applyAlignment="1" applyProtection="1">
      <alignment horizontal="center"/>
    </xf>
    <xf numFmtId="0" fontId="4" fillId="0" borderId="89" xfId="0" applyFont="1" applyFill="1" applyBorder="1" applyAlignment="1" applyProtection="1">
      <alignment horizontal="center"/>
    </xf>
    <xf numFmtId="0" fontId="4" fillId="8" borderId="0" xfId="0" applyFont="1" applyFill="1" applyBorder="1" applyAlignment="1" applyProtection="1">
      <alignment horizontal="center"/>
    </xf>
    <xf numFmtId="0" fontId="4" fillId="8" borderId="0" xfId="0" applyFont="1" applyFill="1" applyBorder="1" applyAlignment="1" applyProtection="1">
      <alignment horizontal="right"/>
    </xf>
    <xf numFmtId="0" fontId="4" fillId="11" borderId="96" xfId="0" applyFont="1" applyFill="1" applyBorder="1" applyAlignment="1" applyProtection="1">
      <protection locked="0"/>
    </xf>
    <xf numFmtId="0" fontId="4" fillId="0" borderId="99" xfId="0" applyFont="1" applyBorder="1" applyAlignment="1" applyProtection="1">
      <alignment horizontal="center"/>
    </xf>
    <xf numFmtId="0" fontId="4" fillId="0" borderId="97" xfId="0" applyFont="1" applyBorder="1" applyProtection="1"/>
    <xf numFmtId="0" fontId="4" fillId="11" borderId="100" xfId="0" applyFont="1" applyFill="1" applyBorder="1" applyAlignment="1" applyProtection="1">
      <protection locked="0"/>
    </xf>
    <xf numFmtId="0" fontId="4" fillId="8" borderId="101" xfId="1" applyFont="1" applyFill="1" applyBorder="1" applyAlignment="1" applyProtection="1">
      <alignment horizontal="left" indent="1"/>
    </xf>
    <xf numFmtId="0" fontId="4" fillId="8" borderId="102" xfId="0" applyFont="1" applyFill="1" applyBorder="1" applyAlignment="1" applyProtection="1">
      <alignment horizontal="right"/>
    </xf>
    <xf numFmtId="0" fontId="4" fillId="8" borderId="102" xfId="0" applyFont="1" applyFill="1" applyBorder="1" applyAlignment="1" applyProtection="1">
      <alignment horizontal="center"/>
    </xf>
    <xf numFmtId="0" fontId="4" fillId="8" borderId="26" xfId="1" applyFont="1" applyFill="1" applyBorder="1" applyAlignment="1" applyProtection="1">
      <alignment horizontal="left" indent="1"/>
    </xf>
    <xf numFmtId="0" fontId="4" fillId="8" borderId="6" xfId="1" applyFont="1" applyFill="1" applyBorder="1" applyAlignment="1" applyProtection="1">
      <alignment horizontal="left" indent="1"/>
    </xf>
    <xf numFmtId="0" fontId="4" fillId="0" borderId="0" xfId="1" applyFont="1" applyFill="1" applyBorder="1" applyAlignment="1" applyProtection="1">
      <alignment horizontal="left" indent="1"/>
    </xf>
    <xf numFmtId="0" fontId="0" fillId="0" borderId="97" xfId="0" applyBorder="1" applyAlignment="1" applyProtection="1">
      <alignment horizontal="center"/>
    </xf>
    <xf numFmtId="0" fontId="0" fillId="0" borderId="97" xfId="0" applyBorder="1" applyProtection="1"/>
    <xf numFmtId="0" fontId="7" fillId="0" borderId="0" xfId="0" applyFont="1" applyFill="1" applyBorder="1" applyAlignment="1" applyProtection="1">
      <alignment horizontal="right" indent="1"/>
    </xf>
    <xf numFmtId="0" fontId="1" fillId="0" borderId="0" xfId="0" applyFont="1" applyFill="1" applyBorder="1" applyAlignment="1" applyProtection="1">
      <alignment horizontal="left"/>
    </xf>
    <xf numFmtId="0" fontId="1" fillId="0" borderId="0" xfId="0" applyFont="1" applyFill="1" applyBorder="1" applyAlignment="1" applyProtection="1">
      <protection locked="0"/>
    </xf>
    <xf numFmtId="0" fontId="4" fillId="0" borderId="97" xfId="0" applyFont="1" applyBorder="1" applyAlignment="1" applyProtection="1">
      <alignment horizontal="center"/>
    </xf>
    <xf numFmtId="164" fontId="4" fillId="0" borderId="97" xfId="0" applyNumberFormat="1" applyFont="1" applyBorder="1" applyAlignment="1" applyProtection="1">
      <alignment horizontal="center"/>
    </xf>
    <xf numFmtId="0" fontId="4" fillId="0" borderId="97" xfId="0" applyFont="1" applyFill="1" applyBorder="1" applyAlignment="1" applyProtection="1">
      <alignment horizontal="center"/>
    </xf>
    <xf numFmtId="0" fontId="1" fillId="0" borderId="0" xfId="0" applyFont="1" applyFill="1" applyBorder="1" applyAlignment="1" applyProtection="1"/>
    <xf numFmtId="0" fontId="4" fillId="0" borderId="97" xfId="0" applyFont="1" applyFill="1" applyBorder="1" applyAlignment="1" applyProtection="1">
      <alignment horizontal="center" vertical="center"/>
    </xf>
    <xf numFmtId="0" fontId="4" fillId="12" borderId="97" xfId="0" applyFont="1" applyFill="1" applyBorder="1" applyAlignment="1" applyProtection="1">
      <alignment horizontal="center"/>
      <protection locked="0"/>
    </xf>
    <xf numFmtId="0" fontId="0" fillId="4" borderId="97" xfId="0" applyFill="1" applyBorder="1" applyAlignment="1" applyProtection="1">
      <alignment horizontal="center" wrapText="1"/>
    </xf>
    <xf numFmtId="0" fontId="5" fillId="4" borderId="97" xfId="0" applyFont="1" applyFill="1" applyBorder="1" applyAlignment="1" applyProtection="1">
      <alignment horizontal="center"/>
    </xf>
    <xf numFmtId="2" fontId="5" fillId="0" borderId="97" xfId="0" applyNumberFormat="1" applyFont="1" applyBorder="1" applyAlignment="1" applyProtection="1">
      <alignment horizontal="center"/>
    </xf>
    <xf numFmtId="0" fontId="25" fillId="0" borderId="97" xfId="0" applyFont="1" applyBorder="1" applyAlignment="1">
      <alignment horizontal="center" vertical="center" wrapText="1"/>
    </xf>
    <xf numFmtId="0" fontId="0" fillId="0" borderId="97" xfId="0" applyBorder="1" applyAlignment="1">
      <alignment horizontal="center"/>
    </xf>
    <xf numFmtId="0" fontId="4" fillId="0" borderId="97" xfId="0" applyFont="1" applyFill="1" applyBorder="1" applyAlignment="1">
      <alignment horizontal="center"/>
    </xf>
    <xf numFmtId="0" fontId="7" fillId="4" borderId="2" xfId="0" applyFont="1" applyFill="1" applyBorder="1" applyAlignment="1">
      <alignment horizontal="center"/>
    </xf>
    <xf numFmtId="0" fontId="7" fillId="4" borderId="97" xfId="0" applyFont="1" applyFill="1" applyBorder="1" applyAlignment="1">
      <alignment horizontal="center" wrapText="1"/>
    </xf>
    <xf numFmtId="0" fontId="7" fillId="4" borderId="11" xfId="0" applyFont="1" applyFill="1" applyBorder="1" applyAlignment="1">
      <alignment horizontal="center" wrapText="1"/>
    </xf>
    <xf numFmtId="0" fontId="4" fillId="0" borderId="97" xfId="0" applyFont="1" applyBorder="1" applyAlignment="1">
      <alignment horizontal="center" wrapText="1"/>
    </xf>
    <xf numFmtId="0" fontId="1" fillId="0" borderId="97" xfId="0" applyFont="1" applyBorder="1" applyAlignment="1">
      <alignment horizontal="center"/>
    </xf>
    <xf numFmtId="0" fontId="1" fillId="5" borderId="97" xfId="0" applyFont="1" applyFill="1" applyBorder="1" applyAlignment="1">
      <alignment horizontal="center"/>
    </xf>
    <xf numFmtId="0" fontId="4" fillId="6" borderId="97" xfId="0" applyFont="1" applyFill="1" applyBorder="1" applyAlignment="1">
      <alignment horizontal="center" wrapText="1"/>
    </xf>
    <xf numFmtId="0" fontId="4" fillId="2" borderId="97" xfId="0" applyFont="1" applyFill="1" applyBorder="1" applyAlignment="1">
      <alignment horizontal="center" wrapText="1"/>
    </xf>
    <xf numFmtId="0" fontId="4" fillId="7" borderId="97" xfId="0" applyFont="1" applyFill="1" applyBorder="1" applyAlignment="1">
      <alignment horizontal="center" wrapText="1"/>
    </xf>
    <xf numFmtId="0" fontId="7" fillId="0" borderId="97" xfId="0" applyFont="1" applyBorder="1" applyAlignment="1">
      <alignment horizontal="center"/>
    </xf>
    <xf numFmtId="0" fontId="4" fillId="5" borderId="97" xfId="0" applyFont="1" applyFill="1" applyBorder="1" applyAlignment="1">
      <alignment horizontal="center" vertical="center"/>
    </xf>
    <xf numFmtId="0" fontId="4" fillId="6" borderId="97" xfId="0" applyFont="1" applyFill="1" applyBorder="1" applyAlignment="1">
      <alignment horizontal="center" vertical="center"/>
    </xf>
    <xf numFmtId="0" fontId="4" fillId="2" borderId="97" xfId="0" applyFont="1" applyFill="1" applyBorder="1" applyAlignment="1">
      <alignment horizontal="center" vertical="center"/>
    </xf>
    <xf numFmtId="0" fontId="4" fillId="7" borderId="97" xfId="0" applyFont="1" applyFill="1" applyBorder="1" applyAlignment="1">
      <alignment horizontal="center" vertical="center"/>
    </xf>
    <xf numFmtId="0" fontId="4" fillId="0" borderId="97" xfId="0" applyFont="1" applyFill="1" applyBorder="1" applyAlignment="1">
      <alignment horizontal="center" wrapText="1"/>
    </xf>
    <xf numFmtId="0" fontId="4" fillId="0" borderId="97" xfId="0" applyFont="1" applyBorder="1" applyAlignment="1">
      <alignment horizontal="center"/>
    </xf>
    <xf numFmtId="0" fontId="7" fillId="0" borderId="97" xfId="0" applyFont="1" applyFill="1" applyBorder="1" applyAlignment="1">
      <alignment horizontal="center"/>
    </xf>
    <xf numFmtId="0" fontId="7" fillId="0" borderId="97" xfId="0" applyFont="1" applyFill="1" applyBorder="1" applyAlignment="1">
      <alignment horizontal="center" wrapText="1"/>
    </xf>
    <xf numFmtId="0" fontId="1" fillId="0" borderId="97" xfId="0" applyFont="1" applyFill="1" applyBorder="1" applyAlignment="1">
      <alignment horizontal="center"/>
    </xf>
    <xf numFmtId="0" fontId="1" fillId="0" borderId="2" xfId="0" applyFont="1" applyBorder="1"/>
    <xf numFmtId="2" fontId="0" fillId="0" borderId="97" xfId="0" applyNumberFormat="1" applyBorder="1" applyAlignment="1">
      <alignment horizontal="center"/>
    </xf>
    <xf numFmtId="0" fontId="0" fillId="0" borderId="103" xfId="0" applyBorder="1" applyAlignment="1">
      <alignment horizontal="left"/>
    </xf>
    <xf numFmtId="0" fontId="0" fillId="0" borderId="103" xfId="0" applyBorder="1" applyAlignment="1">
      <alignment horizontal="center"/>
    </xf>
    <xf numFmtId="0" fontId="0" fillId="0" borderId="103" xfId="0" applyBorder="1" applyAlignment="1">
      <alignment horizontal="center" wrapText="1"/>
    </xf>
    <xf numFmtId="2" fontId="0" fillId="0" borderId="99" xfId="0" applyNumberFormat="1" applyFill="1" applyBorder="1" applyAlignment="1">
      <alignment horizontal="center"/>
    </xf>
    <xf numFmtId="1" fontId="0" fillId="0" borderId="99" xfId="0" applyNumberFormat="1" applyFill="1" applyBorder="1" applyAlignment="1">
      <alignment horizontal="center"/>
    </xf>
    <xf numFmtId="0" fontId="1" fillId="0" borderId="3" xfId="0" applyFont="1" applyBorder="1"/>
    <xf numFmtId="0" fontId="0" fillId="0" borderId="97" xfId="0" applyFill="1" applyBorder="1" applyAlignment="1"/>
    <xf numFmtId="0" fontId="0" fillId="0" borderId="108" xfId="0" applyFill="1" applyBorder="1" applyAlignment="1">
      <alignment vertical="center"/>
    </xf>
    <xf numFmtId="165" fontId="0" fillId="0" borderId="108" xfId="0" applyNumberFormat="1" applyFill="1" applyBorder="1" applyAlignment="1">
      <alignment vertical="center"/>
    </xf>
    <xf numFmtId="0" fontId="0" fillId="0" borderId="99" xfId="0" applyFill="1" applyBorder="1" applyAlignment="1">
      <alignment horizontal="center"/>
    </xf>
    <xf numFmtId="0" fontId="0" fillId="0" borderId="109" xfId="0" applyFill="1" applyBorder="1" applyAlignment="1">
      <alignment vertical="center"/>
    </xf>
    <xf numFmtId="0" fontId="7" fillId="0" borderId="104" xfId="0" applyFont="1" applyFill="1" applyBorder="1" applyAlignment="1" applyProtection="1">
      <alignment horizontal="right"/>
    </xf>
    <xf numFmtId="0" fontId="1" fillId="0" borderId="104" xfId="0" applyFont="1" applyFill="1" applyBorder="1" applyAlignment="1" applyProtection="1">
      <alignment horizontal="left"/>
    </xf>
    <xf numFmtId="0" fontId="7" fillId="0" borderId="102" xfId="0" applyFont="1" applyFill="1" applyBorder="1" applyAlignment="1" applyProtection="1">
      <alignment horizontal="right"/>
    </xf>
    <xf numFmtId="0" fontId="1" fillId="0" borderId="102" xfId="0" applyFont="1" applyFill="1" applyBorder="1" applyAlignment="1" applyProtection="1">
      <alignment horizontal="left"/>
    </xf>
    <xf numFmtId="0" fontId="1" fillId="0" borderId="104" xfId="0" applyFont="1" applyFill="1" applyBorder="1" applyAlignment="1" applyProtection="1">
      <alignment horizontal="left" indent="1"/>
    </xf>
    <xf numFmtId="2" fontId="4" fillId="0" borderId="97" xfId="0" applyNumberFormat="1" applyFont="1" applyBorder="1" applyAlignment="1" applyProtection="1">
      <alignment horizontal="center"/>
    </xf>
    <xf numFmtId="0" fontId="1" fillId="0" borderId="87" xfId="0" applyFont="1" applyBorder="1" applyAlignment="1" applyProtection="1">
      <alignment horizontal="right" indent="1"/>
    </xf>
    <xf numFmtId="0" fontId="4" fillId="0" borderId="97" xfId="0" applyFont="1" applyBorder="1" applyAlignment="1" applyProtection="1">
      <alignment horizontal="center"/>
    </xf>
    <xf numFmtId="0" fontId="1" fillId="0" borderId="90" xfId="0" applyFont="1" applyBorder="1" applyAlignment="1" applyProtection="1">
      <alignment horizontal="right" indent="1"/>
    </xf>
    <xf numFmtId="0" fontId="32" fillId="8" borderId="0" xfId="0" applyFont="1" applyFill="1" applyBorder="1" applyProtection="1"/>
    <xf numFmtId="0" fontId="5" fillId="12" borderId="110" xfId="1" applyFont="1" applyFill="1" applyBorder="1" applyAlignment="1" applyProtection="1">
      <alignment horizontal="center" vertical="center"/>
      <protection locked="0"/>
    </xf>
    <xf numFmtId="2" fontId="0" fillId="0" borderId="97" xfId="0" applyNumberFormat="1" applyBorder="1" applyProtection="1"/>
    <xf numFmtId="0" fontId="66" fillId="0" borderId="0" xfId="0" applyFont="1"/>
    <xf numFmtId="0" fontId="36" fillId="8" borderId="0" xfId="0" applyFont="1" applyFill="1" applyAlignment="1" applyProtection="1">
      <alignment vertical="top" wrapText="1"/>
    </xf>
    <xf numFmtId="0" fontId="3" fillId="0" borderId="0" xfId="1" applyFill="1" applyAlignment="1" applyProtection="1">
      <alignment horizontal="center"/>
    </xf>
    <xf numFmtId="0" fontId="3" fillId="0" borderId="0" xfId="1" applyBorder="1" applyAlignment="1" applyProtection="1">
      <alignment horizontal="center"/>
    </xf>
    <xf numFmtId="0" fontId="4" fillId="0" borderId="33" xfId="0" applyFont="1" applyFill="1" applyBorder="1" applyAlignment="1" applyProtection="1">
      <alignment horizontal="center"/>
    </xf>
    <xf numFmtId="0" fontId="4" fillId="12" borderId="97" xfId="0" applyFont="1" applyFill="1" applyBorder="1" applyAlignment="1" applyProtection="1">
      <alignment horizontal="center"/>
      <protection locked="0"/>
    </xf>
    <xf numFmtId="0" fontId="1" fillId="0" borderId="110" xfId="0" applyFont="1" applyBorder="1" applyAlignment="1" applyProtection="1">
      <alignment horizontal="center"/>
    </xf>
    <xf numFmtId="0" fontId="1" fillId="0" borderId="110" xfId="0" applyFont="1" applyBorder="1" applyProtection="1"/>
    <xf numFmtId="0" fontId="1" fillId="0" borderId="11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xf>
    <xf numFmtId="0" fontId="4" fillId="0" borderId="119" xfId="0" applyFont="1" applyBorder="1" applyAlignment="1" applyProtection="1">
      <alignment horizontal="center"/>
    </xf>
    <xf numFmtId="0" fontId="60" fillId="0" borderId="0" xfId="0" applyFont="1" applyAlignment="1" applyProtection="1">
      <alignment horizontal="center" vertical="top"/>
    </xf>
    <xf numFmtId="0" fontId="4" fillId="0" borderId="97" xfId="0" applyFont="1" applyBorder="1" applyAlignment="1" applyProtection="1">
      <alignment horizontal="center"/>
    </xf>
    <xf numFmtId="0" fontId="4" fillId="0" borderId="0" xfId="0" applyFont="1" applyAlignment="1" applyProtection="1">
      <alignment horizontal="center"/>
    </xf>
    <xf numFmtId="0" fontId="1" fillId="8" borderId="0" xfId="0" applyFont="1" applyFill="1" applyProtection="1"/>
    <xf numFmtId="0" fontId="1" fillId="8" borderId="0" xfId="0" applyFont="1" applyFill="1" applyBorder="1" applyProtection="1"/>
    <xf numFmtId="0" fontId="4" fillId="0" borderId="88" xfId="0" applyFont="1" applyBorder="1" applyAlignment="1" applyProtection="1">
      <alignment vertical="top" wrapText="1"/>
    </xf>
    <xf numFmtId="0" fontId="4" fillId="0" borderId="0" xfId="0" applyFont="1" applyAlignment="1" applyProtection="1">
      <alignment vertical="top" wrapText="1"/>
    </xf>
    <xf numFmtId="0" fontId="4" fillId="4" borderId="118" xfId="0" applyFont="1" applyFill="1" applyBorder="1" applyAlignment="1" applyProtection="1">
      <alignment horizontal="center" wrapText="1"/>
    </xf>
    <xf numFmtId="0" fontId="4" fillId="4" borderId="113" xfId="0" quotePrefix="1" applyFont="1" applyFill="1" applyBorder="1" applyAlignment="1" applyProtection="1">
      <alignment horizontal="left" wrapText="1"/>
    </xf>
    <xf numFmtId="0" fontId="4" fillId="4" borderId="115" xfId="0" quotePrefix="1" applyFont="1" applyFill="1" applyBorder="1" applyAlignment="1" applyProtection="1">
      <alignment horizontal="left" wrapText="1"/>
    </xf>
    <xf numFmtId="0" fontId="4" fillId="4" borderId="45" xfId="0" applyFont="1" applyFill="1" applyBorder="1" applyAlignment="1" applyProtection="1">
      <alignment horizontal="center" wrapText="1"/>
    </xf>
    <xf numFmtId="0" fontId="4" fillId="4" borderId="6" xfId="0" applyFont="1" applyFill="1" applyBorder="1" applyAlignment="1" applyProtection="1">
      <alignment horizontal="center" wrapText="1"/>
    </xf>
    <xf numFmtId="0" fontId="0" fillId="0" borderId="50" xfId="0" applyBorder="1" applyProtection="1"/>
    <xf numFmtId="0" fontId="7" fillId="0" borderId="0" xfId="0" applyFont="1" applyFill="1" applyBorder="1" applyAlignment="1" applyProtection="1">
      <alignment horizontal="right"/>
    </xf>
    <xf numFmtId="0" fontId="4" fillId="0" borderId="122" xfId="0" applyFont="1" applyBorder="1" applyProtection="1"/>
    <xf numFmtId="0" fontId="4" fillId="0" borderId="122" xfId="0" applyFont="1" applyBorder="1" applyAlignment="1" applyProtection="1">
      <alignment horizontal="center"/>
    </xf>
    <xf numFmtId="0" fontId="5" fillId="0" borderId="0" xfId="0" applyFont="1" applyFill="1" applyBorder="1" applyProtection="1"/>
    <xf numFmtId="0" fontId="7" fillId="0" borderId="0" xfId="0" applyFont="1" applyFill="1" applyBorder="1" applyAlignment="1" applyProtection="1">
      <alignment horizontal="right" vertical="top" wrapText="1"/>
    </xf>
    <xf numFmtId="0" fontId="1" fillId="0" borderId="0" xfId="0" applyFont="1" applyBorder="1" applyAlignment="1" applyProtection="1">
      <alignment horizontal="right" indent="1"/>
    </xf>
    <xf numFmtId="0" fontId="1" fillId="0" borderId="89" xfId="0" applyFont="1" applyBorder="1" applyAlignment="1" applyProtection="1">
      <alignment horizontal="right" indent="1"/>
    </xf>
    <xf numFmtId="0" fontId="4" fillId="0" borderId="0" xfId="0" applyFont="1" applyBorder="1" applyProtection="1"/>
    <xf numFmtId="0" fontId="5" fillId="0" borderId="0" xfId="0" applyFont="1" applyAlignment="1" applyProtection="1">
      <alignment horizontal="left"/>
    </xf>
    <xf numFmtId="0" fontId="7" fillId="0" borderId="123" xfId="0" applyFont="1" applyFill="1" applyBorder="1" applyAlignment="1" applyProtection="1">
      <alignment horizontal="right"/>
    </xf>
    <xf numFmtId="0" fontId="5" fillId="0" borderId="0" xfId="0" applyFont="1"/>
    <xf numFmtId="0" fontId="0" fillId="0" borderId="134" xfId="0" applyBorder="1" applyAlignment="1">
      <alignment horizontal="center"/>
    </xf>
    <xf numFmtId="0" fontId="1" fillId="0" borderId="0" xfId="0" applyFont="1" applyAlignment="1">
      <alignment wrapText="1"/>
    </xf>
    <xf numFmtId="0" fontId="0" fillId="0" borderId="0" xfId="0" applyAlignment="1">
      <alignment horizontal="center" wrapText="1"/>
    </xf>
    <xf numFmtId="0" fontId="1" fillId="0" borderId="0" xfId="0" applyFont="1" applyAlignment="1">
      <alignment horizontal="center" wrapText="1"/>
    </xf>
    <xf numFmtId="1" fontId="0" fillId="0" borderId="0" xfId="0" applyNumberFormat="1" applyBorder="1" applyAlignment="1">
      <alignment horizontal="center"/>
    </xf>
    <xf numFmtId="0" fontId="10" fillId="17" borderId="0" xfId="0" applyFont="1" applyFill="1" applyAlignment="1" applyProtection="1">
      <alignment horizontal="center"/>
    </xf>
    <xf numFmtId="0" fontId="9" fillId="0" borderId="0" xfId="1" applyFont="1" applyBorder="1" applyAlignment="1" applyProtection="1">
      <alignment horizontal="center"/>
    </xf>
    <xf numFmtId="0" fontId="7" fillId="0" borderId="0" xfId="0" applyFont="1" applyBorder="1" applyAlignment="1" applyProtection="1">
      <alignment horizontal="left" vertical="center"/>
    </xf>
    <xf numFmtId="0" fontId="5" fillId="8" borderId="88" xfId="0" applyFont="1" applyFill="1" applyBorder="1" applyProtection="1"/>
    <xf numFmtId="0" fontId="5" fillId="0" borderId="0" xfId="1" applyFont="1" applyFill="1" applyBorder="1" applyAlignment="1" applyProtection="1">
      <alignment horizontal="center" vertical="center"/>
    </xf>
    <xf numFmtId="3" fontId="4" fillId="0" borderId="134" xfId="0" applyNumberFormat="1" applyFont="1" applyBorder="1" applyAlignment="1" applyProtection="1">
      <alignment horizontal="center"/>
    </xf>
    <xf numFmtId="0" fontId="7" fillId="0" borderId="0" xfId="0" applyFont="1" applyFill="1" applyBorder="1" applyAlignment="1" applyProtection="1">
      <alignment horizontal="right"/>
    </xf>
    <xf numFmtId="3" fontId="4" fillId="0" borderId="104" xfId="0" applyNumberFormat="1" applyFont="1" applyFill="1" applyBorder="1" applyAlignment="1" applyProtection="1">
      <alignment horizontal="center"/>
    </xf>
    <xf numFmtId="0" fontId="5" fillId="8" borderId="0" xfId="0" applyFont="1" applyFill="1" applyBorder="1" applyAlignment="1" applyProtection="1">
      <alignment horizontal="center" wrapText="1"/>
    </xf>
    <xf numFmtId="0" fontId="5" fillId="8" borderId="20" xfId="0" applyFont="1" applyFill="1" applyBorder="1" applyAlignment="1" applyProtection="1">
      <alignment horizontal="center" wrapText="1"/>
    </xf>
    <xf numFmtId="0" fontId="4" fillId="0" borderId="0" xfId="1" applyFont="1" applyFill="1" applyBorder="1" applyAlignment="1" applyProtection="1">
      <alignment horizontal="left"/>
    </xf>
    <xf numFmtId="0" fontId="4" fillId="0" borderId="0" xfId="0" applyFont="1" applyAlignment="1" applyProtection="1">
      <alignment horizontal="center" vertical="center"/>
    </xf>
    <xf numFmtId="0" fontId="36" fillId="0" borderId="0" xfId="0" applyFont="1" applyBorder="1" applyAlignment="1" applyProtection="1">
      <alignment horizontal="center"/>
    </xf>
    <xf numFmtId="0" fontId="4" fillId="0" borderId="134" xfId="0" applyFont="1" applyBorder="1" applyProtection="1"/>
    <xf numFmtId="0" fontId="4" fillId="0" borderId="134" xfId="0" applyFont="1" applyBorder="1" applyAlignment="1" applyProtection="1">
      <alignment horizontal="center"/>
    </xf>
    <xf numFmtId="0" fontId="1" fillId="12" borderId="134" xfId="0" applyFont="1" applyFill="1" applyBorder="1" applyAlignment="1" applyProtection="1">
      <alignment horizontal="center"/>
      <protection locked="0"/>
    </xf>
    <xf numFmtId="0" fontId="5" fillId="8" borderId="0" xfId="0" applyFont="1" applyFill="1" applyBorder="1" applyAlignment="1" applyProtection="1">
      <alignment wrapText="1"/>
    </xf>
    <xf numFmtId="0" fontId="5" fillId="8" borderId="20" xfId="0" applyFont="1" applyFill="1" applyBorder="1" applyAlignment="1" applyProtection="1">
      <alignment wrapText="1"/>
    </xf>
    <xf numFmtId="0" fontId="4" fillId="8" borderId="0" xfId="0" applyFont="1" applyFill="1" applyBorder="1" applyAlignment="1" applyProtection="1">
      <alignment wrapText="1"/>
    </xf>
    <xf numFmtId="0" fontId="4" fillId="8" borderId="20" xfId="0" applyFont="1" applyFill="1" applyBorder="1" applyAlignment="1" applyProtection="1">
      <alignment wrapText="1"/>
    </xf>
    <xf numFmtId="0" fontId="4" fillId="8" borderId="25" xfId="0" applyFont="1" applyFill="1" applyBorder="1" applyAlignment="1" applyProtection="1">
      <alignment wrapText="1"/>
    </xf>
    <xf numFmtId="0" fontId="36" fillId="0" borderId="134" xfId="0" applyFont="1" applyBorder="1" applyAlignment="1" applyProtection="1">
      <alignment horizontal="center"/>
    </xf>
    <xf numFmtId="0" fontId="4" fillId="0" borderId="0" xfId="0" applyFont="1" applyAlignment="1" applyProtection="1">
      <alignment horizontal="center"/>
    </xf>
    <xf numFmtId="164" fontId="4" fillId="0" borderId="97" xfId="0" applyNumberFormat="1" applyFont="1" applyBorder="1" applyAlignment="1" applyProtection="1">
      <alignment horizontal="center"/>
    </xf>
    <xf numFmtId="164" fontId="4" fillId="0" borderId="29" xfId="0" applyNumberFormat="1" applyFont="1" applyFill="1" applyBorder="1" applyAlignment="1" applyProtection="1">
      <alignment horizontal="center"/>
      <protection locked="0"/>
    </xf>
    <xf numFmtId="164" fontId="4" fillId="0" borderId="99" xfId="0" applyNumberFormat="1" applyFont="1" applyFill="1" applyBorder="1" applyAlignment="1" applyProtection="1">
      <alignment horizontal="center"/>
      <protection locked="0"/>
    </xf>
    <xf numFmtId="164" fontId="4" fillId="0" borderId="37" xfId="0" applyNumberFormat="1" applyFont="1" applyFill="1" applyBorder="1" applyAlignment="1" applyProtection="1">
      <alignment horizontal="center"/>
      <protection locked="0"/>
    </xf>
    <xf numFmtId="0" fontId="4" fillId="0" borderId="48" xfId="0" applyFont="1" applyFill="1" applyBorder="1" applyAlignment="1" applyProtection="1">
      <alignment horizontal="center"/>
      <protection locked="0"/>
    </xf>
    <xf numFmtId="0" fontId="4" fillId="0" borderId="99" xfId="0" applyFont="1" applyFill="1" applyBorder="1" applyAlignment="1" applyProtection="1">
      <alignment horizontal="center"/>
      <protection locked="0"/>
    </xf>
    <xf numFmtId="0" fontId="4" fillId="0" borderId="46" xfId="0" applyFont="1" applyFill="1" applyBorder="1" applyAlignment="1" applyProtection="1">
      <alignment horizontal="center"/>
      <protection locked="0"/>
    </xf>
    <xf numFmtId="0" fontId="4" fillId="0" borderId="37" xfId="0" applyFont="1" applyFill="1" applyBorder="1" applyAlignment="1" applyProtection="1">
      <alignment horizontal="center"/>
      <protection locked="0"/>
    </xf>
    <xf numFmtId="0" fontId="3" fillId="0" borderId="0" xfId="1" applyAlignment="1" applyProtection="1">
      <alignment horizontal="center"/>
    </xf>
    <xf numFmtId="0" fontId="4" fillId="0" borderId="0" xfId="0" applyFont="1" applyFill="1" applyProtection="1"/>
    <xf numFmtId="0" fontId="3" fillId="0" borderId="0" xfId="1" applyAlignment="1" applyProtection="1">
      <alignment horizontal="center"/>
    </xf>
    <xf numFmtId="0" fontId="5" fillId="0" borderId="0" xfId="0" applyFont="1" applyAlignment="1" applyProtection="1">
      <alignment horizontal="center"/>
    </xf>
    <xf numFmtId="0" fontId="60" fillId="0" borderId="0" xfId="0" applyFont="1" applyAlignment="1" applyProtection="1">
      <alignment horizontal="center" vertical="center"/>
    </xf>
    <xf numFmtId="0" fontId="57" fillId="17" borderId="0" xfId="0" applyFont="1" applyFill="1" applyAlignment="1" applyProtection="1">
      <alignment horizontal="center"/>
    </xf>
    <xf numFmtId="0" fontId="0" fillId="0" borderId="0" xfId="0" applyAlignment="1" applyProtection="1">
      <alignment horizontal="center"/>
    </xf>
    <xf numFmtId="0" fontId="4" fillId="0" borderId="0" xfId="0" applyFont="1" applyAlignment="1" applyProtection="1">
      <alignment horizontal="center"/>
    </xf>
    <xf numFmtId="0" fontId="1" fillId="0" borderId="0" xfId="0" applyFont="1" applyFill="1" applyBorder="1" applyAlignment="1" applyProtection="1">
      <alignment horizontal="center"/>
    </xf>
    <xf numFmtId="0" fontId="4" fillId="0" borderId="0" xfId="0" applyFont="1" applyAlignment="1" applyProtection="1">
      <alignment horizontal="center"/>
    </xf>
    <xf numFmtId="164" fontId="4" fillId="0" borderId="26" xfId="0" applyNumberFormat="1" applyFont="1" applyFill="1" applyBorder="1" applyAlignment="1" applyProtection="1"/>
    <xf numFmtId="0" fontId="7" fillId="0" borderId="134" xfId="0" applyFont="1" applyBorder="1" applyAlignment="1" applyProtection="1">
      <alignment horizontal="center"/>
    </xf>
    <xf numFmtId="0" fontId="7"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20" fillId="0" borderId="0" xfId="0" applyFont="1" applyFill="1" applyBorder="1" applyProtection="1"/>
    <xf numFmtId="0" fontId="0" fillId="0" borderId="0" xfId="0" applyFill="1" applyBorder="1" applyAlignment="1" applyProtection="1">
      <alignment horizontal="center"/>
    </xf>
    <xf numFmtId="164" fontId="4" fillId="0" borderId="0" xfId="0" applyNumberFormat="1" applyFont="1" applyFill="1" applyBorder="1" applyAlignment="1" applyProtection="1">
      <alignment horizontal="center" vertical="center"/>
      <protection locked="0"/>
    </xf>
    <xf numFmtId="164" fontId="4" fillId="0" borderId="72" xfId="0" applyNumberFormat="1" applyFont="1" applyFill="1" applyBorder="1" applyAlignment="1" applyProtection="1">
      <alignment horizontal="center" vertical="center"/>
    </xf>
    <xf numFmtId="0" fontId="4" fillId="0" borderId="134" xfId="0" applyFont="1" applyBorder="1" applyAlignment="1" applyProtection="1">
      <alignment horizontal="center" vertical="center"/>
    </xf>
    <xf numFmtId="0" fontId="7" fillId="0" borderId="134" xfId="0" applyFont="1" applyBorder="1" applyAlignment="1" applyProtection="1">
      <alignment horizontal="center" vertical="center"/>
    </xf>
    <xf numFmtId="0" fontId="4" fillId="0" borderId="0" xfId="0" applyFont="1" applyAlignment="1" applyProtection="1">
      <alignment vertical="center"/>
    </xf>
    <xf numFmtId="164" fontId="4" fillId="0" borderId="23" xfId="0" applyNumberFormat="1" applyFont="1" applyFill="1" applyBorder="1" applyAlignment="1" applyProtection="1">
      <alignment horizontal="center" vertical="center"/>
    </xf>
    <xf numFmtId="164" fontId="4" fillId="0" borderId="24" xfId="0" applyNumberFormat="1" applyFont="1" applyFill="1" applyBorder="1" applyAlignment="1" applyProtection="1">
      <alignment horizontal="center" vertical="center"/>
    </xf>
    <xf numFmtId="164" fontId="4" fillId="0" borderId="65" xfId="0" applyNumberFormat="1" applyFont="1" applyFill="1" applyBorder="1" applyAlignment="1" applyProtection="1">
      <alignment horizontal="center" vertical="center"/>
    </xf>
    <xf numFmtId="0" fontId="47" fillId="0" borderId="0" xfId="0" applyFont="1" applyFill="1" applyAlignment="1" applyProtection="1">
      <alignment vertical="center"/>
    </xf>
    <xf numFmtId="0" fontId="4" fillId="0" borderId="125" xfId="0" applyFont="1" applyFill="1" applyBorder="1" applyAlignment="1" applyProtection="1">
      <alignment vertical="center" wrapText="1"/>
      <protection locked="0"/>
    </xf>
    <xf numFmtId="0" fontId="4" fillId="0" borderId="125" xfId="0" applyFont="1" applyFill="1" applyBorder="1" applyAlignment="1" applyProtection="1">
      <alignment horizontal="center" vertical="center" wrapText="1"/>
      <protection locked="0"/>
    </xf>
    <xf numFmtId="0" fontId="5" fillId="0" borderId="31" xfId="0" applyFont="1" applyFill="1" applyBorder="1" applyAlignment="1" applyProtection="1"/>
    <xf numFmtId="0" fontId="7" fillId="0" borderId="123" xfId="0" applyFont="1" applyFill="1" applyBorder="1" applyAlignment="1" applyProtection="1">
      <alignment vertical="center" wrapText="1"/>
    </xf>
    <xf numFmtId="0" fontId="5" fillId="0" borderId="0" xfId="0" applyFont="1" applyBorder="1" applyAlignment="1" applyProtection="1">
      <alignment horizontal="right" vertical="center"/>
    </xf>
    <xf numFmtId="164" fontId="4" fillId="0" borderId="0" xfId="0" applyNumberFormat="1" applyFont="1" applyFill="1" applyBorder="1" applyAlignment="1" applyProtection="1">
      <alignment vertical="center"/>
      <protection locked="0"/>
    </xf>
    <xf numFmtId="164" fontId="4" fillId="0" borderId="20" xfId="0" applyNumberFormat="1" applyFont="1" applyFill="1" applyBorder="1" applyAlignment="1" applyProtection="1"/>
    <xf numFmtId="0" fontId="5" fillId="0" borderId="0" xfId="0" applyFont="1" applyAlignment="1" applyProtection="1">
      <alignment horizontal="left"/>
    </xf>
    <xf numFmtId="0" fontId="3" fillId="0" borderId="0" xfId="1" applyFill="1" applyAlignment="1" applyProtection="1">
      <alignment horizontal="center"/>
    </xf>
    <xf numFmtId="0" fontId="0" fillId="8" borderId="0" xfId="0" applyFill="1" applyAlignment="1" applyProtection="1">
      <alignment horizontal="left" vertical="top" wrapText="1"/>
    </xf>
    <xf numFmtId="0" fontId="3" fillId="0" borderId="0" xfId="1" applyAlignment="1" applyProtection="1">
      <alignment horizontal="center"/>
    </xf>
    <xf numFmtId="0" fontId="5" fillId="0" borderId="0" xfId="0" applyFont="1" applyAlignment="1" applyProtection="1">
      <alignment horizontal="center"/>
    </xf>
    <xf numFmtId="0" fontId="10" fillId="17"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3" fillId="0" borderId="0" xfId="1" applyBorder="1" applyAlignment="1" applyProtection="1">
      <alignment horizontal="center"/>
    </xf>
    <xf numFmtId="0" fontId="3" fillId="0" borderId="0" xfId="1" applyFill="1" applyAlignment="1" applyProtection="1"/>
    <xf numFmtId="0" fontId="1" fillId="0" borderId="0" xfId="0" applyFont="1" applyAlignment="1" applyProtection="1">
      <alignment horizontal="center"/>
    </xf>
    <xf numFmtId="0" fontId="0" fillId="0" borderId="0" xfId="0" applyAlignment="1" applyProtection="1">
      <alignment horizontal="center"/>
    </xf>
    <xf numFmtId="0" fontId="4" fillId="0" borderId="0" xfId="0" applyFont="1" applyAlignment="1" applyProtection="1">
      <alignment horizontal="center"/>
    </xf>
    <xf numFmtId="0" fontId="4" fillId="12" borderId="35" xfId="0" applyFont="1" applyFill="1" applyBorder="1" applyAlignment="1" applyProtection="1">
      <alignment horizontal="center"/>
      <protection locked="0"/>
    </xf>
    <xf numFmtId="0" fontId="0" fillId="0" borderId="0" xfId="0" applyAlignment="1">
      <alignment horizontal="center"/>
    </xf>
    <xf numFmtId="3" fontId="5" fillId="0" borderId="49" xfId="0" applyNumberFormat="1" applyFont="1" applyFill="1" applyBorder="1" applyAlignment="1" applyProtection="1">
      <alignment horizontal="center" vertical="top" wrapText="1"/>
    </xf>
    <xf numFmtId="0" fontId="4" fillId="0" borderId="0" xfId="0" applyFont="1" applyAlignment="1" applyProtection="1">
      <alignment horizontal="center"/>
    </xf>
    <xf numFmtId="0" fontId="48" fillId="0" borderId="0" xfId="1" applyFont="1" applyBorder="1" applyAlignment="1" applyProtection="1">
      <alignment horizontal="center"/>
    </xf>
    <xf numFmtId="0" fontId="49" fillId="0" borderId="0" xfId="0" applyFont="1" applyBorder="1" applyAlignment="1" applyProtection="1">
      <alignment horizontal="center"/>
    </xf>
    <xf numFmtId="0" fontId="0" fillId="0" borderId="0" xfId="0" applyBorder="1" applyAlignment="1">
      <alignment horizontal="center"/>
    </xf>
    <xf numFmtId="0" fontId="7" fillId="4" borderId="22" xfId="0" applyFont="1" applyFill="1" applyBorder="1" applyAlignment="1" applyProtection="1">
      <alignment horizontal="center" vertical="center" wrapText="1"/>
    </xf>
    <xf numFmtId="170" fontId="4" fillId="0" borderId="133" xfId="0" applyNumberFormat="1" applyFont="1" applyBorder="1" applyAlignment="1" applyProtection="1">
      <alignment horizontal="center"/>
    </xf>
    <xf numFmtId="170" fontId="7" fillId="8" borderId="0" xfId="0" applyNumberFormat="1" applyFont="1" applyFill="1" applyBorder="1" applyAlignment="1" applyProtection="1">
      <alignment horizontal="center"/>
    </xf>
    <xf numFmtId="0" fontId="31" fillId="0" borderId="0" xfId="1" applyFont="1" applyFill="1" applyBorder="1" applyAlignment="1" applyProtection="1">
      <alignment horizontal="center"/>
    </xf>
    <xf numFmtId="0" fontId="36" fillId="0" borderId="0" xfId="0" applyFont="1" applyBorder="1" applyAlignment="1" applyProtection="1">
      <alignment vertical="center" wrapText="1"/>
    </xf>
    <xf numFmtId="0" fontId="0" fillId="0" borderId="0" xfId="0" applyBorder="1" applyAlignment="1" applyProtection="1">
      <alignment horizontal="center"/>
    </xf>
    <xf numFmtId="0" fontId="36" fillId="0" borderId="85" xfId="0" applyFont="1" applyBorder="1" applyAlignment="1">
      <alignment horizontal="center" vertical="center"/>
    </xf>
    <xf numFmtId="0" fontId="36" fillId="0" borderId="134" xfId="0" applyFont="1" applyFill="1" applyBorder="1" applyAlignment="1" applyProtection="1">
      <alignment horizontal="center" vertical="center" wrapText="1"/>
      <protection locked="0"/>
    </xf>
    <xf numFmtId="0" fontId="4" fillId="0" borderId="134" xfId="0" applyFont="1" applyFill="1" applyBorder="1" applyProtection="1">
      <protection locked="0"/>
    </xf>
    <xf numFmtId="0" fontId="36" fillId="0" borderId="33" xfId="0" applyFont="1" applyFill="1" applyBorder="1" applyAlignment="1" applyProtection="1">
      <alignment horizontal="center" vertical="center" wrapText="1"/>
      <protection locked="0"/>
    </xf>
    <xf numFmtId="0" fontId="36" fillId="0" borderId="35" xfId="0" applyFont="1" applyFill="1" applyBorder="1" applyAlignment="1" applyProtection="1">
      <alignment horizontal="center" vertical="center" wrapText="1"/>
      <protection locked="0"/>
    </xf>
    <xf numFmtId="0" fontId="4" fillId="0" borderId="35" xfId="0" applyFont="1" applyFill="1" applyBorder="1" applyProtection="1">
      <protection locked="0"/>
    </xf>
    <xf numFmtId="0" fontId="36" fillId="0" borderId="36" xfId="0" applyFont="1" applyFill="1" applyBorder="1" applyAlignment="1" applyProtection="1">
      <alignment horizontal="center" vertical="center" wrapText="1"/>
      <protection locked="0"/>
    </xf>
    <xf numFmtId="0" fontId="4" fillId="12" borderId="134" xfId="0" applyFont="1" applyFill="1" applyBorder="1" applyAlignment="1" applyProtection="1">
      <alignment horizontal="center"/>
      <protection locked="0"/>
    </xf>
    <xf numFmtId="0" fontId="5" fillId="0" borderId="0" xfId="0" applyFont="1" applyFill="1" applyBorder="1" applyAlignment="1">
      <alignment vertical="center"/>
    </xf>
    <xf numFmtId="0" fontId="36" fillId="0" borderId="22" xfId="0" applyFont="1" applyBorder="1" applyAlignment="1">
      <alignment horizontal="center"/>
    </xf>
    <xf numFmtId="0" fontId="36" fillId="0" borderId="140" xfId="0" applyFont="1" applyBorder="1" applyAlignment="1">
      <alignment horizontal="center"/>
    </xf>
    <xf numFmtId="0" fontId="4" fillId="12" borderId="118" xfId="0" applyFont="1" applyFill="1" applyBorder="1" applyAlignment="1" applyProtection="1">
      <alignment horizontal="center"/>
      <protection locked="0"/>
    </xf>
    <xf numFmtId="0" fontId="4" fillId="12" borderId="139" xfId="0" applyFont="1" applyFill="1" applyBorder="1" applyAlignment="1" applyProtection="1">
      <alignment horizontal="center"/>
      <protection locked="0"/>
    </xf>
    <xf numFmtId="0" fontId="4" fillId="0" borderId="137" xfId="0" applyFont="1" applyFill="1" applyBorder="1" applyAlignment="1" applyProtection="1">
      <alignment horizontal="center"/>
    </xf>
    <xf numFmtId="0" fontId="4" fillId="12" borderId="137" xfId="0" applyFont="1" applyFill="1" applyBorder="1" applyAlignment="1" applyProtection="1">
      <alignment horizontal="center"/>
      <protection locked="0"/>
    </xf>
    <xf numFmtId="0" fontId="4" fillId="12" borderId="140" xfId="0" applyFont="1" applyFill="1" applyBorder="1" applyAlignment="1" applyProtection="1">
      <alignment horizontal="center"/>
      <protection locked="0"/>
    </xf>
    <xf numFmtId="0" fontId="0" fillId="0" borderId="25" xfId="0" applyBorder="1"/>
    <xf numFmtId="0" fontId="0" fillId="0" borderId="63" xfId="0" applyBorder="1"/>
    <xf numFmtId="0" fontId="36" fillId="0" borderId="139" xfId="0" applyFont="1" applyFill="1" applyBorder="1" applyAlignment="1" applyProtection="1">
      <alignment horizontal="center" vertical="center" wrapText="1"/>
      <protection locked="0"/>
    </xf>
    <xf numFmtId="0" fontId="4" fillId="0" borderId="139" xfId="0" applyFont="1" applyFill="1" applyBorder="1" applyProtection="1">
      <protection locked="0"/>
    </xf>
    <xf numFmtId="0" fontId="36" fillId="0" borderId="137" xfId="0" applyFont="1" applyFill="1" applyBorder="1" applyAlignment="1" applyProtection="1">
      <alignment horizontal="center" vertical="center" wrapText="1"/>
      <protection locked="0"/>
    </xf>
    <xf numFmtId="0" fontId="0" fillId="0" borderId="125" xfId="0" applyBorder="1" applyAlignment="1">
      <alignment horizontal="center"/>
    </xf>
    <xf numFmtId="0" fontId="18" fillId="4" borderId="35" xfId="0" applyFont="1" applyFill="1" applyBorder="1" applyAlignment="1">
      <alignment horizontal="center" vertical="center" wrapText="1"/>
    </xf>
    <xf numFmtId="0" fontId="54" fillId="0" borderId="0" xfId="0" applyFont="1" applyFill="1" applyBorder="1" applyAlignment="1" applyProtection="1">
      <alignment horizontal="center"/>
    </xf>
    <xf numFmtId="0" fontId="54" fillId="0" borderId="0" xfId="0" applyFont="1" applyFill="1" applyBorder="1" applyAlignment="1" applyProtection="1">
      <alignment horizontal="left"/>
    </xf>
    <xf numFmtId="0" fontId="74" fillId="0" borderId="0" xfId="1" applyFont="1" applyAlignment="1" applyProtection="1"/>
    <xf numFmtId="0" fontId="54" fillId="0" borderId="0" xfId="0" applyFont="1" applyProtection="1"/>
    <xf numFmtId="164" fontId="4" fillId="0" borderId="0" xfId="0" applyNumberFormat="1" applyFont="1" applyFill="1" applyBorder="1" applyAlignment="1" applyProtection="1">
      <alignment horizontal="center" vertical="center"/>
    </xf>
    <xf numFmtId="0" fontId="51" fillId="0" borderId="0" xfId="1" applyFont="1" applyAlignment="1" applyProtection="1">
      <alignment vertical="center" wrapText="1"/>
    </xf>
    <xf numFmtId="0" fontId="75" fillId="0" borderId="0" xfId="1" applyFont="1" applyFill="1" applyAlignment="1" applyProtection="1">
      <alignment vertical="center" wrapText="1"/>
    </xf>
    <xf numFmtId="0" fontId="4" fillId="4" borderId="124" xfId="0" applyFont="1" applyFill="1" applyBorder="1" applyAlignment="1" applyProtection="1">
      <alignment horizontal="center" wrapText="1"/>
    </xf>
    <xf numFmtId="0" fontId="4" fillId="4" borderId="125" xfId="0" applyFont="1" applyFill="1" applyBorder="1" applyAlignment="1" applyProtection="1">
      <alignment horizontal="center" wrapText="1"/>
    </xf>
    <xf numFmtId="0" fontId="4" fillId="4" borderId="127" xfId="0" applyFont="1" applyFill="1" applyBorder="1" applyAlignment="1" applyProtection="1">
      <alignment horizontal="center" wrapText="1"/>
    </xf>
    <xf numFmtId="0" fontId="4" fillId="4" borderId="139" xfId="0" applyFont="1" applyFill="1" applyBorder="1" applyAlignment="1" applyProtection="1">
      <alignment horizontal="center" wrapText="1"/>
    </xf>
    <xf numFmtId="0" fontId="4" fillId="4" borderId="137" xfId="0" applyFont="1" applyFill="1" applyBorder="1" applyAlignment="1" applyProtection="1">
      <alignment horizontal="center" wrapText="1"/>
    </xf>
    <xf numFmtId="2" fontId="4" fillId="0" borderId="134" xfId="0" applyNumberFormat="1" applyFont="1" applyBorder="1" applyAlignment="1" applyProtection="1">
      <alignment horizontal="center"/>
    </xf>
    <xf numFmtId="3" fontId="4" fillId="0" borderId="36" xfId="0" applyNumberFormat="1" applyFont="1" applyBorder="1" applyAlignment="1" applyProtection="1">
      <alignment horizontal="center"/>
    </xf>
    <xf numFmtId="3" fontId="7" fillId="8" borderId="56" xfId="0" applyNumberFormat="1" applyFont="1" applyFill="1" applyBorder="1" applyAlignment="1" applyProtection="1">
      <alignment horizontal="center" vertical="center"/>
    </xf>
    <xf numFmtId="0" fontId="4" fillId="0" borderId="0" xfId="0" applyFont="1" applyFill="1" applyBorder="1" applyAlignment="1" applyProtection="1">
      <alignment vertical="center" wrapText="1"/>
    </xf>
    <xf numFmtId="0" fontId="4" fillId="0" borderId="134" xfId="0" applyFont="1" applyFill="1" applyBorder="1" applyAlignment="1" applyProtection="1">
      <alignment horizontal="center"/>
    </xf>
    <xf numFmtId="0" fontId="4" fillId="0" borderId="0" xfId="0" applyFont="1" applyFill="1" applyBorder="1" applyAlignment="1" applyProtection="1">
      <alignment vertical="top"/>
    </xf>
    <xf numFmtId="0" fontId="0" fillId="8" borderId="0" xfId="0" applyFill="1" applyAlignment="1" applyProtection="1">
      <alignment horizontal="right"/>
    </xf>
    <xf numFmtId="0" fontId="1" fillId="8" borderId="0" xfId="0" applyFont="1" applyFill="1" applyAlignment="1" applyProtection="1">
      <alignment horizontal="center"/>
    </xf>
    <xf numFmtId="0" fontId="0" fillId="8" borderId="0" xfId="0" applyFill="1" applyAlignment="1" applyProtection="1">
      <alignment horizontal="center"/>
    </xf>
    <xf numFmtId="0" fontId="10" fillId="0" borderId="0" xfId="1" applyFont="1" applyFill="1" applyBorder="1" applyAlignment="1" applyProtection="1">
      <alignment horizontal="center"/>
    </xf>
    <xf numFmtId="0" fontId="18" fillId="0" borderId="0" xfId="0" applyFont="1" applyFill="1" applyBorder="1" applyAlignment="1" applyProtection="1">
      <alignment horizontal="center"/>
    </xf>
    <xf numFmtId="0" fontId="73" fillId="0" borderId="0" xfId="0" applyFont="1" applyAlignment="1" applyProtection="1">
      <alignment vertical="top" wrapText="1"/>
    </xf>
    <xf numFmtId="0" fontId="1" fillId="0" borderId="0" xfId="0" applyFont="1" applyBorder="1" applyAlignment="1" applyProtection="1">
      <alignment vertical="top" wrapText="1"/>
    </xf>
    <xf numFmtId="0" fontId="1" fillId="0" borderId="0" xfId="0" applyFont="1" applyBorder="1" applyAlignment="1" applyProtection="1">
      <alignment horizontal="left" vertical="center" indent="1"/>
    </xf>
    <xf numFmtId="0" fontId="1" fillId="0" borderId="0" xfId="0" applyFont="1" applyAlignment="1">
      <alignment horizontal="right" vertical="center" indent="1"/>
    </xf>
    <xf numFmtId="0" fontId="30" fillId="0" borderId="0" xfId="1" applyFont="1" applyFill="1" applyBorder="1" applyAlignment="1" applyProtection="1">
      <alignment horizontal="center"/>
    </xf>
    <xf numFmtId="0" fontId="76" fillId="0" borderId="0" xfId="1" applyFont="1" applyFill="1" applyBorder="1" applyAlignment="1" applyProtection="1"/>
    <xf numFmtId="0" fontId="3" fillId="8" borderId="0" xfId="1" applyFill="1" applyAlignment="1" applyProtection="1">
      <alignment horizontal="left"/>
    </xf>
    <xf numFmtId="0" fontId="7" fillId="0" borderId="0" xfId="0" applyFont="1" applyFill="1" applyBorder="1" applyAlignment="1" applyProtection="1">
      <alignment horizontal="right"/>
    </xf>
    <xf numFmtId="0" fontId="1" fillId="0" borderId="0" xfId="0" applyFont="1" applyBorder="1" applyAlignment="1" applyProtection="1">
      <alignment horizontal="left" vertical="top" wrapText="1" indent="1"/>
    </xf>
    <xf numFmtId="0" fontId="0" fillId="8" borderId="0" xfId="0" applyFill="1" applyAlignment="1" applyProtection="1">
      <alignment horizontal="left" vertical="top" wrapText="1"/>
    </xf>
    <xf numFmtId="0" fontId="7" fillId="0" borderId="0" xfId="0" applyFont="1" applyAlignment="1" applyProtection="1">
      <alignment horizontal="center"/>
    </xf>
    <xf numFmtId="0" fontId="0" fillId="8" borderId="0" xfId="0" applyFill="1" applyAlignment="1" applyProtection="1">
      <alignment horizontal="left" vertical="top" wrapText="1"/>
    </xf>
    <xf numFmtId="0" fontId="7" fillId="0" borderId="0" xfId="0" applyFont="1" applyFill="1" applyBorder="1" applyAlignment="1" applyProtection="1">
      <alignment horizontal="right"/>
    </xf>
    <xf numFmtId="0" fontId="3" fillId="8" borderId="0" xfId="1" applyFill="1" applyAlignment="1" applyProtection="1">
      <alignment horizontal="left"/>
    </xf>
    <xf numFmtId="0" fontId="1" fillId="0" borderId="135" xfId="0" applyFont="1" applyFill="1" applyBorder="1" applyAlignment="1" applyProtection="1">
      <alignment horizontal="left"/>
    </xf>
    <xf numFmtId="0" fontId="1" fillId="0" borderId="123" xfId="0" applyFont="1" applyFill="1" applyBorder="1" applyAlignment="1" applyProtection="1">
      <alignment horizontal="left"/>
    </xf>
    <xf numFmtId="0" fontId="7" fillId="0" borderId="142" xfId="0" applyFont="1" applyFill="1" applyBorder="1" applyAlignment="1" applyProtection="1">
      <alignment horizontal="left" indent="1"/>
    </xf>
    <xf numFmtId="0" fontId="36" fillId="0" borderId="0" xfId="0" applyFont="1" applyBorder="1" applyAlignment="1" applyProtection="1">
      <alignment horizontal="center" wrapText="1"/>
    </xf>
    <xf numFmtId="0" fontId="7" fillId="0" borderId="142" xfId="0" applyFont="1" applyFill="1" applyBorder="1" applyAlignment="1" applyProtection="1"/>
    <xf numFmtId="0" fontId="1" fillId="0" borderId="135" xfId="0" applyFont="1" applyFill="1" applyBorder="1" applyAlignment="1" applyProtection="1">
      <alignment horizontal="left" indent="1"/>
    </xf>
    <xf numFmtId="0" fontId="7" fillId="0" borderId="135" xfId="0" applyFont="1" applyFill="1" applyBorder="1" applyAlignment="1" applyProtection="1">
      <alignment horizontal="right"/>
    </xf>
    <xf numFmtId="0" fontId="4" fillId="0" borderId="142" xfId="0" applyFont="1" applyFill="1" applyBorder="1" applyAlignment="1" applyProtection="1">
      <alignment horizontal="right"/>
    </xf>
    <xf numFmtId="0" fontId="10" fillId="17" borderId="0" xfId="0" applyFont="1" applyFill="1" applyBorder="1" applyAlignment="1" applyProtection="1">
      <alignment horizontal="left"/>
    </xf>
    <xf numFmtId="0" fontId="1" fillId="0" borderId="142" xfId="0" applyFont="1" applyFill="1" applyBorder="1" applyAlignment="1" applyProtection="1">
      <alignment horizontal="left"/>
    </xf>
    <xf numFmtId="0" fontId="7" fillId="0" borderId="134" xfId="1" applyFont="1" applyFill="1" applyBorder="1" applyAlignment="1" applyProtection="1">
      <alignment horizontal="center"/>
    </xf>
    <xf numFmtId="170" fontId="7" fillId="0" borderId="144" xfId="1" applyNumberFormat="1" applyFont="1" applyFill="1" applyBorder="1" applyAlignment="1" applyProtection="1">
      <alignment horizontal="center"/>
    </xf>
    <xf numFmtId="0" fontId="8" fillId="0" borderId="0" xfId="0" applyFont="1" applyFill="1" applyBorder="1" applyAlignment="1" applyProtection="1">
      <alignment horizontal="left"/>
    </xf>
    <xf numFmtId="0" fontId="0" fillId="8" borderId="0" xfId="0" applyFill="1" applyAlignment="1" applyProtection="1">
      <alignment horizontal="left" vertical="top" wrapText="1"/>
    </xf>
    <xf numFmtId="0" fontId="36" fillId="0" borderId="0" xfId="0" applyFont="1" applyBorder="1" applyAlignment="1" applyProtection="1">
      <alignment horizontal="center" wrapText="1"/>
    </xf>
    <xf numFmtId="0" fontId="5" fillId="0" borderId="0" xfId="0" applyFont="1" applyAlignment="1" applyProtection="1">
      <alignment horizontal="center"/>
    </xf>
    <xf numFmtId="0" fontId="10" fillId="17" borderId="0" xfId="0" applyFont="1" applyFill="1" applyAlignment="1" applyProtection="1">
      <alignment horizontal="center"/>
    </xf>
    <xf numFmtId="0" fontId="4" fillId="0" borderId="0" xfId="0" applyFont="1" applyBorder="1" applyAlignment="1" applyProtection="1">
      <alignment horizontal="center" textRotation="90" wrapText="1"/>
    </xf>
    <xf numFmtId="0" fontId="63" fillId="0" borderId="0" xfId="0" applyFont="1" applyAlignment="1">
      <alignment horizontal="center" vertical="center"/>
    </xf>
    <xf numFmtId="0" fontId="0" fillId="0" borderId="0" xfId="0" applyAlignment="1">
      <alignment horizontal="left" wrapText="1"/>
    </xf>
    <xf numFmtId="0" fontId="4" fillId="0" borderId="0" xfId="0" applyFont="1" applyAlignment="1" applyProtection="1">
      <alignment horizontal="center"/>
    </xf>
    <xf numFmtId="0" fontId="64" fillId="0" borderId="0" xfId="0" applyFont="1" applyAlignment="1">
      <alignment horizontal="center"/>
    </xf>
    <xf numFmtId="0" fontId="40" fillId="16" borderId="81" xfId="2" applyFont="1" applyFill="1" applyBorder="1" applyAlignment="1">
      <alignment horizontal="center" vertical="center" wrapText="1"/>
    </xf>
    <xf numFmtId="0" fontId="40" fillId="16" borderId="82" xfId="2" applyFont="1" applyFill="1" applyBorder="1" applyAlignment="1">
      <alignment horizontal="center" vertical="center" wrapText="1"/>
    </xf>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xf>
    <xf numFmtId="0" fontId="7" fillId="0" borderId="0" xfId="0" applyFont="1" applyAlignment="1" applyProtection="1">
      <alignment horizontal="right" vertical="center" indent="1"/>
    </xf>
    <xf numFmtId="0" fontId="77" fillId="0" borderId="0" xfId="0" applyFont="1" applyAlignment="1">
      <alignment horizontal="right" vertical="center"/>
    </xf>
    <xf numFmtId="3" fontId="77" fillId="0" borderId="0" xfId="0" applyNumberFormat="1" applyFont="1" applyAlignment="1">
      <alignment horizontal="center" vertical="center"/>
    </xf>
    <xf numFmtId="0" fontId="4" fillId="0" borderId="142" xfId="0" applyFont="1" applyBorder="1" applyAlignment="1" applyProtection="1">
      <alignment horizontal="center" textRotation="90" wrapText="1"/>
    </xf>
    <xf numFmtId="0" fontId="0" fillId="0" borderId="0" xfId="0" applyBorder="1" applyAlignment="1" applyProtection="1">
      <alignment horizontal="right"/>
    </xf>
    <xf numFmtId="0" fontId="18" fillId="0" borderId="0" xfId="0" applyFont="1" applyAlignment="1" applyProtection="1">
      <alignment horizontal="right"/>
    </xf>
    <xf numFmtId="0" fontId="0" fillId="0" borderId="147" xfId="0" applyBorder="1" applyProtection="1"/>
    <xf numFmtId="0" fontId="4" fillId="0" borderId="148" xfId="0" applyFont="1" applyBorder="1" applyAlignment="1" applyProtection="1">
      <alignment vertical="top" wrapText="1"/>
    </xf>
    <xf numFmtId="0" fontId="4" fillId="4" borderId="142" xfId="0" applyFont="1" applyFill="1" applyBorder="1" applyAlignment="1" applyProtection="1">
      <alignment horizontal="center" wrapText="1"/>
    </xf>
    <xf numFmtId="0" fontId="4" fillId="0" borderId="139" xfId="0" applyFont="1" applyFill="1" applyBorder="1" applyAlignment="1" applyProtection="1">
      <alignment horizontal="center"/>
      <protection locked="0"/>
    </xf>
    <xf numFmtId="0" fontId="4" fillId="8" borderId="142" xfId="0" applyFont="1" applyFill="1" applyBorder="1" applyAlignment="1" applyProtection="1">
      <alignment wrapText="1"/>
    </xf>
    <xf numFmtId="0" fontId="33" fillId="0" borderId="0" xfId="0" applyFont="1" applyAlignment="1">
      <alignment horizontal="center"/>
    </xf>
    <xf numFmtId="0" fontId="33" fillId="0" borderId="0" xfId="0" applyFont="1"/>
    <xf numFmtId="0" fontId="1" fillId="8" borderId="0" xfId="0" applyFont="1" applyFill="1" applyAlignment="1" applyProtection="1">
      <alignment wrapText="1"/>
    </xf>
    <xf numFmtId="0" fontId="7" fillId="8" borderId="0" xfId="0" applyFont="1" applyFill="1" applyProtection="1"/>
    <xf numFmtId="0" fontId="7" fillId="8" borderId="0" xfId="0" applyFont="1" applyFill="1" applyAlignment="1" applyProtection="1">
      <alignment horizontal="center"/>
    </xf>
    <xf numFmtId="0" fontId="5" fillId="8" borderId="0" xfId="0" applyFont="1" applyFill="1" applyProtection="1"/>
    <xf numFmtId="0" fontId="4" fillId="8" borderId="144" xfId="0" applyFont="1" applyFill="1" applyBorder="1" applyAlignment="1" applyProtection="1">
      <alignment horizontal="center" vertical="center"/>
    </xf>
    <xf numFmtId="0" fontId="1" fillId="0" borderId="0" xfId="2" applyFill="1"/>
    <xf numFmtId="0" fontId="4" fillId="0" borderId="33" xfId="0" applyFont="1" applyBorder="1" applyAlignment="1" applyProtection="1">
      <alignment horizontal="center"/>
    </xf>
    <xf numFmtId="0" fontId="1" fillId="0" borderId="0" xfId="2" applyFill="1" applyBorder="1"/>
    <xf numFmtId="0" fontId="4" fillId="0" borderId="97" xfId="0" applyFont="1" applyBorder="1" applyAlignment="1" applyProtection="1">
      <alignment horizontal="center"/>
    </xf>
    <xf numFmtId="0" fontId="0" fillId="0" borderId="97" xfId="0" applyBorder="1" applyAlignment="1">
      <alignment horizontal="center" wrapText="1"/>
    </xf>
    <xf numFmtId="0" fontId="1" fillId="0" borderId="0" xfId="2" applyAlignment="1">
      <alignment horizontal="center" vertical="center" textRotation="90"/>
    </xf>
    <xf numFmtId="0" fontId="1" fillId="0" borderId="0" xfId="2" applyAlignment="1">
      <alignment horizontal="center" vertical="center" textRotation="90" wrapText="1"/>
    </xf>
    <xf numFmtId="0" fontId="1" fillId="0" borderId="144" xfId="2" applyBorder="1"/>
    <xf numFmtId="0" fontId="32" fillId="0" borderId="0" xfId="2" applyFont="1"/>
    <xf numFmtId="0" fontId="1" fillId="0" borderId="0" xfId="2" applyAlignment="1">
      <alignment vertical="center" textRotation="90" wrapText="1"/>
    </xf>
    <xf numFmtId="0" fontId="72" fillId="24" borderId="149" xfId="2" applyNumberFormat="1" applyFont="1" applyFill="1" applyBorder="1" applyAlignment="1"/>
    <xf numFmtId="0" fontId="1" fillId="0" borderId="0" xfId="2" applyFill="1" applyAlignment="1">
      <alignment horizontal="center"/>
    </xf>
    <xf numFmtId="0" fontId="1" fillId="26" borderId="0" xfId="2" applyFill="1"/>
    <xf numFmtId="0" fontId="1" fillId="26" borderId="0" xfId="2" applyFill="1" applyBorder="1"/>
    <xf numFmtId="0" fontId="1" fillId="0" borderId="0" xfId="2" applyFill="1" applyAlignment="1">
      <alignment horizontal="left"/>
    </xf>
    <xf numFmtId="0" fontId="72" fillId="0" borderId="0" xfId="2" applyNumberFormat="1" applyFont="1" applyBorder="1" applyAlignment="1"/>
    <xf numFmtId="0" fontId="1" fillId="0" borderId="149" xfId="2" applyFill="1" applyBorder="1"/>
    <xf numFmtId="0" fontId="72" fillId="24" borderId="0" xfId="2" applyNumberFormat="1" applyFont="1" applyFill="1" applyBorder="1" applyAlignment="1"/>
    <xf numFmtId="0" fontId="1" fillId="0" borderId="0" xfId="2" applyFill="1" applyAlignment="1">
      <alignment horizontal="center" vertical="center" textRotation="90" wrapText="1"/>
    </xf>
    <xf numFmtId="0" fontId="1" fillId="0" borderId="0" xfId="2" applyFont="1" applyAlignment="1">
      <alignment horizontal="center"/>
    </xf>
    <xf numFmtId="0" fontId="5" fillId="0" borderId="0" xfId="2" applyFont="1" applyAlignment="1">
      <alignment horizontal="center" vertical="center" textRotation="90" wrapText="1"/>
    </xf>
    <xf numFmtId="0" fontId="57" fillId="23" borderId="111" xfId="2" applyNumberFormat="1" applyFont="1" applyFill="1" applyBorder="1" applyAlignment="1"/>
    <xf numFmtId="0" fontId="57" fillId="23" borderId="152" xfId="2" applyNumberFormat="1" applyFont="1" applyFill="1" applyBorder="1" applyAlignment="1">
      <alignment horizontal="center"/>
    </xf>
    <xf numFmtId="0" fontId="57" fillId="23" borderId="112" xfId="2" applyNumberFormat="1" applyFont="1" applyFill="1" applyBorder="1" applyAlignment="1"/>
    <xf numFmtId="0" fontId="72" fillId="24" borderId="111" xfId="2" applyNumberFormat="1" applyFont="1" applyFill="1" applyBorder="1" applyAlignment="1"/>
    <xf numFmtId="0" fontId="72" fillId="24" borderId="152" xfId="2" applyNumberFormat="1" applyFont="1" applyFill="1" applyBorder="1" applyAlignment="1">
      <alignment horizontal="center"/>
    </xf>
    <xf numFmtId="0" fontId="72" fillId="24" borderId="112" xfId="2" applyNumberFormat="1" applyFont="1" applyFill="1" applyBorder="1" applyAlignment="1"/>
    <xf numFmtId="0" fontId="72" fillId="0" borderId="111" xfId="2" applyNumberFormat="1" applyFont="1" applyBorder="1" applyAlignment="1"/>
    <xf numFmtId="0" fontId="72" fillId="0" borderId="152" xfId="2" applyNumberFormat="1" applyFont="1" applyBorder="1" applyAlignment="1">
      <alignment horizontal="center"/>
    </xf>
    <xf numFmtId="0" fontId="72" fillId="0" borderId="112" xfId="2" applyNumberFormat="1" applyFont="1" applyBorder="1" applyAlignment="1"/>
    <xf numFmtId="0" fontId="72" fillId="24" borderId="150" xfId="2" applyNumberFormat="1" applyFont="1" applyFill="1" applyBorder="1" applyAlignment="1">
      <alignment horizontal="center"/>
    </xf>
    <xf numFmtId="0" fontId="72" fillId="24" borderId="151" xfId="2" applyNumberFormat="1" applyFont="1" applyFill="1" applyBorder="1" applyAlignment="1"/>
    <xf numFmtId="0" fontId="1" fillId="0" borderId="144" xfId="2" applyBorder="1" applyAlignment="1">
      <alignment horizontal="center"/>
    </xf>
    <xf numFmtId="0" fontId="1" fillId="0" borderId="0" xfId="2" applyAlignment="1">
      <alignment horizontal="center"/>
    </xf>
    <xf numFmtId="0" fontId="1" fillId="0" borderId="0" xfId="2" applyFont="1" applyFill="1" applyAlignment="1">
      <alignment horizontal="center"/>
    </xf>
    <xf numFmtId="164" fontId="61" fillId="0" borderId="0" xfId="0" applyNumberFormat="1" applyFont="1" applyBorder="1" applyAlignment="1" applyProtection="1">
      <alignment horizontal="center" vertical="center"/>
    </xf>
    <xf numFmtId="0" fontId="0" fillId="0" borderId="0" xfId="2" applyFont="1" applyFill="1" applyAlignment="1">
      <alignment horizontal="center"/>
    </xf>
    <xf numFmtId="0" fontId="78" fillId="0" borderId="0" xfId="2" applyFont="1" applyFill="1" applyAlignment="1">
      <alignment horizontal="center" vertical="center" textRotation="90" wrapText="1"/>
    </xf>
    <xf numFmtId="0" fontId="0" fillId="0" borderId="0" xfId="2" applyFont="1" applyFill="1" applyAlignment="1">
      <alignment horizontal="left"/>
    </xf>
    <xf numFmtId="0" fontId="57" fillId="23" borderId="150" xfId="2" applyNumberFormat="1" applyFont="1" applyFill="1" applyBorder="1" applyAlignment="1">
      <alignment horizontal="center" vertical="center" textRotation="90"/>
    </xf>
    <xf numFmtId="0" fontId="57" fillId="23" borderId="150" xfId="2" applyNumberFormat="1" applyFont="1" applyFill="1" applyBorder="1" applyAlignment="1">
      <alignment horizontal="center" vertical="center" textRotation="90" wrapText="1"/>
    </xf>
    <xf numFmtId="0" fontId="57" fillId="23" borderId="151" xfId="2" applyNumberFormat="1" applyFont="1" applyFill="1" applyBorder="1" applyAlignment="1">
      <alignment horizontal="center" vertical="center" textRotation="90" wrapText="1"/>
    </xf>
    <xf numFmtId="0" fontId="57" fillId="23" borderId="150" xfId="2" applyNumberFormat="1" applyFont="1" applyFill="1" applyBorder="1" applyAlignment="1">
      <alignment vertical="center" textRotation="90" wrapText="1"/>
    </xf>
    <xf numFmtId="0" fontId="1" fillId="0" borderId="0" xfId="2" applyFont="1" applyFill="1" applyAlignment="1">
      <alignment horizontal="left"/>
    </xf>
    <xf numFmtId="0" fontId="57" fillId="23" borderId="149" xfId="2" quotePrefix="1" applyNumberFormat="1" applyFont="1" applyFill="1" applyBorder="1" applyAlignment="1">
      <alignment wrapText="1"/>
    </xf>
    <xf numFmtId="0" fontId="57" fillId="23" borderId="149" xfId="2" quotePrefix="1" applyNumberFormat="1" applyFont="1" applyFill="1" applyBorder="1" applyAlignment="1"/>
    <xf numFmtId="0" fontId="5" fillId="0" borderId="0" xfId="2" applyFont="1" applyFill="1" applyAlignment="1">
      <alignment horizontal="center" wrapText="1"/>
    </xf>
    <xf numFmtId="164" fontId="4" fillId="0" borderId="0" xfId="0" applyNumberFormat="1" applyFont="1" applyBorder="1" applyAlignment="1" applyProtection="1"/>
    <xf numFmtId="0" fontId="0" fillId="0" borderId="144" xfId="0" applyBorder="1"/>
    <xf numFmtId="0" fontId="0" fillId="0" borderId="144" xfId="0" applyBorder="1" applyAlignment="1">
      <alignment horizontal="center"/>
    </xf>
    <xf numFmtId="0" fontId="0" fillId="0" borderId="44" xfId="0" applyFill="1" applyBorder="1"/>
    <xf numFmtId="0" fontId="0" fillId="0" borderId="144" xfId="0" applyBorder="1" applyAlignment="1">
      <alignment horizontal="center" vertical="center"/>
    </xf>
    <xf numFmtId="0" fontId="5" fillId="0" borderId="0" xfId="0" applyFont="1" applyAlignment="1">
      <alignment horizontal="center" wrapText="1"/>
    </xf>
    <xf numFmtId="0" fontId="0" fillId="0" borderId="0" xfId="0" applyAlignment="1">
      <alignment vertical="center"/>
    </xf>
    <xf numFmtId="0" fontId="5" fillId="0" borderId="0" xfId="0" applyFont="1" applyBorder="1" applyAlignment="1">
      <alignment horizontal="center" wrapText="1"/>
    </xf>
    <xf numFmtId="0" fontId="0" fillId="0" borderId="144" xfId="0" applyBorder="1" applyAlignment="1">
      <alignment vertical="center" wrapText="1"/>
    </xf>
    <xf numFmtId="0" fontId="5" fillId="0" borderId="0" xfId="0" applyFont="1" applyBorder="1"/>
    <xf numFmtId="0" fontId="5" fillId="0" borderId="72" xfId="0" applyFont="1" applyBorder="1" applyAlignment="1">
      <alignment horizontal="center" wrapText="1"/>
    </xf>
    <xf numFmtId="0" fontId="5" fillId="0" borderId="24" xfId="0" applyFont="1" applyBorder="1" applyAlignment="1">
      <alignment horizontal="center" wrapText="1"/>
    </xf>
    <xf numFmtId="0" fontId="0" fillId="0" borderId="32" xfId="0" applyBorder="1" applyAlignment="1">
      <alignment horizontal="center" vertical="center"/>
    </xf>
    <xf numFmtId="0" fontId="5" fillId="0" borderId="33" xfId="0" applyFont="1" applyBorder="1" applyAlignment="1">
      <alignment horizontal="center" vertical="center" wrapText="1"/>
    </xf>
    <xf numFmtId="9" fontId="5" fillId="19" borderId="72" xfId="3" applyFont="1" applyFill="1" applyBorder="1" applyAlignment="1">
      <alignment horizontal="center"/>
    </xf>
    <xf numFmtId="0" fontId="5" fillId="19" borderId="0" xfId="0" applyFont="1" applyFill="1" applyBorder="1" applyAlignment="1">
      <alignment horizontal="center" wrapText="1"/>
    </xf>
    <xf numFmtId="0" fontId="5" fillId="19" borderId="24" xfId="0" applyFont="1" applyFill="1" applyBorder="1" applyAlignment="1">
      <alignment horizontal="center" wrapText="1"/>
    </xf>
    <xf numFmtId="0" fontId="5" fillId="19" borderId="72" xfId="0" applyFont="1" applyFill="1" applyBorder="1" applyAlignment="1">
      <alignment horizontal="center"/>
    </xf>
    <xf numFmtId="0" fontId="0" fillId="19" borderId="32" xfId="0" applyFill="1" applyBorder="1" applyAlignment="1">
      <alignment horizontal="center" vertical="center" wrapText="1"/>
    </xf>
    <xf numFmtId="0" fontId="1" fillId="19" borderId="144" xfId="0" applyFont="1" applyFill="1" applyBorder="1" applyAlignment="1">
      <alignment horizontal="center" vertical="center" wrapText="1"/>
    </xf>
    <xf numFmtId="0" fontId="5" fillId="19" borderId="33" xfId="0" applyFont="1" applyFill="1" applyBorder="1" applyAlignment="1">
      <alignment horizontal="center" vertical="center" wrapText="1"/>
    </xf>
    <xf numFmtId="9" fontId="0" fillId="19" borderId="32" xfId="3" applyFont="1" applyFill="1" applyBorder="1" applyAlignment="1">
      <alignment horizontal="center" vertical="center"/>
    </xf>
    <xf numFmtId="0" fontId="0" fillId="19" borderId="144" xfId="0" applyFill="1" applyBorder="1" applyAlignment="1">
      <alignment horizontal="center" vertical="center" wrapText="1"/>
    </xf>
    <xf numFmtId="0" fontId="5" fillId="0" borderId="144" xfId="0" applyFont="1" applyBorder="1"/>
    <xf numFmtId="0" fontId="0" fillId="0" borderId="44" xfId="0" applyBorder="1" applyAlignment="1">
      <alignment horizontal="center" vertical="center"/>
    </xf>
    <xf numFmtId="0" fontId="5" fillId="0" borderId="0" xfId="0" applyFont="1" applyFill="1" applyBorder="1" applyAlignment="1">
      <alignment horizontal="center"/>
    </xf>
    <xf numFmtId="0" fontId="5" fillId="0" borderId="0" xfId="0" applyFont="1" applyFill="1" applyBorder="1" applyAlignment="1">
      <alignment horizontal="center" wrapText="1"/>
    </xf>
    <xf numFmtId="0" fontId="5" fillId="0" borderId="26" xfId="0" applyFont="1" applyFill="1" applyBorder="1" applyAlignment="1">
      <alignment horizontal="center" vertical="center" wrapText="1"/>
    </xf>
    <xf numFmtId="0" fontId="5" fillId="0" borderId="144" xfId="0" applyFont="1" applyFill="1" applyBorder="1" applyAlignment="1">
      <alignment horizontal="center" vertical="center" wrapText="1"/>
    </xf>
    <xf numFmtId="0" fontId="1" fillId="0" borderId="156" xfId="0" applyFont="1" applyBorder="1" applyAlignment="1" applyProtection="1">
      <alignment vertical="top" wrapText="1"/>
    </xf>
    <xf numFmtId="0" fontId="3" fillId="0" borderId="0" xfId="1" applyAlignment="1" applyProtection="1">
      <alignment horizontal="center"/>
    </xf>
    <xf numFmtId="0" fontId="4" fillId="0" borderId="0" xfId="0" applyFont="1" applyAlignment="1" applyProtection="1">
      <alignment horizontal="center"/>
    </xf>
    <xf numFmtId="0" fontId="1" fillId="0" borderId="0" xfId="2" applyAlignment="1">
      <alignment horizontal="center"/>
    </xf>
    <xf numFmtId="0" fontId="0" fillId="0" borderId="0" xfId="0" applyAlignment="1">
      <alignment horizontal="center"/>
    </xf>
    <xf numFmtId="0" fontId="1" fillId="0" borderId="0" xfId="0" applyFont="1" applyAlignment="1">
      <alignment horizontal="center"/>
    </xf>
    <xf numFmtId="0" fontId="5" fillId="0" borderId="144" xfId="0" applyFont="1" applyBorder="1" applyAlignment="1">
      <alignment horizontal="center"/>
    </xf>
    <xf numFmtId="0" fontId="4" fillId="0" borderId="35" xfId="0" applyFont="1" applyFill="1" applyBorder="1" applyAlignment="1" applyProtection="1">
      <protection locked="0"/>
    </xf>
    <xf numFmtId="0" fontId="4" fillId="0" borderId="97" xfId="0" applyFont="1" applyFill="1" applyBorder="1" applyAlignment="1" applyProtection="1">
      <alignment horizontal="center"/>
    </xf>
    <xf numFmtId="0" fontId="4" fillId="0" borderId="144" xfId="0" applyFont="1" applyBorder="1" applyAlignment="1" applyProtection="1">
      <alignment horizontal="center"/>
    </xf>
    <xf numFmtId="0" fontId="4" fillId="0" borderId="0" xfId="0" applyFont="1" applyAlignment="1"/>
    <xf numFmtId="164" fontId="7" fillId="0" borderId="0" xfId="0" applyNumberFormat="1" applyFont="1" applyBorder="1" applyAlignment="1" applyProtection="1">
      <alignment horizontal="center"/>
    </xf>
    <xf numFmtId="0" fontId="7" fillId="4" borderId="144" xfId="0" applyFont="1" applyFill="1" applyBorder="1" applyAlignment="1">
      <alignment horizontal="center" wrapText="1"/>
    </xf>
    <xf numFmtId="1" fontId="7" fillId="0" borderId="49" xfId="0" applyNumberFormat="1" applyFont="1" applyBorder="1" applyAlignment="1" applyProtection="1">
      <alignment horizontal="center"/>
    </xf>
    <xf numFmtId="0" fontId="5" fillId="0" borderId="0" xfId="0" applyFont="1" applyFill="1" applyBorder="1" applyAlignment="1" applyProtection="1">
      <alignment horizontal="center"/>
    </xf>
    <xf numFmtId="0" fontId="5" fillId="0" borderId="0" xfId="0" applyFont="1" applyAlignment="1" applyProtection="1">
      <alignment horizontal="center"/>
    </xf>
    <xf numFmtId="0" fontId="10" fillId="17" borderId="0" xfId="0" applyFont="1" applyFill="1" applyAlignment="1" applyProtection="1">
      <alignment horizontal="center"/>
    </xf>
    <xf numFmtId="0" fontId="4" fillId="0" borderId="97" xfId="0" applyFont="1" applyBorder="1" applyAlignment="1" applyProtection="1">
      <alignment horizontal="center"/>
    </xf>
    <xf numFmtId="0" fontId="4" fillId="0" borderId="0" xfId="0" applyFont="1" applyBorder="1" applyAlignment="1" applyProtection="1">
      <alignment horizontal="center" textRotation="90" wrapText="1"/>
    </xf>
    <xf numFmtId="0" fontId="4" fillId="12" borderId="25" xfId="0" applyFont="1" applyFill="1" applyBorder="1" applyAlignment="1" applyProtection="1">
      <protection locked="0"/>
    </xf>
    <xf numFmtId="0" fontId="0" fillId="0" borderId="0" xfId="0" applyFill="1" applyBorder="1" applyAlignment="1">
      <alignment horizontal="center"/>
    </xf>
    <xf numFmtId="170" fontId="7" fillId="0" borderId="144" xfId="1"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170" fontId="7" fillId="0" borderId="134" xfId="1" applyNumberFormat="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30" fillId="0" borderId="0" xfId="1" applyFont="1" applyFill="1" applyBorder="1" applyAlignment="1" applyProtection="1">
      <alignment horizontal="center" vertical="center"/>
    </xf>
    <xf numFmtId="0" fontId="7" fillId="0" borderId="134" xfId="1" applyFont="1" applyFill="1" applyBorder="1" applyAlignment="1" applyProtection="1">
      <alignment horizontal="center" vertical="center"/>
    </xf>
    <xf numFmtId="0" fontId="55" fillId="0" borderId="0" xfId="0" applyFont="1" applyAlignment="1" applyProtection="1">
      <alignment horizontal="right" vertical="center"/>
    </xf>
    <xf numFmtId="170" fontId="7" fillId="0" borderId="0" xfId="0" applyNumberFormat="1" applyFont="1" applyFill="1" applyBorder="1" applyAlignment="1" applyProtection="1">
      <alignment horizontal="center" vertical="center" shrinkToFit="1"/>
    </xf>
    <xf numFmtId="169" fontId="7" fillId="0" borderId="0" xfId="0" applyNumberFormat="1"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56" fillId="0" borderId="0" xfId="0" applyFont="1" applyAlignment="1" applyProtection="1">
      <alignment horizontal="center" vertical="center"/>
    </xf>
    <xf numFmtId="0" fontId="0" fillId="0" borderId="0" xfId="0" applyAlignment="1">
      <alignment horizontal="center"/>
    </xf>
    <xf numFmtId="0" fontId="4" fillId="0" borderId="35" xfId="0" applyFont="1" applyFill="1" applyBorder="1" applyAlignment="1" applyProtection="1">
      <alignment horizontal="center"/>
    </xf>
    <xf numFmtId="0" fontId="0" fillId="0" borderId="0" xfId="0" applyBorder="1" applyAlignment="1">
      <alignment horizontal="center" vertical="center"/>
    </xf>
    <xf numFmtId="0" fontId="3" fillId="0" borderId="0" xfId="1" applyFill="1" applyBorder="1" applyAlignment="1" applyProtection="1">
      <alignment horizontal="center" vertical="center"/>
    </xf>
    <xf numFmtId="0" fontId="4" fillId="0" borderId="137" xfId="0" applyFont="1" applyFill="1" applyBorder="1" applyAlignment="1" applyProtection="1">
      <alignment horizontal="center"/>
      <protection locked="0"/>
    </xf>
    <xf numFmtId="0" fontId="4" fillId="0" borderId="157" xfId="0" applyFont="1" applyFill="1" applyBorder="1" applyAlignment="1" applyProtection="1">
      <alignment horizontal="center"/>
      <protection locked="0"/>
    </xf>
    <xf numFmtId="164" fontId="4" fillId="0" borderId="158" xfId="0" applyNumberFormat="1" applyFont="1" applyFill="1" applyBorder="1" applyAlignment="1" applyProtection="1">
      <alignment horizontal="center"/>
    </xf>
    <xf numFmtId="0" fontId="4" fillId="0" borderId="159" xfId="0" applyFont="1" applyFill="1" applyBorder="1" applyAlignment="1" applyProtection="1">
      <alignment horizontal="center"/>
      <protection locked="0"/>
    </xf>
    <xf numFmtId="164" fontId="4" fillId="0" borderId="160" xfId="0" applyNumberFormat="1" applyFont="1" applyFill="1" applyBorder="1" applyAlignment="1" applyProtection="1">
      <alignment horizontal="center"/>
    </xf>
    <xf numFmtId="0" fontId="4" fillId="0" borderId="153" xfId="0" applyFont="1" applyFill="1" applyBorder="1" applyAlignment="1" applyProtection="1">
      <alignment horizontal="center"/>
      <protection locked="0"/>
    </xf>
    <xf numFmtId="1" fontId="4" fillId="0" borderId="91" xfId="0" applyNumberFormat="1" applyFont="1" applyFill="1" applyBorder="1" applyAlignment="1" applyProtection="1">
      <alignment horizontal="center"/>
      <protection locked="0"/>
    </xf>
    <xf numFmtId="0" fontId="7" fillId="13" borderId="162" xfId="0" applyFont="1" applyFill="1" applyBorder="1" applyAlignment="1" applyProtection="1">
      <alignment vertical="top" wrapText="1"/>
    </xf>
    <xf numFmtId="0" fontId="7" fillId="13" borderId="160" xfId="0" applyFont="1" applyFill="1" applyBorder="1" applyAlignment="1" applyProtection="1">
      <alignment vertical="top" wrapText="1"/>
    </xf>
    <xf numFmtId="0" fontId="7" fillId="13" borderId="159" xfId="0" applyFont="1" applyFill="1" applyBorder="1" applyAlignment="1" applyProtection="1">
      <alignment vertical="top" wrapText="1"/>
    </xf>
    <xf numFmtId="0" fontId="7" fillId="13" borderId="137" xfId="0" applyFont="1" applyFill="1" applyBorder="1" applyAlignment="1" applyProtection="1">
      <alignment vertical="top" wrapText="1"/>
    </xf>
    <xf numFmtId="0" fontId="21" fillId="13" borderId="167" xfId="0" applyFont="1" applyFill="1" applyBorder="1" applyAlignment="1" applyProtection="1">
      <alignment horizontal="center" wrapText="1"/>
    </xf>
    <xf numFmtId="0" fontId="21" fillId="13" borderId="162" xfId="0" applyFont="1" applyFill="1" applyBorder="1" applyAlignment="1" applyProtection="1">
      <alignment vertical="center" wrapText="1"/>
    </xf>
    <xf numFmtId="0" fontId="21" fillId="13" borderId="160" xfId="0" applyFont="1" applyFill="1" applyBorder="1" applyAlignment="1" applyProtection="1">
      <alignment vertical="center" wrapText="1"/>
    </xf>
    <xf numFmtId="0" fontId="21" fillId="13" borderId="159" xfId="0" applyFont="1" applyFill="1" applyBorder="1" applyAlignment="1" applyProtection="1">
      <alignment vertical="center" wrapText="1"/>
    </xf>
    <xf numFmtId="164" fontId="7" fillId="0" borderId="0" xfId="0" applyNumberFormat="1" applyFont="1" applyBorder="1" applyAlignment="1" applyProtection="1">
      <alignment horizontal="center" vertical="center"/>
    </xf>
    <xf numFmtId="164" fontId="4" fillId="0" borderId="0" xfId="0" applyNumberFormat="1" applyFont="1" applyBorder="1" applyAlignment="1" applyProtection="1">
      <alignment horizontal="center" vertical="center"/>
    </xf>
    <xf numFmtId="0" fontId="0" fillId="15" borderId="23" xfId="0" applyFill="1" applyBorder="1" applyProtection="1"/>
    <xf numFmtId="164" fontId="4" fillId="0" borderId="157" xfId="0" applyNumberFormat="1" applyFont="1" applyFill="1" applyBorder="1" applyAlignment="1" applyProtection="1">
      <alignment horizontal="center" vertical="center"/>
      <protection locked="0"/>
    </xf>
    <xf numFmtId="3" fontId="5" fillId="0" borderId="49" xfId="0" applyNumberFormat="1" applyFont="1" applyBorder="1" applyAlignment="1" applyProtection="1">
      <alignment horizontal="center" vertical="center"/>
    </xf>
    <xf numFmtId="0" fontId="4" fillId="12" borderId="142" xfId="0" applyFont="1" applyFill="1" applyBorder="1" applyAlignment="1" applyProtection="1"/>
    <xf numFmtId="0" fontId="4" fillId="0" borderId="139" xfId="0" applyFont="1" applyFill="1" applyBorder="1" applyAlignment="1" applyProtection="1">
      <protection locked="0"/>
    </xf>
    <xf numFmtId="0" fontId="4" fillId="0" borderId="139" xfId="0" applyFont="1" applyFill="1" applyBorder="1" applyAlignment="1" applyProtection="1">
      <alignment horizontal="center"/>
    </xf>
    <xf numFmtId="0" fontId="20" fillId="0" borderId="0" xfId="0" applyFont="1" applyAlignment="1">
      <alignment vertical="center"/>
    </xf>
    <xf numFmtId="0" fontId="5" fillId="0" borderId="7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1" fillId="0" borderId="144" xfId="0" applyFont="1" applyBorder="1" applyAlignment="1">
      <alignment horizontal="center" vertical="center"/>
    </xf>
    <xf numFmtId="0" fontId="5" fillId="0" borderId="144" xfId="0" applyFont="1" applyBorder="1" applyAlignment="1">
      <alignment horizontal="center" vertical="center" wrapText="1"/>
    </xf>
    <xf numFmtId="0" fontId="0" fillId="0" borderId="144" xfId="0" applyBorder="1" applyAlignment="1">
      <alignment horizontal="center" vertical="center" wrapText="1"/>
    </xf>
    <xf numFmtId="164" fontId="4" fillId="0" borderId="157" xfId="0" applyNumberFormat="1" applyFont="1" applyFill="1" applyBorder="1" applyAlignment="1" applyProtection="1">
      <alignment horizontal="center"/>
      <protection locked="0"/>
    </xf>
    <xf numFmtId="1" fontId="4" fillId="0" borderId="0" xfId="0" applyNumberFormat="1" applyFont="1" applyFill="1" applyBorder="1" applyAlignment="1" applyProtection="1">
      <alignment horizontal="center"/>
    </xf>
    <xf numFmtId="1" fontId="4" fillId="0" borderId="144" xfId="0" applyNumberFormat="1" applyFont="1" applyFill="1" applyBorder="1" applyAlignment="1" applyProtection="1">
      <alignment horizontal="center"/>
    </xf>
    <xf numFmtId="1" fontId="4" fillId="0" borderId="0" xfId="0" applyNumberFormat="1" applyFont="1" applyBorder="1" applyAlignment="1" applyProtection="1">
      <alignment horizontal="center"/>
    </xf>
    <xf numFmtId="0" fontId="4" fillId="0" borderId="0" xfId="0" applyFont="1" applyFill="1" applyBorder="1" applyAlignment="1" applyProtection="1">
      <alignment horizontal="center" textRotation="90" wrapText="1"/>
    </xf>
    <xf numFmtId="0" fontId="4" fillId="0" borderId="154" xfId="0" applyFont="1" applyFill="1" applyBorder="1" applyProtection="1"/>
    <xf numFmtId="0" fontId="4" fillId="0" borderId="144" xfId="0" applyFont="1" applyFill="1" applyBorder="1" applyAlignment="1" applyProtection="1">
      <alignment horizontal="center"/>
    </xf>
    <xf numFmtId="0" fontId="5" fillId="0" borderId="0" xfId="0" applyFont="1" applyFill="1" applyBorder="1" applyAlignment="1" applyProtection="1">
      <alignment horizontal="right"/>
    </xf>
    <xf numFmtId="164" fontId="4" fillId="0" borderId="11" xfId="0" applyNumberFormat="1" applyFont="1" applyFill="1" applyBorder="1" applyAlignment="1" applyProtection="1">
      <alignment horizontal="center"/>
      <protection locked="0"/>
    </xf>
    <xf numFmtId="0" fontId="7" fillId="4" borderId="0" xfId="0" applyFont="1" applyFill="1" applyBorder="1" applyAlignment="1" applyProtection="1">
      <alignment horizontal="center" vertical="center" wrapText="1"/>
    </xf>
    <xf numFmtId="0" fontId="7" fillId="4" borderId="165" xfId="0" applyFont="1" applyFill="1" applyBorder="1" applyAlignment="1" applyProtection="1">
      <alignment horizontal="center" vertical="center" wrapText="1"/>
    </xf>
    <xf numFmtId="0" fontId="7" fillId="4" borderId="44" xfId="0" applyFont="1" applyFill="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72" xfId="0" applyFont="1" applyBorder="1" applyAlignment="1" applyProtection="1">
      <alignment vertical="center" wrapText="1"/>
    </xf>
    <xf numFmtId="0" fontId="5" fillId="0" borderId="0" xfId="0" applyFont="1" applyBorder="1" applyAlignment="1" applyProtection="1">
      <alignment vertical="center" wrapText="1"/>
    </xf>
    <xf numFmtId="0" fontId="5" fillId="0" borderId="24" xfId="0" applyFont="1" applyBorder="1" applyAlignment="1" applyProtection="1">
      <alignment vertical="center" wrapText="1"/>
    </xf>
    <xf numFmtId="0" fontId="4" fillId="12" borderId="142" xfId="0" applyFont="1" applyFill="1" applyBorder="1" applyAlignment="1" applyProtection="1">
      <protection locked="0"/>
    </xf>
    <xf numFmtId="0" fontId="7" fillId="4" borderId="58" xfId="0" applyFont="1" applyFill="1" applyBorder="1" applyAlignment="1" applyProtection="1">
      <alignment horizontal="center" vertical="center" wrapText="1"/>
    </xf>
    <xf numFmtId="0" fontId="7" fillId="27" borderId="85" xfId="0" applyFont="1" applyFill="1" applyBorder="1" applyAlignment="1" applyProtection="1">
      <alignment horizontal="center" vertical="center" wrapText="1"/>
    </xf>
    <xf numFmtId="0" fontId="7" fillId="4" borderId="60" xfId="0" applyFont="1" applyFill="1" applyBorder="1" applyAlignment="1" applyProtection="1">
      <alignment vertical="center" wrapText="1"/>
    </xf>
    <xf numFmtId="0" fontId="7" fillId="4" borderId="170" xfId="0" applyFont="1" applyFill="1" applyBorder="1" applyAlignment="1" applyProtection="1">
      <alignment vertical="center" wrapText="1"/>
    </xf>
    <xf numFmtId="0" fontId="4" fillId="4" borderId="56" xfId="0" applyFont="1" applyFill="1" applyBorder="1" applyAlignment="1" applyProtection="1">
      <alignment horizontal="center" wrapText="1"/>
    </xf>
    <xf numFmtId="0" fontId="5" fillId="0" borderId="23" xfId="0" applyFont="1" applyBorder="1" applyAlignment="1" applyProtection="1">
      <alignment vertical="center" wrapText="1"/>
    </xf>
    <xf numFmtId="0" fontId="5" fillId="0" borderId="71" xfId="0" applyFont="1" applyBorder="1" applyAlignment="1" applyProtection="1">
      <alignment vertical="center" wrapText="1"/>
    </xf>
    <xf numFmtId="0" fontId="5" fillId="0" borderId="25" xfId="0" applyFont="1" applyBorder="1" applyAlignment="1" applyProtection="1">
      <alignment vertical="center" wrapText="1"/>
    </xf>
    <xf numFmtId="0" fontId="5" fillId="0" borderId="65" xfId="0" applyFont="1" applyBorder="1" applyAlignment="1" applyProtection="1">
      <alignment vertical="center" wrapText="1"/>
    </xf>
    <xf numFmtId="0" fontId="7" fillId="27" borderId="50" xfId="0" applyFont="1" applyFill="1" applyBorder="1" applyAlignment="1" applyProtection="1">
      <alignment horizontal="center" vertical="center" wrapText="1"/>
    </xf>
    <xf numFmtId="0" fontId="7" fillId="4" borderId="72" xfId="0" applyFont="1" applyFill="1" applyBorder="1" applyAlignment="1" applyProtection="1">
      <alignment horizontal="center" vertical="center" wrapText="1"/>
    </xf>
    <xf numFmtId="0" fontId="7" fillId="4" borderId="24" xfId="0" applyFont="1" applyFill="1" applyBorder="1" applyAlignment="1" applyProtection="1">
      <alignment horizontal="center" vertical="center" wrapText="1"/>
    </xf>
    <xf numFmtId="0" fontId="7" fillId="4" borderId="50" xfId="0" applyFont="1" applyFill="1" applyBorder="1" applyAlignment="1" applyProtection="1">
      <alignment horizontal="center" vertical="center" wrapText="1"/>
    </xf>
    <xf numFmtId="0" fontId="7" fillId="4" borderId="117" xfId="0" applyFont="1" applyFill="1" applyBorder="1" applyAlignment="1" applyProtection="1">
      <alignment horizontal="center" vertical="center" wrapText="1"/>
    </xf>
    <xf numFmtId="0" fontId="7" fillId="4" borderId="117" xfId="0" applyFont="1" applyFill="1" applyBorder="1" applyAlignment="1" applyProtection="1">
      <alignment vertical="center" wrapText="1"/>
    </xf>
    <xf numFmtId="0" fontId="4" fillId="27" borderId="56" xfId="0" applyFont="1" applyFill="1" applyBorder="1" applyAlignment="1" applyProtection="1">
      <alignment horizontal="center" vertical="center" wrapText="1"/>
    </xf>
    <xf numFmtId="0" fontId="21" fillId="4" borderId="44" xfId="0" applyFont="1" applyFill="1" applyBorder="1" applyAlignment="1" applyProtection="1">
      <alignment horizontal="center" vertical="center" wrapText="1"/>
    </xf>
    <xf numFmtId="0" fontId="7" fillId="4" borderId="162" xfId="0" applyFont="1" applyFill="1" applyBorder="1" applyAlignment="1" applyProtection="1">
      <alignment vertical="center" wrapText="1"/>
    </xf>
    <xf numFmtId="0" fontId="21" fillId="4" borderId="51" xfId="0" applyFont="1" applyFill="1" applyBorder="1" applyAlignment="1" applyProtection="1">
      <alignment horizontal="center" vertical="center" wrapText="1"/>
    </xf>
    <xf numFmtId="0" fontId="4" fillId="4" borderId="50" xfId="0" applyFont="1" applyFill="1" applyBorder="1" applyAlignment="1" applyProtection="1">
      <alignment horizontal="center" wrapText="1"/>
    </xf>
    <xf numFmtId="0" fontId="21" fillId="4" borderId="25" xfId="0" applyFont="1" applyFill="1" applyBorder="1" applyAlignment="1" applyProtection="1">
      <alignment horizontal="center" vertical="center" wrapText="1"/>
    </xf>
    <xf numFmtId="0" fontId="21" fillId="4" borderId="65" xfId="0" applyFont="1" applyFill="1" applyBorder="1" applyAlignment="1" applyProtection="1">
      <alignment horizontal="center" vertical="center" wrapText="1"/>
    </xf>
    <xf numFmtId="0" fontId="21" fillId="4" borderId="167" xfId="0" applyFont="1" applyFill="1" applyBorder="1" applyAlignment="1" applyProtection="1">
      <alignment horizontal="center" vertical="center" wrapText="1"/>
    </xf>
    <xf numFmtId="0" fontId="21" fillId="4" borderId="171" xfId="0" applyFont="1" applyFill="1" applyBorder="1" applyAlignment="1" applyProtection="1">
      <alignment horizontal="center" vertical="center" wrapText="1"/>
    </xf>
    <xf numFmtId="0" fontId="0" fillId="0" borderId="114" xfId="0" applyBorder="1" applyAlignment="1" applyProtection="1"/>
    <xf numFmtId="0" fontId="4" fillId="0" borderId="0" xfId="0" applyFont="1" applyBorder="1" applyAlignment="1" applyProtection="1">
      <alignment textRotation="90" wrapText="1"/>
    </xf>
    <xf numFmtId="0" fontId="4" fillId="0" borderId="114" xfId="0" applyFont="1" applyBorder="1" applyAlignment="1" applyProtection="1">
      <alignment textRotation="90" wrapText="1"/>
    </xf>
    <xf numFmtId="1" fontId="7" fillId="0" borderId="0" xfId="0" applyNumberFormat="1" applyFont="1" applyBorder="1" applyAlignment="1" applyProtection="1">
      <alignment horizontal="center" vertical="center"/>
    </xf>
    <xf numFmtId="0" fontId="7" fillId="8" borderId="142" xfId="0" applyFont="1" applyFill="1" applyBorder="1" applyAlignment="1" applyProtection="1">
      <alignment horizontal="center" wrapText="1"/>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wrapText="1"/>
    </xf>
    <xf numFmtId="0" fontId="4" fillId="0" borderId="0" xfId="0" applyFont="1" applyFill="1" applyBorder="1" applyAlignment="1" applyProtection="1">
      <alignment horizontal="center" wrapText="1"/>
      <protection locked="0"/>
    </xf>
    <xf numFmtId="1" fontId="4" fillId="0" borderId="169" xfId="0" applyNumberFormat="1" applyFont="1" applyFill="1" applyBorder="1" applyAlignment="1" applyProtection="1">
      <alignment horizontal="center"/>
    </xf>
    <xf numFmtId="0" fontId="5" fillId="0" borderId="0" xfId="0" applyFont="1" applyAlignment="1" applyProtection="1">
      <alignment horizontal="center"/>
    </xf>
    <xf numFmtId="0" fontId="10" fillId="17" borderId="0" xfId="0" applyFont="1" applyFill="1" applyAlignment="1" applyProtection="1">
      <alignment horizontal="center"/>
    </xf>
    <xf numFmtId="0" fontId="5" fillId="0" borderId="7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7" fillId="4" borderId="72" xfId="0" applyFont="1" applyFill="1" applyBorder="1" applyAlignment="1" applyProtection="1">
      <alignment horizontal="center" vertical="center" wrapText="1"/>
    </xf>
    <xf numFmtId="0" fontId="7" fillId="4" borderId="165" xfId="0" applyFont="1" applyFill="1" applyBorder="1" applyAlignment="1" applyProtection="1">
      <alignment horizontal="center" vertical="center" wrapText="1"/>
    </xf>
    <xf numFmtId="0" fontId="7" fillId="4" borderId="24" xfId="0" applyFont="1" applyFill="1" applyBorder="1" applyAlignment="1" applyProtection="1">
      <alignment horizontal="center" vertical="center" wrapText="1"/>
    </xf>
    <xf numFmtId="0" fontId="7" fillId="4" borderId="50" xfId="0" applyFont="1" applyFill="1" applyBorder="1" applyAlignment="1" applyProtection="1">
      <alignment horizontal="center" vertical="center" wrapText="1"/>
    </xf>
    <xf numFmtId="0" fontId="7" fillId="4" borderId="117" xfId="0" applyFont="1" applyFill="1" applyBorder="1" applyAlignment="1" applyProtection="1">
      <alignment horizontal="center" vertical="center" wrapText="1"/>
    </xf>
    <xf numFmtId="0" fontId="7" fillId="4" borderId="44" xfId="0" applyFont="1" applyFill="1" applyBorder="1" applyAlignment="1" applyProtection="1">
      <alignment horizontal="center" vertical="center" wrapText="1"/>
    </xf>
    <xf numFmtId="0" fontId="3" fillId="0" borderId="0" xfId="1" applyAlignment="1" applyProtection="1">
      <alignment horizontal="left"/>
    </xf>
    <xf numFmtId="0" fontId="4" fillId="0" borderId="35" xfId="0" applyFont="1" applyFill="1" applyBorder="1" applyAlignment="1" applyProtection="1">
      <alignment horizontal="center"/>
    </xf>
    <xf numFmtId="0" fontId="5" fillId="0" borderId="144" xfId="0" applyFont="1" applyBorder="1" applyAlignment="1">
      <alignment horizontal="center" vertical="center" wrapText="1"/>
    </xf>
    <xf numFmtId="0" fontId="0" fillId="0" borderId="0" xfId="0" applyAlignment="1">
      <alignment horizontal="center"/>
    </xf>
    <xf numFmtId="0" fontId="0" fillId="0" borderId="0" xfId="0" applyBorder="1" applyAlignment="1">
      <alignment horizontal="center" vertical="center"/>
    </xf>
    <xf numFmtId="0" fontId="4" fillId="12" borderId="131" xfId="0" applyFont="1" applyFill="1" applyBorder="1" applyAlignment="1" applyProtection="1">
      <protection locked="0"/>
    </xf>
    <xf numFmtId="0" fontId="0" fillId="12" borderId="132" xfId="0" applyFill="1" applyBorder="1" applyProtection="1"/>
    <xf numFmtId="0" fontId="0" fillId="12" borderId="136" xfId="0" applyFill="1" applyBorder="1" applyProtection="1"/>
    <xf numFmtId="0" fontId="0" fillId="12" borderId="93" xfId="0" applyFill="1" applyBorder="1" applyProtection="1"/>
    <xf numFmtId="0" fontId="7" fillId="4" borderId="51" xfId="0" applyFont="1" applyFill="1" applyBorder="1" applyAlignment="1" applyProtection="1">
      <alignment vertical="center" textRotation="90" wrapText="1"/>
    </xf>
    <xf numFmtId="0" fontId="7" fillId="4" borderId="59" xfId="0" applyFont="1" applyFill="1" applyBorder="1" applyAlignment="1" applyProtection="1">
      <alignment vertical="center" textRotation="90" wrapText="1"/>
    </xf>
    <xf numFmtId="0" fontId="4" fillId="0" borderId="0" xfId="0" applyFont="1" applyAlignment="1" applyProtection="1">
      <alignment horizontal="right" vertical="center"/>
    </xf>
    <xf numFmtId="0" fontId="0" fillId="0" borderId="0" xfId="0" applyFill="1" applyBorder="1" applyAlignment="1" applyProtection="1">
      <alignment vertical="center"/>
    </xf>
    <xf numFmtId="0" fontId="4" fillId="0" borderId="38" xfId="0" applyFont="1" applyFill="1" applyBorder="1" applyAlignment="1" applyProtection="1">
      <protection locked="0"/>
    </xf>
    <xf numFmtId="0" fontId="4" fillId="0" borderId="125" xfId="0" applyFont="1" applyFill="1" applyBorder="1" applyAlignment="1" applyProtection="1">
      <alignment horizontal="center"/>
    </xf>
    <xf numFmtId="0" fontId="4" fillId="0" borderId="128" xfId="0" applyFont="1" applyFill="1" applyBorder="1" applyAlignment="1" applyProtection="1">
      <alignment horizontal="center"/>
      <protection locked="0"/>
    </xf>
    <xf numFmtId="1" fontId="4" fillId="0" borderId="127" xfId="0" applyNumberFormat="1" applyFont="1" applyBorder="1" applyAlignment="1" applyProtection="1">
      <alignment horizontal="center"/>
    </xf>
    <xf numFmtId="0" fontId="4" fillId="0" borderId="32" xfId="0" applyFont="1" applyFill="1" applyBorder="1" applyAlignment="1" applyProtection="1">
      <protection locked="0"/>
    </xf>
    <xf numFmtId="1" fontId="4" fillId="0" borderId="33" xfId="0" applyNumberFormat="1" applyFont="1" applyBorder="1" applyAlignment="1" applyProtection="1">
      <alignment horizontal="center"/>
    </xf>
    <xf numFmtId="0" fontId="4" fillId="0" borderId="34" xfId="0" applyFont="1" applyFill="1" applyBorder="1" applyAlignment="1" applyProtection="1">
      <protection locked="0"/>
    </xf>
    <xf numFmtId="1" fontId="4" fillId="0" borderId="36" xfId="0" applyNumberFormat="1" applyFont="1" applyBorder="1" applyAlignment="1" applyProtection="1">
      <alignment horizontal="center"/>
    </xf>
    <xf numFmtId="164" fontId="4" fillId="0" borderId="38" xfId="0" applyNumberFormat="1" applyFont="1" applyFill="1" applyBorder="1" applyAlignment="1" applyProtection="1">
      <alignment horizontal="center"/>
    </xf>
    <xf numFmtId="164" fontId="4" fillId="0" borderId="172" xfId="0" applyNumberFormat="1" applyFont="1" applyFill="1" applyBorder="1" applyAlignment="1" applyProtection="1">
      <alignment horizontal="center"/>
      <protection locked="0"/>
    </xf>
    <xf numFmtId="164" fontId="4" fillId="0" borderId="173" xfId="0" applyNumberFormat="1" applyFont="1" applyFill="1" applyBorder="1" applyAlignment="1" applyProtection="1">
      <alignment horizontal="center"/>
    </xf>
    <xf numFmtId="164" fontId="4" fillId="0" borderId="138" xfId="0" applyNumberFormat="1" applyFont="1" applyFill="1" applyBorder="1" applyAlignment="1" applyProtection="1">
      <alignment horizontal="center"/>
      <protection locked="0"/>
    </xf>
    <xf numFmtId="164" fontId="4" fillId="0" borderId="127" xfId="0" applyNumberFormat="1" applyFont="1" applyFill="1" applyBorder="1" applyAlignment="1" applyProtection="1">
      <alignment horizontal="center"/>
      <protection locked="0"/>
    </xf>
    <xf numFmtId="164" fontId="4" fillId="0" borderId="32" xfId="0" applyNumberFormat="1" applyFont="1" applyFill="1" applyBorder="1" applyAlignment="1" applyProtection="1">
      <alignment horizontal="center"/>
    </xf>
    <xf numFmtId="164" fontId="4" fillId="0" borderId="33" xfId="0" applyNumberFormat="1" applyFont="1" applyFill="1" applyBorder="1" applyAlignment="1" applyProtection="1">
      <alignment horizontal="center"/>
      <protection locked="0"/>
    </xf>
    <xf numFmtId="164" fontId="4" fillId="0" borderId="34" xfId="0" applyNumberFormat="1" applyFont="1" applyFill="1" applyBorder="1" applyAlignment="1" applyProtection="1">
      <alignment horizontal="center"/>
    </xf>
    <xf numFmtId="164" fontId="4" fillId="0" borderId="174" xfId="0" applyNumberFormat="1" applyFont="1" applyFill="1" applyBorder="1" applyAlignment="1" applyProtection="1">
      <alignment horizontal="center"/>
      <protection locked="0"/>
    </xf>
    <xf numFmtId="164" fontId="4" fillId="0" borderId="175" xfId="0" applyNumberFormat="1" applyFont="1" applyFill="1" applyBorder="1" applyAlignment="1" applyProtection="1">
      <alignment horizontal="center"/>
    </xf>
    <xf numFmtId="164" fontId="4" fillId="0" borderId="176" xfId="0" applyNumberFormat="1" applyFont="1" applyFill="1" applyBorder="1" applyAlignment="1" applyProtection="1">
      <alignment horizontal="center"/>
      <protection locked="0"/>
    </xf>
    <xf numFmtId="164" fontId="4" fillId="0" borderId="36" xfId="0" applyNumberFormat="1" applyFont="1" applyFill="1" applyBorder="1" applyAlignment="1" applyProtection="1">
      <alignment horizontal="center"/>
      <protection locked="0"/>
    </xf>
    <xf numFmtId="0" fontId="4" fillId="0" borderId="0" xfId="0" applyFont="1" applyFill="1" applyBorder="1" applyAlignment="1" applyProtection="1">
      <alignment horizontal="center" vertical="center" wrapText="1"/>
      <protection locked="0"/>
    </xf>
    <xf numFmtId="0" fontId="4" fillId="0" borderId="177" xfId="0" applyFont="1" applyFill="1" applyBorder="1" applyAlignment="1" applyProtection="1">
      <alignment horizontal="center"/>
      <protection locked="0"/>
    </xf>
    <xf numFmtId="0" fontId="4" fillId="0" borderId="140" xfId="0" applyFont="1" applyFill="1" applyBorder="1" applyAlignment="1" applyProtection="1">
      <alignment horizontal="center"/>
      <protection locked="0"/>
    </xf>
    <xf numFmtId="0" fontId="4" fillId="0" borderId="56" xfId="0" applyFont="1" applyFill="1" applyBorder="1" applyAlignment="1" applyProtection="1">
      <alignment horizontal="center"/>
      <protection locked="0"/>
    </xf>
    <xf numFmtId="0" fontId="4" fillId="0" borderId="177" xfId="0" applyFont="1" applyFill="1" applyBorder="1" applyAlignment="1" applyProtection="1">
      <alignment horizontal="center"/>
    </xf>
    <xf numFmtId="0" fontId="4" fillId="0" borderId="91" xfId="0" applyFont="1" applyFill="1" applyBorder="1" applyAlignment="1" applyProtection="1">
      <alignment horizontal="center"/>
    </xf>
    <xf numFmtId="0" fontId="4" fillId="0" borderId="92" xfId="0" applyFont="1" applyFill="1" applyBorder="1" applyAlignment="1" applyProtection="1">
      <alignment horizontal="center"/>
    </xf>
    <xf numFmtId="1" fontId="4" fillId="0" borderId="144" xfId="0" applyNumberFormat="1" applyFont="1" applyBorder="1" applyAlignment="1" applyProtection="1">
      <alignment horizontal="center" vertical="center"/>
    </xf>
    <xf numFmtId="0" fontId="4" fillId="0" borderId="144" xfId="0" applyFont="1" applyFill="1" applyBorder="1" applyAlignment="1" applyProtection="1">
      <alignment horizontal="center" vertical="center"/>
    </xf>
    <xf numFmtId="0" fontId="4" fillId="8" borderId="47" xfId="0" applyFont="1" applyFill="1" applyBorder="1" applyAlignment="1" applyProtection="1">
      <alignment wrapText="1"/>
    </xf>
    <xf numFmtId="0" fontId="5" fillId="8" borderId="47" xfId="0" applyFont="1" applyFill="1" applyBorder="1" applyAlignment="1" applyProtection="1">
      <alignment wrapText="1"/>
    </xf>
    <xf numFmtId="0" fontId="5" fillId="8" borderId="94" xfId="0" applyFont="1" applyFill="1" applyBorder="1" applyAlignment="1" applyProtection="1">
      <alignment horizontal="center" wrapText="1"/>
    </xf>
    <xf numFmtId="0" fontId="5" fillId="8" borderId="94" xfId="0" applyFont="1" applyFill="1" applyBorder="1" applyAlignment="1" applyProtection="1">
      <alignment horizontal="center"/>
    </xf>
    <xf numFmtId="0" fontId="5" fillId="8" borderId="95" xfId="0" applyFont="1" applyFill="1" applyBorder="1" applyAlignment="1" applyProtection="1">
      <alignment horizontal="center" wrapText="1"/>
    </xf>
    <xf numFmtId="0" fontId="5" fillId="8" borderId="72" xfId="0" applyFont="1" applyFill="1" applyBorder="1" applyAlignment="1" applyProtection="1">
      <alignment horizontal="left" wrapText="1"/>
    </xf>
    <xf numFmtId="0" fontId="5" fillId="8" borderId="51" xfId="0" applyFont="1" applyFill="1" applyBorder="1" applyAlignment="1" applyProtection="1">
      <alignment horizontal="center" wrapText="1"/>
    </xf>
    <xf numFmtId="0" fontId="5" fillId="8" borderId="51" xfId="0" applyFont="1" applyFill="1" applyBorder="1" applyAlignment="1" applyProtection="1">
      <alignment horizontal="center"/>
    </xf>
    <xf numFmtId="0" fontId="4" fillId="8" borderId="72" xfId="0" applyFont="1" applyFill="1" applyBorder="1" applyAlignment="1" applyProtection="1">
      <alignment wrapText="1"/>
    </xf>
    <xf numFmtId="0" fontId="7" fillId="8" borderId="51" xfId="0" applyFont="1" applyFill="1" applyBorder="1" applyAlignment="1" applyProtection="1">
      <alignment horizontal="center" wrapText="1"/>
    </xf>
    <xf numFmtId="0" fontId="4" fillId="8" borderId="126" xfId="0" applyFont="1" applyFill="1" applyBorder="1" applyAlignment="1" applyProtection="1">
      <alignment wrapText="1"/>
    </xf>
    <xf numFmtId="1" fontId="4" fillId="0" borderId="137" xfId="0" applyNumberFormat="1" applyFont="1" applyFill="1" applyBorder="1" applyAlignment="1" applyProtection="1">
      <alignment horizontal="center"/>
    </xf>
    <xf numFmtId="0" fontId="4" fillId="12" borderId="41" xfId="0" applyFont="1" applyFill="1" applyBorder="1" applyAlignment="1" applyProtection="1"/>
    <xf numFmtId="1" fontId="4" fillId="0" borderId="36" xfId="0" applyNumberFormat="1" applyFont="1" applyFill="1" applyBorder="1" applyAlignment="1" applyProtection="1">
      <alignment horizontal="center"/>
    </xf>
    <xf numFmtId="0" fontId="5" fillId="27" borderId="85" xfId="0" applyFont="1" applyFill="1" applyBorder="1" applyAlignment="1" applyProtection="1">
      <alignment horizontal="center" wrapText="1"/>
    </xf>
    <xf numFmtId="0" fontId="5" fillId="27" borderId="50" xfId="0" applyFont="1" applyFill="1" applyBorder="1" applyAlignment="1" applyProtection="1">
      <alignment horizontal="center" wrapText="1"/>
    </xf>
    <xf numFmtId="0" fontId="5" fillId="27" borderId="50" xfId="0" applyFont="1" applyFill="1" applyBorder="1" applyAlignment="1" applyProtection="1">
      <alignment wrapText="1"/>
    </xf>
    <xf numFmtId="0" fontId="4" fillId="14" borderId="140" xfId="0" applyFont="1" applyFill="1" applyBorder="1" applyAlignment="1" applyProtection="1">
      <alignment horizontal="center" wrapText="1"/>
      <protection locked="0"/>
    </xf>
    <xf numFmtId="0" fontId="4" fillId="0" borderId="91" xfId="0" applyFont="1" applyFill="1" applyBorder="1" applyAlignment="1" applyProtection="1">
      <alignment horizontal="center"/>
      <protection locked="0"/>
    </xf>
    <xf numFmtId="0" fontId="4" fillId="0" borderId="92" xfId="0" applyFont="1" applyFill="1" applyBorder="1" applyAlignment="1" applyProtection="1">
      <alignment horizontal="center"/>
      <protection locked="0"/>
    </xf>
    <xf numFmtId="0" fontId="5" fillId="13" borderId="23" xfId="0" applyFont="1" applyFill="1" applyBorder="1" applyAlignment="1" applyProtection="1"/>
    <xf numFmtId="0" fontId="5" fillId="13" borderId="24" xfId="0" applyFont="1" applyFill="1" applyBorder="1" applyAlignment="1" applyProtection="1"/>
    <xf numFmtId="0" fontId="7" fillId="13" borderId="117" xfId="0" applyFont="1" applyFill="1" applyBorder="1" applyAlignment="1" applyProtection="1">
      <alignment vertical="top" wrapText="1"/>
    </xf>
    <xf numFmtId="0" fontId="7" fillId="13" borderId="118" xfId="0" applyFont="1" applyFill="1" applyBorder="1" applyAlignment="1" applyProtection="1">
      <alignment vertical="top" wrapText="1"/>
    </xf>
    <xf numFmtId="164" fontId="4" fillId="0" borderId="118" xfId="0" applyNumberFormat="1" applyFont="1" applyFill="1" applyBorder="1" applyAlignment="1" applyProtection="1">
      <alignment horizontal="center"/>
    </xf>
    <xf numFmtId="164" fontId="4" fillId="0" borderId="24" xfId="0" applyNumberFormat="1" applyFont="1" applyFill="1" applyBorder="1" applyAlignment="1" applyProtection="1">
      <alignment horizontal="center"/>
    </xf>
    <xf numFmtId="164" fontId="4" fillId="0" borderId="181" xfId="0" applyNumberFormat="1" applyFont="1" applyFill="1" applyBorder="1" applyAlignment="1" applyProtection="1">
      <alignment horizontal="center"/>
    </xf>
    <xf numFmtId="0" fontId="4" fillId="0" borderId="174" xfId="0" applyFont="1" applyFill="1" applyBorder="1" applyAlignment="1" applyProtection="1">
      <alignment horizontal="center"/>
      <protection locked="0"/>
    </xf>
    <xf numFmtId="0" fontId="4" fillId="0" borderId="36" xfId="0" applyFont="1" applyFill="1" applyBorder="1" applyAlignment="1" applyProtection="1">
      <alignment horizontal="center"/>
      <protection locked="0"/>
    </xf>
    <xf numFmtId="1" fontId="4" fillId="0" borderId="92" xfId="0" applyNumberFormat="1" applyFont="1" applyFill="1" applyBorder="1" applyAlignment="1" applyProtection="1">
      <alignment horizontal="center"/>
      <protection locked="0"/>
    </xf>
    <xf numFmtId="164" fontId="4" fillId="0" borderId="93" xfId="0" applyNumberFormat="1" applyFont="1" applyFill="1" applyBorder="1" applyAlignment="1" applyProtection="1">
      <alignment horizontal="center"/>
    </xf>
    <xf numFmtId="1" fontId="4" fillId="0" borderId="44" xfId="0" applyNumberFormat="1" applyFont="1" applyFill="1" applyBorder="1" applyAlignment="1" applyProtection="1">
      <alignment horizontal="center"/>
    </xf>
    <xf numFmtId="1" fontId="4" fillId="0" borderId="120" xfId="0" applyNumberFormat="1" applyFont="1" applyFill="1" applyBorder="1" applyAlignment="1" applyProtection="1">
      <alignment horizontal="center"/>
    </xf>
    <xf numFmtId="1" fontId="7" fillId="0" borderId="49" xfId="0" applyNumberFormat="1" applyFont="1" applyFill="1" applyBorder="1" applyAlignment="1" applyProtection="1">
      <alignment horizontal="center"/>
    </xf>
    <xf numFmtId="0" fontId="36" fillId="12" borderId="139" xfId="0" applyFont="1" applyFill="1" applyBorder="1" applyAlignment="1" applyProtection="1">
      <alignment horizontal="center" vertical="center" wrapText="1"/>
      <protection locked="0"/>
    </xf>
    <xf numFmtId="0" fontId="36" fillId="12" borderId="134" xfId="0" applyFont="1" applyFill="1" applyBorder="1" applyAlignment="1" applyProtection="1">
      <alignment horizontal="center" vertical="center" wrapText="1"/>
      <protection locked="0"/>
    </xf>
    <xf numFmtId="0" fontId="36" fillId="12" borderId="35" xfId="0" applyFont="1" applyFill="1" applyBorder="1" applyAlignment="1" applyProtection="1">
      <alignment horizontal="center" vertical="center" wrapText="1"/>
      <protection locked="0"/>
    </xf>
    <xf numFmtId="0" fontId="21" fillId="13" borderId="51" xfId="0" applyFont="1" applyFill="1" applyBorder="1" applyAlignment="1" applyProtection="1">
      <alignment horizontal="center" wrapText="1"/>
    </xf>
    <xf numFmtId="0" fontId="10" fillId="17" borderId="0" xfId="0" applyFont="1" applyFill="1" applyAlignment="1" applyProtection="1">
      <alignment horizontal="center"/>
    </xf>
    <xf numFmtId="0" fontId="5" fillId="0" borderId="0" xfId="0" applyFont="1" applyAlignment="1" applyProtection="1">
      <alignment horizontal="center"/>
    </xf>
    <xf numFmtId="0" fontId="63" fillId="0" borderId="0" xfId="0" applyFont="1" applyAlignment="1">
      <alignment horizontal="center" vertical="center"/>
    </xf>
    <xf numFmtId="0" fontId="1" fillId="0" borderId="0" xfId="0" applyFont="1" applyAlignment="1">
      <alignment horizontal="center"/>
    </xf>
    <xf numFmtId="0" fontId="0" fillId="0" borderId="0" xfId="0" applyAlignment="1">
      <alignment horizontal="center"/>
    </xf>
    <xf numFmtId="0" fontId="5" fillId="0" borderId="144" xfId="2" applyFont="1" applyBorder="1"/>
    <xf numFmtId="0" fontId="4" fillId="0" borderId="0" xfId="0" applyFont="1" applyFill="1" applyBorder="1" applyAlignment="1" applyProtection="1">
      <alignment horizontal="right" vertical="center"/>
    </xf>
    <xf numFmtId="1" fontId="4" fillId="0" borderId="0" xfId="0" applyNumberFormat="1" applyFont="1" applyFill="1" applyBorder="1" applyAlignment="1" applyProtection="1">
      <alignment horizontal="center" vertical="center"/>
    </xf>
    <xf numFmtId="1" fontId="4" fillId="0" borderId="144" xfId="0" applyNumberFormat="1" applyFont="1" applyBorder="1" applyAlignment="1" applyProtection="1">
      <alignment horizontal="center"/>
    </xf>
    <xf numFmtId="0" fontId="4" fillId="0" borderId="131" xfId="0" applyFont="1" applyFill="1" applyBorder="1" applyProtection="1"/>
    <xf numFmtId="1" fontId="4" fillId="0" borderId="125" xfId="0" applyNumberFormat="1" applyFont="1" applyFill="1" applyBorder="1" applyAlignment="1" applyProtection="1">
      <alignment horizontal="center"/>
    </xf>
    <xf numFmtId="0" fontId="4" fillId="0" borderId="41" xfId="0" applyFont="1" applyFill="1" applyBorder="1" applyProtection="1"/>
    <xf numFmtId="1" fontId="4" fillId="0" borderId="35" xfId="0" applyNumberFormat="1" applyFont="1" applyFill="1" applyBorder="1" applyAlignment="1" applyProtection="1">
      <alignment horizontal="center"/>
    </xf>
    <xf numFmtId="0" fontId="5" fillId="0" borderId="0" xfId="0" applyFont="1" applyAlignment="1" applyProtection="1">
      <alignment horizontal="center"/>
    </xf>
    <xf numFmtId="0" fontId="10" fillId="17" borderId="0" xfId="0" applyFont="1" applyFill="1" applyAlignment="1" applyProtection="1">
      <alignment horizontal="center"/>
    </xf>
    <xf numFmtId="0" fontId="4" fillId="0" borderId="97" xfId="0" applyFont="1" applyBorder="1" applyAlignment="1" applyProtection="1">
      <alignment horizontal="center"/>
    </xf>
    <xf numFmtId="0" fontId="4" fillId="0" borderId="33" xfId="0" applyFont="1" applyBorder="1" applyAlignment="1" applyProtection="1">
      <alignment horizontal="center"/>
    </xf>
    <xf numFmtId="0" fontId="0" fillId="0" borderId="0" xfId="0" applyAlignment="1" applyProtection="1">
      <alignment horizontal="center"/>
    </xf>
    <xf numFmtId="0" fontId="63" fillId="0" borderId="0" xfId="0" applyFont="1" applyAlignment="1">
      <alignment horizontal="center" vertical="center"/>
    </xf>
    <xf numFmtId="0" fontId="7" fillId="0" borderId="0" xfId="1" applyFont="1" applyFill="1" applyBorder="1" applyAlignment="1" applyProtection="1">
      <alignment vertical="center" wrapText="1"/>
    </xf>
    <xf numFmtId="1" fontId="5" fillId="0" borderId="144" xfId="0" applyNumberFormat="1" applyFont="1" applyBorder="1" applyAlignment="1">
      <alignment horizontal="center"/>
    </xf>
    <xf numFmtId="1" fontId="0" fillId="0" borderId="144" xfId="0" applyNumberFormat="1" applyBorder="1" applyAlignment="1">
      <alignment horizontal="center" vertical="center"/>
    </xf>
    <xf numFmtId="1" fontId="4" fillId="0" borderId="125" xfId="0" applyNumberFormat="1" applyFont="1" applyBorder="1" applyAlignment="1" applyProtection="1">
      <alignment horizontal="center"/>
    </xf>
    <xf numFmtId="1" fontId="4" fillId="0" borderId="127" xfId="0" applyNumberFormat="1" applyFont="1" applyFill="1" applyBorder="1" applyAlignment="1" applyProtection="1">
      <alignment horizontal="center"/>
    </xf>
    <xf numFmtId="1" fontId="4" fillId="0" borderId="33" xfId="0" applyNumberFormat="1" applyFont="1" applyFill="1" applyBorder="1" applyAlignment="1" applyProtection="1">
      <alignment horizontal="center"/>
    </xf>
    <xf numFmtId="0" fontId="5" fillId="0" borderId="26" xfId="0" applyFont="1" applyBorder="1" applyAlignment="1">
      <alignment horizontal="center"/>
    </xf>
    <xf numFmtId="0" fontId="5" fillId="0" borderId="20" xfId="0" applyFont="1" applyBorder="1" applyAlignment="1">
      <alignment horizontal="center"/>
    </xf>
    <xf numFmtId="0" fontId="5" fillId="0" borderId="0" xfId="0" applyFont="1" applyBorder="1" applyAlignment="1">
      <alignment horizontal="center"/>
    </xf>
    <xf numFmtId="0" fontId="5" fillId="0" borderId="0" xfId="0" applyFont="1" applyAlignment="1">
      <alignment horizontal="right"/>
    </xf>
    <xf numFmtId="0" fontId="7" fillId="0" borderId="144" xfId="1" applyFont="1" applyFill="1" applyBorder="1" applyAlignment="1" applyProtection="1">
      <alignment horizontal="center"/>
    </xf>
    <xf numFmtId="0" fontId="7" fillId="0" borderId="144" xfId="1" applyFont="1" applyFill="1" applyBorder="1" applyAlignment="1" applyProtection="1">
      <alignment horizontal="center" vertical="center" wrapText="1"/>
    </xf>
    <xf numFmtId="0" fontId="7" fillId="0" borderId="144" xfId="1" applyFont="1" applyFill="1" applyBorder="1" applyAlignment="1" applyProtection="1">
      <alignment horizontal="center" vertical="center"/>
    </xf>
    <xf numFmtId="0" fontId="5" fillId="0" borderId="0" xfId="2" applyFont="1" applyFill="1" applyAlignment="1">
      <alignment horizontal="center" vertical="center" textRotation="90" wrapText="1"/>
    </xf>
    <xf numFmtId="0" fontId="4" fillId="0" borderId="0" xfId="0" quotePrefix="1" applyFont="1" applyFill="1" applyBorder="1" applyAlignment="1" applyProtection="1">
      <alignment horizontal="left" wrapText="1"/>
    </xf>
    <xf numFmtId="0" fontId="7" fillId="0" borderId="142"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top" wrapText="1"/>
    </xf>
    <xf numFmtId="0" fontId="4" fillId="0" borderId="0" xfId="0" applyFont="1" applyFill="1" applyBorder="1" applyAlignment="1" applyProtection="1">
      <alignment horizontal="left" wrapText="1"/>
    </xf>
    <xf numFmtId="0" fontId="4" fillId="0" borderId="142" xfId="0" quotePrefix="1" applyFont="1" applyFill="1" applyBorder="1" applyAlignment="1" applyProtection="1">
      <alignment horizontal="left" wrapText="1"/>
      <protection locked="0"/>
    </xf>
    <xf numFmtId="0" fontId="15" fillId="0" borderId="48" xfId="0" applyFont="1" applyFill="1" applyBorder="1" applyAlignment="1" applyProtection="1">
      <alignment horizontal="left"/>
    </xf>
    <xf numFmtId="0" fontId="5" fillId="0" borderId="0" xfId="0" applyFont="1" applyFill="1" applyBorder="1" applyAlignment="1" applyProtection="1">
      <alignment horizontal="center"/>
    </xf>
    <xf numFmtId="0" fontId="4" fillId="12" borderId="42" xfId="0" applyFont="1" applyFill="1" applyBorder="1" applyAlignment="1" applyProtection="1"/>
    <xf numFmtId="3" fontId="4" fillId="0" borderId="134" xfId="1" applyNumberFormat="1" applyFont="1" applyFill="1" applyBorder="1" applyAlignment="1" applyProtection="1">
      <alignment horizontal="center" vertical="center"/>
      <protection locked="0"/>
    </xf>
    <xf numFmtId="3" fontId="4" fillId="0" borderId="120" xfId="1" applyNumberFormat="1" applyFont="1" applyFill="1" applyBorder="1" applyAlignment="1" applyProtection="1">
      <alignment horizontal="center" vertical="center"/>
      <protection locked="0"/>
    </xf>
    <xf numFmtId="3" fontId="4" fillId="0" borderId="35" xfId="1" applyNumberFormat="1" applyFont="1" applyFill="1" applyBorder="1" applyAlignment="1" applyProtection="1">
      <alignment horizontal="center" vertical="center"/>
      <protection locked="0"/>
    </xf>
    <xf numFmtId="0" fontId="4" fillId="0" borderId="97" xfId="0" applyFont="1" applyFill="1" applyBorder="1" applyAlignment="1" applyProtection="1">
      <protection locked="0"/>
    </xf>
    <xf numFmtId="3" fontId="4" fillId="0" borderId="98" xfId="0" applyNumberFormat="1" applyFont="1" applyFill="1" applyBorder="1" applyAlignment="1" applyProtection="1">
      <alignment horizontal="center"/>
      <protection locked="0"/>
    </xf>
    <xf numFmtId="3" fontId="4" fillId="0" borderId="97" xfId="0" applyNumberFormat="1" applyFont="1" applyFill="1" applyBorder="1" applyAlignment="1" applyProtection="1">
      <alignment horizontal="center"/>
      <protection locked="0"/>
    </xf>
    <xf numFmtId="3" fontId="4" fillId="0" borderId="35" xfId="0" applyNumberFormat="1" applyFont="1" applyFill="1" applyBorder="1" applyAlignment="1" applyProtection="1">
      <alignment horizontal="center"/>
      <protection locked="0"/>
    </xf>
    <xf numFmtId="0" fontId="1" fillId="0" borderId="0" xfId="0" quotePrefix="1" applyFont="1" applyProtection="1"/>
    <xf numFmtId="0" fontId="0" fillId="0" borderId="0" xfId="0" quotePrefix="1" applyProtection="1"/>
    <xf numFmtId="0" fontId="0" fillId="0" borderId="144" xfId="0" applyBorder="1" applyAlignment="1" applyProtection="1">
      <alignment horizontal="center"/>
    </xf>
    <xf numFmtId="0" fontId="0" fillId="0" borderId="144" xfId="0" applyBorder="1" applyProtection="1"/>
    <xf numFmtId="164" fontId="4" fillId="0" borderId="182" xfId="0" applyNumberFormat="1" applyFont="1" applyFill="1" applyBorder="1" applyAlignment="1" applyProtection="1">
      <alignment horizontal="center"/>
      <protection locked="0"/>
    </xf>
    <xf numFmtId="0" fontId="1" fillId="0" borderId="0" xfId="2" applyAlignment="1">
      <alignment horizontal="center"/>
    </xf>
    <xf numFmtId="0" fontId="34" fillId="0" borderId="0" xfId="0" applyFont="1" applyBorder="1"/>
    <xf numFmtId="0" fontId="18" fillId="0" borderId="0" xfId="0" applyFont="1" applyAlignment="1" applyProtection="1">
      <alignment horizontal="right" vertical="top"/>
    </xf>
    <xf numFmtId="0" fontId="34" fillId="0" borderId="0" xfId="1" applyFont="1" applyAlignment="1" applyProtection="1">
      <alignment vertical="center"/>
    </xf>
    <xf numFmtId="0" fontId="36" fillId="0" borderId="20" xfId="0" applyFont="1" applyFill="1" applyBorder="1" applyAlignment="1" applyProtection="1">
      <alignment horizontal="center" vertical="center"/>
      <protection locked="0"/>
    </xf>
    <xf numFmtId="0" fontId="36" fillId="0" borderId="20" xfId="0" applyFont="1" applyFill="1" applyBorder="1" applyAlignment="1" applyProtection="1">
      <alignment horizontal="center" vertical="center"/>
    </xf>
    <xf numFmtId="164" fontId="4" fillId="0" borderId="188" xfId="0" applyNumberFormat="1" applyFont="1" applyFill="1" applyBorder="1" applyAlignment="1" applyProtection="1">
      <alignment horizontal="center" vertical="center"/>
    </xf>
    <xf numFmtId="164" fontId="4" fillId="0" borderId="34" xfId="0" applyNumberFormat="1" applyFont="1" applyFill="1" applyBorder="1" applyAlignment="1" applyProtection="1">
      <alignment horizontal="center" vertical="center"/>
    </xf>
    <xf numFmtId="164" fontId="4" fillId="0" borderId="174" xfId="0" applyNumberFormat="1" applyFont="1" applyFill="1" applyBorder="1" applyAlignment="1" applyProtection="1">
      <alignment horizontal="center" vertical="center"/>
      <protection locked="0"/>
    </xf>
    <xf numFmtId="164" fontId="4" fillId="0" borderId="189" xfId="0" applyNumberFormat="1" applyFont="1" applyFill="1" applyBorder="1" applyAlignment="1" applyProtection="1">
      <alignment horizontal="center" vertical="center"/>
    </xf>
    <xf numFmtId="164" fontId="4" fillId="0" borderId="93" xfId="0" applyNumberFormat="1" applyFont="1" applyFill="1" applyBorder="1" applyAlignment="1" applyProtection="1">
      <alignment horizontal="center" vertical="center"/>
    </xf>
    <xf numFmtId="3" fontId="5" fillId="0" borderId="22" xfId="0" applyNumberFormat="1" applyFont="1" applyBorder="1" applyAlignment="1" applyProtection="1">
      <alignment horizontal="center" vertical="center"/>
    </xf>
    <xf numFmtId="0" fontId="5" fillId="8" borderId="116" xfId="0" applyFont="1" applyFill="1" applyBorder="1" applyAlignment="1" applyProtection="1">
      <alignment wrapText="1"/>
    </xf>
    <xf numFmtId="0" fontId="5" fillId="8" borderId="70" xfId="0" applyFont="1" applyFill="1" applyBorder="1" applyAlignment="1" applyProtection="1">
      <alignment wrapText="1"/>
    </xf>
    <xf numFmtId="0" fontId="5" fillId="8" borderId="47" xfId="0" applyFont="1" applyFill="1" applyBorder="1" applyAlignment="1" applyProtection="1">
      <alignment horizontal="center"/>
    </xf>
    <xf numFmtId="0" fontId="5" fillId="8" borderId="95" xfId="0" applyFont="1" applyFill="1" applyBorder="1" applyAlignment="1" applyProtection="1">
      <alignment horizontal="center"/>
    </xf>
    <xf numFmtId="0" fontId="5" fillId="8" borderId="59" xfId="0" applyFont="1" applyFill="1" applyBorder="1" applyAlignment="1" applyProtection="1">
      <alignment horizontal="center"/>
    </xf>
    <xf numFmtId="0" fontId="4" fillId="0" borderId="139" xfId="0" applyFont="1" applyFill="1" applyBorder="1" applyAlignment="1" applyProtection="1">
      <alignment horizontal="center" vertical="center" wrapText="1"/>
    </xf>
    <xf numFmtId="3" fontId="4" fillId="0" borderId="127" xfId="0" applyNumberFormat="1" applyFont="1" applyFill="1" applyBorder="1" applyAlignment="1" applyProtection="1">
      <alignment horizontal="center" vertical="center" wrapText="1"/>
    </xf>
    <xf numFmtId="0" fontId="4" fillId="12" borderId="32" xfId="0" applyFont="1" applyFill="1" applyBorder="1" applyAlignment="1" applyProtection="1">
      <alignment horizontal="left" vertical="center" wrapText="1"/>
      <protection locked="0"/>
    </xf>
    <xf numFmtId="0" fontId="4" fillId="0" borderId="144" xfId="0" applyFont="1" applyFill="1" applyBorder="1" applyAlignment="1" applyProtection="1">
      <alignment vertical="center" wrapText="1"/>
      <protection locked="0"/>
    </xf>
    <xf numFmtId="0" fontId="4" fillId="0" borderId="144" xfId="0" applyFont="1" applyFill="1" applyBorder="1" applyAlignment="1" applyProtection="1">
      <alignment horizontal="center" vertical="center" wrapText="1"/>
      <protection locked="0"/>
    </xf>
    <xf numFmtId="3" fontId="4" fillId="0" borderId="33" xfId="0" applyNumberFormat="1" applyFont="1" applyFill="1" applyBorder="1" applyAlignment="1" applyProtection="1">
      <alignment horizontal="center" vertical="center" wrapText="1"/>
    </xf>
    <xf numFmtId="0" fontId="4" fillId="12" borderId="34" xfId="0" applyFont="1" applyFill="1" applyBorder="1" applyAlignment="1" applyProtection="1">
      <alignment horizontal="left" vertical="center" wrapText="1"/>
      <protection locked="0"/>
    </xf>
    <xf numFmtId="0" fontId="4" fillId="0" borderId="35" xfId="0" applyFont="1" applyFill="1" applyBorder="1" applyAlignment="1" applyProtection="1">
      <alignment vertical="center" wrapText="1"/>
      <protection locked="0"/>
    </xf>
    <xf numFmtId="0" fontId="4" fillId="0" borderId="35" xfId="0" applyFont="1" applyFill="1" applyBorder="1" applyAlignment="1" applyProtection="1">
      <alignment horizontal="center" vertical="center" wrapText="1"/>
      <protection locked="0"/>
    </xf>
    <xf numFmtId="0" fontId="4" fillId="0" borderId="35" xfId="0" applyFont="1" applyFill="1" applyBorder="1" applyAlignment="1" applyProtection="1">
      <alignment horizontal="center" vertical="center" wrapText="1"/>
    </xf>
    <xf numFmtId="3" fontId="4" fillId="0" borderId="36" xfId="0" applyNumberFormat="1" applyFont="1" applyFill="1" applyBorder="1" applyAlignment="1" applyProtection="1">
      <alignment horizontal="center" vertical="center" wrapText="1"/>
    </xf>
    <xf numFmtId="164" fontId="7" fillId="0" borderId="158" xfId="0" applyNumberFormat="1" applyFont="1" applyBorder="1" applyAlignment="1" applyProtection="1">
      <alignment horizontal="center" vertical="center"/>
    </xf>
    <xf numFmtId="0" fontId="4" fillId="8" borderId="62" xfId="0" applyFont="1" applyFill="1" applyBorder="1" applyAlignment="1" applyProtection="1">
      <alignment wrapText="1"/>
    </xf>
    <xf numFmtId="0" fontId="4" fillId="0" borderId="183" xfId="0" applyFont="1" applyFill="1" applyBorder="1" applyAlignment="1" applyProtection="1">
      <alignment horizontal="left" vertical="center" wrapText="1"/>
    </xf>
    <xf numFmtId="0" fontId="4" fillId="0" borderId="37" xfId="0" applyFont="1" applyFill="1" applyBorder="1" applyAlignment="1" applyProtection="1">
      <alignment horizontal="left" vertical="center" wrapText="1"/>
    </xf>
    <xf numFmtId="0" fontId="1" fillId="0" borderId="0" xfId="0" applyFont="1" applyFill="1" applyBorder="1" applyProtection="1"/>
    <xf numFmtId="0" fontId="5" fillId="0" borderId="0" xfId="0" applyFont="1" applyAlignment="1" applyProtection="1">
      <alignment horizontal="center"/>
    </xf>
    <xf numFmtId="0" fontId="10" fillId="17" borderId="0" xfId="0" applyFont="1" applyFill="1" applyAlignment="1" applyProtection="1">
      <alignment horizontal="center"/>
    </xf>
    <xf numFmtId="0" fontId="63" fillId="0" borderId="0" xfId="0" applyFont="1" applyAlignment="1">
      <alignment horizontal="center" vertical="center"/>
    </xf>
    <xf numFmtId="0" fontId="4" fillId="12" borderId="124" xfId="0" applyFont="1" applyFill="1" applyBorder="1" applyAlignment="1" applyProtection="1">
      <alignment horizontal="left" vertical="center" wrapText="1"/>
      <protection locked="0"/>
    </xf>
    <xf numFmtId="0" fontId="4" fillId="0" borderId="125" xfId="0" applyFont="1" applyFill="1" applyBorder="1" applyAlignment="1" applyProtection="1">
      <alignment horizontal="center" vertical="center" wrapText="1"/>
    </xf>
    <xf numFmtId="164" fontId="4" fillId="0" borderId="118" xfId="0" applyNumberFormat="1" applyFont="1" applyFill="1" applyBorder="1" applyAlignment="1" applyProtection="1">
      <alignment horizontal="center" vertical="center"/>
    </xf>
    <xf numFmtId="164" fontId="4" fillId="0" borderId="159" xfId="0" applyNumberFormat="1" applyFont="1" applyFill="1" applyBorder="1" applyAlignment="1" applyProtection="1">
      <alignment horizontal="center" vertical="center"/>
      <protection locked="0"/>
    </xf>
    <xf numFmtId="164" fontId="4" fillId="0" borderId="4" xfId="0" applyNumberFormat="1" applyFont="1" applyFill="1" applyBorder="1" applyAlignment="1" applyProtection="1">
      <alignment horizontal="center" vertical="center"/>
    </xf>
    <xf numFmtId="164" fontId="4" fillId="0" borderId="179" xfId="0" applyNumberFormat="1" applyFont="1" applyFill="1" applyBorder="1" applyAlignment="1" applyProtection="1">
      <alignment horizontal="center" vertical="center"/>
    </xf>
    <xf numFmtId="0" fontId="7" fillId="13" borderId="117" xfId="0" applyFont="1" applyFill="1" applyBorder="1" applyAlignment="1" applyProtection="1">
      <alignment vertical="center" wrapText="1"/>
    </xf>
    <xf numFmtId="0" fontId="7" fillId="13" borderId="162" xfId="0" applyFont="1" applyFill="1" applyBorder="1" applyAlignment="1" applyProtection="1">
      <alignment vertical="center" wrapText="1"/>
    </xf>
    <xf numFmtId="0" fontId="1" fillId="0" borderId="0" xfId="2" applyFill="1" applyAlignment="1">
      <alignment horizontal="center" wrapText="1"/>
    </xf>
    <xf numFmtId="0" fontId="1" fillId="0" borderId="0" xfId="2" applyFont="1" applyFill="1" applyAlignment="1">
      <alignment horizontal="center" wrapText="1"/>
    </xf>
    <xf numFmtId="0" fontId="1" fillId="0" borderId="0" xfId="2" applyFill="1" applyAlignment="1">
      <alignment horizontal="center" textRotation="90" wrapText="1"/>
    </xf>
    <xf numFmtId="0" fontId="1" fillId="0" borderId="0" xfId="2" applyFill="1" applyAlignment="1">
      <alignment horizontal="left" wrapText="1"/>
    </xf>
    <xf numFmtId="0" fontId="1" fillId="0" borderId="0" xfId="2" applyFill="1" applyAlignment="1">
      <alignment horizontal="center" vertical="center" wrapText="1"/>
    </xf>
    <xf numFmtId="0" fontId="5" fillId="0" borderId="0" xfId="2" applyFont="1" applyFill="1" applyAlignment="1">
      <alignment horizontal="center" textRotation="90" wrapText="1"/>
    </xf>
    <xf numFmtId="0" fontId="4" fillId="0" borderId="33" xfId="0" applyFont="1" applyBorder="1" applyAlignment="1" applyProtection="1">
      <alignment horizontal="center"/>
    </xf>
    <xf numFmtId="0" fontId="0" fillId="0" borderId="0" xfId="0" applyAlignment="1">
      <alignment horizontal="center"/>
    </xf>
    <xf numFmtId="0" fontId="5" fillId="8" borderId="0" xfId="0" applyFont="1" applyFill="1" applyBorder="1" applyAlignment="1" applyProtection="1">
      <alignment horizontal="left" vertical="top" wrapText="1"/>
    </xf>
    <xf numFmtId="0" fontId="5" fillId="8" borderId="72" xfId="0" applyFont="1" applyFill="1" applyBorder="1" applyAlignment="1" applyProtection="1">
      <alignment horizontal="left" vertical="top" wrapText="1"/>
    </xf>
    <xf numFmtId="0" fontId="4" fillId="8" borderId="0" xfId="0" applyFont="1" applyFill="1" applyAlignment="1" applyProtection="1">
      <alignment horizontal="center" wrapText="1"/>
    </xf>
    <xf numFmtId="0" fontId="7" fillId="8" borderId="31" xfId="0" applyFont="1" applyFill="1" applyBorder="1" applyAlignment="1" applyProtection="1">
      <alignment horizontal="center" vertical="center" wrapText="1"/>
    </xf>
    <xf numFmtId="0" fontId="7" fillId="8" borderId="40" xfId="0" applyFont="1" applyFill="1" applyBorder="1" applyAlignment="1" applyProtection="1">
      <alignment horizontal="center" vertical="center" wrapText="1"/>
    </xf>
    <xf numFmtId="0" fontId="7" fillId="8" borderId="57" xfId="0" applyFont="1" applyFill="1" applyBorder="1" applyAlignment="1" applyProtection="1">
      <alignment horizontal="center" vertical="center" wrapText="1"/>
    </xf>
    <xf numFmtId="0" fontId="7" fillId="8" borderId="125" xfId="0" applyFont="1" applyFill="1" applyBorder="1" applyAlignment="1" applyProtection="1">
      <alignment horizontal="center" vertical="center" wrapText="1"/>
    </xf>
    <xf numFmtId="0" fontId="7" fillId="8" borderId="127" xfId="0" applyFont="1" applyFill="1" applyBorder="1" applyAlignment="1" applyProtection="1">
      <alignment horizontal="center" vertical="center" wrapText="1"/>
    </xf>
    <xf numFmtId="0" fontId="5" fillId="8" borderId="22" xfId="0" applyFont="1" applyFill="1" applyBorder="1" applyAlignment="1" applyProtection="1">
      <alignment horizontal="left" vertical="top" wrapText="1"/>
    </xf>
    <xf numFmtId="0" fontId="5" fillId="8" borderId="23" xfId="0" applyFont="1" applyFill="1" applyBorder="1" applyAlignment="1" applyProtection="1">
      <alignment horizontal="center" vertical="center"/>
    </xf>
    <xf numFmtId="0" fontId="5" fillId="8" borderId="0" xfId="0" applyFont="1" applyFill="1" applyBorder="1" applyAlignment="1" applyProtection="1">
      <alignment horizontal="center" vertical="center"/>
    </xf>
    <xf numFmtId="0" fontId="5" fillId="8" borderId="24" xfId="0" applyFont="1" applyFill="1" applyBorder="1" applyAlignment="1" applyProtection="1">
      <alignment horizontal="center" vertical="center"/>
    </xf>
    <xf numFmtId="0" fontId="1" fillId="8" borderId="0" xfId="0" applyFont="1" applyFill="1" applyBorder="1" applyAlignment="1" applyProtection="1"/>
    <xf numFmtId="3" fontId="4" fillId="8" borderId="0" xfId="0" applyNumberFormat="1" applyFont="1" applyFill="1" applyBorder="1" applyAlignment="1" applyProtection="1">
      <alignment horizontal="center"/>
    </xf>
    <xf numFmtId="0" fontId="3" fillId="8" borderId="25" xfId="1" applyFill="1" applyBorder="1" applyAlignment="1" applyProtection="1">
      <alignment horizontal="center"/>
    </xf>
    <xf numFmtId="3" fontId="7" fillId="8" borderId="25" xfId="0" applyNumberFormat="1" applyFont="1" applyFill="1" applyBorder="1" applyAlignment="1" applyProtection="1">
      <alignment horizontal="center"/>
    </xf>
    <xf numFmtId="3" fontId="7" fillId="8" borderId="65" xfId="0" applyNumberFormat="1" applyFont="1" applyFill="1" applyBorder="1" applyAlignment="1" applyProtection="1">
      <alignment horizontal="center"/>
    </xf>
    <xf numFmtId="3" fontId="7" fillId="30" borderId="49" xfId="0" applyNumberFormat="1" applyFont="1" applyFill="1" applyBorder="1" applyAlignment="1" applyProtection="1">
      <alignment horizontal="center" vertical="center"/>
    </xf>
    <xf numFmtId="3" fontId="7" fillId="30" borderId="49" xfId="0" applyNumberFormat="1" applyFont="1" applyFill="1" applyBorder="1" applyAlignment="1" applyProtection="1">
      <alignment horizontal="center"/>
    </xf>
    <xf numFmtId="0" fontId="4" fillId="8" borderId="130" xfId="0" quotePrefix="1" applyFont="1" applyFill="1" applyBorder="1" applyAlignment="1" applyProtection="1">
      <alignment horizontal="left" wrapText="1"/>
    </xf>
    <xf numFmtId="0" fontId="4" fillId="12" borderId="184" xfId="0" applyFont="1" applyFill="1" applyBorder="1" applyAlignment="1" applyProtection="1"/>
    <xf numFmtId="0" fontId="0" fillId="0" borderId="0" xfId="0" applyFill="1" applyBorder="1" applyAlignment="1" applyProtection="1">
      <alignment horizontal="center" vertical="top" wrapText="1"/>
    </xf>
    <xf numFmtId="0" fontId="5" fillId="0" borderId="72" xfId="0" applyFont="1" applyFill="1" applyBorder="1" applyAlignment="1" applyProtection="1">
      <alignment horizontal="center" wrapText="1"/>
    </xf>
    <xf numFmtId="164" fontId="4" fillId="0" borderId="124" xfId="0" applyNumberFormat="1" applyFont="1" applyFill="1" applyBorder="1" applyAlignment="1" applyProtection="1">
      <alignment horizontal="center"/>
    </xf>
    <xf numFmtId="0" fontId="4" fillId="0" borderId="182" xfId="0" applyFont="1" applyFill="1" applyBorder="1" applyAlignment="1" applyProtection="1">
      <alignment horizontal="center"/>
      <protection locked="0"/>
    </xf>
    <xf numFmtId="0" fontId="4" fillId="0" borderId="127" xfId="0" applyFont="1" applyFill="1" applyBorder="1" applyAlignment="1" applyProtection="1">
      <alignment horizontal="center"/>
      <protection locked="0"/>
    </xf>
    <xf numFmtId="164" fontId="4" fillId="0" borderId="60" xfId="0" applyNumberFormat="1" applyFont="1" applyFill="1" applyBorder="1" applyAlignment="1" applyProtection="1">
      <alignment horizontal="center"/>
    </xf>
    <xf numFmtId="164" fontId="4" fillId="0" borderId="170" xfId="0" applyNumberFormat="1" applyFont="1" applyFill="1" applyBorder="1" applyAlignment="1" applyProtection="1">
      <alignment horizontal="center"/>
    </xf>
    <xf numFmtId="0" fontId="4" fillId="0" borderId="28" xfId="0" applyFont="1" applyFill="1" applyBorder="1" applyAlignment="1" applyProtection="1">
      <alignment horizontal="center"/>
      <protection locked="0"/>
    </xf>
    <xf numFmtId="0" fontId="4" fillId="0" borderId="144" xfId="0" applyFont="1" applyFill="1" applyBorder="1" applyAlignment="1" applyProtection="1">
      <alignment horizontal="center"/>
      <protection locked="0"/>
    </xf>
    <xf numFmtId="0" fontId="1" fillId="0" borderId="0" xfId="0" applyFont="1" applyAlignment="1" applyProtection="1">
      <alignment horizontal="center" vertical="top" wrapText="1"/>
    </xf>
    <xf numFmtId="0" fontId="1" fillId="0" borderId="0" xfId="0" applyFont="1" applyFill="1" applyBorder="1" applyAlignment="1" applyProtection="1">
      <alignment horizontal="center" vertical="top" wrapText="1"/>
    </xf>
    <xf numFmtId="0" fontId="5" fillId="8" borderId="54" xfId="0" applyFont="1" applyFill="1" applyBorder="1" applyAlignment="1" applyProtection="1">
      <alignment horizontal="center" vertical="center" wrapText="1"/>
    </xf>
    <xf numFmtId="0" fontId="5" fillId="0" borderId="142" xfId="0" applyFont="1" applyFill="1" applyBorder="1" applyAlignment="1" applyProtection="1">
      <alignment horizontal="left" vertical="center" wrapText="1"/>
    </xf>
    <xf numFmtId="1" fontId="7" fillId="0" borderId="191" xfId="0" applyNumberFormat="1" applyFont="1" applyBorder="1" applyAlignment="1" applyProtection="1">
      <alignment horizontal="center" vertical="center"/>
    </xf>
    <xf numFmtId="0" fontId="0" fillId="0" borderId="0" xfId="0" applyAlignment="1" applyProtection="1">
      <alignment horizontal="center"/>
    </xf>
    <xf numFmtId="0" fontId="4" fillId="0" borderId="33" xfId="0" applyFont="1" applyFill="1" applyBorder="1" applyAlignment="1" applyProtection="1">
      <alignment horizontal="center"/>
    </xf>
    <xf numFmtId="0" fontId="5" fillId="0" borderId="144" xfId="0" applyFont="1" applyBorder="1" applyAlignment="1">
      <alignment horizontal="center" vertical="center" wrapText="1"/>
    </xf>
    <xf numFmtId="1" fontId="4" fillId="0" borderId="183" xfId="0" applyNumberFormat="1" applyFont="1" applyFill="1" applyBorder="1" applyAlignment="1" applyProtection="1">
      <alignment horizontal="center"/>
    </xf>
    <xf numFmtId="3" fontId="4" fillId="0" borderId="199" xfId="0" applyNumberFormat="1" applyFont="1" applyBorder="1" applyAlignment="1" applyProtection="1">
      <alignment horizontal="center"/>
    </xf>
    <xf numFmtId="166" fontId="4" fillId="12" borderId="144" xfId="0" applyNumberFormat="1" applyFont="1" applyFill="1" applyBorder="1" applyAlignment="1" applyProtection="1">
      <protection locked="0"/>
    </xf>
    <xf numFmtId="0" fontId="4" fillId="0" borderId="198" xfId="0" applyFont="1" applyFill="1" applyBorder="1" applyAlignment="1" applyProtection="1">
      <protection locked="0"/>
    </xf>
    <xf numFmtId="3" fontId="4" fillId="0" borderId="198" xfId="0" applyNumberFormat="1" applyFont="1" applyFill="1" applyBorder="1" applyAlignment="1" applyProtection="1">
      <alignment horizontal="center"/>
      <protection locked="0"/>
    </xf>
    <xf numFmtId="3" fontId="4" fillId="0" borderId="33" xfId="0" applyNumberFormat="1" applyFont="1" applyFill="1" applyBorder="1" applyAlignment="1" applyProtection="1">
      <alignment horizontal="center"/>
    </xf>
    <xf numFmtId="166" fontId="4" fillId="12" borderId="200" xfId="0" applyNumberFormat="1" applyFont="1" applyFill="1" applyBorder="1" applyAlignment="1" applyProtection="1">
      <protection locked="0"/>
    </xf>
    <xf numFmtId="3" fontId="4" fillId="0" borderId="183" xfId="0" applyNumberFormat="1" applyFont="1" applyFill="1" applyBorder="1" applyAlignment="1" applyProtection="1">
      <alignment horizontal="center"/>
      <protection locked="0"/>
    </xf>
    <xf numFmtId="166" fontId="4" fillId="12" borderId="37" xfId="0" applyNumberFormat="1" applyFont="1" applyFill="1" applyBorder="1" applyAlignment="1" applyProtection="1">
      <protection locked="0"/>
    </xf>
    <xf numFmtId="0" fontId="4" fillId="0" borderId="201" xfId="0" applyFont="1" applyFill="1" applyBorder="1" applyAlignment="1" applyProtection="1">
      <protection locked="0"/>
    </xf>
    <xf numFmtId="3" fontId="4" fillId="0" borderId="37" xfId="0" applyNumberFormat="1" applyFont="1" applyFill="1" applyBorder="1" applyAlignment="1" applyProtection="1">
      <alignment horizontal="center"/>
      <protection locked="0"/>
    </xf>
    <xf numFmtId="3" fontId="4" fillId="0" borderId="36" xfId="0" applyNumberFormat="1" applyFont="1" applyFill="1" applyBorder="1" applyAlignment="1" applyProtection="1">
      <alignment horizontal="center"/>
    </xf>
    <xf numFmtId="0" fontId="4" fillId="0" borderId="199" xfId="0" applyFont="1" applyFill="1" applyBorder="1" applyAlignment="1" applyProtection="1">
      <alignment horizontal="center"/>
    </xf>
    <xf numFmtId="0" fontId="4" fillId="0" borderId="36" xfId="0" applyFont="1" applyBorder="1" applyAlignment="1" applyProtection="1">
      <alignment horizontal="center"/>
    </xf>
    <xf numFmtId="0" fontId="4" fillId="4" borderId="53" xfId="0" applyFont="1" applyFill="1" applyBorder="1" applyAlignment="1" applyProtection="1">
      <alignment horizontal="center" wrapText="1"/>
    </xf>
    <xf numFmtId="0" fontId="4" fillId="4" borderId="193" xfId="0" applyFont="1" applyFill="1" applyBorder="1" applyAlignment="1" applyProtection="1">
      <alignment wrapText="1"/>
    </xf>
    <xf numFmtId="0" fontId="4" fillId="4" borderId="193" xfId="0" quotePrefix="1" applyFont="1" applyFill="1" applyBorder="1" applyAlignment="1" applyProtection="1">
      <alignment wrapText="1"/>
    </xf>
    <xf numFmtId="0" fontId="4" fillId="4" borderId="55" xfId="0" applyFont="1" applyFill="1" applyBorder="1" applyAlignment="1" applyProtection="1">
      <alignment horizontal="center" wrapText="1"/>
    </xf>
    <xf numFmtId="0" fontId="4" fillId="4" borderId="193" xfId="0" applyFont="1" applyFill="1" applyBorder="1" applyAlignment="1" applyProtection="1">
      <alignment horizontal="center" wrapText="1"/>
    </xf>
    <xf numFmtId="0" fontId="7" fillId="4" borderId="206" xfId="0" applyFont="1" applyFill="1" applyBorder="1" applyAlignment="1" applyProtection="1">
      <alignment horizontal="center" vertical="center" wrapText="1"/>
    </xf>
    <xf numFmtId="0" fontId="7" fillId="4" borderId="202" xfId="0" applyFont="1" applyFill="1" applyBorder="1" applyAlignment="1" applyProtection="1">
      <alignment horizontal="center" vertical="center" wrapText="1"/>
    </xf>
    <xf numFmtId="0" fontId="5" fillId="0" borderId="126" xfId="0" applyFont="1" applyFill="1" applyBorder="1" applyAlignment="1" applyProtection="1">
      <alignment horizontal="left" vertical="center" wrapText="1"/>
    </xf>
    <xf numFmtId="0" fontId="4" fillId="12" borderId="194" xfId="0" applyFont="1" applyFill="1" applyBorder="1" applyAlignment="1" applyProtection="1"/>
    <xf numFmtId="0" fontId="4" fillId="0" borderId="196" xfId="0" applyFont="1" applyFill="1" applyBorder="1" applyAlignment="1" applyProtection="1">
      <alignment horizontal="center"/>
      <protection locked="0"/>
    </xf>
    <xf numFmtId="1" fontId="4" fillId="0" borderId="37" xfId="0" applyNumberFormat="1" applyFont="1" applyFill="1" applyBorder="1" applyAlignment="1" applyProtection="1">
      <alignment horizontal="center"/>
    </xf>
    <xf numFmtId="0" fontId="4" fillId="0" borderId="36" xfId="0" applyFont="1" applyFill="1" applyBorder="1" applyAlignment="1" applyProtection="1">
      <alignment horizontal="center"/>
    </xf>
    <xf numFmtId="0" fontId="4" fillId="0" borderId="144" xfId="0" applyFont="1" applyBorder="1" applyProtection="1"/>
    <xf numFmtId="0" fontId="3" fillId="0" borderId="0" xfId="1" applyAlignment="1" applyProtection="1">
      <alignment horizontal="center"/>
    </xf>
    <xf numFmtId="0" fontId="5" fillId="0" borderId="0" xfId="0" applyFont="1" applyAlignment="1" applyProtection="1">
      <alignment horizontal="center"/>
    </xf>
    <xf numFmtId="0" fontId="60" fillId="0" borderId="0" xfId="0" applyFont="1" applyAlignment="1" applyProtection="1">
      <alignment horizontal="center" vertical="center"/>
    </xf>
    <xf numFmtId="0" fontId="57" fillId="17" borderId="0" xfId="0" applyFont="1" applyFill="1" applyAlignment="1" applyProtection="1">
      <alignment horizontal="center"/>
    </xf>
    <xf numFmtId="0" fontId="4" fillId="0" borderId="97" xfId="0" applyFont="1" applyBorder="1" applyAlignment="1" applyProtection="1">
      <alignment horizontal="center"/>
    </xf>
    <xf numFmtId="170" fontId="4" fillId="0" borderId="133" xfId="0" applyNumberFormat="1" applyFont="1" applyBorder="1" applyAlignment="1" applyProtection="1">
      <alignment horizontal="center"/>
    </xf>
    <xf numFmtId="0" fontId="7" fillId="4" borderId="22" xfId="0" applyFont="1" applyFill="1" applyBorder="1" applyAlignment="1" applyProtection="1">
      <alignment horizontal="center" vertical="center" wrapText="1"/>
    </xf>
    <xf numFmtId="0" fontId="0" fillId="0" borderId="0" xfId="0" applyAlignment="1" applyProtection="1">
      <alignment horizontal="center"/>
    </xf>
    <xf numFmtId="1" fontId="4" fillId="0" borderId="144" xfId="0" applyNumberFormat="1" applyFont="1" applyFill="1" applyBorder="1" applyAlignment="1" applyProtection="1">
      <alignment horizontal="center"/>
    </xf>
    <xf numFmtId="0" fontId="5" fillId="0" borderId="144" xfId="0" applyFont="1" applyBorder="1" applyAlignment="1">
      <alignment horizontal="center" vertical="center" wrapText="1"/>
    </xf>
    <xf numFmtId="0" fontId="0" fillId="0" borderId="0" xfId="0" applyAlignment="1">
      <alignment horizontal="center"/>
    </xf>
    <xf numFmtId="0" fontId="0" fillId="0" borderId="144" xfId="0" applyBorder="1" applyAlignment="1">
      <alignment horizontal="center" vertical="center"/>
    </xf>
    <xf numFmtId="0" fontId="0" fillId="0" borderId="32" xfId="0" applyBorder="1" applyAlignment="1">
      <alignment horizontal="center" vertical="center"/>
    </xf>
    <xf numFmtId="0" fontId="4" fillId="0" borderId="35" xfId="0" applyFont="1" applyBorder="1" applyProtection="1"/>
    <xf numFmtId="3" fontId="4" fillId="0" borderId="41" xfId="0" applyNumberFormat="1" applyFont="1" applyFill="1" applyBorder="1" applyAlignment="1" applyProtection="1">
      <alignment horizontal="center"/>
    </xf>
    <xf numFmtId="3" fontId="4" fillId="0" borderId="35" xfId="0" applyNumberFormat="1" applyFont="1" applyBorder="1" applyAlignment="1" applyProtection="1">
      <alignment horizontal="center"/>
    </xf>
    <xf numFmtId="1" fontId="0" fillId="0" borderId="144" xfId="0" applyNumberFormat="1" applyBorder="1" applyAlignment="1">
      <alignment horizontal="center"/>
    </xf>
    <xf numFmtId="0" fontId="5" fillId="0" borderId="0" xfId="0" applyFont="1" applyAlignment="1" applyProtection="1">
      <alignment horizontal="left"/>
    </xf>
    <xf numFmtId="0" fontId="5" fillId="0" borderId="0" xfId="0" applyFont="1" applyFill="1" applyBorder="1" applyAlignment="1" applyProtection="1">
      <alignment horizontal="center"/>
    </xf>
    <xf numFmtId="0" fontId="0" fillId="8" borderId="0" xfId="0" applyFill="1" applyAlignment="1" applyProtection="1">
      <alignment horizontal="left" vertical="top" wrapText="1"/>
    </xf>
    <xf numFmtId="0" fontId="0" fillId="0" borderId="144" xfId="0" applyBorder="1" applyAlignment="1">
      <alignment horizontal="center" vertical="center"/>
    </xf>
    <xf numFmtId="0" fontId="0" fillId="0" borderId="144" xfId="0" applyBorder="1" applyAlignment="1">
      <alignment horizontal="left" vertical="center"/>
    </xf>
    <xf numFmtId="0" fontId="4" fillId="0" borderId="0" xfId="0" applyFont="1" applyAlignment="1" applyProtection="1">
      <alignment horizontal="center" wrapText="1"/>
    </xf>
    <xf numFmtId="0" fontId="0" fillId="0" borderId="0" xfId="0" applyAlignment="1">
      <alignment horizontal="center"/>
    </xf>
    <xf numFmtId="1" fontId="5" fillId="0" borderId="0" xfId="0" applyNumberFormat="1" applyFont="1" applyBorder="1" applyAlignment="1">
      <alignment horizontal="center"/>
    </xf>
    <xf numFmtId="1" fontId="0" fillId="0" borderId="207" xfId="0" applyNumberFormat="1" applyBorder="1" applyAlignment="1">
      <alignment horizontal="center" vertical="center"/>
    </xf>
    <xf numFmtId="0" fontId="84" fillId="0" borderId="0" xfId="0" applyFont="1" applyBorder="1" applyAlignment="1">
      <alignment vertical="center" wrapText="1"/>
    </xf>
    <xf numFmtId="0" fontId="83" fillId="0" borderId="144" xfId="0" applyFont="1" applyBorder="1" applyAlignment="1">
      <alignment horizontal="center" vertical="center" wrapText="1"/>
    </xf>
    <xf numFmtId="0" fontId="35" fillId="32" borderId="144" xfId="0" applyFont="1" applyFill="1" applyBorder="1" applyAlignment="1">
      <alignment horizontal="center" vertical="center" wrapText="1"/>
    </xf>
    <xf numFmtId="0" fontId="1" fillId="0" borderId="144" xfId="0" applyFont="1" applyFill="1" applyBorder="1" applyAlignment="1">
      <alignment horizontal="center" vertical="center"/>
    </xf>
    <xf numFmtId="0" fontId="0" fillId="8" borderId="0" xfId="0" applyFill="1" applyAlignment="1" applyProtection="1">
      <alignment horizontal="left" vertical="top" wrapText="1"/>
    </xf>
    <xf numFmtId="0" fontId="5" fillId="0" borderId="0" xfId="0" applyFont="1" applyFill="1" applyBorder="1" applyAlignment="1" applyProtection="1">
      <alignment horizontal="center"/>
    </xf>
    <xf numFmtId="0" fontId="5" fillId="0" borderId="0" xfId="0" applyFont="1" applyAlignment="1" applyProtection="1">
      <alignment horizontal="center"/>
    </xf>
    <xf numFmtId="0" fontId="60" fillId="0" borderId="0" xfId="0" applyFont="1" applyAlignment="1" applyProtection="1">
      <alignment horizontal="center" vertical="center"/>
    </xf>
    <xf numFmtId="0" fontId="57" fillId="17" borderId="0" xfId="0" applyFont="1" applyFill="1" applyAlignment="1" applyProtection="1">
      <alignment horizontal="center"/>
    </xf>
    <xf numFmtId="0" fontId="5" fillId="0" borderId="0" xfId="0" applyFont="1" applyFill="1" applyBorder="1" applyAlignment="1" applyProtection="1">
      <alignment horizontal="left" vertical="center"/>
    </xf>
    <xf numFmtId="0" fontId="4" fillId="8" borderId="26" xfId="0" applyFont="1" applyFill="1" applyBorder="1" applyAlignment="1" applyProtection="1">
      <alignment horizontal="left" wrapText="1"/>
    </xf>
    <xf numFmtId="0" fontId="4" fillId="8" borderId="61" xfId="0" applyFont="1" applyFill="1" applyBorder="1" applyAlignment="1" applyProtection="1">
      <alignment horizontal="left" wrapText="1"/>
    </xf>
    <xf numFmtId="170" fontId="4" fillId="0" borderId="133" xfId="0" applyNumberFormat="1" applyFont="1" applyBorder="1" applyAlignment="1" applyProtection="1">
      <alignment horizontal="center"/>
    </xf>
    <xf numFmtId="0" fontId="7" fillId="4" borderId="22" xfId="0" applyFont="1" applyFill="1" applyBorder="1" applyAlignment="1" applyProtection="1">
      <alignment horizontal="center" vertical="center" wrapText="1"/>
    </xf>
    <xf numFmtId="0" fontId="5" fillId="8" borderId="70" xfId="0" applyFont="1" applyFill="1" applyBorder="1" applyAlignment="1" applyProtection="1">
      <alignment horizontal="center" wrapText="1"/>
    </xf>
    <xf numFmtId="0" fontId="5" fillId="8" borderId="22" xfId="0" applyFont="1" applyFill="1" applyBorder="1" applyAlignment="1" applyProtection="1">
      <alignment horizontal="center" wrapText="1"/>
    </xf>
    <xf numFmtId="0" fontId="0" fillId="0" borderId="0" xfId="0" applyAlignment="1" applyProtection="1">
      <alignment horizontal="center"/>
    </xf>
    <xf numFmtId="0" fontId="4" fillId="0" borderId="0" xfId="0" applyFont="1" applyAlignment="1" applyProtection="1">
      <alignment horizontal="center" wrapText="1"/>
    </xf>
    <xf numFmtId="0" fontId="83" fillId="0" borderId="144" xfId="0" applyFont="1" applyFill="1" applyBorder="1" applyAlignment="1">
      <alignment horizontal="center" vertical="center" wrapText="1"/>
    </xf>
    <xf numFmtId="0" fontId="81" fillId="0" borderId="0" xfId="0" applyFont="1" applyBorder="1" applyAlignment="1">
      <alignment vertical="center" wrapText="1"/>
    </xf>
    <xf numFmtId="0" fontId="81" fillId="0" borderId="25" xfId="0" applyFont="1" applyBorder="1" applyAlignment="1">
      <alignment vertical="center" wrapText="1"/>
    </xf>
    <xf numFmtId="0" fontId="1" fillId="0" borderId="144" xfId="0" applyFont="1" applyBorder="1" applyAlignment="1">
      <alignment horizontal="left" vertical="center"/>
    </xf>
    <xf numFmtId="0" fontId="81" fillId="0" borderId="25" xfId="0" applyFont="1" applyBorder="1" applyAlignment="1">
      <alignment horizontal="left" vertical="center"/>
    </xf>
    <xf numFmtId="0" fontId="81" fillId="32" borderId="144" xfId="0" applyFont="1" applyFill="1" applyBorder="1" applyAlignment="1">
      <alignment horizontal="left" vertical="center" wrapText="1"/>
    </xf>
    <xf numFmtId="0" fontId="1" fillId="0" borderId="144" xfId="0" applyFont="1" applyBorder="1" applyAlignment="1">
      <alignment horizontal="left" vertical="center" wrapText="1"/>
    </xf>
    <xf numFmtId="0" fontId="0" fillId="0" borderId="144" xfId="0" applyFont="1" applyBorder="1" applyAlignment="1">
      <alignment horizontal="left" vertical="center" wrapText="1"/>
    </xf>
    <xf numFmtId="0" fontId="0" fillId="0" borderId="44" xfId="0" applyFont="1" applyFill="1" applyBorder="1" applyAlignment="1">
      <alignment horizontal="left" vertical="top" wrapText="1"/>
    </xf>
    <xf numFmtId="0" fontId="0" fillId="0" borderId="0" xfId="0" applyFont="1" applyFill="1" applyBorder="1" applyAlignment="1">
      <alignment horizontal="left" vertical="top" wrapText="1"/>
    </xf>
    <xf numFmtId="0" fontId="81" fillId="0" borderId="0" xfId="0" applyFont="1" applyBorder="1" applyAlignment="1">
      <alignment horizontal="left" vertical="center"/>
    </xf>
    <xf numFmtId="0" fontId="83" fillId="0" borderId="144" xfId="0" applyFont="1" applyBorder="1" applyAlignment="1">
      <alignment horizontal="left" vertical="center" wrapText="1"/>
    </xf>
    <xf numFmtId="0" fontId="84" fillId="0" borderId="0" xfId="0" applyFont="1" applyBorder="1" applyAlignment="1">
      <alignment horizontal="left" vertical="center" wrapText="1"/>
    </xf>
    <xf numFmtId="0" fontId="5" fillId="0" borderId="0" xfId="0" applyFont="1" applyAlignment="1">
      <alignment horizontal="left"/>
    </xf>
    <xf numFmtId="0" fontId="1" fillId="0" borderId="144" xfId="0" applyFont="1" applyFill="1" applyBorder="1" applyAlignment="1">
      <alignment horizontal="left" vertical="center"/>
    </xf>
    <xf numFmtId="0" fontId="0" fillId="0" borderId="0" xfId="0" applyFill="1" applyBorder="1" applyAlignment="1">
      <alignment wrapText="1"/>
    </xf>
    <xf numFmtId="0" fontId="81" fillId="0" borderId="0" xfId="0" applyFont="1" applyFill="1" applyBorder="1" applyAlignment="1">
      <alignment vertical="center" wrapText="1"/>
    </xf>
    <xf numFmtId="0" fontId="82" fillId="0" borderId="0" xfId="0" applyFont="1" applyFill="1" applyBorder="1" applyAlignment="1">
      <alignment vertical="center" wrapText="1"/>
    </xf>
    <xf numFmtId="0" fontId="1" fillId="0" borderId="0" xfId="0" applyFont="1" applyFill="1" applyBorder="1" applyAlignment="1">
      <alignment horizontal="left" vertical="center"/>
    </xf>
    <xf numFmtId="0" fontId="5" fillId="0" borderId="0" xfId="0" applyFont="1" applyFill="1" applyAlignment="1" applyProtection="1">
      <alignment vertical="center" wrapText="1"/>
    </xf>
    <xf numFmtId="0" fontId="4" fillId="0" borderId="124" xfId="0" applyFont="1" applyFill="1" applyBorder="1" applyAlignment="1" applyProtection="1">
      <alignment horizontal="left" vertical="center" wrapText="1"/>
    </xf>
    <xf numFmtId="0" fontId="4" fillId="0" borderId="32" xfId="0" applyFont="1" applyFill="1" applyBorder="1" applyAlignment="1" applyProtection="1">
      <alignment horizontal="left" vertical="center" wrapText="1"/>
    </xf>
    <xf numFmtId="3" fontId="4" fillId="0" borderId="206" xfId="0" applyNumberFormat="1" applyFont="1" applyFill="1" applyBorder="1" applyAlignment="1" applyProtection="1">
      <alignment horizontal="center" vertical="center" wrapText="1"/>
    </xf>
    <xf numFmtId="0" fontId="4" fillId="0" borderId="206" xfId="0" applyFont="1" applyFill="1" applyBorder="1" applyAlignment="1" applyProtection="1">
      <alignment horizontal="center" vertical="center" wrapText="1"/>
    </xf>
    <xf numFmtId="3" fontId="4" fillId="0" borderId="144" xfId="0" applyNumberFormat="1" applyFont="1" applyFill="1" applyBorder="1" applyAlignment="1" applyProtection="1">
      <alignment horizontal="center" vertical="center" wrapText="1"/>
    </xf>
    <xf numFmtId="3" fontId="4" fillId="0" borderId="35" xfId="0" applyNumberFormat="1" applyFont="1" applyFill="1" applyBorder="1" applyAlignment="1" applyProtection="1">
      <alignment horizontal="center" vertical="center" wrapText="1"/>
    </xf>
    <xf numFmtId="0" fontId="5" fillId="8" borderId="58" xfId="0" applyFont="1" applyFill="1" applyBorder="1" applyAlignment="1" applyProtection="1">
      <alignment horizontal="center"/>
    </xf>
    <xf numFmtId="0" fontId="5"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horizontal="left" vertical="center" wrapText="1"/>
    </xf>
    <xf numFmtId="0" fontId="1" fillId="0" borderId="0" xfId="0" applyFont="1" applyFill="1" applyAlignment="1" applyProtection="1">
      <alignment horizontal="center" vertical="center" wrapText="1"/>
    </xf>
    <xf numFmtId="0" fontId="33" fillId="0" borderId="0" xfId="0" applyFont="1" applyFill="1" applyAlignment="1" applyProtection="1">
      <alignment horizontal="center" vertical="center" wrapText="1"/>
    </xf>
    <xf numFmtId="0" fontId="4" fillId="8" borderId="51" xfId="0" applyFont="1" applyFill="1" applyBorder="1" applyAlignment="1" applyProtection="1">
      <alignment horizontal="center" wrapText="1"/>
    </xf>
    <xf numFmtId="0" fontId="4" fillId="8" borderId="59" xfId="0" applyFont="1" applyFill="1" applyBorder="1" applyAlignment="1" applyProtection="1">
      <alignment horizontal="center" wrapText="1"/>
    </xf>
    <xf numFmtId="0" fontId="4" fillId="0" borderId="206" xfId="0" applyFont="1" applyFill="1" applyBorder="1" applyAlignment="1" applyProtection="1">
      <alignment vertical="center" wrapText="1"/>
      <protection locked="0"/>
    </xf>
    <xf numFmtId="0" fontId="4" fillId="0" borderId="206" xfId="0" applyFont="1" applyFill="1" applyBorder="1" applyAlignment="1" applyProtection="1">
      <alignment horizontal="center" vertical="center" wrapText="1"/>
      <protection locked="0"/>
    </xf>
    <xf numFmtId="0" fontId="4" fillId="0" borderId="203" xfId="0" applyFont="1" applyFill="1" applyBorder="1" applyAlignment="1" applyProtection="1">
      <alignment horizontal="center" vertical="center" wrapText="1"/>
    </xf>
    <xf numFmtId="0" fontId="4" fillId="0" borderId="137" xfId="0" applyFont="1" applyFill="1" applyBorder="1" applyAlignment="1" applyProtection="1">
      <alignment horizontal="center" vertical="center" wrapText="1"/>
    </xf>
    <xf numFmtId="0" fontId="4" fillId="0" borderId="34" xfId="0" applyFont="1" applyFill="1" applyBorder="1" applyAlignment="1" applyProtection="1">
      <alignment horizontal="left" vertical="center" wrapText="1"/>
    </xf>
    <xf numFmtId="0" fontId="4" fillId="0" borderId="59" xfId="0" applyFont="1" applyFill="1" applyBorder="1" applyAlignment="1" applyProtection="1">
      <alignment horizontal="center" vertical="center" wrapText="1"/>
    </xf>
    <xf numFmtId="164" fontId="4" fillId="0" borderId="22" xfId="0" applyNumberFormat="1" applyFont="1" applyFill="1" applyBorder="1" applyAlignment="1" applyProtection="1"/>
    <xf numFmtId="164" fontId="7" fillId="0" borderId="20" xfId="0" applyNumberFormat="1" applyFont="1" applyFill="1" applyBorder="1" applyAlignment="1" applyProtection="1">
      <alignment horizontal="center"/>
    </xf>
    <xf numFmtId="0" fontId="7" fillId="0" borderId="0" xfId="0" applyFont="1" applyFill="1" applyAlignment="1" applyProtection="1">
      <alignment horizontal="right" vertical="center"/>
    </xf>
    <xf numFmtId="0" fontId="4" fillId="0" borderId="144" xfId="0" applyFont="1" applyBorder="1" applyAlignment="1" applyProtection="1">
      <alignment horizontal="center" vertical="center"/>
    </xf>
    <xf numFmtId="0" fontId="4" fillId="0" borderId="0" xfId="0" applyFont="1" applyAlignment="1" applyProtection="1">
      <alignment horizontal="center" vertical="center" wrapText="1"/>
    </xf>
    <xf numFmtId="0" fontId="7" fillId="0" borderId="0" xfId="0" applyFont="1" applyAlignment="1" applyProtection="1">
      <alignment horizontal="right" vertical="center" wrapText="1"/>
    </xf>
    <xf numFmtId="3" fontId="1" fillId="0" borderId="144" xfId="0" applyNumberFormat="1" applyFont="1" applyFill="1" applyBorder="1" applyAlignment="1" applyProtection="1">
      <alignment horizontal="center" vertical="center" wrapText="1"/>
    </xf>
    <xf numFmtId="0" fontId="0" fillId="0" borderId="144" xfId="0" applyFill="1" applyBorder="1" applyAlignment="1" applyProtection="1">
      <alignment horizontal="center"/>
    </xf>
    <xf numFmtId="0" fontId="1" fillId="0" borderId="144" xfId="0" applyFont="1" applyBorder="1" applyAlignment="1" applyProtection="1">
      <alignment horizontal="center"/>
    </xf>
    <xf numFmtId="0" fontId="5" fillId="0" borderId="0" xfId="0" applyFont="1" applyFill="1" applyAlignment="1" applyProtection="1">
      <alignment horizontal="center" wrapText="1"/>
    </xf>
    <xf numFmtId="0" fontId="1" fillId="0" borderId="44" xfId="0" applyFont="1" applyFill="1" applyBorder="1" applyAlignment="1">
      <alignment horizontal="center" vertical="center"/>
    </xf>
    <xf numFmtId="164" fontId="4" fillId="0" borderId="0" xfId="0" applyNumberFormat="1" applyFont="1" applyFill="1" applyBorder="1" applyAlignment="1" applyProtection="1"/>
    <xf numFmtId="3" fontId="0" fillId="0" borderId="144" xfId="0" applyNumberFormat="1" applyFill="1" applyBorder="1" applyAlignment="1" applyProtection="1">
      <alignment horizontal="center"/>
    </xf>
    <xf numFmtId="0" fontId="33" fillId="0" borderId="0" xfId="0" applyFont="1" applyFill="1" applyBorder="1" applyAlignment="1" applyProtection="1">
      <alignment horizontal="center"/>
    </xf>
    <xf numFmtId="0" fontId="33" fillId="0" borderId="0" xfId="0" applyFont="1" applyFill="1" applyBorder="1" applyProtection="1"/>
    <xf numFmtId="0" fontId="33" fillId="0" borderId="0" xfId="0" applyFont="1" applyFill="1" applyBorder="1" applyAlignment="1" applyProtection="1"/>
    <xf numFmtId="0" fontId="33" fillId="0" borderId="0" xfId="0" applyFont="1" applyFill="1" applyBorder="1" applyAlignment="1" applyProtection="1">
      <alignment horizontal="left"/>
    </xf>
    <xf numFmtId="0" fontId="4" fillId="0" borderId="144" xfId="0" applyFont="1" applyFill="1" applyBorder="1" applyAlignment="1" applyProtection="1">
      <alignment horizontal="center" vertical="center" wrapText="1"/>
    </xf>
    <xf numFmtId="3" fontId="5" fillId="0" borderId="0" xfId="0" applyNumberFormat="1" applyFont="1" applyBorder="1" applyAlignment="1" applyProtection="1">
      <alignment horizontal="center" vertical="center"/>
    </xf>
    <xf numFmtId="3" fontId="0" fillId="0" borderId="183" xfId="0" applyNumberFormat="1" applyFill="1" applyBorder="1" applyAlignment="1" applyProtection="1">
      <alignment horizontal="center"/>
    </xf>
    <xf numFmtId="164" fontId="7" fillId="0" borderId="49" xfId="0" applyNumberFormat="1" applyFont="1" applyBorder="1" applyAlignment="1" applyProtection="1">
      <alignment horizontal="center" vertical="center"/>
    </xf>
    <xf numFmtId="0" fontId="5" fillId="0" borderId="0" xfId="0" applyFont="1" applyFill="1" applyAlignment="1" applyProtection="1">
      <alignment horizontal="left" vertical="center"/>
    </xf>
    <xf numFmtId="0" fontId="7" fillId="0" borderId="24"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0" fontId="7" fillId="0" borderId="144" xfId="0" applyFont="1" applyFill="1" applyBorder="1" applyAlignment="1" applyProtection="1">
      <alignment horizontal="center" vertical="center" wrapText="1"/>
    </xf>
    <xf numFmtId="0" fontId="4" fillId="0" borderId="0" xfId="0" applyFont="1" applyFill="1" applyAlignment="1" applyProtection="1">
      <alignment horizontal="center"/>
    </xf>
    <xf numFmtId="0" fontId="7" fillId="0" borderId="0" xfId="0" applyFont="1" applyFill="1" applyAlignment="1" applyProtection="1">
      <alignment horizontal="center" vertical="center"/>
    </xf>
    <xf numFmtId="0" fontId="5" fillId="0" borderId="88" xfId="0" applyFont="1" applyFill="1" applyBorder="1" applyAlignment="1" applyProtection="1">
      <alignment horizontal="left" vertical="center"/>
    </xf>
    <xf numFmtId="0" fontId="18" fillId="0" borderId="0" xfId="0" applyFont="1" applyFill="1" applyAlignment="1" applyProtection="1">
      <alignment horizontal="center" vertical="center"/>
    </xf>
    <xf numFmtId="0" fontId="7" fillId="0" borderId="88" xfId="0" applyFont="1" applyBorder="1" applyAlignment="1" applyProtection="1">
      <alignment horizontal="left" vertical="center" indent="1"/>
      <protection locked="0"/>
    </xf>
    <xf numFmtId="0" fontId="4" fillId="0" borderId="144" xfId="0" applyFont="1" applyBorder="1" applyAlignment="1" applyProtection="1">
      <alignment horizontal="left" vertical="center"/>
    </xf>
    <xf numFmtId="9" fontId="4" fillId="0" borderId="144" xfId="0" applyNumberFormat="1" applyFont="1" applyBorder="1" applyAlignment="1" applyProtection="1">
      <alignment horizontal="center" vertical="center"/>
    </xf>
    <xf numFmtId="0" fontId="7" fillId="0" borderId="0" xfId="0" applyFont="1" applyProtection="1"/>
    <xf numFmtId="164" fontId="7" fillId="0" borderId="144" xfId="0" applyNumberFormat="1" applyFont="1" applyBorder="1" applyAlignment="1" applyProtection="1">
      <alignment horizontal="center" vertical="center"/>
    </xf>
    <xf numFmtId="0" fontId="87" fillId="0" borderId="0" xfId="0" applyFont="1" applyFill="1" applyBorder="1" applyAlignment="1" applyProtection="1"/>
    <xf numFmtId="0" fontId="87" fillId="0" borderId="72" xfId="0" applyFont="1" applyFill="1" applyBorder="1" applyAlignment="1" applyProtection="1"/>
    <xf numFmtId="0" fontId="18" fillId="0" borderId="0" xfId="0" applyFont="1" applyFill="1" applyBorder="1" applyAlignment="1" applyProtection="1">
      <alignment horizontal="right"/>
    </xf>
    <xf numFmtId="0" fontId="3" fillId="0" borderId="0" xfId="1" applyAlignment="1" applyProtection="1">
      <alignment horizontal="center"/>
    </xf>
    <xf numFmtId="0" fontId="1" fillId="12" borderId="103" xfId="0" applyFont="1" applyFill="1" applyBorder="1" applyAlignment="1" applyProtection="1">
      <alignment horizontal="left"/>
      <protection locked="0"/>
    </xf>
    <xf numFmtId="0" fontId="7" fillId="0" borderId="88" xfId="0" applyFont="1" applyBorder="1" applyAlignment="1" applyProtection="1">
      <alignment vertical="center" wrapText="1"/>
    </xf>
    <xf numFmtId="0" fontId="7" fillId="0" borderId="0" xfId="0" applyFont="1" applyBorder="1" applyAlignment="1" applyProtection="1">
      <alignment horizontal="right" vertical="center" wrapText="1"/>
    </xf>
    <xf numFmtId="0" fontId="7" fillId="0" borderId="0" xfId="0" applyFont="1" applyBorder="1" applyAlignment="1" applyProtection="1">
      <alignment vertical="center" wrapText="1"/>
    </xf>
    <xf numFmtId="0" fontId="7" fillId="0" borderId="88" xfId="0" applyFont="1" applyBorder="1" applyAlignment="1" applyProtection="1">
      <alignment horizontal="left" vertical="center" indent="1"/>
    </xf>
    <xf numFmtId="0" fontId="4" fillId="0" borderId="50" xfId="0" applyFont="1" applyFill="1" applyBorder="1" applyAlignment="1" applyProtection="1">
      <alignment horizontal="center"/>
    </xf>
    <xf numFmtId="0" fontId="4" fillId="0" borderId="42" xfId="0" applyFont="1" applyFill="1" applyBorder="1" applyAlignment="1" applyProtection="1">
      <alignment vertical="center" wrapText="1"/>
    </xf>
    <xf numFmtId="0" fontId="1" fillId="12" borderId="144" xfId="0" applyFont="1" applyFill="1" applyBorder="1" applyAlignment="1" applyProtection="1">
      <alignment horizontal="center" vertical="center" wrapText="1"/>
      <protection locked="0"/>
    </xf>
    <xf numFmtId="0" fontId="4" fillId="12" borderId="205" xfId="0" applyFont="1" applyFill="1" applyBorder="1" applyAlignment="1" applyProtection="1">
      <alignment vertical="center" wrapText="1"/>
    </xf>
    <xf numFmtId="0" fontId="4" fillId="12" borderId="207" xfId="0" applyFont="1" applyFill="1" applyBorder="1" applyAlignment="1" applyProtection="1">
      <alignment vertical="center" wrapText="1"/>
    </xf>
    <xf numFmtId="0" fontId="4" fillId="12" borderId="42" xfId="0" applyFont="1" applyFill="1" applyBorder="1" applyAlignment="1" applyProtection="1">
      <alignment vertical="center" wrapText="1"/>
    </xf>
    <xf numFmtId="0" fontId="4" fillId="0" borderId="202" xfId="0" applyFont="1" applyFill="1" applyBorder="1" applyAlignment="1" applyProtection="1">
      <alignment horizontal="left" vertical="center" wrapText="1"/>
    </xf>
    <xf numFmtId="0" fontId="4" fillId="0" borderId="33" xfId="0" applyFont="1" applyFill="1" applyBorder="1" applyAlignment="1" applyProtection="1"/>
    <xf numFmtId="0" fontId="5" fillId="8" borderId="49" xfId="0" applyFont="1" applyFill="1" applyBorder="1" applyAlignment="1" applyProtection="1">
      <alignment horizontal="center" vertical="center" wrapText="1"/>
    </xf>
    <xf numFmtId="0" fontId="4" fillId="0" borderId="203" xfId="0" applyFont="1" applyFill="1" applyBorder="1" applyAlignment="1" applyProtection="1"/>
    <xf numFmtId="0" fontId="4" fillId="0" borderId="36" xfId="0" applyFont="1" applyFill="1" applyBorder="1" applyAlignment="1" applyProtection="1"/>
    <xf numFmtId="0" fontId="10" fillId="17" borderId="0" xfId="0" applyFont="1" applyFill="1" applyAlignment="1" applyProtection="1">
      <alignment horizontal="center"/>
    </xf>
    <xf numFmtId="0" fontId="4" fillId="8" borderId="0" xfId="0" applyFont="1" applyFill="1" applyBorder="1" applyAlignment="1" applyProtection="1">
      <alignment horizontal="left" wrapText="1"/>
    </xf>
    <xf numFmtId="0" fontId="4" fillId="8" borderId="25" xfId="0" applyFont="1" applyFill="1" applyBorder="1" applyAlignment="1" applyProtection="1">
      <alignment horizontal="left" wrapText="1"/>
    </xf>
    <xf numFmtId="0" fontId="5" fillId="8" borderId="22" xfId="0" applyFont="1" applyFill="1" applyBorder="1" applyAlignment="1" applyProtection="1">
      <alignment horizontal="center" wrapText="1"/>
    </xf>
    <xf numFmtId="0" fontId="4" fillId="0" borderId="0" xfId="0" applyFont="1" applyAlignment="1">
      <alignment wrapText="1"/>
    </xf>
    <xf numFmtId="0" fontId="4" fillId="0" borderId="0" xfId="0" applyFont="1" applyBorder="1"/>
    <xf numFmtId="0" fontId="4" fillId="0" borderId="0" xfId="0" applyFont="1" applyFill="1" applyBorder="1"/>
    <xf numFmtId="0" fontId="7" fillId="0" borderId="0" xfId="0" applyFont="1" applyAlignment="1">
      <alignment horizontal="center"/>
    </xf>
    <xf numFmtId="0" fontId="7" fillId="0" borderId="144" xfId="0" applyFont="1" applyBorder="1"/>
    <xf numFmtId="0" fontId="7" fillId="0" borderId="0" xfId="0" applyFont="1" applyBorder="1"/>
    <xf numFmtId="0" fontId="7" fillId="0" borderId="0" xfId="0" applyFont="1"/>
    <xf numFmtId="0" fontId="4" fillId="0" borderId="0" xfId="0" applyFont="1" applyFill="1" applyBorder="1" applyAlignment="1">
      <alignment horizontal="center"/>
    </xf>
    <xf numFmtId="0" fontId="7" fillId="0" borderId="144" xfId="0" applyFont="1" applyBorder="1" applyAlignment="1">
      <alignment horizontal="center"/>
    </xf>
    <xf numFmtId="0" fontId="4" fillId="0" borderId="144" xfId="0" applyFont="1" applyBorder="1" applyAlignment="1">
      <alignment horizontal="center"/>
    </xf>
    <xf numFmtId="0" fontId="4" fillId="0" borderId="72" xfId="0" applyFont="1" applyBorder="1"/>
    <xf numFmtId="0" fontId="4" fillId="0" borderId="24" xfId="0" applyFont="1" applyBorder="1"/>
    <xf numFmtId="0" fontId="7" fillId="0" borderId="0" xfId="0" applyFont="1" applyBorder="1" applyAlignment="1">
      <alignment horizontal="center"/>
    </xf>
    <xf numFmtId="0" fontId="4" fillId="0" borderId="0" xfId="0" applyFont="1" applyBorder="1" applyAlignment="1">
      <alignment horizontal="center"/>
    </xf>
    <xf numFmtId="3" fontId="4" fillId="0" borderId="24" xfId="0" applyNumberFormat="1" applyFont="1" applyBorder="1"/>
    <xf numFmtId="3" fontId="4" fillId="0" borderId="0" xfId="0" applyNumberFormat="1" applyFont="1" applyFill="1" applyBorder="1"/>
    <xf numFmtId="3" fontId="4" fillId="0" borderId="24" xfId="0" applyNumberFormat="1" applyFont="1" applyBorder="1" applyAlignment="1">
      <alignment horizontal="center" vertical="center"/>
    </xf>
    <xf numFmtId="0" fontId="4" fillId="0" borderId="24" xfId="0" applyFont="1" applyBorder="1" applyAlignment="1">
      <alignment horizontal="center" vertical="center"/>
    </xf>
    <xf numFmtId="3" fontId="4" fillId="0" borderId="65" xfId="0" applyNumberFormat="1" applyFont="1" applyBorder="1"/>
    <xf numFmtId="3" fontId="4" fillId="0" borderId="65" xfId="0" applyNumberFormat="1" applyFont="1" applyBorder="1" applyAlignment="1">
      <alignment horizontal="center" vertical="center"/>
    </xf>
    <xf numFmtId="0" fontId="4" fillId="0" borderId="65" xfId="0" applyFont="1" applyBorder="1" applyAlignment="1">
      <alignment horizontal="center" vertical="center"/>
    </xf>
    <xf numFmtId="0" fontId="7" fillId="0" borderId="0" xfId="0" applyFont="1" applyFill="1" applyBorder="1" applyAlignment="1">
      <alignment horizontal="center"/>
    </xf>
    <xf numFmtId="0" fontId="7" fillId="0" borderId="72" xfId="0" applyFont="1" applyBorder="1" applyAlignment="1">
      <alignment horizontal="center"/>
    </xf>
    <xf numFmtId="0" fontId="7" fillId="0" borderId="24" xfId="0" applyFont="1" applyBorder="1" applyAlignment="1">
      <alignment horizontal="center"/>
    </xf>
    <xf numFmtId="0" fontId="7" fillId="19" borderId="72" xfId="0" applyFont="1" applyFill="1" applyBorder="1" applyAlignment="1">
      <alignment horizontal="center"/>
    </xf>
    <xf numFmtId="0" fontId="7" fillId="19" borderId="0" xfId="0" applyFont="1" applyFill="1" applyBorder="1" applyAlignment="1">
      <alignment horizontal="center"/>
    </xf>
    <xf numFmtId="0" fontId="7" fillId="19" borderId="24" xfId="0" applyFont="1" applyFill="1" applyBorder="1" applyAlignment="1">
      <alignment horizontal="center"/>
    </xf>
    <xf numFmtId="0" fontId="7" fillId="8" borderId="53" xfId="0" applyFont="1" applyFill="1" applyBorder="1" applyAlignment="1">
      <alignment horizontal="center" vertical="center" wrapText="1"/>
    </xf>
    <xf numFmtId="0" fontId="7" fillId="8" borderId="54" xfId="0" applyFont="1" applyFill="1" applyBorder="1" applyAlignment="1">
      <alignment horizontal="center" vertical="center" wrapText="1"/>
    </xf>
    <xf numFmtId="0" fontId="7" fillId="8" borderId="55" xfId="0" applyFont="1" applyFill="1" applyBorder="1" applyAlignment="1">
      <alignment horizontal="center" vertical="center"/>
    </xf>
    <xf numFmtId="0" fontId="7" fillId="0" borderId="0" xfId="0" applyFont="1" applyFill="1" applyBorder="1" applyAlignment="1">
      <alignment horizontal="center" vertical="center"/>
    </xf>
    <xf numFmtId="0" fontId="7" fillId="31" borderId="53" xfId="0" applyFont="1" applyFill="1" applyBorder="1" applyAlignment="1">
      <alignment horizontal="center" vertical="center" wrapText="1"/>
    </xf>
    <xf numFmtId="0" fontId="7" fillId="31" borderId="54" xfId="0" applyFont="1" applyFill="1" applyBorder="1" applyAlignment="1">
      <alignment horizontal="center" vertical="center" wrapText="1"/>
    </xf>
    <xf numFmtId="0" fontId="7" fillId="31" borderId="55" xfId="0" applyFont="1" applyFill="1" applyBorder="1" applyAlignment="1">
      <alignment horizontal="center" vertical="center" wrapText="1"/>
    </xf>
    <xf numFmtId="0" fontId="7" fillId="8" borderId="53" xfId="0" applyFont="1" applyFill="1" applyBorder="1" applyAlignment="1">
      <alignment vertical="center" wrapText="1"/>
    </xf>
    <xf numFmtId="0" fontId="7" fillId="8" borderId="55" xfId="0" applyFont="1" applyFill="1" applyBorder="1" applyAlignment="1">
      <alignment vertical="center"/>
    </xf>
    <xf numFmtId="0" fontId="7" fillId="0" borderId="0" xfId="0" applyFont="1" applyAlignment="1">
      <alignment horizontal="center" wrapText="1"/>
    </xf>
    <xf numFmtId="0" fontId="7" fillId="0" borderId="0" xfId="0" applyFont="1" applyBorder="1" applyAlignment="1">
      <alignment horizontal="center" wrapText="1"/>
    </xf>
    <xf numFmtId="0" fontId="7" fillId="0" borderId="72" xfId="0" applyFont="1" applyBorder="1" applyAlignment="1">
      <alignment horizontal="center" wrapText="1"/>
    </xf>
    <xf numFmtId="0" fontId="7" fillId="0" borderId="24" xfId="0" applyFont="1" applyBorder="1" applyAlignment="1">
      <alignment horizontal="center" wrapText="1"/>
    </xf>
    <xf numFmtId="9" fontId="7" fillId="19" borderId="72" xfId="3" applyFont="1" applyFill="1" applyBorder="1" applyAlignment="1">
      <alignment horizontal="center"/>
    </xf>
    <xf numFmtId="0" fontId="7" fillId="19" borderId="0" xfId="0" applyFont="1" applyFill="1" applyBorder="1" applyAlignment="1">
      <alignment horizontal="center" wrapText="1"/>
    </xf>
    <xf numFmtId="0" fontId="7" fillId="19" borderId="24" xfId="0" applyFont="1" applyFill="1" applyBorder="1" applyAlignment="1">
      <alignment horizontal="center" wrapText="1"/>
    </xf>
    <xf numFmtId="0" fontId="7" fillId="0" borderId="0" xfId="0" applyFont="1" applyFill="1" applyBorder="1" applyAlignment="1">
      <alignment horizontal="center" wrapText="1"/>
    </xf>
    <xf numFmtId="0" fontId="4" fillId="0" borderId="144" xfId="0" applyFont="1" applyBorder="1" applyAlignment="1">
      <alignment horizontal="center" vertical="center"/>
    </xf>
    <xf numFmtId="0" fontId="4" fillId="0" borderId="72" xfId="0" applyFont="1" applyBorder="1" applyAlignment="1">
      <alignment horizontal="left" vertical="center"/>
    </xf>
    <xf numFmtId="0" fontId="4" fillId="0" borderId="0" xfId="0" applyFont="1" applyBorder="1" applyAlignment="1">
      <alignment horizontal="left" vertical="center"/>
    </xf>
    <xf numFmtId="3" fontId="4" fillId="0" borderId="38" xfId="0" applyNumberFormat="1" applyFont="1" applyBorder="1" applyAlignment="1">
      <alignment horizontal="center" vertical="center"/>
    </xf>
    <xf numFmtId="3" fontId="4" fillId="0" borderId="206" xfId="0" applyNumberFormat="1" applyFont="1" applyBorder="1" applyAlignment="1">
      <alignment horizontal="center" vertical="center"/>
    </xf>
    <xf numFmtId="0" fontId="4" fillId="0" borderId="203" xfId="0" applyFont="1" applyBorder="1" applyAlignment="1">
      <alignment horizontal="center" vertical="center" wrapText="1"/>
    </xf>
    <xf numFmtId="0" fontId="4" fillId="0" borderId="0" xfId="0" applyFont="1" applyFill="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6" xfId="0" applyNumberFormat="1" applyFont="1" applyBorder="1" applyAlignment="1">
      <alignment horizontal="center" vertical="center" wrapText="1"/>
    </xf>
    <xf numFmtId="0" fontId="4" fillId="0" borderId="142" xfId="0" applyFont="1" applyFill="1" applyBorder="1" applyAlignment="1">
      <alignment horizontal="center" vertical="center" wrapText="1"/>
    </xf>
    <xf numFmtId="0" fontId="4" fillId="0" borderId="38" xfId="0" applyFont="1" applyBorder="1" applyAlignment="1">
      <alignment vertical="center" wrapText="1"/>
    </xf>
    <xf numFmtId="0" fontId="4" fillId="0" borderId="203" xfId="0" applyFont="1" applyBorder="1" applyAlignment="1">
      <alignment vertical="center" wrapText="1"/>
    </xf>
    <xf numFmtId="0" fontId="4" fillId="0" borderId="0" xfId="0" applyFont="1" applyAlignment="1">
      <alignment vertical="center"/>
    </xf>
    <xf numFmtId="0" fontId="4" fillId="0" borderId="144" xfId="0" applyFont="1" applyBorder="1" applyAlignment="1">
      <alignment vertical="center" wrapText="1"/>
    </xf>
    <xf numFmtId="0" fontId="4" fillId="0" borderId="26" xfId="0" applyFont="1" applyBorder="1" applyAlignment="1">
      <alignment horizontal="center" vertical="center"/>
    </xf>
    <xf numFmtId="0" fontId="4" fillId="0" borderId="32" xfId="0" applyFont="1" applyBorder="1" applyAlignment="1">
      <alignment horizontal="center" vertical="center"/>
    </xf>
    <xf numFmtId="0" fontId="7" fillId="0" borderId="33" xfId="0" applyFont="1" applyBorder="1" applyAlignment="1">
      <alignment horizontal="center" vertical="center" wrapText="1"/>
    </xf>
    <xf numFmtId="0" fontId="4" fillId="0" borderId="0" xfId="0" applyFont="1" applyBorder="1" applyAlignment="1">
      <alignment horizontal="center" vertical="center"/>
    </xf>
    <xf numFmtId="9" fontId="4" fillId="19" borderId="32" xfId="3" applyFont="1" applyFill="1" applyBorder="1" applyAlignment="1">
      <alignment horizontal="center" vertical="center"/>
    </xf>
    <xf numFmtId="0" fontId="4" fillId="19" borderId="144" xfId="0" applyFont="1" applyFill="1" applyBorder="1" applyAlignment="1">
      <alignment horizontal="center" vertical="center" wrapText="1"/>
    </xf>
    <xf numFmtId="0" fontId="7" fillId="19" borderId="33" xfId="0" applyFont="1" applyFill="1" applyBorder="1" applyAlignment="1">
      <alignment horizontal="center" vertical="center" wrapText="1"/>
    </xf>
    <xf numFmtId="0" fontId="4" fillId="19" borderId="3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144" xfId="0" applyFont="1" applyFill="1" applyBorder="1" applyAlignment="1">
      <alignment horizontal="center" vertical="center" wrapText="1"/>
    </xf>
    <xf numFmtId="0" fontId="4" fillId="0" borderId="44" xfId="0" applyFont="1" applyBorder="1" applyAlignment="1">
      <alignment horizontal="center" vertical="center"/>
    </xf>
    <xf numFmtId="0" fontId="7" fillId="0" borderId="144" xfId="0" applyFont="1" applyBorder="1" applyAlignment="1">
      <alignment horizontal="center" vertical="center" wrapText="1"/>
    </xf>
    <xf numFmtId="0" fontId="4" fillId="0" borderId="0" xfId="0" applyFont="1" applyAlignment="1">
      <alignment vertical="top" wrapText="1"/>
    </xf>
    <xf numFmtId="0" fontId="4" fillId="0" borderId="144" xfId="0" applyFont="1" applyBorder="1"/>
    <xf numFmtId="0" fontId="4" fillId="0" borderId="44" xfId="0" applyFont="1" applyFill="1" applyBorder="1" applyAlignment="1">
      <alignment wrapText="1"/>
    </xf>
    <xf numFmtId="3" fontId="4" fillId="0" borderId="32" xfId="0" applyNumberFormat="1" applyFont="1" applyBorder="1" applyAlignment="1">
      <alignment horizontal="center" vertical="center"/>
    </xf>
    <xf numFmtId="3" fontId="4" fillId="0" borderId="144" xfId="0" applyNumberFormat="1" applyFont="1" applyBorder="1" applyAlignment="1">
      <alignment horizontal="center" vertical="center"/>
    </xf>
    <xf numFmtId="0" fontId="4" fillId="0" borderId="33" xfId="0" applyFont="1" applyBorder="1" applyAlignment="1">
      <alignment horizontal="center" vertical="center" wrapText="1"/>
    </xf>
    <xf numFmtId="3" fontId="4" fillId="0" borderId="32" xfId="0" applyNumberFormat="1" applyFont="1" applyBorder="1" applyAlignment="1">
      <alignment horizontal="center" vertical="center" wrapText="1"/>
    </xf>
    <xf numFmtId="3" fontId="4" fillId="0" borderId="144" xfId="0" applyNumberFormat="1" applyFont="1" applyBorder="1" applyAlignment="1">
      <alignment horizontal="center" vertical="center" wrapText="1"/>
    </xf>
    <xf numFmtId="0" fontId="4" fillId="0" borderId="197" xfId="0" applyFont="1" applyFill="1" applyBorder="1" applyAlignment="1">
      <alignment horizontal="center" vertical="center" wrapText="1"/>
    </xf>
    <xf numFmtId="0" fontId="4" fillId="0" borderId="32" xfId="0" applyFont="1" applyBorder="1" applyAlignment="1">
      <alignment vertical="center" wrapText="1"/>
    </xf>
    <xf numFmtId="0" fontId="4" fillId="0" borderId="33" xfId="0" applyFont="1" applyBorder="1" applyAlignment="1">
      <alignment vertical="center" wrapText="1"/>
    </xf>
    <xf numFmtId="3" fontId="4" fillId="0" borderId="34" xfId="0" applyNumberFormat="1" applyFont="1" applyBorder="1" applyAlignment="1">
      <alignment horizontal="center" vertical="center"/>
    </xf>
    <xf numFmtId="3" fontId="4" fillId="0" borderId="35" xfId="0" applyNumberFormat="1" applyFont="1" applyBorder="1" applyAlignment="1">
      <alignment horizontal="center" vertical="center"/>
    </xf>
    <xf numFmtId="0" fontId="4" fillId="0" borderId="36" xfId="0" applyFont="1" applyBorder="1" applyAlignment="1">
      <alignment horizontal="center" vertical="center" wrapText="1"/>
    </xf>
    <xf numFmtId="3" fontId="4" fillId="0" borderId="34" xfId="0" applyNumberFormat="1" applyFont="1" applyBorder="1" applyAlignment="1">
      <alignment horizontal="center" vertical="center" wrapText="1"/>
    </xf>
    <xf numFmtId="3" fontId="4" fillId="0" borderId="35" xfId="0" applyNumberFormat="1" applyFont="1" applyBorder="1" applyAlignment="1">
      <alignment horizontal="center" vertical="center" wrapText="1"/>
    </xf>
    <xf numFmtId="0" fontId="4" fillId="0" borderId="41" xfId="0" applyFont="1" applyFill="1" applyBorder="1" applyAlignment="1">
      <alignment horizontal="center" vertical="center" wrapText="1"/>
    </xf>
    <xf numFmtId="0" fontId="4" fillId="0" borderId="34" xfId="0" applyFont="1" applyBorder="1" applyAlignment="1">
      <alignment vertical="center" wrapText="1"/>
    </xf>
    <xf numFmtId="0" fontId="4" fillId="0" borderId="36" xfId="0" applyFont="1" applyBorder="1" applyAlignment="1">
      <alignment vertical="center" wrapText="1"/>
    </xf>
    <xf numFmtId="0" fontId="4" fillId="0" borderId="0" xfId="0" applyFont="1" applyAlignment="1">
      <alignment horizontal="right"/>
    </xf>
    <xf numFmtId="0" fontId="9" fillId="0" borderId="0" xfId="1" applyFont="1" applyFill="1" applyBorder="1" applyAlignment="1" applyProtection="1">
      <alignment horizontal="center" vertical="center"/>
    </xf>
    <xf numFmtId="0" fontId="5" fillId="0" borderId="0" xfId="0" applyFont="1" applyAlignment="1" applyProtection="1">
      <alignment horizontal="left"/>
    </xf>
    <xf numFmtId="0" fontId="5" fillId="0" borderId="0" xfId="0" applyFont="1" applyAlignment="1" applyProtection="1">
      <alignment horizontal="center"/>
    </xf>
    <xf numFmtId="0" fontId="63" fillId="0" borderId="0" xfId="0" applyFont="1" applyAlignment="1">
      <alignment horizontal="center" vertical="center"/>
    </xf>
    <xf numFmtId="0" fontId="4" fillId="0" borderId="142" xfId="0" applyFont="1" applyFill="1" applyBorder="1" applyAlignment="1" applyProtection="1">
      <alignment horizontal="left"/>
    </xf>
    <xf numFmtId="0" fontId="4" fillId="8" borderId="22" xfId="0" quotePrefix="1" applyFont="1" applyFill="1" applyBorder="1" applyAlignment="1" applyProtection="1">
      <alignment horizontal="left" wrapText="1"/>
    </xf>
    <xf numFmtId="0" fontId="4" fillId="8" borderId="0" xfId="0" quotePrefix="1" applyFont="1" applyFill="1" applyBorder="1" applyAlignment="1" applyProtection="1">
      <alignment horizontal="left" wrapText="1"/>
    </xf>
    <xf numFmtId="0" fontId="4" fillId="0" borderId="41" xfId="0" applyFont="1" applyFill="1" applyBorder="1" applyAlignment="1" applyProtection="1">
      <alignment horizontal="left"/>
    </xf>
    <xf numFmtId="0" fontId="4" fillId="0" borderId="65" xfId="0" applyFont="1" applyBorder="1"/>
    <xf numFmtId="0" fontId="4" fillId="8" borderId="63" xfId="0" applyFont="1" applyFill="1" applyBorder="1" applyAlignment="1">
      <alignment horizontal="left" vertical="center"/>
    </xf>
    <xf numFmtId="0" fontId="7" fillId="8" borderId="193" xfId="0" applyFont="1" applyFill="1" applyBorder="1" applyAlignment="1">
      <alignment horizontal="center" vertical="center" wrapText="1"/>
    </xf>
    <xf numFmtId="0" fontId="4" fillId="0" borderId="0" xfId="0" applyFont="1" applyBorder="1" applyProtection="1">
      <protection locked="0"/>
    </xf>
    <xf numFmtId="0" fontId="4" fillId="0" borderId="183" xfId="0" applyFont="1" applyBorder="1" applyAlignment="1">
      <alignment horizontal="left" vertical="center" wrapText="1"/>
    </xf>
    <xf numFmtId="0" fontId="4" fillId="0" borderId="38" xfId="0" applyFont="1" applyBorder="1" applyAlignment="1">
      <alignment horizontal="center" vertical="center"/>
    </xf>
    <xf numFmtId="0" fontId="4" fillId="0" borderId="206" xfId="0" applyFont="1" applyBorder="1" applyAlignment="1">
      <alignment horizontal="center" vertical="center"/>
    </xf>
    <xf numFmtId="0" fontId="4" fillId="0" borderId="142" xfId="0" applyFont="1" applyBorder="1" applyAlignment="1">
      <alignment horizontal="left" vertical="center" wrapText="1"/>
    </xf>
    <xf numFmtId="0" fontId="4" fillId="0" borderId="183" xfId="0" applyFont="1" applyBorder="1" applyAlignment="1">
      <alignment horizontal="center" vertical="center"/>
    </xf>
    <xf numFmtId="0" fontId="4" fillId="0" borderId="25" xfId="0" applyFont="1" applyBorder="1" applyAlignment="1">
      <alignment horizontal="left" vertical="center"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25" xfId="0" applyFont="1" applyFill="1" applyBorder="1" applyAlignment="1">
      <alignment horizontal="center" vertical="center" wrapText="1"/>
    </xf>
    <xf numFmtId="0" fontId="4" fillId="0" borderId="204" xfId="0" applyFont="1" applyFill="1" applyBorder="1" applyAlignment="1" applyProtection="1">
      <alignment horizontal="left" vertical="center" wrapText="1"/>
    </xf>
    <xf numFmtId="0" fontId="4" fillId="0" borderId="205" xfId="0" applyFont="1" applyFill="1" applyBorder="1" applyAlignment="1" applyProtection="1">
      <alignment vertical="center" wrapText="1"/>
    </xf>
    <xf numFmtId="0" fontId="4" fillId="0" borderId="197" xfId="0" applyFont="1" applyFill="1" applyBorder="1" applyAlignment="1" applyProtection="1">
      <alignment horizontal="left" vertical="center" wrapText="1"/>
    </xf>
    <xf numFmtId="0" fontId="4" fillId="0" borderId="207" xfId="0" applyFont="1" applyFill="1" applyBorder="1" applyAlignment="1" applyProtection="1">
      <alignment vertical="center" wrapText="1"/>
    </xf>
    <xf numFmtId="0" fontId="4" fillId="0" borderId="41" xfId="0" applyFont="1" applyFill="1" applyBorder="1" applyAlignment="1" applyProtection="1">
      <alignment horizontal="left" vertical="center" wrapText="1"/>
    </xf>
    <xf numFmtId="0" fontId="4" fillId="8" borderId="0" xfId="0" applyFont="1" applyFill="1" applyBorder="1" applyAlignment="1" applyProtection="1">
      <alignment horizontal="left" wrapText="1"/>
    </xf>
    <xf numFmtId="0" fontId="4" fillId="8" borderId="25" xfId="0" applyFont="1" applyFill="1" applyBorder="1" applyAlignment="1" applyProtection="1">
      <alignment horizontal="left" wrapText="1"/>
    </xf>
    <xf numFmtId="0" fontId="5" fillId="8" borderId="22" xfId="0" applyFont="1" applyFill="1" applyBorder="1" applyAlignment="1" applyProtection="1">
      <alignment horizontal="center" wrapText="1"/>
    </xf>
    <xf numFmtId="0" fontId="5" fillId="0" borderId="0" xfId="0" applyFont="1" applyAlignment="1">
      <alignment horizontal="center"/>
    </xf>
    <xf numFmtId="0" fontId="4" fillId="0" borderId="197" xfId="0" applyFont="1" applyFill="1" applyBorder="1" applyAlignment="1" applyProtection="1">
      <alignment horizontal="left"/>
    </xf>
    <xf numFmtId="0" fontId="4" fillId="8" borderId="64" xfId="0" quotePrefix="1" applyFont="1" applyFill="1" applyBorder="1" applyAlignment="1" applyProtection="1">
      <alignment horizontal="left" vertical="center" wrapText="1"/>
    </xf>
    <xf numFmtId="0" fontId="0" fillId="12" borderId="97" xfId="0" applyFill="1" applyBorder="1" applyAlignment="1" applyProtection="1">
      <alignment horizontal="center"/>
      <protection locked="0"/>
    </xf>
    <xf numFmtId="0" fontId="25" fillId="0" borderId="0" xfId="0" applyFont="1" applyAlignment="1">
      <alignment horizontal="right" vertical="center" readingOrder="1"/>
    </xf>
    <xf numFmtId="0" fontId="1" fillId="0" borderId="0" xfId="0" applyFont="1" applyAlignment="1" applyProtection="1">
      <alignment horizontal="right"/>
    </xf>
    <xf numFmtId="0" fontId="1" fillId="0" borderId="33" xfId="0" applyFont="1" applyBorder="1" applyAlignment="1">
      <alignment horizontal="center" wrapText="1"/>
    </xf>
    <xf numFmtId="0" fontId="1" fillId="0" borderId="36" xfId="0" applyFont="1" applyBorder="1" applyAlignment="1">
      <alignment horizontal="center" wrapText="1"/>
    </xf>
    <xf numFmtId="0" fontId="0" fillId="0" borderId="212" xfId="0" applyBorder="1" applyAlignment="1">
      <alignment horizontal="center"/>
    </xf>
    <xf numFmtId="3" fontId="5" fillId="12" borderId="144" xfId="0" applyNumberFormat="1" applyFont="1" applyFill="1" applyBorder="1" applyAlignment="1" applyProtection="1">
      <alignment horizontal="left" vertical="center" wrapText="1"/>
      <protection locked="0"/>
    </xf>
    <xf numFmtId="0" fontId="4" fillId="12" borderId="205" xfId="0" applyFont="1" applyFill="1" applyBorder="1" applyAlignment="1" applyProtection="1">
      <alignment vertical="center" wrapText="1"/>
      <protection locked="0"/>
    </xf>
    <xf numFmtId="0" fontId="4" fillId="12" borderId="207" xfId="0" applyFont="1" applyFill="1" applyBorder="1" applyAlignment="1" applyProtection="1">
      <alignment vertical="center" wrapText="1"/>
      <protection locked="0"/>
    </xf>
    <xf numFmtId="0" fontId="4" fillId="12" borderId="42" xfId="0" applyFont="1" applyFill="1" applyBorder="1" applyAlignment="1" applyProtection="1">
      <alignment vertical="center" wrapText="1"/>
      <protection locked="0"/>
    </xf>
    <xf numFmtId="0" fontId="4" fillId="12" borderId="204" xfId="0" applyFont="1" applyFill="1" applyBorder="1" applyAlignment="1" applyProtection="1">
      <alignment horizontal="left" vertical="center" wrapText="1"/>
      <protection locked="0"/>
    </xf>
    <xf numFmtId="0" fontId="4" fillId="12" borderId="213" xfId="0" applyFont="1" applyFill="1" applyBorder="1" applyAlignment="1" applyProtection="1">
      <alignment horizontal="left" vertical="center" wrapText="1"/>
    </xf>
    <xf numFmtId="0" fontId="4" fillId="12" borderId="41" xfId="0" applyFont="1" applyFill="1" applyBorder="1" applyAlignment="1" applyProtection="1">
      <alignment horizontal="left" vertical="center" wrapText="1"/>
    </xf>
    <xf numFmtId="0" fontId="5" fillId="12" borderId="144" xfId="0" applyFont="1" applyFill="1" applyBorder="1" applyAlignment="1" applyProtection="1">
      <alignment vertical="center" wrapText="1"/>
      <protection locked="0"/>
    </xf>
    <xf numFmtId="0" fontId="1" fillId="0" borderId="0" xfId="0" applyFont="1" applyAlignment="1" applyProtection="1">
      <alignment horizontal="left" vertical="top" wrapText="1"/>
    </xf>
    <xf numFmtId="0" fontId="1" fillId="0" borderId="156" xfId="0" applyFont="1" applyBorder="1" applyAlignment="1" applyProtection="1">
      <alignment horizontal="left" vertical="top" wrapText="1"/>
    </xf>
    <xf numFmtId="0" fontId="4" fillId="8" borderId="144" xfId="0" applyFont="1" applyFill="1" applyBorder="1" applyAlignment="1" applyProtection="1">
      <alignment horizontal="center" vertical="center" wrapText="1"/>
    </xf>
    <xf numFmtId="0" fontId="4" fillId="8" borderId="144" xfId="0" applyFont="1" applyFill="1" applyBorder="1" applyAlignment="1" applyProtection="1">
      <alignment horizontal="left" vertical="center" wrapText="1"/>
    </xf>
    <xf numFmtId="0" fontId="4" fillId="8" borderId="141" xfId="0" applyFont="1" applyFill="1" applyBorder="1" applyAlignment="1" applyProtection="1">
      <alignment horizontal="left" vertical="center" wrapText="1"/>
    </xf>
    <xf numFmtId="0" fontId="4" fillId="8" borderId="142" xfId="0" applyFont="1" applyFill="1" applyBorder="1" applyAlignment="1" applyProtection="1">
      <alignment horizontal="left" vertical="center" wrapText="1"/>
    </xf>
    <xf numFmtId="0" fontId="4" fillId="8" borderId="143" xfId="0" applyFont="1" applyFill="1" applyBorder="1" applyAlignment="1" applyProtection="1">
      <alignment horizontal="left" vertical="center" wrapText="1"/>
    </xf>
    <xf numFmtId="0" fontId="4" fillId="8" borderId="133" xfId="0" applyFont="1" applyFill="1" applyBorder="1" applyAlignment="1" applyProtection="1">
      <alignment horizontal="center" vertical="center"/>
    </xf>
    <xf numFmtId="0" fontId="4" fillId="8" borderId="146" xfId="0" applyFont="1" applyFill="1" applyBorder="1" applyAlignment="1" applyProtection="1">
      <alignment horizontal="center" vertical="center"/>
    </xf>
    <xf numFmtId="0" fontId="4" fillId="8" borderId="145" xfId="0" applyFont="1" applyFill="1" applyBorder="1" applyAlignment="1" applyProtection="1">
      <alignment horizontal="center" vertical="center"/>
    </xf>
    <xf numFmtId="0" fontId="18" fillId="0" borderId="0" xfId="0" applyFont="1" applyBorder="1" applyAlignment="1" applyProtection="1">
      <alignment horizontal="center" wrapText="1"/>
    </xf>
    <xf numFmtId="0" fontId="7" fillId="0" borderId="199" xfId="1" applyFont="1" applyFill="1" applyBorder="1" applyAlignment="1" applyProtection="1">
      <alignment horizontal="center" vertical="center"/>
    </xf>
    <xf numFmtId="0" fontId="7" fillId="0" borderId="44" xfId="1" applyFont="1" applyFill="1" applyBorder="1" applyAlignment="1" applyProtection="1">
      <alignment horizontal="center" vertical="center"/>
    </xf>
    <xf numFmtId="0" fontId="7" fillId="0" borderId="139" xfId="1" applyFont="1" applyFill="1" applyBorder="1" applyAlignment="1" applyProtection="1">
      <alignment horizontal="center" vertical="center"/>
    </xf>
    <xf numFmtId="0" fontId="7" fillId="0" borderId="144" xfId="1" applyFont="1" applyFill="1" applyBorder="1" applyAlignment="1" applyProtection="1">
      <alignment horizontal="center" vertical="center"/>
    </xf>
    <xf numFmtId="0" fontId="5" fillId="8" borderId="86" xfId="0" applyFont="1" applyFill="1" applyBorder="1" applyAlignment="1" applyProtection="1">
      <alignment horizontal="left" vertical="center"/>
    </xf>
    <xf numFmtId="0" fontId="5" fillId="8" borderId="87" xfId="0" applyFont="1" applyFill="1" applyBorder="1" applyAlignment="1" applyProtection="1">
      <alignment horizontal="left" vertical="center"/>
    </xf>
    <xf numFmtId="0" fontId="5" fillId="8" borderId="88" xfId="0" applyFont="1" applyFill="1" applyBorder="1" applyAlignment="1" applyProtection="1">
      <alignment horizontal="left" vertical="center"/>
    </xf>
    <xf numFmtId="0" fontId="5" fillId="8" borderId="0" xfId="0" applyFont="1" applyFill="1" applyBorder="1" applyAlignment="1" applyProtection="1">
      <alignment horizontal="left" vertical="center"/>
    </xf>
    <xf numFmtId="0" fontId="7" fillId="8" borderId="0" xfId="0" applyFont="1" applyFill="1" applyAlignment="1" applyProtection="1">
      <alignment horizontal="left"/>
    </xf>
    <xf numFmtId="0" fontId="0" fillId="8" borderId="0" xfId="0" applyFill="1" applyAlignment="1" applyProtection="1">
      <alignment horizontal="left" vertical="top"/>
    </xf>
    <xf numFmtId="0" fontId="3" fillId="0" borderId="0" xfId="1" applyAlignment="1" applyProtection="1">
      <alignment horizontal="center"/>
    </xf>
    <xf numFmtId="0" fontId="0" fillId="8" borderId="0" xfId="0" applyFill="1" applyAlignment="1" applyProtection="1">
      <alignment horizontal="left" vertical="top" wrapText="1"/>
    </xf>
    <xf numFmtId="0" fontId="36" fillId="8" borderId="0" xfId="0" applyFont="1" applyFill="1" applyAlignment="1" applyProtection="1">
      <alignment horizontal="left" vertical="top" wrapText="1" indent="1"/>
    </xf>
    <xf numFmtId="0" fontId="3" fillId="0" borderId="0" xfId="1" applyFill="1" applyAlignment="1" applyProtection="1">
      <alignment horizontal="center"/>
    </xf>
    <xf numFmtId="0" fontId="8" fillId="0" borderId="0" xfId="0" applyFont="1" applyFill="1" applyBorder="1" applyAlignment="1" applyProtection="1">
      <alignment horizontal="center" wrapText="1"/>
    </xf>
    <xf numFmtId="0" fontId="7" fillId="8" borderId="133" xfId="0" applyFont="1" applyFill="1" applyBorder="1" applyAlignment="1" applyProtection="1">
      <alignment horizontal="right"/>
    </xf>
    <xf numFmtId="0" fontId="7" fillId="8" borderId="121" xfId="0" applyFont="1" applyFill="1" applyBorder="1" applyAlignment="1" applyProtection="1">
      <alignment horizontal="right"/>
    </xf>
    <xf numFmtId="0" fontId="1" fillId="12" borderId="133" xfId="0" applyFont="1" applyFill="1" applyBorder="1" applyAlignment="1" applyProtection="1">
      <alignment horizontal="left"/>
      <protection locked="0"/>
    </xf>
    <xf numFmtId="0" fontId="1" fillId="12" borderId="135" xfId="0" applyFont="1" applyFill="1" applyBorder="1" applyAlignment="1" applyProtection="1">
      <alignment horizontal="left"/>
      <protection locked="0"/>
    </xf>
    <xf numFmtId="0" fontId="1" fillId="12" borderId="121" xfId="0" applyFont="1" applyFill="1" applyBorder="1" applyAlignment="1" applyProtection="1">
      <alignment horizontal="left"/>
      <protection locked="0"/>
    </xf>
    <xf numFmtId="0" fontId="1" fillId="12" borderId="99" xfId="1" applyFont="1" applyFill="1" applyBorder="1" applyAlignment="1" applyProtection="1">
      <alignment horizontal="center" vertical="center"/>
      <protection locked="0"/>
    </xf>
    <xf numFmtId="0" fontId="1" fillId="12" borderId="135" xfId="1" applyFont="1" applyFill="1" applyBorder="1" applyAlignment="1" applyProtection="1">
      <alignment horizontal="center" vertical="center"/>
      <protection locked="0"/>
    </xf>
    <xf numFmtId="0" fontId="1" fillId="12" borderId="103" xfId="1" applyFont="1" applyFill="1" applyBorder="1" applyAlignment="1" applyProtection="1">
      <alignment horizontal="center" vertical="center"/>
      <protection locked="0"/>
    </xf>
    <xf numFmtId="0" fontId="7" fillId="0" borderId="120" xfId="1" applyFont="1" applyFill="1" applyBorder="1" applyAlignment="1" applyProtection="1">
      <alignment horizontal="center" vertical="center"/>
    </xf>
    <xf numFmtId="0" fontId="0" fillId="0" borderId="0" xfId="0" applyAlignment="1" applyProtection="1">
      <alignment horizontal="left" vertical="top" wrapText="1"/>
    </xf>
    <xf numFmtId="0" fontId="3" fillId="8" borderId="0" xfId="1" applyFill="1" applyAlignment="1" applyProtection="1">
      <alignment horizontal="left"/>
    </xf>
    <xf numFmtId="0" fontId="5" fillId="0" borderId="0" xfId="0" applyFont="1" applyAlignment="1" applyProtection="1">
      <alignment horizontal="left"/>
    </xf>
    <xf numFmtId="0" fontId="1" fillId="12" borderId="99" xfId="0" applyFont="1" applyFill="1" applyBorder="1" applyAlignment="1" applyProtection="1">
      <alignment horizontal="left" indent="1"/>
      <protection locked="0"/>
    </xf>
    <xf numFmtId="0" fontId="1" fillId="12" borderId="135" xfId="0" applyFont="1" applyFill="1" applyBorder="1" applyAlignment="1" applyProtection="1">
      <alignment horizontal="left" indent="1"/>
      <protection locked="0"/>
    </xf>
    <xf numFmtId="0" fontId="1" fillId="12" borderId="104" xfId="0" applyFont="1" applyFill="1" applyBorder="1" applyAlignment="1" applyProtection="1">
      <alignment horizontal="left" indent="1"/>
      <protection locked="0"/>
    </xf>
    <xf numFmtId="0" fontId="1" fillId="12" borderId="103" xfId="0" applyFont="1" applyFill="1" applyBorder="1" applyAlignment="1" applyProtection="1">
      <alignment horizontal="left" indent="1"/>
      <protection locked="0"/>
    </xf>
    <xf numFmtId="0" fontId="5" fillId="0" borderId="0" xfId="0" applyFont="1" applyFill="1" applyBorder="1" applyAlignment="1" applyProtection="1">
      <alignment horizontal="center"/>
    </xf>
    <xf numFmtId="0" fontId="59" fillId="0" borderId="0" xfId="1" applyFont="1" applyAlignment="1" applyProtection="1">
      <alignment horizontal="center"/>
    </xf>
    <xf numFmtId="0" fontId="59" fillId="0" borderId="20" xfId="1" applyFont="1" applyBorder="1" applyAlignment="1" applyProtection="1">
      <alignment horizontal="center"/>
    </xf>
    <xf numFmtId="0" fontId="1" fillId="12" borderId="133" xfId="0" applyFont="1" applyFill="1" applyBorder="1" applyAlignment="1" applyProtection="1">
      <alignment horizontal="left" indent="1"/>
      <protection locked="0"/>
    </xf>
    <xf numFmtId="0" fontId="1" fillId="12" borderId="121" xfId="0" applyFont="1" applyFill="1" applyBorder="1" applyAlignment="1" applyProtection="1">
      <alignment horizontal="left" indent="1"/>
      <protection locked="0"/>
    </xf>
    <xf numFmtId="0" fontId="7" fillId="0" borderId="14" xfId="0" applyFont="1" applyFill="1" applyBorder="1" applyAlignment="1" applyProtection="1">
      <alignment horizontal="left" indent="1"/>
    </xf>
    <xf numFmtId="0" fontId="7" fillId="0" borderId="142" xfId="0" applyFont="1" applyFill="1" applyBorder="1" applyAlignment="1" applyProtection="1">
      <alignment horizontal="left" indent="1"/>
    </xf>
    <xf numFmtId="0" fontId="1" fillId="12" borderId="183" xfId="0" applyFont="1" applyFill="1" applyBorder="1" applyAlignment="1" applyProtection="1">
      <alignment horizontal="left"/>
      <protection locked="0"/>
    </xf>
    <xf numFmtId="0" fontId="1" fillId="12" borderId="207" xfId="0" applyFont="1" applyFill="1" applyBorder="1" applyAlignment="1" applyProtection="1">
      <alignment horizontal="left"/>
      <protection locked="0"/>
    </xf>
    <xf numFmtId="0" fontId="0" fillId="0" borderId="0" xfId="0" applyAlignment="1" applyProtection="1">
      <alignment horizontal="center"/>
      <protection locked="0"/>
    </xf>
    <xf numFmtId="0" fontId="10" fillId="17" borderId="14" xfId="0" applyFont="1" applyFill="1" applyBorder="1" applyAlignment="1" applyProtection="1">
      <alignment horizontal="left"/>
    </xf>
    <xf numFmtId="0" fontId="10" fillId="17" borderId="142" xfId="0" applyFont="1" applyFill="1" applyBorder="1" applyAlignment="1" applyProtection="1">
      <alignment horizontal="left"/>
    </xf>
    <xf numFmtId="0" fontId="18" fillId="0" borderId="0" xfId="0" applyFont="1" applyFill="1" applyBorder="1" applyAlignment="1" applyProtection="1">
      <alignment horizontal="right"/>
    </xf>
    <xf numFmtId="0" fontId="3" fillId="12" borderId="153" xfId="1" applyFont="1" applyFill="1" applyBorder="1" applyAlignment="1" applyProtection="1">
      <alignment horizontal="left"/>
      <protection locked="0"/>
    </xf>
    <xf numFmtId="0" fontId="3" fillId="12" borderId="154" xfId="1" applyFont="1" applyFill="1" applyBorder="1" applyAlignment="1" applyProtection="1">
      <alignment horizontal="left"/>
      <protection locked="0"/>
    </xf>
    <xf numFmtId="0" fontId="3" fillId="12" borderId="155" xfId="1" applyFont="1" applyFill="1" applyBorder="1" applyAlignment="1" applyProtection="1">
      <alignment horizontal="left"/>
      <protection locked="0"/>
    </xf>
    <xf numFmtId="0" fontId="7" fillId="8" borderId="153" xfId="0" applyFont="1" applyFill="1" applyBorder="1" applyAlignment="1" applyProtection="1">
      <alignment horizontal="right"/>
    </xf>
    <xf numFmtId="0" fontId="7" fillId="8" borderId="155" xfId="0" applyFont="1" applyFill="1" applyBorder="1" applyAlignment="1" applyProtection="1">
      <alignment horizontal="right"/>
    </xf>
    <xf numFmtId="0" fontId="7" fillId="8" borderId="183" xfId="0" applyFont="1" applyFill="1" applyBorder="1" applyAlignment="1" applyProtection="1">
      <alignment horizontal="right"/>
    </xf>
    <xf numFmtId="0" fontId="7" fillId="8" borderId="197" xfId="0" applyFont="1" applyFill="1" applyBorder="1" applyAlignment="1" applyProtection="1">
      <alignment horizontal="right"/>
    </xf>
    <xf numFmtId="0" fontId="7" fillId="8" borderId="207" xfId="0" applyFont="1" applyFill="1" applyBorder="1" applyAlignment="1" applyProtection="1">
      <alignment horizontal="right"/>
    </xf>
    <xf numFmtId="0" fontId="7" fillId="0" borderId="120" xfId="1" applyFont="1" applyFill="1" applyBorder="1" applyAlignment="1" applyProtection="1">
      <alignment horizontal="center" vertical="center" wrapText="1"/>
    </xf>
    <xf numFmtId="0" fontId="7" fillId="0" borderId="44" xfId="1" applyFont="1" applyFill="1" applyBorder="1" applyAlignment="1" applyProtection="1">
      <alignment horizontal="center" vertical="center" wrapText="1"/>
    </xf>
    <xf numFmtId="0" fontId="7" fillId="0" borderId="139" xfId="1" applyFont="1" applyFill="1" applyBorder="1" applyAlignment="1" applyProtection="1">
      <alignment horizontal="center" vertical="center" wrapText="1"/>
    </xf>
    <xf numFmtId="0" fontId="1" fillId="0" borderId="0" xfId="0" applyFont="1" applyBorder="1" applyAlignment="1" applyProtection="1">
      <alignment horizontal="left" vertical="top" wrapText="1" indent="2"/>
    </xf>
    <xf numFmtId="0" fontId="4" fillId="0" borderId="32" xfId="0" applyFont="1" applyBorder="1" applyAlignment="1">
      <alignment horizontal="left" vertical="center"/>
    </xf>
    <xf numFmtId="0" fontId="4" fillId="0" borderId="144" xfId="0" applyFont="1" applyBorder="1" applyAlignment="1">
      <alignment horizontal="left" vertical="center"/>
    </xf>
    <xf numFmtId="0" fontId="4" fillId="0" borderId="18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7" xfId="0" applyFont="1" applyBorder="1" applyAlignment="1">
      <alignment horizontal="left" vertical="center"/>
    </xf>
    <xf numFmtId="0" fontId="7" fillId="0" borderId="0"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88" fillId="0" borderId="0" xfId="0" applyFont="1" applyAlignment="1">
      <alignment horizontal="center"/>
    </xf>
    <xf numFmtId="0" fontId="4" fillId="8" borderId="53" xfId="0" applyFont="1" applyFill="1" applyBorder="1" applyAlignment="1">
      <alignment horizontal="left" vertical="center"/>
    </xf>
    <xf numFmtId="0" fontId="4" fillId="8" borderId="54" xfId="0" applyFont="1" applyFill="1" applyBorder="1" applyAlignment="1">
      <alignment horizontal="left" vertical="center"/>
    </xf>
    <xf numFmtId="0" fontId="4" fillId="8" borderId="193" xfId="0" applyFont="1" applyFill="1" applyBorder="1" applyAlignment="1">
      <alignment horizontal="left" vertical="center"/>
    </xf>
    <xf numFmtId="0" fontId="7" fillId="0" borderId="0" xfId="0" applyFont="1" applyAlignment="1">
      <alignment horizontal="center"/>
    </xf>
    <xf numFmtId="3" fontId="4" fillId="0" borderId="144" xfId="0" applyNumberFormat="1" applyFont="1" applyBorder="1" applyAlignment="1">
      <alignment horizontal="center" vertical="center"/>
    </xf>
    <xf numFmtId="3" fontId="4" fillId="0" borderId="35" xfId="0" applyNumberFormat="1" applyFont="1" applyBorder="1" applyAlignment="1">
      <alignment horizontal="center" vertical="center"/>
    </xf>
    <xf numFmtId="0" fontId="7" fillId="19" borderId="21" xfId="0" applyFont="1" applyFill="1" applyBorder="1" applyAlignment="1">
      <alignment horizontal="center"/>
    </xf>
    <xf numFmtId="0" fontId="7" fillId="19" borderId="22" xfId="0" applyFont="1" applyFill="1" applyBorder="1" applyAlignment="1">
      <alignment horizontal="center"/>
    </xf>
    <xf numFmtId="0" fontId="7" fillId="19" borderId="23" xfId="0" applyFont="1" applyFill="1" applyBorder="1" applyAlignment="1">
      <alignment horizontal="center"/>
    </xf>
    <xf numFmtId="0" fontId="7" fillId="0" borderId="21" xfId="0" applyFont="1" applyBorder="1" applyAlignment="1">
      <alignment horizontal="center"/>
    </xf>
    <xf numFmtId="0" fontId="7" fillId="0" borderId="23" xfId="0" applyFont="1" applyBorder="1" applyAlignment="1">
      <alignment horizontal="center"/>
    </xf>
    <xf numFmtId="3" fontId="4" fillId="0" borderId="32" xfId="0" applyNumberFormat="1" applyFont="1" applyBorder="1" applyAlignment="1">
      <alignment horizontal="center" vertical="center"/>
    </xf>
    <xf numFmtId="3" fontId="4" fillId="0" borderId="34" xfId="0" applyNumberFormat="1" applyFont="1" applyBorder="1" applyAlignment="1">
      <alignment horizontal="center" vertical="center"/>
    </xf>
    <xf numFmtId="0" fontId="10" fillId="17" borderId="0" xfId="0" applyFont="1" applyFill="1" applyAlignment="1" applyProtection="1">
      <alignment horizontal="center"/>
    </xf>
    <xf numFmtId="0" fontId="4" fillId="31" borderId="21" xfId="0" applyFont="1" applyFill="1" applyBorder="1" applyAlignment="1">
      <alignment horizontal="center"/>
    </xf>
    <xf numFmtId="0" fontId="4" fillId="31" borderId="22" xfId="0" applyFont="1" applyFill="1" applyBorder="1" applyAlignment="1">
      <alignment horizontal="center"/>
    </xf>
    <xf numFmtId="0" fontId="4" fillId="31" borderId="23" xfId="0" applyFont="1" applyFill="1" applyBorder="1" applyAlignment="1">
      <alignment horizontal="center"/>
    </xf>
    <xf numFmtId="0" fontId="4" fillId="8" borderId="21" xfId="0" applyFont="1" applyFill="1" applyBorder="1" applyAlignment="1">
      <alignment horizontal="center"/>
    </xf>
    <xf numFmtId="0" fontId="4" fillId="8" borderId="22" xfId="0" applyFont="1" applyFill="1" applyBorder="1" applyAlignment="1">
      <alignment horizontal="center"/>
    </xf>
    <xf numFmtId="0" fontId="4" fillId="8" borderId="23" xfId="0" applyFont="1" applyFill="1" applyBorder="1" applyAlignment="1">
      <alignment horizontal="center"/>
    </xf>
    <xf numFmtId="0" fontId="4" fillId="0" borderId="32" xfId="0" applyFont="1" applyBorder="1" applyAlignment="1">
      <alignment horizontal="left" vertical="center" wrapText="1"/>
    </xf>
    <xf numFmtId="0" fontId="4" fillId="0" borderId="144" xfId="0" applyFont="1" applyBorder="1" applyAlignment="1">
      <alignment horizontal="left" vertical="center" wrapText="1"/>
    </xf>
    <xf numFmtId="0" fontId="4" fillId="0" borderId="18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7" xfId="0" applyFont="1" applyBorder="1" applyAlignment="1">
      <alignment horizontal="left" vertical="center" wrapText="1"/>
    </xf>
    <xf numFmtId="0" fontId="4" fillId="0" borderId="144" xfId="0" applyFont="1" applyBorder="1" applyAlignment="1">
      <alignment horizontal="center" vertical="center"/>
    </xf>
    <xf numFmtId="0" fontId="4" fillId="0" borderId="35" xfId="0" applyFont="1" applyBorder="1" applyAlignment="1">
      <alignment horizontal="center" vertical="center"/>
    </xf>
    <xf numFmtId="0" fontId="4" fillId="0" borderId="32" xfId="0" applyFont="1" applyBorder="1" applyAlignment="1">
      <alignment horizontal="center" vertical="center"/>
    </xf>
    <xf numFmtId="0" fontId="4" fillId="0" borderId="34" xfId="0" applyFont="1" applyBorder="1" applyAlignment="1">
      <alignment horizontal="center" vertical="center"/>
    </xf>
    <xf numFmtId="0" fontId="7" fillId="8" borderId="53" xfId="0" applyFont="1" applyFill="1" applyBorder="1" applyAlignment="1">
      <alignment horizontal="left" vertical="center"/>
    </xf>
    <xf numFmtId="0" fontId="7" fillId="8" borderId="54" xfId="0" applyFont="1" applyFill="1" applyBorder="1" applyAlignment="1">
      <alignment horizontal="left" vertical="center"/>
    </xf>
    <xf numFmtId="0" fontId="7" fillId="8" borderId="193" xfId="0" applyFont="1" applyFill="1" applyBorder="1" applyAlignment="1">
      <alignment horizontal="left" vertical="center"/>
    </xf>
    <xf numFmtId="0" fontId="4" fillId="0" borderId="21" xfId="0" applyFont="1" applyBorder="1" applyAlignment="1">
      <alignment horizontal="left" vertical="top" wrapText="1"/>
    </xf>
    <xf numFmtId="0" fontId="4" fillId="0" borderId="23" xfId="0" applyFont="1" applyBorder="1" applyAlignment="1">
      <alignment horizontal="left" vertical="top" wrapText="1"/>
    </xf>
    <xf numFmtId="0" fontId="4" fillId="0" borderId="72" xfId="0" applyFont="1" applyBorder="1" applyAlignment="1">
      <alignment horizontal="left" vertical="top" wrapText="1"/>
    </xf>
    <xf numFmtId="0" fontId="4" fillId="0" borderId="24" xfId="0" applyFont="1" applyBorder="1" applyAlignment="1">
      <alignment horizontal="left" vertical="top" wrapText="1"/>
    </xf>
    <xf numFmtId="0" fontId="4" fillId="0" borderId="71" xfId="0" applyFont="1" applyBorder="1" applyAlignment="1">
      <alignment horizontal="left" vertical="top" wrapText="1"/>
    </xf>
    <xf numFmtId="0" fontId="4" fillId="0" borderId="65" xfId="0" applyFont="1" applyBorder="1" applyAlignment="1">
      <alignment horizontal="left" vertical="top" wrapText="1"/>
    </xf>
    <xf numFmtId="0" fontId="5" fillId="0" borderId="0" xfId="0" applyFont="1" applyAlignment="1" applyProtection="1">
      <alignment horizontal="center"/>
    </xf>
    <xf numFmtId="0" fontId="4" fillId="0" borderId="0" xfId="0" applyFont="1" applyFill="1" applyBorder="1" applyAlignment="1" applyProtection="1">
      <alignment horizontal="left" vertical="top" wrapText="1"/>
    </xf>
    <xf numFmtId="0" fontId="18" fillId="8" borderId="127" xfId="0" applyFont="1" applyFill="1" applyBorder="1" applyAlignment="1">
      <alignment horizontal="center" vertical="center" wrapText="1"/>
    </xf>
    <xf numFmtId="0" fontId="18" fillId="8" borderId="33" xfId="0" applyFont="1" applyFill="1" applyBorder="1" applyAlignment="1">
      <alignment horizontal="center" vertical="center" wrapText="1"/>
    </xf>
    <xf numFmtId="0" fontId="18" fillId="8" borderId="36" xfId="0" applyFont="1" applyFill="1" applyBorder="1" applyAlignment="1">
      <alignment horizontal="center" vertical="center" wrapText="1"/>
    </xf>
    <xf numFmtId="0" fontId="18" fillId="8" borderId="38" xfId="0" applyFont="1" applyFill="1" applyBorder="1" applyAlignment="1">
      <alignment horizontal="center" vertical="center" wrapText="1"/>
    </xf>
    <xf numFmtId="0" fontId="18" fillId="8" borderId="32" xfId="0" applyFont="1" applyFill="1" applyBorder="1" applyAlignment="1">
      <alignment horizontal="center" vertical="center" wrapText="1"/>
    </xf>
    <xf numFmtId="0" fontId="18" fillId="8" borderId="34" xfId="0" applyFont="1" applyFill="1" applyBorder="1" applyAlignment="1">
      <alignment horizontal="center" vertical="center" wrapText="1"/>
    </xf>
    <xf numFmtId="0" fontId="18" fillId="4" borderId="38" xfId="0" applyFont="1" applyFill="1" applyBorder="1" applyAlignment="1">
      <alignment horizontal="center" vertical="center" wrapText="1"/>
    </xf>
    <xf numFmtId="0" fontId="18" fillId="4" borderId="32"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8" fillId="4" borderId="125" xfId="0" applyFont="1" applyFill="1" applyBorder="1" applyAlignment="1">
      <alignment horizontal="center" vertical="center" wrapText="1"/>
    </xf>
    <xf numFmtId="0" fontId="18" fillId="4" borderId="134" xfId="0" applyFont="1" applyFill="1" applyBorder="1" applyAlignment="1">
      <alignment horizontal="center" vertical="center" wrapText="1"/>
    </xf>
    <xf numFmtId="0" fontId="18" fillId="4" borderId="35" xfId="0" applyFont="1" applyFill="1" applyBorder="1" applyAlignment="1">
      <alignment horizontal="center" vertical="center" wrapText="1"/>
    </xf>
    <xf numFmtId="0" fontId="4" fillId="0" borderId="0" xfId="0" applyFont="1" applyBorder="1" applyAlignment="1" applyProtection="1">
      <alignment horizontal="right" vertical="center" wrapText="1" indent="1"/>
    </xf>
    <xf numFmtId="0" fontId="52" fillId="12" borderId="144" xfId="0" applyFont="1" applyFill="1" applyBorder="1" applyAlignment="1" applyProtection="1">
      <alignment horizontal="center"/>
    </xf>
    <xf numFmtId="0" fontId="52" fillId="28" borderId="144" xfId="0" applyFont="1" applyFill="1" applyBorder="1" applyAlignment="1" applyProtection="1">
      <alignment horizontal="center"/>
    </xf>
    <xf numFmtId="0" fontId="52" fillId="0" borderId="144" xfId="0" applyFont="1" applyBorder="1" applyAlignment="1" applyProtection="1">
      <alignment horizontal="center"/>
    </xf>
    <xf numFmtId="0" fontId="52" fillId="29" borderId="144" xfId="0" applyFont="1" applyFill="1" applyBorder="1" applyAlignment="1" applyProtection="1">
      <alignment horizontal="center"/>
    </xf>
    <xf numFmtId="0" fontId="36" fillId="8" borderId="52" xfId="0" applyFont="1" applyFill="1" applyBorder="1" applyAlignment="1">
      <alignment horizontal="center" vertical="center" wrapText="1"/>
    </xf>
    <xf numFmtId="0" fontId="36" fillId="8" borderId="63" xfId="0" applyFont="1" applyFill="1" applyBorder="1" applyAlignment="1">
      <alignment horizontal="center" vertical="center" wrapText="1"/>
    </xf>
    <xf numFmtId="0" fontId="36" fillId="8" borderId="64" xfId="0" applyFont="1" applyFill="1" applyBorder="1" applyAlignment="1">
      <alignment horizontal="center" vertical="center" wrapText="1"/>
    </xf>
    <xf numFmtId="0" fontId="60" fillId="0" borderId="0" xfId="0" applyFont="1" applyAlignment="1" applyProtection="1">
      <alignment horizontal="center" vertical="center"/>
    </xf>
    <xf numFmtId="0" fontId="0" fillId="0" borderId="0" xfId="0" applyFill="1" applyAlignment="1"/>
    <xf numFmtId="0" fontId="3" fillId="0" borderId="0" xfId="1" applyFill="1" applyAlignment="1" applyProtection="1"/>
    <xf numFmtId="0" fontId="18" fillId="8" borderId="125" xfId="0" applyFont="1" applyFill="1" applyBorder="1" applyAlignment="1">
      <alignment horizontal="center" vertical="center" wrapText="1"/>
    </xf>
    <xf numFmtId="0" fontId="18" fillId="8" borderId="134" xfId="0" applyFont="1" applyFill="1" applyBorder="1" applyAlignment="1">
      <alignment horizontal="center" vertical="center" wrapText="1"/>
    </xf>
    <xf numFmtId="0" fontId="18" fillId="8" borderId="35"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5" fillId="21" borderId="85" xfId="0" applyFont="1" applyFill="1" applyBorder="1" applyAlignment="1">
      <alignment horizontal="center" vertical="center" wrapText="1"/>
    </xf>
    <xf numFmtId="0" fontId="5" fillId="21" borderId="50" xfId="0" applyFont="1" applyFill="1" applyBorder="1" applyAlignment="1">
      <alignment horizontal="center" vertical="center" wrapText="1"/>
    </xf>
    <xf numFmtId="0" fontId="5" fillId="21" borderId="50" xfId="0" applyFont="1" applyFill="1" applyBorder="1" applyAlignment="1">
      <alignment horizontal="center" vertical="center"/>
    </xf>
    <xf numFmtId="0" fontId="5" fillId="21" borderId="56" xfId="0" applyFont="1" applyFill="1" applyBorder="1" applyAlignment="1">
      <alignment horizontal="center" vertical="center"/>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xf>
    <xf numFmtId="0" fontId="5" fillId="8" borderId="23" xfId="0" applyFont="1" applyFill="1" applyBorder="1" applyAlignment="1">
      <alignment horizontal="center" vertical="center"/>
    </xf>
    <xf numFmtId="0" fontId="5" fillId="8" borderId="72" xfId="0" applyFont="1" applyFill="1" applyBorder="1" applyAlignment="1">
      <alignment horizontal="center" vertical="center" wrapText="1"/>
    </xf>
    <xf numFmtId="0" fontId="5" fillId="8" borderId="0" xfId="0" applyFont="1" applyFill="1" applyBorder="1" applyAlignment="1">
      <alignment horizontal="center" vertical="center"/>
    </xf>
    <xf numFmtId="0" fontId="5" fillId="8" borderId="24" xfId="0" applyFont="1" applyFill="1" applyBorder="1" applyAlignment="1">
      <alignment horizontal="center" vertical="center"/>
    </xf>
    <xf numFmtId="0" fontId="5" fillId="8" borderId="71" xfId="0" applyFont="1" applyFill="1" applyBorder="1" applyAlignment="1">
      <alignment horizontal="center" vertical="center"/>
    </xf>
    <xf numFmtId="0" fontId="5" fillId="8" borderId="25" xfId="0" applyFont="1" applyFill="1" applyBorder="1" applyAlignment="1">
      <alignment horizontal="center" vertical="center"/>
    </xf>
    <xf numFmtId="0" fontId="5" fillId="8" borderId="65" xfId="0" applyFont="1" applyFill="1" applyBorder="1" applyAlignment="1">
      <alignment horizontal="center" vertical="center"/>
    </xf>
    <xf numFmtId="0" fontId="18" fillId="4" borderId="127"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8" borderId="85" xfId="0" applyFont="1" applyFill="1" applyBorder="1" applyAlignment="1">
      <alignment horizontal="center" vertical="center" wrapText="1"/>
    </xf>
    <xf numFmtId="0" fontId="18" fillId="8" borderId="50" xfId="0" applyFont="1" applyFill="1" applyBorder="1" applyAlignment="1">
      <alignment horizontal="center" vertical="center" wrapText="1"/>
    </xf>
    <xf numFmtId="0" fontId="18" fillId="8" borderId="56" xfId="0" applyFont="1" applyFill="1" applyBorder="1" applyAlignment="1">
      <alignment horizontal="center" vertical="center" wrapText="1"/>
    </xf>
    <xf numFmtId="0" fontId="18" fillId="4" borderId="124" xfId="0" applyFont="1" applyFill="1" applyBorder="1" applyAlignment="1">
      <alignment horizontal="center" vertical="center" wrapText="1"/>
    </xf>
    <xf numFmtId="0" fontId="18" fillId="21" borderId="85" xfId="0" applyFont="1" applyFill="1" applyBorder="1" applyAlignment="1">
      <alignment horizontal="center" vertical="center" wrapText="1"/>
    </xf>
    <xf numFmtId="0" fontId="18" fillId="21" borderId="50" xfId="0" applyFont="1" applyFill="1" applyBorder="1" applyAlignment="1">
      <alignment horizontal="center" vertical="center" wrapText="1"/>
    </xf>
    <xf numFmtId="0" fontId="18" fillId="21" borderId="56" xfId="0" applyFont="1" applyFill="1" applyBorder="1" applyAlignment="1">
      <alignment horizontal="center" vertical="center" wrapText="1"/>
    </xf>
    <xf numFmtId="0" fontId="5" fillId="0" borderId="72" xfId="0" applyFont="1" applyFill="1" applyBorder="1" applyAlignment="1">
      <alignment horizontal="center" vertical="center"/>
    </xf>
    <xf numFmtId="0" fontId="5" fillId="0" borderId="0" xfId="0" applyFont="1" applyFill="1" applyBorder="1" applyAlignment="1">
      <alignment horizontal="center" vertical="center"/>
    </xf>
    <xf numFmtId="0" fontId="7" fillId="8" borderId="85" xfId="0" applyFont="1" applyFill="1" applyBorder="1" applyAlignment="1" applyProtection="1">
      <alignment horizontal="center" vertical="center" wrapText="1"/>
    </xf>
    <xf numFmtId="0" fontId="7" fillId="8" borderId="50" xfId="0" applyFont="1" applyFill="1" applyBorder="1" applyAlignment="1" applyProtection="1">
      <alignment horizontal="center" vertical="center" wrapText="1"/>
    </xf>
    <xf numFmtId="0" fontId="80" fillId="17" borderId="0" xfId="1" applyFont="1" applyFill="1" applyAlignment="1" applyProtection="1">
      <alignment horizontal="center" vertical="center" wrapText="1"/>
    </xf>
    <xf numFmtId="0" fontId="57" fillId="17" borderId="0" xfId="0" applyFont="1" applyFill="1" applyAlignment="1" applyProtection="1">
      <alignment horizontal="center"/>
    </xf>
    <xf numFmtId="0" fontId="4" fillId="4" borderId="26" xfId="0" quotePrefix="1" applyFont="1" applyFill="1" applyBorder="1" applyAlignment="1" applyProtection="1">
      <alignment horizontal="center" wrapText="1"/>
      <protection locked="0"/>
    </xf>
    <xf numFmtId="0" fontId="4" fillId="4" borderId="0" xfId="0" quotePrefix="1" applyFont="1" applyFill="1" applyBorder="1" applyAlignment="1" applyProtection="1">
      <alignment horizontal="center" wrapText="1"/>
      <protection locked="0"/>
    </xf>
    <xf numFmtId="0" fontId="4" fillId="4" borderId="20" xfId="0" quotePrefix="1" applyFont="1" applyFill="1" applyBorder="1" applyAlignment="1" applyProtection="1">
      <alignment horizontal="center" wrapText="1"/>
      <protection locked="0"/>
    </xf>
    <xf numFmtId="0" fontId="4" fillId="12" borderId="37" xfId="1" applyFont="1" applyFill="1" applyBorder="1" applyAlignment="1" applyProtection="1">
      <alignment horizontal="left" vertical="center"/>
      <protection locked="0"/>
    </xf>
    <xf numFmtId="0" fontId="4" fillId="12" borderId="42" xfId="1" applyFont="1" applyFill="1" applyBorder="1" applyAlignment="1" applyProtection="1">
      <alignment horizontal="left" vertical="center"/>
      <protection locked="0"/>
    </xf>
    <xf numFmtId="0" fontId="60" fillId="0" borderId="0" xfId="0" applyFont="1" applyAlignment="1" applyProtection="1">
      <alignment horizontal="center" vertical="top"/>
    </xf>
    <xf numFmtId="0" fontId="10" fillId="17" borderId="0" xfId="0" applyFont="1" applyFill="1" applyAlignment="1" applyProtection="1">
      <alignment horizontal="center" vertical="center"/>
    </xf>
    <xf numFmtId="0" fontId="0" fillId="0" borderId="24" xfId="0" applyBorder="1" applyAlignment="1" applyProtection="1">
      <alignment horizontal="center"/>
      <protection locked="0"/>
    </xf>
    <xf numFmtId="0" fontId="4" fillId="12" borderId="133" xfId="1" applyFont="1" applyFill="1" applyBorder="1" applyAlignment="1" applyProtection="1">
      <alignment horizontal="left" vertical="center"/>
      <protection locked="0"/>
    </xf>
    <xf numFmtId="0" fontId="4" fillId="12" borderId="121" xfId="1" applyFont="1" applyFill="1" applyBorder="1" applyAlignment="1" applyProtection="1">
      <alignment horizontal="left" vertical="center"/>
      <protection locked="0"/>
    </xf>
    <xf numFmtId="0" fontId="4" fillId="4" borderId="128" xfId="0" quotePrefix="1" applyFont="1" applyFill="1" applyBorder="1" applyAlignment="1" applyProtection="1">
      <alignment horizontal="left" wrapText="1"/>
    </xf>
    <xf numFmtId="0" fontId="4" fillId="4" borderId="129" xfId="0" quotePrefix="1" applyFont="1" applyFill="1" applyBorder="1" applyAlignment="1" applyProtection="1">
      <alignment horizontal="left" wrapText="1"/>
    </xf>
    <xf numFmtId="0" fontId="5" fillId="0" borderId="0" xfId="0" applyFont="1" applyFill="1" applyAlignment="1" applyProtection="1">
      <alignment horizontal="center" vertical="center" wrapText="1"/>
    </xf>
    <xf numFmtId="0" fontId="7" fillId="14" borderId="132" xfId="1" applyFont="1" applyFill="1" applyBorder="1" applyAlignment="1" applyProtection="1">
      <alignment horizontal="center" vertical="center" wrapText="1"/>
    </xf>
    <xf numFmtId="0" fontId="7" fillId="14" borderId="188" xfId="1" applyFont="1" applyFill="1" applyBorder="1" applyAlignment="1" applyProtection="1">
      <alignment horizontal="center" vertical="center" wrapText="1"/>
    </xf>
    <xf numFmtId="0" fontId="7" fillId="14" borderId="181" xfId="1" applyFont="1" applyFill="1" applyBorder="1" applyAlignment="1" applyProtection="1">
      <alignment horizontal="center" vertical="center" wrapText="1"/>
    </xf>
    <xf numFmtId="0" fontId="4" fillId="8" borderId="44" xfId="0" applyFont="1" applyFill="1" applyBorder="1" applyAlignment="1" applyProtection="1">
      <alignment horizontal="center" wrapText="1"/>
    </xf>
    <xf numFmtId="0" fontId="4" fillId="8" borderId="58" xfId="0" applyFont="1" applyFill="1" applyBorder="1" applyAlignment="1" applyProtection="1">
      <alignment horizontal="center" wrapText="1"/>
    </xf>
    <xf numFmtId="164" fontId="4" fillId="0" borderId="190" xfId="0" applyNumberFormat="1" applyFont="1" applyBorder="1" applyAlignment="1" applyProtection="1">
      <alignment horizontal="center" vertical="center"/>
    </xf>
    <xf numFmtId="164" fontId="4" fillId="0" borderId="157" xfId="0" applyNumberFormat="1" applyFont="1" applyBorder="1" applyAlignment="1" applyProtection="1">
      <alignment horizontal="center" vertical="center"/>
    </xf>
    <xf numFmtId="0" fontId="5" fillId="0" borderId="0" xfId="0" applyFont="1" applyFill="1" applyBorder="1" applyAlignment="1" applyProtection="1">
      <alignment horizontal="left" vertical="center"/>
    </xf>
    <xf numFmtId="0" fontId="7" fillId="13" borderId="186" xfId="0" applyFont="1" applyFill="1" applyBorder="1" applyAlignment="1" applyProtection="1">
      <alignment horizontal="center" vertical="center" wrapText="1"/>
    </xf>
    <xf numFmtId="0" fontId="7" fillId="13" borderId="178" xfId="0" applyFont="1" applyFill="1" applyBorder="1" applyAlignment="1" applyProtection="1">
      <alignment horizontal="center" vertical="center" wrapText="1"/>
    </xf>
    <xf numFmtId="0" fontId="7" fillId="13" borderId="168" xfId="0" applyFont="1" applyFill="1" applyBorder="1" applyAlignment="1" applyProtection="1">
      <alignment horizontal="center" vertical="center" wrapText="1"/>
    </xf>
    <xf numFmtId="0" fontId="7" fillId="13" borderId="161" xfId="0" applyFont="1" applyFill="1" applyBorder="1" applyAlignment="1" applyProtection="1">
      <alignment horizontal="center" vertical="center" wrapText="1"/>
    </xf>
    <xf numFmtId="0" fontId="4" fillId="0" borderId="183" xfId="0" applyFont="1" applyFill="1" applyBorder="1" applyAlignment="1" applyProtection="1">
      <alignment horizontal="left" vertical="center" wrapText="1"/>
      <protection locked="0"/>
    </xf>
    <xf numFmtId="0" fontId="4" fillId="0" borderId="197" xfId="0" applyFont="1" applyFill="1" applyBorder="1" applyAlignment="1" applyProtection="1">
      <alignment horizontal="left" vertical="center" wrapText="1"/>
      <protection locked="0"/>
    </xf>
    <xf numFmtId="0" fontId="4" fillId="0" borderId="202" xfId="0" applyFont="1" applyFill="1" applyBorder="1" applyAlignment="1" applyProtection="1">
      <alignment horizontal="left" vertical="center" wrapText="1"/>
      <protection locked="0"/>
    </xf>
    <xf numFmtId="0" fontId="4" fillId="0" borderId="204" xfId="0" applyFont="1" applyFill="1" applyBorder="1" applyAlignment="1" applyProtection="1">
      <alignment horizontal="left" vertical="center" wrapText="1"/>
      <protection locked="0"/>
    </xf>
    <xf numFmtId="0" fontId="4" fillId="8" borderId="26" xfId="0" applyFont="1" applyFill="1" applyBorder="1" applyAlignment="1" applyProtection="1">
      <alignment horizontal="left" wrapText="1"/>
    </xf>
    <xf numFmtId="0" fontId="4" fillId="8" borderId="0" xfId="0" applyFont="1" applyFill="1" applyBorder="1" applyAlignment="1" applyProtection="1">
      <alignment horizontal="left" wrapText="1"/>
    </xf>
    <xf numFmtId="0" fontId="4" fillId="8" borderId="61" xfId="0" applyFont="1" applyFill="1" applyBorder="1" applyAlignment="1" applyProtection="1">
      <alignment horizontal="left" wrapText="1"/>
    </xf>
    <xf numFmtId="0" fontId="4" fillId="8" borderId="25" xfId="0" applyFont="1" applyFill="1" applyBorder="1" applyAlignment="1" applyProtection="1">
      <alignment horizontal="left" wrapText="1"/>
    </xf>
    <xf numFmtId="170" fontId="7" fillId="8" borderId="60" xfId="0" applyNumberFormat="1" applyFont="1" applyFill="1" applyBorder="1" applyAlignment="1" applyProtection="1">
      <alignment horizontal="center"/>
    </xf>
    <xf numFmtId="170" fontId="7" fillId="8" borderId="25" xfId="0" applyNumberFormat="1" applyFont="1" applyFill="1" applyBorder="1" applyAlignment="1" applyProtection="1">
      <alignment horizontal="center"/>
    </xf>
    <xf numFmtId="170" fontId="7" fillId="8" borderId="59" xfId="0" applyNumberFormat="1" applyFont="1" applyFill="1" applyBorder="1" applyAlignment="1" applyProtection="1">
      <alignment horizontal="center"/>
    </xf>
    <xf numFmtId="0" fontId="4" fillId="0" borderId="97" xfId="0" applyFont="1" applyBorder="1" applyAlignment="1" applyProtection="1">
      <alignment horizontal="center"/>
    </xf>
    <xf numFmtId="0" fontId="4" fillId="0" borderId="48" xfId="0" applyFont="1" applyBorder="1" applyAlignment="1" applyProtection="1">
      <alignment horizontal="left"/>
    </xf>
    <xf numFmtId="0" fontId="4" fillId="0" borderId="104" xfId="0" applyFont="1" applyBorder="1" applyAlignment="1" applyProtection="1">
      <alignment horizontal="left"/>
    </xf>
    <xf numFmtId="0" fontId="4" fillId="8" borderId="117" xfId="0" applyFont="1" applyFill="1" applyBorder="1" applyAlignment="1" applyProtection="1">
      <alignment horizontal="left" wrapText="1"/>
    </xf>
    <xf numFmtId="0" fontId="4" fillId="8" borderId="60" xfId="0" applyFont="1" applyFill="1" applyBorder="1" applyAlignment="1" applyProtection="1">
      <alignment horizontal="left" wrapText="1"/>
    </xf>
    <xf numFmtId="0" fontId="4" fillId="0" borderId="33" xfId="0" applyFont="1" applyBorder="1" applyAlignment="1" applyProtection="1">
      <alignment horizontal="center"/>
    </xf>
    <xf numFmtId="170" fontId="4" fillId="0" borderId="97" xfId="0" applyNumberFormat="1" applyFont="1" applyBorder="1" applyAlignment="1" applyProtection="1">
      <alignment horizontal="center"/>
    </xf>
    <xf numFmtId="170" fontId="4" fillId="0" borderId="133" xfId="0" applyNumberFormat="1" applyFont="1" applyBorder="1" applyAlignment="1" applyProtection="1">
      <alignment horizontal="center"/>
    </xf>
    <xf numFmtId="170" fontId="4" fillId="0" borderId="33" xfId="0" applyNumberFormat="1" applyFont="1" applyBorder="1" applyAlignment="1" applyProtection="1">
      <alignment horizontal="center"/>
    </xf>
    <xf numFmtId="0" fontId="4" fillId="0" borderId="37" xfId="0" applyFont="1" applyFill="1" applyBorder="1" applyAlignment="1" applyProtection="1">
      <alignment horizontal="left" vertical="center" wrapText="1"/>
      <protection locked="0"/>
    </xf>
    <xf numFmtId="0" fontId="4" fillId="0" borderId="41"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center" vertical="center" wrapText="1"/>
    </xf>
    <xf numFmtId="0" fontId="7" fillId="4" borderId="31" xfId="0" applyFont="1" applyFill="1" applyBorder="1" applyAlignment="1" applyProtection="1">
      <alignment horizontal="center" vertical="center" wrapText="1"/>
    </xf>
    <xf numFmtId="0" fontId="7" fillId="4" borderId="70" xfId="0" applyFont="1" applyFill="1" applyBorder="1" applyAlignment="1" applyProtection="1">
      <alignment horizontal="center" vertical="center" wrapText="1"/>
    </xf>
    <xf numFmtId="0" fontId="7" fillId="4" borderId="23" xfId="0" applyFont="1" applyFill="1" applyBorder="1" applyAlignment="1" applyProtection="1">
      <alignment horizontal="center" vertical="center" wrapText="1"/>
    </xf>
    <xf numFmtId="0" fontId="7" fillId="4" borderId="22" xfId="0" applyFont="1" applyFill="1" applyBorder="1" applyAlignment="1" applyProtection="1">
      <alignment horizontal="center" vertical="center" wrapText="1"/>
    </xf>
    <xf numFmtId="0" fontId="4" fillId="8" borderId="44" xfId="0" applyFont="1" applyFill="1" applyBorder="1" applyAlignment="1" applyProtection="1">
      <alignment horizontal="left" wrapText="1"/>
    </xf>
    <xf numFmtId="0" fontId="4" fillId="8" borderId="58" xfId="0" applyFont="1" applyFill="1" applyBorder="1" applyAlignment="1" applyProtection="1">
      <alignment horizontal="left" wrapText="1"/>
    </xf>
    <xf numFmtId="0" fontId="5" fillId="8" borderId="70" xfId="0" applyFont="1" applyFill="1" applyBorder="1" applyAlignment="1" applyProtection="1">
      <alignment horizontal="center" wrapText="1"/>
    </xf>
    <xf numFmtId="0" fontId="5" fillId="8" borderId="22" xfId="0" applyFont="1" applyFill="1" applyBorder="1" applyAlignment="1" applyProtection="1">
      <alignment horizontal="center" wrapText="1"/>
    </xf>
    <xf numFmtId="0" fontId="7" fillId="4" borderId="30" xfId="0" quotePrefix="1" applyFont="1" applyFill="1" applyBorder="1" applyAlignment="1" applyProtection="1">
      <alignment horizontal="left" vertical="center" wrapText="1"/>
    </xf>
    <xf numFmtId="0" fontId="7" fillId="4" borderId="31" xfId="0" quotePrefix="1" applyFont="1" applyFill="1" applyBorder="1" applyAlignment="1" applyProtection="1">
      <alignment horizontal="left" vertical="center" wrapText="1"/>
    </xf>
    <xf numFmtId="0" fontId="0" fillId="0" borderId="0" xfId="0" applyBorder="1" applyAlignment="1" applyProtection="1">
      <alignment horizontal="center"/>
      <protection locked="0"/>
    </xf>
    <xf numFmtId="0" fontId="7" fillId="13" borderId="185" xfId="0" applyFont="1" applyFill="1" applyBorder="1" applyAlignment="1" applyProtection="1">
      <alignment horizontal="center" vertical="center" wrapText="1"/>
    </xf>
    <xf numFmtId="0" fontId="7" fillId="13" borderId="187" xfId="0" applyFont="1" applyFill="1" applyBorder="1" applyAlignment="1" applyProtection="1">
      <alignment horizontal="center" vertical="center" wrapText="1"/>
    </xf>
    <xf numFmtId="164" fontId="4" fillId="0" borderId="0" xfId="0" applyNumberFormat="1" applyFont="1" applyFill="1" applyBorder="1" applyAlignment="1" applyProtection="1">
      <alignment horizontal="center" vertical="center"/>
      <protection locked="0"/>
    </xf>
    <xf numFmtId="0" fontId="4" fillId="0" borderId="22" xfId="0" applyFont="1" applyFill="1" applyBorder="1" applyAlignment="1" applyProtection="1">
      <alignment horizontal="center" wrapText="1"/>
      <protection locked="0"/>
    </xf>
    <xf numFmtId="0" fontId="4" fillId="0" borderId="0" xfId="0" applyFont="1" applyBorder="1" applyAlignment="1" applyProtection="1">
      <alignment horizontal="center" textRotation="90" wrapText="1"/>
    </xf>
    <xf numFmtId="0" fontId="4" fillId="0" borderId="114" xfId="0" applyFont="1" applyBorder="1" applyAlignment="1" applyProtection="1">
      <alignment horizontal="center" textRotation="90" wrapText="1"/>
    </xf>
    <xf numFmtId="0" fontId="0" fillId="0" borderId="0" xfId="0" applyAlignment="1" applyProtection="1">
      <alignment horizontal="center"/>
    </xf>
    <xf numFmtId="0" fontId="0" fillId="0" borderId="114" xfId="0" applyBorder="1" applyAlignment="1" applyProtection="1">
      <alignment horizontal="center"/>
    </xf>
    <xf numFmtId="0" fontId="7" fillId="0" borderId="63" xfId="0" applyFont="1" applyFill="1" applyBorder="1" applyAlignment="1" applyProtection="1">
      <alignment horizontal="center" vertical="center" wrapText="1"/>
      <protection locked="0"/>
    </xf>
    <xf numFmtId="0" fontId="9" fillId="0" borderId="0" xfId="1" applyFont="1" applyBorder="1" applyAlignment="1" applyProtection="1">
      <alignment horizontal="center"/>
    </xf>
    <xf numFmtId="0" fontId="18" fillId="10" borderId="21" xfId="1" applyFont="1" applyFill="1" applyBorder="1" applyAlignment="1" applyProtection="1">
      <alignment horizontal="center" vertical="center" wrapText="1"/>
    </xf>
    <xf numFmtId="0" fontId="18" fillId="10" borderId="22" xfId="1" applyFont="1" applyFill="1" applyBorder="1" applyAlignment="1" applyProtection="1">
      <alignment horizontal="center" vertical="center" wrapText="1"/>
    </xf>
    <xf numFmtId="0" fontId="4" fillId="0" borderId="48" xfId="0" applyFont="1" applyFill="1" applyBorder="1" applyAlignment="1" applyProtection="1">
      <alignment horizontal="left"/>
    </xf>
    <xf numFmtId="0" fontId="4" fillId="0" borderId="104" xfId="0" applyFont="1" applyFill="1" applyBorder="1" applyAlignment="1" applyProtection="1">
      <alignment horizontal="left"/>
    </xf>
    <xf numFmtId="0" fontId="4" fillId="0" borderId="46" xfId="0" applyFont="1" applyFill="1" applyBorder="1" applyAlignment="1" applyProtection="1">
      <alignment horizontal="left"/>
    </xf>
    <xf numFmtId="0" fontId="4" fillId="0" borderId="41" xfId="0" applyFont="1" applyFill="1" applyBorder="1" applyAlignment="1" applyProtection="1">
      <alignment horizontal="left"/>
    </xf>
    <xf numFmtId="3" fontId="4" fillId="0" borderId="48" xfId="0" applyNumberFormat="1" applyFont="1" applyBorder="1" applyAlignment="1" applyProtection="1">
      <alignment horizontal="center"/>
    </xf>
    <xf numFmtId="3" fontId="4" fillId="0" borderId="105" xfId="0" applyNumberFormat="1" applyFont="1" applyBorder="1" applyAlignment="1" applyProtection="1">
      <alignment horizontal="center"/>
    </xf>
    <xf numFmtId="3" fontId="4" fillId="0" borderId="46" xfId="0" applyNumberFormat="1" applyFont="1" applyBorder="1" applyAlignment="1" applyProtection="1">
      <alignment horizontal="center"/>
    </xf>
    <xf numFmtId="3" fontId="4" fillId="0" borderId="93" xfId="0" applyNumberFormat="1" applyFont="1" applyBorder="1" applyAlignment="1" applyProtection="1">
      <alignment horizontal="center"/>
    </xf>
    <xf numFmtId="0" fontId="63" fillId="0" borderId="0" xfId="0" applyFont="1" applyAlignment="1">
      <alignment horizontal="center" vertical="center"/>
    </xf>
    <xf numFmtId="0" fontId="3" fillId="8" borderId="0" xfId="1" applyFill="1" applyBorder="1" applyAlignment="1" applyProtection="1">
      <alignment horizontal="center"/>
    </xf>
    <xf numFmtId="0" fontId="4" fillId="8" borderId="49" xfId="0" quotePrefix="1" applyFont="1" applyFill="1" applyBorder="1" applyAlignment="1" applyProtection="1">
      <alignment horizontal="left" vertical="center" wrapText="1"/>
    </xf>
    <xf numFmtId="0" fontId="4" fillId="8" borderId="52" xfId="0" quotePrefix="1" applyFont="1" applyFill="1" applyBorder="1" applyAlignment="1" applyProtection="1">
      <alignment horizontal="left" vertical="center" wrapText="1"/>
    </xf>
    <xf numFmtId="0" fontId="4" fillId="0" borderId="126" xfId="0" applyFont="1" applyFill="1" applyBorder="1" applyAlignment="1" applyProtection="1">
      <alignment horizontal="left"/>
    </xf>
    <xf numFmtId="0" fontId="4" fillId="0" borderId="142" xfId="0" applyFont="1" applyFill="1" applyBorder="1" applyAlignment="1" applyProtection="1">
      <alignment horizontal="left"/>
    </xf>
    <xf numFmtId="0" fontId="5" fillId="8" borderId="22" xfId="0" applyFont="1" applyFill="1" applyBorder="1" applyAlignment="1" applyProtection="1">
      <alignment horizontal="center" vertical="center"/>
    </xf>
    <xf numFmtId="0" fontId="4" fillId="8" borderId="21" xfId="0" quotePrefix="1" applyFont="1" applyFill="1" applyBorder="1" applyAlignment="1" applyProtection="1">
      <alignment horizontal="left" wrapText="1"/>
    </xf>
    <xf numFmtId="0" fontId="4" fillId="8" borderId="22" xfId="0" quotePrefix="1" applyFont="1" applyFill="1" applyBorder="1" applyAlignment="1" applyProtection="1">
      <alignment horizontal="left" wrapText="1"/>
    </xf>
    <xf numFmtId="0" fontId="4" fillId="8" borderId="72" xfId="0" quotePrefix="1" applyFont="1" applyFill="1" applyBorder="1" applyAlignment="1" applyProtection="1">
      <alignment horizontal="left" wrapText="1"/>
    </xf>
    <xf numFmtId="0" fontId="4" fillId="8" borderId="0" xfId="0" quotePrefix="1" applyFont="1" applyFill="1" applyBorder="1" applyAlignment="1" applyProtection="1">
      <alignment horizontal="left" wrapText="1"/>
    </xf>
    <xf numFmtId="172" fontId="7" fillId="0" borderId="52" xfId="0" applyNumberFormat="1" applyFont="1" applyFill="1" applyBorder="1" applyAlignment="1" applyProtection="1">
      <alignment horizontal="center" vertical="center" wrapText="1"/>
    </xf>
    <xf numFmtId="172" fontId="7" fillId="0" borderId="64" xfId="0" applyNumberFormat="1" applyFont="1" applyFill="1" applyBorder="1" applyAlignment="1" applyProtection="1">
      <alignment horizontal="center" vertical="center" wrapText="1"/>
    </xf>
    <xf numFmtId="3" fontId="18" fillId="15" borderId="21" xfId="1" applyNumberFormat="1" applyFont="1" applyFill="1" applyBorder="1" applyAlignment="1" applyProtection="1">
      <alignment horizontal="center" vertical="center" wrapText="1"/>
    </xf>
    <xf numFmtId="3" fontId="18" fillId="15" borderId="22" xfId="1" applyNumberFormat="1" applyFont="1" applyFill="1" applyBorder="1" applyAlignment="1" applyProtection="1">
      <alignment horizontal="center" vertical="center" wrapText="1"/>
    </xf>
    <xf numFmtId="3" fontId="18" fillId="15" borderId="23" xfId="1" applyNumberFormat="1" applyFont="1" applyFill="1" applyBorder="1" applyAlignment="1" applyProtection="1">
      <alignment horizontal="center" vertical="center" wrapText="1"/>
    </xf>
    <xf numFmtId="0" fontId="7" fillId="20" borderId="30" xfId="0" applyFont="1" applyFill="1" applyBorder="1" applyAlignment="1" applyProtection="1">
      <alignment horizontal="center" vertical="top" wrapText="1"/>
    </xf>
    <xf numFmtId="0" fontId="7" fillId="20" borderId="43" xfId="0" applyFont="1" applyFill="1" applyBorder="1" applyAlignment="1" applyProtection="1">
      <alignment horizontal="center" vertical="top" wrapText="1"/>
    </xf>
    <xf numFmtId="0" fontId="5" fillId="0" borderId="20" xfId="0" applyFont="1" applyBorder="1" applyAlignment="1">
      <alignment horizontal="center" textRotation="90" wrapText="1"/>
    </xf>
    <xf numFmtId="0" fontId="4" fillId="4" borderId="0" xfId="0" applyFont="1" applyFill="1" applyBorder="1" applyAlignment="1" applyProtection="1">
      <alignment horizontal="center" wrapText="1"/>
    </xf>
    <xf numFmtId="0" fontId="4" fillId="4" borderId="14" xfId="0" applyFont="1" applyFill="1" applyBorder="1" applyAlignment="1" applyProtection="1">
      <alignment horizontal="center" wrapText="1"/>
    </xf>
    <xf numFmtId="0" fontId="4" fillId="8" borderId="20" xfId="0" applyFont="1" applyFill="1" applyBorder="1" applyAlignment="1" applyProtection="1">
      <alignment horizontal="center" wrapText="1"/>
    </xf>
    <xf numFmtId="0" fontId="4" fillId="27" borderId="50" xfId="0" applyFont="1" applyFill="1" applyBorder="1" applyAlignment="1" applyProtection="1">
      <alignment horizontal="center" wrapText="1"/>
    </xf>
    <xf numFmtId="0" fontId="4" fillId="27" borderId="140" xfId="0" applyFont="1" applyFill="1" applyBorder="1" applyAlignment="1" applyProtection="1">
      <alignment horizontal="center" wrapText="1"/>
    </xf>
    <xf numFmtId="0" fontId="7" fillId="14" borderId="24" xfId="1" applyFont="1" applyFill="1" applyBorder="1" applyAlignment="1" applyProtection="1">
      <alignment horizontal="center" wrapText="1"/>
    </xf>
    <xf numFmtId="0" fontId="7" fillId="14" borderId="179" xfId="1" applyFont="1" applyFill="1" applyBorder="1" applyAlignment="1" applyProtection="1">
      <alignment horizontal="center" wrapText="1"/>
    </xf>
    <xf numFmtId="164" fontId="61" fillId="0" borderId="0" xfId="0" applyNumberFormat="1" applyFont="1" applyBorder="1" applyAlignment="1" applyProtection="1">
      <alignment horizontal="center" vertical="center"/>
    </xf>
    <xf numFmtId="0" fontId="7" fillId="13" borderId="178" xfId="0" applyFont="1" applyFill="1" applyBorder="1" applyAlignment="1" applyProtection="1">
      <alignment horizontal="center" vertical="top" wrapText="1"/>
    </xf>
    <xf numFmtId="0" fontId="7" fillId="13" borderId="161" xfId="0" applyFont="1" applyFill="1" applyBorder="1" applyAlignment="1" applyProtection="1">
      <alignment horizontal="center" vertical="top" wrapText="1"/>
    </xf>
    <xf numFmtId="0" fontId="7" fillId="13" borderId="163" xfId="0" applyFont="1" applyFill="1" applyBorder="1" applyAlignment="1" applyProtection="1">
      <alignment horizontal="center" vertical="top" wrapText="1"/>
    </xf>
    <xf numFmtId="0" fontId="7" fillId="13" borderId="164" xfId="0" applyFont="1" applyFill="1" applyBorder="1" applyAlignment="1" applyProtection="1">
      <alignment horizontal="center" vertical="top" wrapText="1"/>
    </xf>
    <xf numFmtId="0" fontId="7" fillId="13" borderId="165" xfId="0" applyFont="1" applyFill="1" applyBorder="1" applyAlignment="1" applyProtection="1">
      <alignment horizontal="center" vertical="top" wrapText="1"/>
    </xf>
    <xf numFmtId="0" fontId="7" fillId="13" borderId="166" xfId="0" applyFont="1" applyFill="1" applyBorder="1" applyAlignment="1" applyProtection="1">
      <alignment horizontal="center" vertical="top" wrapText="1"/>
    </xf>
    <xf numFmtId="0" fontId="4" fillId="12" borderId="46" xfId="0" applyFont="1" applyFill="1" applyBorder="1" applyAlignment="1" applyProtection="1">
      <alignment horizontal="left"/>
      <protection locked="0"/>
    </xf>
    <xf numFmtId="0" fontId="4" fillId="12" borderId="41" xfId="0" applyFont="1" applyFill="1" applyBorder="1" applyAlignment="1" applyProtection="1">
      <alignment horizontal="left"/>
      <protection locked="0"/>
    </xf>
    <xf numFmtId="0" fontId="4" fillId="12" borderId="48" xfId="0" applyFont="1" applyFill="1" applyBorder="1" applyAlignment="1" applyProtection="1">
      <alignment horizontal="left"/>
      <protection locked="0"/>
    </xf>
    <xf numFmtId="0" fontId="4" fillId="12" borderId="154" xfId="0" applyFont="1" applyFill="1" applyBorder="1" applyAlignment="1" applyProtection="1">
      <alignment horizontal="left"/>
      <protection locked="0"/>
    </xf>
    <xf numFmtId="0" fontId="4" fillId="12" borderId="126" xfId="0" applyFont="1" applyFill="1" applyBorder="1" applyAlignment="1" applyProtection="1">
      <alignment horizontal="left"/>
      <protection locked="0"/>
    </xf>
    <xf numFmtId="0" fontId="4" fillId="12" borderId="142" xfId="0" applyFont="1" applyFill="1" applyBorder="1" applyAlignment="1" applyProtection="1">
      <alignment horizontal="left"/>
      <protection locked="0"/>
    </xf>
    <xf numFmtId="0" fontId="7" fillId="13" borderId="180" xfId="0" applyFont="1" applyFill="1" applyBorder="1" applyAlignment="1" applyProtection="1">
      <alignment horizontal="center" vertical="top" wrapText="1"/>
      <protection locked="0"/>
    </xf>
    <xf numFmtId="0" fontId="7" fillId="13" borderId="169" xfId="0" applyFont="1" applyFill="1" applyBorder="1" applyAlignment="1" applyProtection="1">
      <alignment horizontal="center" vertical="top" wrapText="1"/>
      <protection locked="0"/>
    </xf>
    <xf numFmtId="0" fontId="7" fillId="13" borderId="181" xfId="0" applyFont="1" applyFill="1" applyBorder="1" applyAlignment="1" applyProtection="1">
      <alignment horizontal="center" vertical="top" wrapText="1"/>
      <protection locked="0"/>
    </xf>
    <xf numFmtId="0" fontId="7" fillId="25" borderId="85" xfId="0" applyFont="1" applyFill="1" applyBorder="1" applyAlignment="1" applyProtection="1">
      <alignment horizontal="center" vertical="center" textRotation="90" wrapText="1"/>
    </xf>
    <xf numFmtId="0" fontId="7" fillId="25" borderId="50" xfId="0" applyFont="1" applyFill="1" applyBorder="1" applyAlignment="1" applyProtection="1">
      <alignment horizontal="center" vertical="center" textRotation="90" wrapText="1"/>
    </xf>
    <xf numFmtId="0" fontId="7" fillId="25" borderId="24" xfId="0" applyFont="1" applyFill="1" applyBorder="1" applyAlignment="1" applyProtection="1">
      <alignment horizontal="center" vertical="center" textRotation="90" wrapText="1"/>
    </xf>
    <xf numFmtId="0" fontId="7" fillId="25" borderId="140" xfId="0" applyFont="1" applyFill="1" applyBorder="1" applyAlignment="1" applyProtection="1">
      <alignment horizontal="center" vertical="center" textRotation="90" wrapText="1"/>
    </xf>
    <xf numFmtId="0" fontId="7" fillId="13" borderId="21" xfId="0" applyFont="1" applyFill="1" applyBorder="1" applyAlignment="1" applyProtection="1">
      <alignment horizontal="center" vertical="top" wrapText="1"/>
    </xf>
    <xf numFmtId="0" fontId="7" fillId="13" borderId="72" xfId="0" applyFont="1" applyFill="1" applyBorder="1" applyAlignment="1" applyProtection="1">
      <alignment horizontal="center" vertical="top" wrapText="1"/>
    </xf>
    <xf numFmtId="0" fontId="53" fillId="13" borderId="165" xfId="0" applyFont="1" applyFill="1" applyBorder="1" applyAlignment="1" applyProtection="1">
      <alignment horizontal="center" vertical="center" wrapText="1"/>
    </xf>
    <xf numFmtId="0" fontId="53" fillId="13" borderId="0" xfId="0" applyFont="1" applyFill="1" applyBorder="1" applyAlignment="1" applyProtection="1">
      <alignment horizontal="center" vertical="center" wrapText="1"/>
    </xf>
    <xf numFmtId="0" fontId="53" fillId="13" borderId="166" xfId="0" applyFont="1" applyFill="1" applyBorder="1" applyAlignment="1" applyProtection="1">
      <alignment horizontal="center" vertical="center" wrapText="1"/>
    </xf>
    <xf numFmtId="0" fontId="7" fillId="13" borderId="23"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4" fillId="8" borderId="142" xfId="0" applyFont="1" applyFill="1" applyBorder="1" applyAlignment="1" applyProtection="1">
      <alignment horizontal="center" wrapText="1"/>
      <protection locked="0"/>
    </xf>
    <xf numFmtId="0" fontId="4" fillId="8" borderId="179" xfId="0" applyFont="1" applyFill="1" applyBorder="1" applyAlignment="1" applyProtection="1">
      <alignment horizontal="center" wrapText="1"/>
      <protection locked="0"/>
    </xf>
    <xf numFmtId="0" fontId="64" fillId="0" borderId="0" xfId="0" applyFont="1" applyAlignment="1">
      <alignment horizontal="center"/>
    </xf>
    <xf numFmtId="0" fontId="5" fillId="8" borderId="21" xfId="0" applyFont="1" applyFill="1" applyBorder="1" applyAlignment="1" applyProtection="1">
      <alignment horizontal="left" wrapText="1"/>
    </xf>
    <xf numFmtId="0" fontId="5" fillId="8" borderId="22" xfId="0" applyFont="1" applyFill="1" applyBorder="1" applyAlignment="1" applyProtection="1">
      <alignment horizontal="left"/>
    </xf>
    <xf numFmtId="0" fontId="4" fillId="0" borderId="183" xfId="0" applyFont="1" applyFill="1" applyBorder="1" applyAlignment="1" applyProtection="1">
      <alignment horizontal="center"/>
      <protection locked="0"/>
    </xf>
    <xf numFmtId="0" fontId="4" fillId="0" borderId="184" xfId="0" applyFont="1" applyFill="1" applyBorder="1" applyAlignment="1" applyProtection="1">
      <alignment horizontal="center"/>
      <protection locked="0"/>
    </xf>
    <xf numFmtId="164" fontId="4" fillId="0" borderId="144" xfId="0" applyNumberFormat="1" applyFont="1" applyBorder="1" applyAlignment="1" applyProtection="1">
      <alignment horizontal="center"/>
    </xf>
    <xf numFmtId="0" fontId="4" fillId="0" borderId="197" xfId="0" applyFont="1" applyFill="1" applyBorder="1" applyAlignment="1" applyProtection="1">
      <alignment horizontal="center"/>
      <protection locked="0"/>
    </xf>
    <xf numFmtId="0" fontId="4" fillId="0" borderId="183" xfId="0" applyFont="1" applyFill="1" applyBorder="1" applyAlignment="1" applyProtection="1">
      <alignment horizontal="center"/>
    </xf>
    <xf numFmtId="0" fontId="4" fillId="0" borderId="184" xfId="0" applyFont="1" applyFill="1" applyBorder="1" applyAlignment="1" applyProtection="1">
      <alignment horizontal="center"/>
    </xf>
    <xf numFmtId="0" fontId="4" fillId="0" borderId="37" xfId="0" applyFont="1" applyFill="1" applyBorder="1" applyAlignment="1" applyProtection="1">
      <alignment horizontal="center"/>
    </xf>
    <xf numFmtId="0" fontId="4" fillId="0" borderId="42" xfId="0" applyFont="1" applyFill="1" applyBorder="1" applyAlignment="1" applyProtection="1">
      <alignment horizontal="center"/>
    </xf>
    <xf numFmtId="0" fontId="5" fillId="8" borderId="52" xfId="0" applyFont="1" applyFill="1" applyBorder="1" applyAlignment="1" applyProtection="1">
      <alignment horizontal="center" vertical="center" wrapText="1"/>
    </xf>
    <xf numFmtId="0" fontId="5" fillId="8" borderId="63" xfId="0" applyFont="1" applyFill="1" applyBorder="1" applyAlignment="1" applyProtection="1">
      <alignment horizontal="center" vertical="center" wrapText="1"/>
    </xf>
    <xf numFmtId="0" fontId="5" fillId="8" borderId="191" xfId="0" applyFont="1" applyFill="1" applyBorder="1" applyAlignment="1" applyProtection="1">
      <alignment horizontal="center" vertical="center" wrapText="1"/>
    </xf>
    <xf numFmtId="0" fontId="4" fillId="0" borderId="37" xfId="0" applyFont="1" applyFill="1" applyBorder="1" applyAlignment="1" applyProtection="1">
      <alignment horizontal="center"/>
      <protection locked="0"/>
    </xf>
    <xf numFmtId="0" fontId="4" fillId="0" borderId="42" xfId="0" applyFont="1" applyFill="1" applyBorder="1" applyAlignment="1" applyProtection="1">
      <alignment horizontal="center"/>
      <protection locked="0"/>
    </xf>
    <xf numFmtId="164" fontId="4" fillId="0" borderId="183" xfId="0" applyNumberFormat="1" applyFont="1" applyBorder="1" applyAlignment="1" applyProtection="1">
      <alignment horizontal="center"/>
    </xf>
    <xf numFmtId="164" fontId="4" fillId="0" borderId="194" xfId="0" applyNumberFormat="1" applyFont="1" applyBorder="1" applyAlignment="1" applyProtection="1">
      <alignment horizontal="center"/>
    </xf>
    <xf numFmtId="0" fontId="4" fillId="0" borderId="106" xfId="0" applyFont="1" applyFill="1" applyBorder="1" applyAlignment="1" applyProtection="1">
      <alignment horizontal="center"/>
      <protection locked="0"/>
    </xf>
    <xf numFmtId="0" fontId="4" fillId="0" borderId="41" xfId="0" applyFont="1" applyFill="1" applyBorder="1" applyAlignment="1" applyProtection="1">
      <alignment horizontal="center"/>
      <protection locked="0"/>
    </xf>
    <xf numFmtId="0" fontId="4" fillId="0" borderId="54"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5" fillId="8" borderId="54" xfId="0" applyFont="1" applyFill="1" applyBorder="1" applyAlignment="1" applyProtection="1">
      <alignment horizontal="center" vertical="center" wrapText="1"/>
    </xf>
    <xf numFmtId="164" fontId="4" fillId="0" borderId="35" xfId="0" applyNumberFormat="1" applyFont="1" applyBorder="1" applyAlignment="1" applyProtection="1">
      <alignment horizontal="center"/>
    </xf>
    <xf numFmtId="0" fontId="9" fillId="8" borderId="193" xfId="1" applyFont="1" applyFill="1" applyBorder="1" applyAlignment="1" applyProtection="1">
      <alignment horizontal="center" wrapText="1"/>
    </xf>
    <xf numFmtId="0" fontId="9" fillId="8" borderId="191" xfId="1" applyFont="1" applyFill="1" applyBorder="1" applyAlignment="1" applyProtection="1">
      <alignment horizontal="center" wrapText="1"/>
    </xf>
    <xf numFmtId="0" fontId="4" fillId="0" borderId="141" xfId="0" applyFont="1" applyFill="1" applyBorder="1" applyAlignment="1" applyProtection="1">
      <alignment horizontal="center"/>
      <protection locked="0"/>
    </xf>
    <xf numFmtId="0" fontId="4" fillId="0" borderId="192" xfId="0" applyFont="1" applyFill="1" applyBorder="1" applyAlignment="1" applyProtection="1">
      <alignment horizontal="center"/>
      <protection locked="0"/>
    </xf>
    <xf numFmtId="0" fontId="5" fillId="8" borderId="193" xfId="0" applyFont="1" applyFill="1" applyBorder="1" applyAlignment="1" applyProtection="1">
      <alignment horizontal="center" vertical="center" wrapText="1"/>
    </xf>
    <xf numFmtId="0" fontId="4" fillId="0" borderId="25" xfId="0" applyFont="1" applyBorder="1" applyAlignment="1">
      <alignment horizontal="center"/>
    </xf>
    <xf numFmtId="0" fontId="5" fillId="8" borderId="64" xfId="0" applyFont="1" applyFill="1" applyBorder="1" applyAlignment="1" applyProtection="1">
      <alignment horizontal="center" vertical="center" wrapText="1"/>
    </xf>
    <xf numFmtId="0" fontId="7" fillId="0" borderId="0" xfId="0" applyFont="1" applyFill="1" applyBorder="1" applyAlignment="1" applyProtection="1">
      <alignment horizontal="center" wrapText="1"/>
      <protection locked="0"/>
    </xf>
    <xf numFmtId="0" fontId="7" fillId="0" borderId="24" xfId="0" applyFont="1" applyFill="1" applyBorder="1" applyAlignment="1" applyProtection="1">
      <alignment horizontal="center" wrapText="1"/>
      <protection locked="0"/>
    </xf>
    <xf numFmtId="1" fontId="4" fillId="0" borderId="144" xfId="0" applyNumberFormat="1" applyFont="1" applyFill="1" applyBorder="1" applyAlignment="1" applyProtection="1">
      <alignment horizontal="center"/>
    </xf>
    <xf numFmtId="0" fontId="4" fillId="0" borderId="33" xfId="0" applyFont="1" applyFill="1" applyBorder="1" applyAlignment="1" applyProtection="1">
      <alignment horizontal="center"/>
    </xf>
    <xf numFmtId="0" fontId="4" fillId="0" borderId="194" xfId="0" applyFont="1" applyFill="1" applyBorder="1" applyAlignment="1" applyProtection="1">
      <alignment horizontal="center"/>
    </xf>
    <xf numFmtId="0" fontId="4" fillId="0" borderId="195" xfId="0" applyFont="1" applyFill="1" applyBorder="1" applyAlignment="1" applyProtection="1">
      <alignment horizontal="center"/>
      <protection locked="0"/>
    </xf>
    <xf numFmtId="164" fontId="4" fillId="0" borderId="183" xfId="0" applyNumberFormat="1" applyFont="1" applyFill="1" applyBorder="1" applyAlignment="1" applyProtection="1">
      <alignment horizontal="center"/>
    </xf>
    <xf numFmtId="164" fontId="4" fillId="0" borderId="194" xfId="0" applyNumberFormat="1" applyFont="1" applyFill="1" applyBorder="1" applyAlignment="1" applyProtection="1">
      <alignment horizontal="center"/>
    </xf>
    <xf numFmtId="1" fontId="4" fillId="0" borderId="35" xfId="0" applyNumberFormat="1" applyFont="1" applyFill="1" applyBorder="1" applyAlignment="1" applyProtection="1">
      <alignment horizontal="center"/>
    </xf>
    <xf numFmtId="0" fontId="4" fillId="0" borderId="36" xfId="0" applyFont="1" applyFill="1" applyBorder="1" applyAlignment="1" applyProtection="1">
      <alignment horizontal="center"/>
    </xf>
    <xf numFmtId="0" fontId="7" fillId="4" borderId="206" xfId="0" applyFont="1" applyFill="1" applyBorder="1" applyAlignment="1" applyProtection="1">
      <alignment horizontal="center" vertical="center" wrapText="1"/>
    </xf>
    <xf numFmtId="0" fontId="7" fillId="4" borderId="203" xfId="0" applyFont="1" applyFill="1" applyBorder="1" applyAlignment="1" applyProtection="1">
      <alignment horizontal="center" vertical="center" wrapText="1"/>
    </xf>
    <xf numFmtId="171" fontId="4" fillId="0" borderId="0" xfId="0" applyNumberFormat="1" applyFont="1" applyFill="1" applyBorder="1" applyAlignment="1" applyProtection="1">
      <alignment horizontal="center" wrapText="1"/>
    </xf>
    <xf numFmtId="0" fontId="7" fillId="4" borderId="202" xfId="0" applyFont="1" applyFill="1" applyBorder="1" applyAlignment="1" applyProtection="1">
      <alignment horizontal="center" vertical="center" wrapText="1"/>
    </xf>
    <xf numFmtId="0" fontId="7" fillId="4" borderId="205" xfId="0" applyFont="1" applyFill="1" applyBorder="1" applyAlignment="1" applyProtection="1">
      <alignment horizontal="center" vertical="center" wrapText="1"/>
    </xf>
    <xf numFmtId="0" fontId="9" fillId="4" borderId="202" xfId="1" applyFont="1" applyFill="1" applyBorder="1" applyAlignment="1" applyProtection="1">
      <alignment horizontal="center" wrapText="1"/>
    </xf>
    <xf numFmtId="0" fontId="9" fillId="4" borderId="205" xfId="1" applyFont="1" applyFill="1" applyBorder="1" applyAlignment="1" applyProtection="1">
      <alignment horizontal="center" wrapText="1"/>
    </xf>
    <xf numFmtId="164" fontId="4" fillId="0" borderId="37" xfId="0" applyNumberFormat="1" applyFont="1" applyFill="1" applyBorder="1" applyAlignment="1" applyProtection="1">
      <alignment horizontal="center"/>
    </xf>
    <xf numFmtId="164" fontId="4" fillId="0" borderId="42" xfId="0" applyNumberFormat="1" applyFont="1" applyFill="1" applyBorder="1" applyAlignment="1" applyProtection="1">
      <alignment horizontal="center"/>
    </xf>
    <xf numFmtId="0" fontId="5" fillId="4" borderId="30" xfId="0" applyFont="1" applyFill="1" applyBorder="1" applyAlignment="1" applyProtection="1">
      <alignment horizontal="left" vertical="center" wrapText="1"/>
    </xf>
    <xf numFmtId="0" fontId="5" fillId="4" borderId="204" xfId="0" applyFont="1" applyFill="1" applyBorder="1" applyAlignment="1" applyProtection="1">
      <alignment horizontal="left" vertical="center" wrapText="1"/>
    </xf>
    <xf numFmtId="0" fontId="5" fillId="4" borderId="205" xfId="0" applyFont="1" applyFill="1" applyBorder="1" applyAlignment="1" applyProtection="1">
      <alignment horizontal="left" vertical="center" wrapText="1"/>
    </xf>
    <xf numFmtId="0" fontId="4" fillId="0" borderId="66" xfId="0" applyFont="1" applyFill="1" applyBorder="1" applyAlignment="1" applyProtection="1">
      <alignment horizontal="center"/>
      <protection locked="0"/>
    </xf>
    <xf numFmtId="0" fontId="5" fillId="0" borderId="209" xfId="0" applyFont="1" applyFill="1" applyBorder="1" applyAlignment="1" applyProtection="1">
      <alignment horizontal="center" vertical="center" wrapText="1"/>
      <protection locked="0"/>
    </xf>
    <xf numFmtId="0" fontId="5" fillId="0" borderId="210" xfId="0" applyFont="1" applyFill="1" applyBorder="1" applyAlignment="1" applyProtection="1">
      <alignment horizontal="center" vertical="center" wrapText="1"/>
      <protection locked="0"/>
    </xf>
    <xf numFmtId="0" fontId="4" fillId="12" borderId="208" xfId="0" applyFont="1" applyFill="1" applyBorder="1" applyAlignment="1" applyProtection="1">
      <alignment horizontal="left"/>
      <protection locked="0"/>
    </xf>
    <xf numFmtId="0" fontId="4" fillId="0" borderId="0" xfId="0" applyFont="1" applyAlignment="1" applyProtection="1">
      <alignment horizontal="center" wrapText="1"/>
    </xf>
    <xf numFmtId="0" fontId="4" fillId="0" borderId="0" xfId="0" applyFont="1" applyAlignment="1" applyProtection="1">
      <alignment horizontal="left" vertical="top" wrapText="1"/>
    </xf>
    <xf numFmtId="0" fontId="1" fillId="0" borderId="0" xfId="0" applyFont="1" applyAlignment="1" applyProtection="1">
      <alignment horizontal="left" wrapText="1"/>
    </xf>
    <xf numFmtId="0" fontId="4" fillId="0" borderId="72" xfId="0" applyFont="1" applyFill="1" applyBorder="1" applyAlignment="1" applyProtection="1">
      <alignment horizontal="center" wrapText="1"/>
      <protection locked="0"/>
    </xf>
    <xf numFmtId="0" fontId="4" fillId="0" borderId="0" xfId="0" applyFont="1" applyFill="1" applyBorder="1" applyAlignment="1" applyProtection="1">
      <alignment horizontal="center" wrapText="1"/>
      <protection locked="0"/>
    </xf>
    <xf numFmtId="0" fontId="4" fillId="0" borderId="24" xfId="0" applyFont="1" applyFill="1" applyBorder="1" applyAlignment="1" applyProtection="1">
      <alignment horizontal="center" wrapText="1"/>
      <protection locked="0"/>
    </xf>
    <xf numFmtId="0" fontId="7" fillId="0" borderId="0" xfId="0"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142" xfId="0" applyFont="1" applyBorder="1" applyAlignment="1" applyProtection="1">
      <alignment horizontal="center" vertical="center" wrapText="1"/>
      <protection locked="0"/>
    </xf>
    <xf numFmtId="0" fontId="4" fillId="0" borderId="144" xfId="0" applyFont="1" applyBorder="1" applyAlignment="1" applyProtection="1">
      <alignment horizontal="center" vertical="center"/>
    </xf>
    <xf numFmtId="0" fontId="7" fillId="4" borderId="116" xfId="0" applyFont="1" applyFill="1" applyBorder="1" applyAlignment="1" applyProtection="1">
      <alignment horizontal="center" vertical="center" wrapText="1"/>
    </xf>
    <xf numFmtId="0" fontId="7" fillId="4" borderId="117" xfId="0" applyFont="1" applyFill="1" applyBorder="1" applyAlignment="1" applyProtection="1">
      <alignment horizontal="center" vertical="center" wrapText="1"/>
    </xf>
    <xf numFmtId="0" fontId="7" fillId="4" borderId="94" xfId="0" applyFont="1" applyFill="1" applyBorder="1" applyAlignment="1" applyProtection="1">
      <alignment horizontal="center" vertical="center" wrapText="1"/>
    </xf>
    <xf numFmtId="0" fontId="7" fillId="4" borderId="44" xfId="0" applyFont="1" applyFill="1" applyBorder="1" applyAlignment="1" applyProtection="1">
      <alignment horizontal="center" vertical="center" wrapText="1"/>
    </xf>
    <xf numFmtId="0" fontId="4" fillId="12" borderId="130" xfId="0" applyFont="1" applyFill="1" applyBorder="1" applyAlignment="1" applyProtection="1">
      <alignment horizontal="left"/>
      <protection locked="0"/>
    </xf>
    <xf numFmtId="0" fontId="4" fillId="12" borderId="131" xfId="0" applyFont="1" applyFill="1" applyBorder="1" applyAlignment="1" applyProtection="1">
      <alignment horizontal="left"/>
      <protection locked="0"/>
    </xf>
    <xf numFmtId="0" fontId="5" fillId="0" borderId="21"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7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4" fillId="0" borderId="142" xfId="0" applyFont="1" applyFill="1" applyBorder="1" applyAlignment="1" applyProtection="1">
      <alignment horizontal="center" textRotation="90" wrapText="1"/>
    </xf>
    <xf numFmtId="0" fontId="7" fillId="4" borderId="95" xfId="0" applyFont="1" applyFill="1" applyBorder="1" applyAlignment="1" applyProtection="1">
      <alignment horizontal="center" vertical="center" wrapText="1"/>
    </xf>
    <xf numFmtId="0" fontId="7" fillId="4" borderId="51" xfId="0" applyFont="1" applyFill="1" applyBorder="1" applyAlignment="1" applyProtection="1">
      <alignment horizontal="center" vertical="center" wrapText="1"/>
    </xf>
    <xf numFmtId="0" fontId="7" fillId="4" borderId="163" xfId="0" applyFont="1" applyFill="1" applyBorder="1" applyAlignment="1" applyProtection="1">
      <alignment horizontal="center" vertical="center" wrapText="1"/>
    </xf>
    <xf numFmtId="0" fontId="7" fillId="4" borderId="165" xfId="0" applyFont="1" applyFill="1" applyBorder="1" applyAlignment="1" applyProtection="1">
      <alignment horizontal="center" vertical="center" wrapText="1"/>
    </xf>
    <xf numFmtId="0" fontId="7" fillId="4" borderId="24" xfId="0" applyFont="1" applyFill="1" applyBorder="1" applyAlignment="1" applyProtection="1">
      <alignment horizontal="center" vertical="center" wrapText="1"/>
    </xf>
    <xf numFmtId="0" fontId="7" fillId="4" borderId="85" xfId="0" applyFont="1" applyFill="1" applyBorder="1" applyAlignment="1" applyProtection="1">
      <alignment horizontal="center" vertical="center" wrapText="1"/>
    </xf>
    <xf numFmtId="0" fontId="7" fillId="4" borderId="50" xfId="0" applyFont="1" applyFill="1" applyBorder="1" applyAlignment="1" applyProtection="1">
      <alignment horizontal="center" vertical="center" wrapText="1"/>
    </xf>
    <xf numFmtId="0" fontId="4" fillId="27" borderId="50" xfId="0" applyFont="1" applyFill="1" applyBorder="1" applyAlignment="1" applyProtection="1">
      <alignment horizontal="center" vertical="center" wrapText="1"/>
    </xf>
    <xf numFmtId="0" fontId="7" fillId="4" borderId="21" xfId="0" applyFont="1" applyFill="1" applyBorder="1" applyAlignment="1" applyProtection="1">
      <alignment horizontal="center" vertical="center" wrapText="1"/>
    </xf>
    <xf numFmtId="0" fontId="7" fillId="4" borderId="164" xfId="0" applyFont="1" applyFill="1" applyBorder="1" applyAlignment="1" applyProtection="1">
      <alignment horizontal="center" vertical="center" wrapText="1"/>
    </xf>
    <xf numFmtId="0" fontId="7" fillId="4" borderId="72" xfId="0" applyFont="1" applyFill="1" applyBorder="1" applyAlignment="1" applyProtection="1">
      <alignment horizontal="center" vertical="center" wrapText="1"/>
    </xf>
    <xf numFmtId="0" fontId="7" fillId="4" borderId="166" xfId="0" applyFont="1" applyFill="1" applyBorder="1" applyAlignment="1" applyProtection="1">
      <alignment horizontal="center" vertical="center" wrapText="1"/>
    </xf>
    <xf numFmtId="0" fontId="5" fillId="0" borderId="0" xfId="0" applyFont="1" applyAlignment="1">
      <alignment horizontal="center"/>
    </xf>
    <xf numFmtId="0" fontId="5" fillId="0" borderId="21" xfId="0" applyFont="1" applyBorder="1" applyAlignment="1">
      <alignment horizontal="center"/>
    </xf>
    <xf numFmtId="0" fontId="5" fillId="0" borderId="23" xfId="0" applyFont="1" applyBorder="1" applyAlignment="1">
      <alignment horizontal="center"/>
    </xf>
    <xf numFmtId="0" fontId="5" fillId="19" borderId="21" xfId="0" applyFont="1" applyFill="1" applyBorder="1" applyAlignment="1">
      <alignment horizontal="center"/>
    </xf>
    <xf numFmtId="0" fontId="5" fillId="19" borderId="22" xfId="0" applyFont="1" applyFill="1" applyBorder="1" applyAlignment="1">
      <alignment horizontal="center"/>
    </xf>
    <xf numFmtId="0" fontId="5" fillId="19" borderId="23" xfId="0" applyFont="1" applyFill="1" applyBorder="1" applyAlignment="1">
      <alignment horizontal="center"/>
    </xf>
    <xf numFmtId="0" fontId="32" fillId="0" borderId="0" xfId="0" applyFont="1" applyAlignment="1">
      <alignment horizontal="center"/>
    </xf>
    <xf numFmtId="0" fontId="3" fillId="0" borderId="0" xfId="1" applyAlignment="1" applyProtection="1">
      <alignment horizontal="left"/>
    </xf>
    <xf numFmtId="0" fontId="7" fillId="4" borderId="58" xfId="0" applyFont="1" applyFill="1" applyBorder="1" applyAlignment="1" applyProtection="1">
      <alignment horizontal="center" vertical="center" wrapText="1"/>
    </xf>
    <xf numFmtId="0" fontId="21" fillId="4" borderId="44" xfId="0" applyFont="1" applyFill="1" applyBorder="1" applyAlignment="1" applyProtection="1">
      <alignment horizontal="center" vertical="center" wrapText="1"/>
    </xf>
    <xf numFmtId="0" fontId="21" fillId="4" borderId="58" xfId="0" applyFont="1" applyFill="1" applyBorder="1" applyAlignment="1" applyProtection="1">
      <alignment horizontal="center" vertical="center" wrapText="1"/>
    </xf>
    <xf numFmtId="0" fontId="7" fillId="4" borderId="59" xfId="0" applyFont="1" applyFill="1" applyBorder="1" applyAlignment="1" applyProtection="1">
      <alignment horizontal="center" vertical="center" wrapText="1"/>
    </xf>
    <xf numFmtId="0" fontId="4" fillId="12" borderId="30" xfId="0" applyFont="1" applyFill="1" applyBorder="1" applyAlignment="1" applyProtection="1">
      <alignment horizontal="left"/>
      <protection locked="0"/>
    </xf>
    <xf numFmtId="0" fontId="7" fillId="4" borderId="26" xfId="0" applyFont="1" applyFill="1" applyBorder="1" applyAlignment="1" applyProtection="1">
      <alignment horizontal="center" vertical="center" wrapText="1"/>
    </xf>
    <xf numFmtId="0" fontId="7" fillId="4" borderId="0" xfId="0" applyFont="1" applyFill="1" applyBorder="1" applyAlignment="1" applyProtection="1">
      <alignment horizontal="center" vertical="center" wrapText="1"/>
    </xf>
    <xf numFmtId="0" fontId="4" fillId="12" borderId="144" xfId="0" applyFont="1" applyFill="1" applyBorder="1" applyAlignment="1" applyProtection="1">
      <alignment horizontal="left" vertical="center" wrapText="1"/>
      <protection locked="0"/>
    </xf>
    <xf numFmtId="0" fontId="4" fillId="12" borderId="183" xfId="0" applyFont="1" applyFill="1" applyBorder="1" applyAlignment="1" applyProtection="1">
      <alignment horizontal="left" vertical="center" wrapText="1"/>
      <protection locked="0"/>
    </xf>
    <xf numFmtId="0" fontId="4" fillId="12" borderId="35" xfId="0" applyFont="1" applyFill="1" applyBorder="1" applyAlignment="1" applyProtection="1">
      <alignment horizontal="left" vertical="center" wrapText="1"/>
      <protection locked="0"/>
    </xf>
    <xf numFmtId="0" fontId="4" fillId="12" borderId="37" xfId="0" applyFont="1" applyFill="1" applyBorder="1" applyAlignment="1" applyProtection="1">
      <alignment horizontal="left" vertical="center" wrapText="1"/>
      <protection locked="0"/>
    </xf>
    <xf numFmtId="0" fontId="4" fillId="12" borderId="206" xfId="0" applyFont="1" applyFill="1" applyBorder="1" applyAlignment="1" applyProtection="1">
      <alignment horizontal="left" vertical="center" wrapText="1"/>
      <protection locked="0"/>
    </xf>
    <xf numFmtId="0" fontId="4" fillId="12" borderId="202" xfId="0" applyFont="1" applyFill="1" applyBorder="1" applyAlignment="1" applyProtection="1">
      <alignment horizontal="left" vertical="center" wrapText="1"/>
      <protection locked="0"/>
    </xf>
    <xf numFmtId="0" fontId="4" fillId="8" borderId="51" xfId="0" applyFont="1" applyFill="1" applyBorder="1" applyAlignment="1" applyProtection="1">
      <alignment horizontal="center" wrapText="1"/>
    </xf>
    <xf numFmtId="0" fontId="4" fillId="8" borderId="59" xfId="0" applyFont="1" applyFill="1" applyBorder="1" applyAlignment="1" applyProtection="1">
      <alignment horizontal="center" wrapText="1"/>
    </xf>
    <xf numFmtId="0" fontId="4" fillId="27" borderId="56"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7" fillId="4" borderId="204" xfId="0" applyFont="1" applyFill="1" applyBorder="1" applyAlignment="1" applyProtection="1">
      <alignment horizontal="center" vertical="center" wrapText="1"/>
    </xf>
    <xf numFmtId="0" fontId="4" fillId="0" borderId="144" xfId="0" applyFont="1" applyBorder="1" applyAlignment="1" applyProtection="1">
      <alignment horizontal="center"/>
    </xf>
    <xf numFmtId="0" fontId="5" fillId="8" borderId="47" xfId="0" applyFont="1" applyFill="1" applyBorder="1" applyAlignment="1" applyProtection="1">
      <alignment horizontal="center" wrapText="1"/>
    </xf>
    <xf numFmtId="0" fontId="4" fillId="8" borderId="20" xfId="0" applyFont="1" applyFill="1" applyBorder="1" applyAlignment="1" applyProtection="1">
      <alignment horizontal="left" wrapText="1"/>
    </xf>
    <xf numFmtId="0" fontId="4" fillId="8" borderId="62" xfId="0" applyFont="1" applyFill="1" applyBorder="1" applyAlignment="1" applyProtection="1">
      <alignment horizontal="left" wrapText="1"/>
    </xf>
    <xf numFmtId="0" fontId="5" fillId="0" borderId="144" xfId="0" applyFont="1" applyBorder="1" applyAlignment="1">
      <alignment horizontal="center" wrapText="1"/>
    </xf>
    <xf numFmtId="0" fontId="0" fillId="0" borderId="211" xfId="0" applyBorder="1" applyAlignment="1">
      <alignment horizontal="center" wrapText="1"/>
    </xf>
    <xf numFmtId="0" fontId="0" fillId="0" borderId="44" xfId="0" applyBorder="1" applyAlignment="1">
      <alignment horizontal="center" wrapText="1"/>
    </xf>
    <xf numFmtId="0" fontId="0" fillId="0" borderId="139" xfId="0" applyBorder="1" applyAlignment="1">
      <alignment horizontal="center" wrapText="1"/>
    </xf>
    <xf numFmtId="0" fontId="5" fillId="0" borderId="144" xfId="0" applyFont="1" applyBorder="1" applyAlignment="1">
      <alignment horizontal="center" vertical="center" wrapText="1"/>
    </xf>
    <xf numFmtId="0" fontId="0" fillId="0" borderId="35" xfId="0" applyBorder="1" applyAlignment="1">
      <alignment horizontal="left" wrapText="1"/>
    </xf>
    <xf numFmtId="0" fontId="0" fillId="0" borderId="36" xfId="0" applyBorder="1" applyAlignment="1">
      <alignment horizontal="left" wrapText="1"/>
    </xf>
    <xf numFmtId="0" fontId="5" fillId="0" borderId="31" xfId="0" applyFont="1" applyBorder="1" applyAlignment="1">
      <alignment horizontal="center" vertical="center" wrapText="1"/>
    </xf>
    <xf numFmtId="0" fontId="5" fillId="0" borderId="43" xfId="0" applyFont="1" applyBorder="1" applyAlignment="1">
      <alignment horizontal="center" vertical="center" wrapText="1"/>
    </xf>
    <xf numFmtId="0" fontId="10" fillId="3" borderId="26" xfId="0" applyFont="1" applyFill="1" applyBorder="1" applyAlignment="1">
      <alignment horizontal="center"/>
    </xf>
    <xf numFmtId="0" fontId="10" fillId="3" borderId="0" xfId="0" applyFont="1" applyFill="1" applyBorder="1" applyAlignment="1">
      <alignment horizontal="center"/>
    </xf>
    <xf numFmtId="0" fontId="10" fillId="3" borderId="48" xfId="0" applyFont="1" applyFill="1" applyBorder="1" applyAlignment="1">
      <alignment horizontal="center"/>
    </xf>
    <xf numFmtId="0" fontId="10" fillId="3" borderId="104" xfId="0" applyFont="1" applyFill="1" applyBorder="1" applyAlignment="1">
      <alignment horizontal="center"/>
    </xf>
    <xf numFmtId="0" fontId="10" fillId="3" borderId="105" xfId="0" applyFont="1" applyFill="1" applyBorder="1" applyAlignment="1">
      <alignment horizontal="center"/>
    </xf>
    <xf numFmtId="0" fontId="0" fillId="0" borderId="97" xfId="0" applyBorder="1" applyAlignment="1">
      <alignment horizontal="left" wrapText="1"/>
    </xf>
    <xf numFmtId="0" fontId="0" fillId="0" borderId="33" xfId="0" applyBorder="1" applyAlignment="1">
      <alignment horizontal="left" wrapText="1"/>
    </xf>
    <xf numFmtId="0" fontId="0" fillId="0" borderId="97" xfId="0" applyBorder="1" applyAlignment="1">
      <alignment horizontal="center" wrapText="1"/>
    </xf>
    <xf numFmtId="0" fontId="0" fillId="0" borderId="33" xfId="0" applyBorder="1" applyAlignment="1">
      <alignment horizontal="center" wrapText="1"/>
    </xf>
    <xf numFmtId="0" fontId="0" fillId="0" borderId="35" xfId="0" applyBorder="1" applyAlignment="1">
      <alignment horizontal="center" wrapText="1"/>
    </xf>
    <xf numFmtId="0" fontId="0" fillId="0" borderId="36" xfId="0" applyBorder="1" applyAlignment="1">
      <alignment horizontal="center" wrapText="1"/>
    </xf>
    <xf numFmtId="0" fontId="1" fillId="0" borderId="26" xfId="2" applyBorder="1" applyAlignment="1">
      <alignment horizontal="center"/>
    </xf>
    <xf numFmtId="0" fontId="1" fillId="0" borderId="0" xfId="2" applyAlignment="1">
      <alignment horizontal="center"/>
    </xf>
    <xf numFmtId="0" fontId="37" fillId="0" borderId="0" xfId="2" applyFont="1" applyAlignment="1">
      <alignment horizontal="justify" vertical="center" wrapText="1"/>
    </xf>
    <xf numFmtId="0" fontId="41" fillId="16" borderId="81" xfId="2" applyFont="1" applyFill="1" applyBorder="1" applyAlignment="1">
      <alignment horizontal="center" vertical="center" wrapText="1"/>
    </xf>
    <xf numFmtId="0" fontId="41" fillId="16" borderId="82" xfId="2" applyFont="1" applyFill="1" applyBorder="1" applyAlignment="1">
      <alignment horizontal="center" vertical="center" wrapText="1"/>
    </xf>
    <xf numFmtId="0" fontId="37" fillId="0" borderId="73" xfId="2" applyFont="1" applyBorder="1" applyAlignment="1">
      <alignment vertical="center" wrapText="1"/>
    </xf>
    <xf numFmtId="0" fontId="40" fillId="16" borderId="74" xfId="2" applyFont="1" applyFill="1" applyBorder="1" applyAlignment="1">
      <alignment vertical="center" wrapText="1"/>
    </xf>
    <xf numFmtId="0" fontId="40" fillId="16" borderId="75" xfId="2" applyFont="1" applyFill="1" applyBorder="1" applyAlignment="1">
      <alignment vertical="center" wrapText="1"/>
    </xf>
    <xf numFmtId="0" fontId="40" fillId="16" borderId="76" xfId="2" applyFont="1" applyFill="1" applyBorder="1" applyAlignment="1">
      <alignment vertical="center" wrapText="1"/>
    </xf>
    <xf numFmtId="0" fontId="40" fillId="16" borderId="77" xfId="2" applyFont="1" applyFill="1" applyBorder="1" applyAlignment="1">
      <alignment vertical="center" wrapText="1"/>
    </xf>
    <xf numFmtId="0" fontId="40" fillId="16" borderId="0" xfId="2" applyFont="1" applyFill="1" applyBorder="1" applyAlignment="1">
      <alignment vertical="center" wrapText="1"/>
    </xf>
    <xf numFmtId="0" fontId="40" fillId="16" borderId="78" xfId="2" applyFont="1" applyFill="1" applyBorder="1" applyAlignment="1">
      <alignment vertical="center" wrapText="1"/>
    </xf>
    <xf numFmtId="0" fontId="40" fillId="16" borderId="79" xfId="2" applyFont="1" applyFill="1" applyBorder="1" applyAlignment="1">
      <alignment vertical="center" wrapText="1"/>
    </xf>
    <xf numFmtId="0" fontId="40" fillId="16" borderId="73" xfId="2" applyFont="1" applyFill="1" applyBorder="1" applyAlignment="1">
      <alignment vertical="center" wrapText="1"/>
    </xf>
    <xf numFmtId="0" fontId="40" fillId="16" borderId="80" xfId="2" applyFont="1" applyFill="1" applyBorder="1" applyAlignment="1">
      <alignment vertical="center" wrapText="1"/>
    </xf>
    <xf numFmtId="0" fontId="41" fillId="16" borderId="74" xfId="2" applyFont="1" applyFill="1" applyBorder="1" applyAlignment="1">
      <alignment vertical="center" wrapText="1"/>
    </xf>
    <xf numFmtId="0" fontId="41" fillId="16" borderId="75" xfId="2" applyFont="1" applyFill="1" applyBorder="1" applyAlignment="1">
      <alignment vertical="center" wrapText="1"/>
    </xf>
    <xf numFmtId="0" fontId="41" fillId="16" borderId="76" xfId="2" applyFont="1" applyFill="1" applyBorder="1" applyAlignment="1">
      <alignment vertical="center" wrapText="1"/>
    </xf>
    <xf numFmtId="0" fontId="41" fillId="16" borderId="77" xfId="2" applyFont="1" applyFill="1" applyBorder="1" applyAlignment="1">
      <alignment vertical="center" wrapText="1"/>
    </xf>
    <xf numFmtId="0" fontId="41" fillId="16" borderId="0" xfId="2" applyFont="1" applyFill="1" applyBorder="1" applyAlignment="1">
      <alignment vertical="center" wrapText="1"/>
    </xf>
    <xf numFmtId="0" fontId="41" fillId="16" borderId="78" xfId="2" applyFont="1" applyFill="1" applyBorder="1" applyAlignment="1">
      <alignment vertical="center" wrapText="1"/>
    </xf>
    <xf numFmtId="0" fontId="41" fillId="16" borderId="79" xfId="2" applyFont="1" applyFill="1" applyBorder="1" applyAlignment="1">
      <alignment vertical="center" wrapText="1"/>
    </xf>
    <xf numFmtId="0" fontId="41" fillId="16" borderId="73" xfId="2" applyFont="1" applyFill="1" applyBorder="1" applyAlignment="1">
      <alignment vertical="center" wrapText="1"/>
    </xf>
    <xf numFmtId="0" fontId="41" fillId="16" borderId="80" xfId="2" applyFont="1" applyFill="1" applyBorder="1" applyAlignment="1">
      <alignment vertical="center" wrapText="1"/>
    </xf>
    <xf numFmtId="0" fontId="41" fillId="16" borderId="81" xfId="2" applyFont="1" applyFill="1" applyBorder="1" applyAlignment="1">
      <alignment vertical="center" wrapText="1"/>
    </xf>
    <xf numFmtId="0" fontId="41" fillId="16" borderId="82" xfId="2" applyFont="1" applyFill="1" applyBorder="1" applyAlignment="1">
      <alignment vertical="center" wrapText="1"/>
    </xf>
    <xf numFmtId="0" fontId="41" fillId="16" borderId="83" xfId="2" applyFont="1" applyFill="1" applyBorder="1" applyAlignment="1">
      <alignment vertical="center" wrapText="1"/>
    </xf>
    <xf numFmtId="0" fontId="40" fillId="16" borderId="81" xfId="2" applyFont="1" applyFill="1" applyBorder="1" applyAlignment="1">
      <alignment vertical="center" wrapText="1"/>
    </xf>
    <xf numFmtId="0" fontId="40" fillId="16" borderId="82" xfId="2" applyFont="1" applyFill="1" applyBorder="1" applyAlignment="1">
      <alignment vertical="center" wrapText="1"/>
    </xf>
    <xf numFmtId="0" fontId="40" fillId="16" borderId="83" xfId="2" applyFont="1" applyFill="1" applyBorder="1" applyAlignment="1">
      <alignment vertical="center" wrapText="1"/>
    </xf>
    <xf numFmtId="0" fontId="40" fillId="16" borderId="81" xfId="2" applyFont="1" applyFill="1" applyBorder="1" applyAlignment="1">
      <alignment horizontal="center" vertical="center" wrapText="1"/>
    </xf>
    <xf numFmtId="0" fontId="40" fillId="16" borderId="82" xfId="2" applyFont="1" applyFill="1" applyBorder="1" applyAlignment="1">
      <alignment horizontal="center" vertical="center" wrapText="1"/>
    </xf>
    <xf numFmtId="0" fontId="4" fillId="7" borderId="97" xfId="0" applyFont="1" applyFill="1" applyBorder="1" applyAlignment="1">
      <alignment horizontal="left" wrapText="1"/>
    </xf>
    <xf numFmtId="0" fontId="12" fillId="3" borderId="15" xfId="0" applyFont="1" applyFill="1" applyBorder="1" applyAlignment="1">
      <alignment horizontal="center"/>
    </xf>
    <xf numFmtId="0" fontId="12" fillId="3" borderId="16" xfId="0" applyFont="1" applyFill="1" applyBorder="1" applyAlignment="1">
      <alignment horizontal="center"/>
    </xf>
    <xf numFmtId="0" fontId="12" fillId="3" borderId="17" xfId="0" applyFont="1" applyFill="1" applyBorder="1" applyAlignment="1">
      <alignment horizontal="center"/>
    </xf>
    <xf numFmtId="0" fontId="4" fillId="5" borderId="97" xfId="0" applyFont="1" applyFill="1" applyBorder="1" applyAlignment="1">
      <alignment horizontal="left" wrapText="1"/>
    </xf>
    <xf numFmtId="0" fontId="4" fillId="6" borderId="97" xfId="0" applyFont="1" applyFill="1" applyBorder="1" applyAlignment="1">
      <alignment horizontal="left" wrapText="1"/>
    </xf>
    <xf numFmtId="0" fontId="4" fillId="2" borderId="97" xfId="0" applyFont="1" applyFill="1" applyBorder="1" applyAlignment="1">
      <alignment horizontal="left" wrapText="1"/>
    </xf>
    <xf numFmtId="0" fontId="1" fillId="0" borderId="0" xfId="0" applyFont="1" applyAlignment="1">
      <alignment horizontal="center" textRotation="90" wrapText="1"/>
    </xf>
    <xf numFmtId="0" fontId="0" fillId="0" borderId="0" xfId="0" applyAlignment="1">
      <alignment horizontal="center" textRotation="90" wrapText="1"/>
    </xf>
    <xf numFmtId="0" fontId="1" fillId="8" borderId="0" xfId="0" applyFont="1" applyFill="1" applyAlignment="1">
      <alignment horizontal="center" vertical="center" textRotation="90"/>
    </xf>
    <xf numFmtId="0" fontId="0" fillId="8" borderId="0" xfId="0" applyFill="1" applyAlignment="1">
      <alignment horizontal="center" vertical="center" textRotation="90"/>
    </xf>
    <xf numFmtId="0" fontId="1" fillId="0" borderId="0" xfId="0" applyFont="1" applyBorder="1" applyAlignment="1">
      <alignment horizontal="center" textRotation="90" wrapText="1"/>
    </xf>
    <xf numFmtId="0" fontId="29" fillId="0" borderId="0" xfId="0" applyFont="1" applyAlignment="1">
      <alignment horizontal="left" vertical="center" wrapText="1"/>
    </xf>
    <xf numFmtId="0" fontId="29" fillId="0" borderId="0" xfId="0" applyFont="1" applyBorder="1" applyAlignment="1">
      <alignment horizontal="left" vertical="center" wrapText="1"/>
    </xf>
    <xf numFmtId="0" fontId="29" fillId="0" borderId="0" xfId="0" applyFont="1" applyAlignment="1">
      <alignment horizontal="center" vertical="center" wrapText="1"/>
    </xf>
    <xf numFmtId="0" fontId="10" fillId="3" borderId="27" xfId="0" applyFont="1" applyFill="1" applyBorder="1" applyAlignment="1">
      <alignment horizontal="center"/>
    </xf>
    <xf numFmtId="0" fontId="10" fillId="3" borderId="107" xfId="0" applyFont="1" applyFill="1" applyBorder="1" applyAlignment="1">
      <alignment horizontal="center"/>
    </xf>
    <xf numFmtId="0" fontId="26" fillId="0" borderId="68" xfId="0" applyFont="1" applyBorder="1" applyAlignment="1">
      <alignment horizontal="center" vertical="center" wrapText="1"/>
    </xf>
    <xf numFmtId="0" fontId="29" fillId="0" borderId="69" xfId="0" applyFont="1" applyBorder="1" applyAlignment="1">
      <alignment horizontal="center" vertical="center" wrapText="1"/>
    </xf>
  </cellXfs>
  <cellStyles count="4">
    <cellStyle name="Hyperlink" xfId="1" builtinId="8"/>
    <cellStyle name="Normal" xfId="0" builtinId="0"/>
    <cellStyle name="Normal 2" xfId="2" xr:uid="{00000000-0005-0000-0000-000002000000}"/>
    <cellStyle name="Percent" xfId="3" builtinId="5"/>
  </cellStyles>
  <dxfs count="739">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dxf>
    <dxf>
      <font>
        <color rgb="FF9C0006"/>
      </font>
      <fill>
        <patternFill>
          <bgColor rgb="FFFFC7CE"/>
        </patternFill>
      </fill>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ill>
        <patternFill>
          <bgColor rgb="FFFFCCCC"/>
        </patternFill>
      </fill>
    </dxf>
    <dxf>
      <fill>
        <patternFill patternType="none">
          <bgColor auto="1"/>
        </patternFill>
      </fill>
    </dxf>
    <dxf>
      <fill>
        <patternFill>
          <bgColor rgb="FFFFFFCC"/>
        </patternFill>
      </fill>
    </dxf>
    <dxf>
      <fill>
        <patternFill patternType="gray125">
          <bgColor auto="1"/>
        </patternFill>
      </fill>
    </dxf>
    <dxf>
      <font>
        <color theme="0" tint="-0.499984740745262"/>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CCC"/>
        </patternFill>
      </fill>
    </dxf>
    <dxf>
      <fill>
        <patternFill>
          <bgColor rgb="FFFFFFCC"/>
        </patternFill>
      </fill>
    </dxf>
    <dxf>
      <font>
        <color theme="0" tint="-0.24994659260841701"/>
      </font>
      <fill>
        <patternFill patternType="none">
          <bgColor auto="1"/>
        </patternFill>
      </fill>
    </dxf>
    <dxf>
      <font>
        <color rgb="FF9C0006"/>
      </font>
      <fill>
        <patternFill>
          <bgColor rgb="FFFFC7CE"/>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border>
        <left style="thin">
          <color auto="1"/>
        </left>
        <right style="thin">
          <color auto="1"/>
        </right>
        <top style="thin">
          <color auto="1"/>
        </top>
        <bottom style="thin">
          <color auto="1"/>
        </bottom>
      </border>
    </dxf>
    <dxf>
      <fill>
        <patternFill>
          <bgColor theme="0" tint="-4.9989318521683403E-2"/>
        </patternFill>
      </fill>
    </dxf>
    <dxf>
      <fill>
        <patternFill patternType="solid">
          <bgColor rgb="FFFFFFCC"/>
        </patternFill>
      </fill>
    </dxf>
    <dxf>
      <fill>
        <patternFill>
          <bgColor rgb="FFFFCCCC"/>
        </patternFill>
      </fill>
    </dxf>
    <dxf>
      <fill>
        <patternFill>
          <bgColor rgb="FFFFCCCC"/>
        </patternFill>
      </fill>
    </dxf>
    <dxf>
      <fill>
        <patternFill patternType="solid">
          <bgColor rgb="FFFFFFCC"/>
        </patternFill>
      </fill>
    </dxf>
    <dxf>
      <fill>
        <patternFill patternType="solid">
          <bgColor rgb="FFFFFFCC"/>
        </patternFill>
      </fill>
    </dxf>
    <dxf>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dxf>
    <dxf>
      <font>
        <color rgb="FF9C0006"/>
      </font>
      <fill>
        <patternFill>
          <bgColor rgb="FFFFC7CE"/>
        </patternFill>
      </fill>
    </dxf>
    <dxf>
      <fill>
        <patternFill>
          <bgColor rgb="FFFFCCCC"/>
        </patternFill>
      </fill>
    </dxf>
    <dxf>
      <fill>
        <patternFill patternType="none">
          <bgColor auto="1"/>
        </patternFill>
      </fill>
    </dxf>
    <dxf>
      <fill>
        <patternFill>
          <bgColor rgb="FFFFFFCC"/>
        </patternFill>
      </fill>
    </dxf>
    <dxf>
      <fill>
        <patternFill patternType="gray125">
          <bgColor auto="1"/>
        </patternFill>
      </fill>
    </dxf>
    <dxf>
      <font>
        <color theme="0" tint="-0.499984740745262"/>
      </font>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tint="-0.24994659260841701"/>
      </font>
      <fill>
        <patternFill patternType="none">
          <bgColor auto="1"/>
        </patternFill>
      </fill>
    </dxf>
    <dxf>
      <fill>
        <patternFill>
          <bgColor rgb="FFFFFFCC"/>
        </patternFill>
      </fill>
    </dxf>
    <dxf>
      <fill>
        <patternFill>
          <bgColor rgb="FFFFCCCC"/>
        </patternFill>
      </fill>
    </dxf>
    <dxf>
      <font>
        <color rgb="FF9C0006"/>
      </font>
      <fill>
        <patternFill>
          <bgColor rgb="FFFFC7CE"/>
        </patternFill>
      </fill>
    </dxf>
    <dxf>
      <font>
        <color rgb="FF006100"/>
      </font>
      <fill>
        <patternFill>
          <bgColor rgb="FFC6EFCE"/>
        </patternFill>
      </fill>
    </dxf>
    <dxf>
      <font>
        <color theme="0"/>
      </font>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bgColor rgb="FFFF0000"/>
        </patternFill>
      </fill>
    </dxf>
    <dxf>
      <font>
        <color rgb="FF006100"/>
      </font>
      <fill>
        <patternFill>
          <bgColor rgb="FFC6EFCE"/>
        </patternFill>
      </fill>
    </dxf>
    <dxf>
      <fill>
        <patternFill>
          <bgColor theme="0" tint="-4.9989318521683403E-2"/>
        </patternFill>
      </fill>
    </dxf>
    <dxf>
      <fill>
        <patternFill patternType="solid">
          <bgColor rgb="FFFFFFCC"/>
        </patternFill>
      </fill>
    </dxf>
    <dxf>
      <fill>
        <patternFill>
          <bgColor rgb="FFFFCCCC"/>
        </patternFill>
      </fill>
    </dxf>
    <dxf>
      <fill>
        <patternFill patternType="solid">
          <bgColor rgb="FFFFFFCC"/>
        </patternFill>
      </fill>
    </dxf>
    <dxf>
      <fill>
        <patternFill>
          <bgColor rgb="FFFFCCCC"/>
        </patternFill>
      </fill>
    </dxf>
    <dxf>
      <font>
        <color theme="0" tint="-0.499984740745262"/>
      </font>
    </dxf>
    <dxf>
      <fill>
        <patternFill>
          <bgColor rgb="FFFFFFCC"/>
        </patternFill>
      </fill>
    </dxf>
    <dxf>
      <fill>
        <patternFill>
          <bgColor rgb="FFFFCCC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CC"/>
        </patternFill>
      </fill>
    </dxf>
    <dxf>
      <fill>
        <patternFill>
          <bgColor rgb="FFFFCCCC"/>
        </patternFill>
      </fill>
    </dxf>
    <dxf>
      <fill>
        <patternFill>
          <bgColor rgb="FFFFFFCC"/>
        </patternFill>
      </fill>
    </dxf>
    <dxf>
      <fill>
        <patternFill>
          <bgColor rgb="FFFFCCCC"/>
        </patternFill>
      </fill>
    </dxf>
    <dxf>
      <fill>
        <patternFill>
          <bgColor rgb="FFFFCCCC"/>
        </patternFill>
      </fill>
    </dxf>
    <dxf>
      <fill>
        <patternFill>
          <bgColor rgb="FFFFFFCC"/>
        </patternFill>
      </fill>
    </dxf>
    <dxf>
      <fill>
        <patternFill>
          <bgColor rgb="FFFFCCCC"/>
        </patternFill>
      </fill>
    </dxf>
    <dxf>
      <fill>
        <patternFill>
          <bgColor rgb="FFFFFFCC"/>
        </patternFill>
      </fill>
    </dxf>
    <dxf>
      <fill>
        <patternFill>
          <bgColor rgb="FFFFCCCC"/>
        </patternFill>
      </fill>
    </dxf>
    <dxf>
      <fill>
        <patternFill>
          <bgColor rgb="FFFFFFCC"/>
        </patternFill>
      </fill>
    </dxf>
    <dxf>
      <fill>
        <patternFill patternType="gray125"/>
      </fill>
    </dxf>
    <dxf>
      <font>
        <color rgb="FF9C0006"/>
      </font>
      <fill>
        <patternFill>
          <bgColor rgb="FFFFC7CE"/>
        </patternFill>
      </fill>
    </dxf>
    <dxf>
      <font>
        <color rgb="FF006100"/>
      </font>
      <fill>
        <patternFill>
          <bgColor rgb="FFC6EFCE"/>
        </patternFill>
      </fill>
    </dxf>
    <dxf>
      <font>
        <color theme="0" tint="-0.24994659260841701"/>
      </font>
      <fill>
        <patternFill patternType="gray125"/>
      </fill>
    </dxf>
    <dxf>
      <font>
        <color theme="0" tint="-0.34998626667073579"/>
      </font>
    </dxf>
    <dxf>
      <font>
        <color rgb="FF9C0006"/>
      </font>
      <fill>
        <patternFill>
          <bgColor rgb="FFFFC7CE"/>
        </patternFill>
      </fill>
    </dxf>
    <dxf>
      <font>
        <color rgb="FF006100"/>
      </font>
      <fill>
        <patternFill>
          <bgColor rgb="FFC6EFCE"/>
        </patternFill>
      </fill>
    </dxf>
    <dxf>
      <font>
        <color theme="1" tint="0.499984740745262"/>
      </font>
      <fill>
        <patternFill>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CC"/>
        </patternFill>
      </fill>
    </dxf>
    <dxf>
      <fill>
        <patternFill>
          <bgColor rgb="FFFFCCCC"/>
        </patternFill>
      </fill>
    </dxf>
    <dxf>
      <font>
        <color rgb="FFFF0000"/>
      </font>
    </dxf>
    <dxf>
      <fill>
        <patternFill>
          <bgColor rgb="FFFFFFCC"/>
        </patternFill>
      </fill>
    </dxf>
    <dxf>
      <fill>
        <patternFill>
          <bgColor rgb="FFFFCCC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CC"/>
        </patternFill>
      </fill>
    </dxf>
    <dxf>
      <fill>
        <patternFill>
          <bgColor rgb="FFFFCCCC"/>
        </patternFill>
      </fill>
    </dxf>
    <dxf>
      <fill>
        <patternFill>
          <bgColor rgb="FFFFCCCC"/>
        </patternFill>
      </fill>
    </dxf>
    <dxf>
      <fill>
        <patternFill>
          <bgColor rgb="FFFFFFCC"/>
        </patternFill>
      </fill>
    </dxf>
    <dxf>
      <fill>
        <patternFill>
          <bgColor rgb="FFFFCCCC"/>
        </patternFill>
      </fill>
    </dxf>
    <dxf>
      <fill>
        <patternFill>
          <bgColor rgb="FFFFFFCC"/>
        </patternFill>
      </fill>
    </dxf>
    <dxf>
      <fill>
        <patternFill>
          <bgColor rgb="FFFFCCCC"/>
        </patternFill>
      </fill>
    </dxf>
    <dxf>
      <fill>
        <patternFill>
          <bgColor rgb="FFFFFFCC"/>
        </patternFill>
      </fill>
    </dxf>
    <dxf>
      <fill>
        <patternFill>
          <bgColor rgb="FFFFCCCC"/>
        </patternFill>
      </fill>
    </dxf>
    <dxf>
      <fill>
        <patternFill>
          <bgColor rgb="FFFFFFCC"/>
        </patternFill>
      </fill>
    </dxf>
    <dxf>
      <fill>
        <patternFill patternType="gray125"/>
      </fill>
    </dxf>
    <dxf>
      <font>
        <color theme="0" tint="-0.24994659260841701"/>
      </font>
      <fill>
        <patternFill patternType="gray125"/>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0.24994659260841701"/>
        </patternFill>
      </fill>
    </dxf>
    <dxf>
      <font>
        <color theme="0"/>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CC"/>
        </patternFill>
      </fill>
    </dxf>
    <dxf>
      <fill>
        <patternFill>
          <bgColor rgb="FFFFCCCC"/>
        </patternFill>
      </fill>
    </dxf>
    <dxf>
      <font>
        <color rgb="FF6440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ill>
        <patternFill>
          <bgColor rgb="FFFFFFCC"/>
        </patternFill>
      </fill>
    </dxf>
    <dxf>
      <fill>
        <patternFill>
          <bgColor rgb="FFFFCCCC"/>
        </patternFill>
      </fill>
    </dxf>
    <dxf>
      <fill>
        <patternFill>
          <bgColor rgb="FFFFFFCC"/>
        </patternFill>
      </fill>
    </dxf>
    <dxf>
      <fill>
        <patternFill>
          <bgColor rgb="FFFFCCCC"/>
        </patternFill>
      </fill>
    </dxf>
    <dxf>
      <font>
        <color rgb="FFFF0000"/>
      </font>
    </dxf>
    <dxf>
      <fill>
        <patternFill>
          <bgColor rgb="FFFFFFCC"/>
        </patternFill>
      </fill>
    </dxf>
    <dxf>
      <fill>
        <patternFill>
          <bgColor rgb="FFFFCCCC"/>
        </patternFill>
      </fill>
    </dxf>
    <dxf>
      <fill>
        <patternFill>
          <bgColor rgb="FFFFFFCC"/>
        </patternFill>
      </fill>
    </dxf>
    <dxf>
      <fill>
        <patternFill>
          <bgColor rgb="FFFFCCCC"/>
        </patternFill>
      </fill>
    </dxf>
    <dxf>
      <font>
        <color rgb="FFFF0000"/>
      </font>
    </dxf>
    <dxf>
      <fill>
        <patternFill>
          <bgColor rgb="FFFFFFCC"/>
        </patternFill>
      </fill>
    </dxf>
    <dxf>
      <fill>
        <patternFill>
          <bgColor rgb="FFFFCCCC"/>
        </patternFill>
      </fill>
    </dxf>
    <dxf>
      <fill>
        <patternFill>
          <bgColor rgb="FFFFCCCC"/>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CCC"/>
        </patternFill>
      </fill>
    </dxf>
    <dxf>
      <font>
        <color rgb="FF9C0006"/>
      </font>
      <fill>
        <patternFill>
          <bgColor rgb="FFFFCCCC"/>
        </patternFill>
      </fill>
    </dxf>
    <dxf>
      <font>
        <color rgb="FF9C0006"/>
      </font>
      <fill>
        <patternFill>
          <bgColor rgb="FFFFCCCC"/>
        </patternFill>
      </fill>
    </dxf>
    <dxf>
      <font>
        <color rgb="FF9C0006"/>
      </font>
      <fill>
        <patternFill>
          <bgColor rgb="FFFFCCCC"/>
        </patternFill>
      </fill>
    </dxf>
    <dxf>
      <font>
        <color rgb="FF9C0006"/>
      </font>
      <fill>
        <patternFill>
          <bgColor rgb="FFFFCCCC"/>
        </patternFill>
      </fill>
    </dxf>
    <dxf>
      <font>
        <color rgb="FF9C0006"/>
      </font>
      <fill>
        <patternFill>
          <bgColor rgb="FFFFCCCC"/>
        </patternFill>
      </fill>
    </dxf>
    <dxf>
      <font>
        <color rgb="FF9C0006"/>
      </font>
      <fill>
        <patternFill>
          <bgColor rgb="FFFFCCCC"/>
        </patternFill>
      </fill>
    </dxf>
    <dxf>
      <font>
        <color rgb="FF9C0006"/>
      </font>
      <fill>
        <patternFill>
          <bgColor rgb="FFFFCCCC"/>
        </patternFill>
      </fill>
    </dxf>
    <dxf>
      <font>
        <color rgb="FF9C0006"/>
      </font>
      <fill>
        <patternFill>
          <bgColor rgb="FFFFCCCC"/>
        </patternFill>
      </fill>
    </dxf>
    <dxf>
      <font>
        <color rgb="FF9C0006"/>
      </font>
      <fill>
        <patternFill>
          <bgColor rgb="FFFFCCCC"/>
        </patternFill>
      </fill>
    </dxf>
    <dxf>
      <font>
        <color rgb="FF9C0006"/>
      </font>
      <fill>
        <patternFill>
          <bgColor rgb="FFFFCCCC"/>
        </patternFill>
      </fill>
    </dxf>
    <dxf>
      <font>
        <color rgb="FF9C0006"/>
      </font>
      <fill>
        <patternFill>
          <bgColor rgb="FFFFCCCC"/>
        </patternFill>
      </fill>
    </dxf>
    <dxf>
      <font>
        <color rgb="FF9C0006"/>
      </font>
      <fill>
        <patternFill>
          <bgColor rgb="FFFFCCCC"/>
        </patternFill>
      </fill>
    </dxf>
    <dxf>
      <font>
        <color rgb="FF9C0006"/>
      </font>
      <fill>
        <patternFill>
          <bgColor rgb="FFFFCCCC"/>
        </patternFill>
      </fill>
    </dxf>
    <dxf>
      <font>
        <color rgb="FF9C0006"/>
      </font>
      <fill>
        <patternFill>
          <bgColor rgb="FFFFC7CE"/>
        </patternFill>
      </fill>
    </dxf>
    <dxf>
      <font>
        <color rgb="FF9C0006"/>
      </font>
      <fill>
        <patternFill>
          <bgColor rgb="FFFFCCCC"/>
        </patternFill>
      </fill>
    </dxf>
    <dxf>
      <font>
        <color rgb="FF9C0006"/>
      </font>
      <fill>
        <patternFill>
          <bgColor rgb="FFFFCCCC"/>
        </patternFill>
      </fill>
    </dxf>
    <dxf>
      <font>
        <color rgb="FF9C0006"/>
      </font>
      <fill>
        <patternFill>
          <bgColor rgb="FFFFCCCC"/>
        </patternFill>
      </fill>
    </dxf>
    <dxf>
      <font>
        <color rgb="FF9C0006"/>
      </font>
      <fill>
        <patternFill>
          <bgColor rgb="FFFFC7CE"/>
        </patternFill>
      </fill>
    </dxf>
    <dxf>
      <font>
        <color rgb="FF9C0006"/>
      </font>
      <fill>
        <patternFill>
          <bgColor rgb="FFFFCCCC"/>
        </patternFill>
      </fill>
    </dxf>
    <dxf>
      <fill>
        <patternFill>
          <bgColor rgb="FFFFFFCC"/>
        </patternFill>
      </fill>
    </dxf>
    <dxf>
      <fill>
        <patternFill>
          <bgColor rgb="FFFFCCCC"/>
        </patternFill>
      </fill>
    </dxf>
    <dxf>
      <fill>
        <patternFill>
          <bgColor rgb="FFFFFFCC"/>
        </patternFill>
      </fill>
    </dxf>
    <dxf>
      <fill>
        <patternFill>
          <bgColor rgb="FFFFCCCC"/>
        </patternFill>
      </fill>
    </dxf>
    <dxf>
      <font>
        <color rgb="FFFF0000"/>
      </font>
    </dxf>
    <dxf>
      <font>
        <color rgb="FF9C0006"/>
      </font>
      <fill>
        <patternFill>
          <bgColor rgb="FFFFCCCC"/>
        </patternFill>
      </fill>
    </dxf>
    <dxf>
      <font>
        <color rgb="FF9C0006"/>
      </font>
      <fill>
        <patternFill>
          <bgColor rgb="FFFFCCCC"/>
        </patternFill>
      </fill>
    </dxf>
    <dxf>
      <font>
        <color rgb="FF9C0006"/>
      </font>
      <fill>
        <patternFill>
          <bgColor rgb="FFFFCCCC"/>
        </patternFill>
      </fill>
    </dxf>
    <dxf>
      <font>
        <color rgb="FF9C0006"/>
      </font>
      <fill>
        <patternFill>
          <bgColor rgb="FFFFC7CE"/>
        </patternFill>
      </fill>
      <border>
        <left style="thin">
          <color auto="1"/>
        </left>
        <right style="thin">
          <color auto="1"/>
        </right>
        <top style="thin">
          <color auto="1"/>
        </top>
        <bottom style="thin">
          <color auto="1"/>
        </bottom>
      </border>
    </dxf>
    <dxf>
      <fill>
        <patternFill>
          <bgColor rgb="FFFFFFCC"/>
        </patternFill>
      </fill>
    </dxf>
    <dxf>
      <fill>
        <patternFill>
          <bgColor rgb="FFFFCCC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CC"/>
        </patternFill>
      </fill>
    </dxf>
    <dxf>
      <fill>
        <patternFill>
          <bgColor rgb="FFFFCCCC"/>
        </patternFill>
      </fill>
    </dxf>
    <dxf>
      <font>
        <color auto="1"/>
      </font>
      <fill>
        <patternFill>
          <bgColor rgb="FFFFFFCC"/>
        </patternFill>
      </fill>
    </dxf>
    <dxf>
      <fill>
        <patternFill>
          <bgColor rgb="FFFFCCCC"/>
        </patternFill>
      </fill>
    </dxf>
    <dxf>
      <font>
        <color rgb="FFFF0000"/>
      </font>
    </dxf>
    <dxf>
      <font>
        <color rgb="FF9C0006"/>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border>
        <left style="thin">
          <color auto="1"/>
        </left>
        <right style="thin">
          <color auto="1"/>
        </right>
        <top style="thin">
          <color auto="1"/>
        </top>
        <bottom style="thin">
          <color auto="1"/>
        </bottom>
      </border>
    </dxf>
    <dxf>
      <fill>
        <patternFill>
          <bgColor rgb="FFFFFFCC"/>
        </patternFill>
      </fill>
    </dxf>
    <dxf>
      <fill>
        <patternFill>
          <bgColor theme="8" tint="0.79998168889431442"/>
        </patternFill>
      </fill>
    </dxf>
    <dxf>
      <border>
        <right/>
        <vertical/>
        <horizontal/>
      </border>
    </dxf>
    <dxf>
      <font>
        <color theme="8" tint="0.59996337778862885"/>
      </font>
      <border>
        <left style="thin">
          <color auto="1"/>
        </left>
        <right style="thin">
          <color auto="1"/>
        </right>
      </border>
    </dxf>
    <dxf>
      <fill>
        <patternFill>
          <bgColor theme="8" tint="0.79998168889431442"/>
        </patternFill>
      </fill>
    </dxf>
    <dxf>
      <border>
        <right/>
        <vertical/>
        <horizontal/>
      </border>
    </dxf>
    <dxf>
      <font>
        <color theme="8" tint="0.59996337778862885"/>
      </font>
      <border>
        <left style="thin">
          <color auto="1"/>
        </left>
        <right style="thin">
          <color auto="1"/>
        </right>
      </border>
    </dxf>
    <dxf>
      <fill>
        <patternFill>
          <bgColor theme="8" tint="0.79998168889431442"/>
        </patternFill>
      </fill>
    </dxf>
    <dxf>
      <fill>
        <patternFill>
          <bgColor rgb="FFFFCCCC"/>
        </patternFill>
      </fill>
    </dxf>
    <dxf>
      <fill>
        <patternFill patternType="gray125"/>
      </fill>
    </dxf>
    <dxf>
      <fill>
        <patternFill>
          <bgColor rgb="FFFFFFCC"/>
        </patternFill>
      </fill>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1" tint="0.499984740745262"/>
      </font>
      <fill>
        <patternFill>
          <bgColor theme="0" tint="-0.24994659260841701"/>
        </patternFill>
      </fill>
    </dxf>
    <dxf>
      <fill>
        <patternFill>
          <bgColor rgb="FFFFFFCC"/>
        </patternFill>
      </fill>
    </dxf>
    <dxf>
      <fill>
        <patternFill>
          <bgColor rgb="FFFFCCCC"/>
        </patternFill>
      </fill>
    </dxf>
    <dxf>
      <font>
        <color theme="0"/>
      </font>
      <fill>
        <patternFill>
          <bgColor theme="0"/>
        </patternFill>
      </fill>
      <border>
        <left/>
        <right/>
        <top/>
        <bottom/>
        <vertical/>
        <horizontal/>
      </border>
    </dxf>
    <dxf>
      <fill>
        <patternFill>
          <bgColor rgb="FFFFCCCC"/>
        </patternFill>
      </fill>
    </dxf>
    <dxf>
      <fill>
        <patternFill>
          <bgColor rgb="FFFFFFCC"/>
        </patternFill>
      </fill>
    </dxf>
    <dxf>
      <font>
        <color rgb="FF9C0006"/>
      </font>
      <fill>
        <patternFill>
          <bgColor rgb="FFFFC7CE"/>
        </patternFill>
      </fill>
    </dxf>
    <dxf>
      <fill>
        <patternFill>
          <bgColor rgb="FFFFCCCC"/>
        </patternFill>
      </fill>
    </dxf>
    <dxf>
      <fill>
        <patternFill>
          <bgColor rgb="FFFFFFCC"/>
        </patternFill>
      </fill>
    </dxf>
    <dxf>
      <fill>
        <patternFill>
          <bgColor rgb="FFFFFFCC"/>
        </patternFill>
      </fill>
    </dxf>
    <dxf>
      <font>
        <b val="0"/>
        <i val="0"/>
        <color rgb="FF9C0006"/>
      </font>
      <fill>
        <patternFill>
          <bgColor rgb="FFFFC7CE"/>
        </patternFill>
      </fill>
    </dxf>
    <dxf>
      <font>
        <b/>
        <i val="0"/>
        <color rgb="FF9C0006"/>
      </font>
      <fill>
        <patternFill>
          <bgColor rgb="FFFFC7CE"/>
        </patternFill>
      </fill>
    </dxf>
    <dxf>
      <fill>
        <patternFill>
          <bgColor rgb="FFFFFFCC"/>
        </patternFill>
      </fill>
    </dxf>
    <dxf>
      <font>
        <b val="0"/>
        <i val="0"/>
        <color rgb="FF9C0006"/>
      </font>
      <fill>
        <patternFill>
          <bgColor rgb="FFFFC7CE"/>
        </patternFill>
      </fill>
    </dxf>
    <dxf>
      <fill>
        <patternFill>
          <bgColor rgb="FFFFFFCC"/>
        </patternFill>
      </fill>
    </dxf>
    <dxf>
      <font>
        <color theme="0"/>
      </font>
    </dxf>
    <dxf>
      <font>
        <color rgb="FF9C0006"/>
      </font>
      <fill>
        <patternFill>
          <bgColor rgb="FFFFC7CE"/>
        </patternFill>
      </fill>
    </dxf>
    <dxf>
      <font>
        <color rgb="FF9C0006"/>
      </font>
      <fill>
        <patternFill>
          <bgColor rgb="FFFFC7CE"/>
        </patternFill>
      </fill>
    </dxf>
    <dxf>
      <fill>
        <patternFill>
          <bgColor rgb="FFFFFFCC"/>
        </patternFill>
      </fill>
    </dxf>
    <dxf>
      <font>
        <b/>
        <i val="0"/>
        <color rgb="FF9C0006"/>
      </font>
      <fill>
        <patternFill>
          <bgColor rgb="FFFFC7CE"/>
        </patternFill>
      </fill>
    </dxf>
    <dxf>
      <font>
        <b/>
        <i val="0"/>
        <color rgb="FF9C0006"/>
      </font>
      <fill>
        <patternFill>
          <bgColor rgb="FFFFC7CE"/>
        </patternFill>
      </fill>
    </dxf>
    <dxf>
      <fill>
        <patternFill>
          <bgColor rgb="FFFFFFCC"/>
        </patternFill>
      </fill>
    </dxf>
    <dxf>
      <font>
        <color theme="0"/>
      </font>
    </dxf>
    <dxf>
      <fill>
        <patternFill>
          <bgColor rgb="FFFFFF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ill>
        <patternFill patternType="gray125">
          <bgColor auto="1"/>
        </patternFill>
      </fill>
    </dxf>
    <dxf>
      <fill>
        <patternFill patternType="none">
          <bgColor auto="1"/>
        </patternFill>
      </fill>
    </dxf>
    <dxf>
      <fill>
        <patternFill>
          <bgColor rgb="FFFFCCCC"/>
        </patternFill>
      </fill>
    </dxf>
    <dxf>
      <fill>
        <patternFill>
          <bgColor rgb="FFFFFFCC"/>
        </patternFill>
      </fill>
    </dxf>
    <dxf>
      <fill>
        <patternFill patternType="gray125">
          <bgColor auto="1"/>
        </patternFill>
      </fill>
    </dxf>
    <dxf>
      <fill>
        <patternFill>
          <bgColor rgb="FFFFFFCC"/>
        </patternFill>
      </fill>
    </dxf>
    <dxf>
      <fill>
        <patternFill patternType="none">
          <bgColor auto="1"/>
        </patternFill>
      </fill>
    </dxf>
    <dxf>
      <fill>
        <patternFill>
          <bgColor rgb="FFFFCCCC"/>
        </patternFill>
      </fill>
    </dxf>
    <dxf>
      <fill>
        <patternFill patternType="gray125">
          <bgColor auto="1"/>
        </patternFill>
      </fill>
    </dxf>
    <dxf>
      <fill>
        <patternFill>
          <bgColor rgb="FFFFFFCC"/>
        </patternFill>
      </fill>
    </dxf>
    <dxf>
      <fill>
        <patternFill patternType="none">
          <bgColor auto="1"/>
        </patternFill>
      </fill>
    </dxf>
    <dxf>
      <fill>
        <patternFill>
          <bgColor rgb="FFFFCCCC"/>
        </patternFill>
      </fill>
    </dxf>
    <dxf>
      <fill>
        <patternFill>
          <bgColor rgb="FFFFFFCC"/>
        </patternFill>
      </fill>
    </dxf>
    <dxf>
      <fill>
        <patternFill patternType="none">
          <bgColor auto="1"/>
        </patternFill>
      </fill>
    </dxf>
    <dxf>
      <fill>
        <patternFill>
          <bgColor rgb="FFFFCCCC"/>
        </patternFill>
      </fill>
    </dxf>
    <dxf>
      <fill>
        <patternFill patternType="gray125">
          <bgColor auto="1"/>
        </patternFill>
      </fill>
    </dxf>
    <dxf>
      <fill>
        <patternFill patternType="gray125">
          <bgColor auto="1"/>
        </patternFill>
      </fill>
    </dxf>
    <dxf>
      <fill>
        <patternFill>
          <bgColor rgb="FFFFFFCC"/>
        </patternFill>
      </fill>
    </dxf>
    <dxf>
      <fill>
        <patternFill patternType="none">
          <bgColor auto="1"/>
        </patternFill>
      </fill>
    </dxf>
    <dxf>
      <fill>
        <patternFill>
          <bgColor rgb="FFFFCCCC"/>
        </patternFill>
      </fill>
    </dxf>
    <dxf>
      <fill>
        <patternFill patternType="gray125">
          <bgColor auto="1"/>
        </patternFill>
      </fill>
    </dxf>
    <dxf>
      <fill>
        <patternFill>
          <bgColor rgb="FFFFFFCC"/>
        </patternFill>
      </fill>
    </dxf>
    <dxf>
      <fill>
        <patternFill patternType="none">
          <bgColor auto="1"/>
        </patternFill>
      </fill>
    </dxf>
    <dxf>
      <fill>
        <patternFill>
          <bgColor rgb="FFFFCCCC"/>
        </patternFill>
      </fill>
    </dxf>
    <dxf>
      <fill>
        <patternFill>
          <bgColor rgb="FFFFFFCC"/>
        </patternFill>
      </fill>
    </dxf>
    <dxf>
      <fill>
        <patternFill patternType="gray125">
          <bgColor auto="1"/>
        </patternFill>
      </fill>
    </dxf>
    <dxf>
      <fill>
        <patternFill>
          <bgColor rgb="FFFFCCCC"/>
        </patternFill>
      </fill>
    </dxf>
    <dxf>
      <fill>
        <patternFill patternType="none">
          <bgColor auto="1"/>
        </patternFill>
      </fill>
    </dxf>
    <dxf>
      <fill>
        <patternFill patternType="none">
          <bgColor auto="1"/>
        </patternFill>
      </fill>
    </dxf>
    <dxf>
      <fill>
        <patternFill patternType="gray125">
          <bgColor auto="1"/>
        </patternFill>
      </fill>
    </dxf>
    <dxf>
      <fill>
        <patternFill>
          <bgColor rgb="FFFFCCCC"/>
        </patternFill>
      </fill>
    </dxf>
    <dxf>
      <fill>
        <patternFill>
          <bgColor rgb="FFFFFFCC"/>
        </patternFill>
      </fill>
    </dxf>
    <dxf>
      <fill>
        <patternFill>
          <bgColor rgb="FFFFFFCC"/>
        </patternFill>
      </fill>
    </dxf>
    <dxf>
      <fill>
        <patternFill patternType="none">
          <bgColor auto="1"/>
        </patternFill>
      </fill>
    </dxf>
    <dxf>
      <fill>
        <patternFill>
          <bgColor rgb="FFFFCCCC"/>
        </patternFill>
      </fill>
    </dxf>
    <dxf>
      <fill>
        <patternFill patternType="gray125">
          <bgColor auto="1"/>
        </patternFill>
      </fill>
    </dxf>
    <dxf>
      <fill>
        <patternFill patternType="gray125">
          <bgColor auto="1"/>
        </patternFill>
      </fill>
    </dxf>
    <dxf>
      <fill>
        <patternFill>
          <bgColor rgb="FFFFFFCC"/>
        </patternFill>
      </fill>
    </dxf>
    <dxf>
      <fill>
        <patternFill patternType="none">
          <bgColor auto="1"/>
        </patternFill>
      </fill>
    </dxf>
    <dxf>
      <fill>
        <patternFill>
          <bgColor rgb="FFFFCCCC"/>
        </patternFill>
      </fill>
    </dxf>
    <dxf>
      <font>
        <color theme="0" tint="-0.499984740745262"/>
      </font>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bgColor rgb="FFFF0000"/>
        </patternFill>
      </fill>
    </dxf>
    <dxf>
      <fill>
        <patternFill>
          <bgColor theme="0" tint="-4.9989318521683403E-2"/>
        </patternFill>
      </fill>
    </dxf>
    <dxf>
      <fill>
        <patternFill>
          <bgColor rgb="FFFFCCCC"/>
        </patternFill>
      </fill>
    </dxf>
    <dxf>
      <fill>
        <patternFill patternType="solid">
          <bgColor rgb="FFFFFFCC"/>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patternType="solid">
          <bgColor rgb="FFFFFFCC"/>
        </patternFill>
      </fill>
    </dxf>
    <dxf>
      <fill>
        <patternFill>
          <bgColor rgb="FFFFCCCC"/>
        </patternFill>
      </fill>
    </dxf>
    <dxf>
      <font>
        <color theme="0" tint="-0.499984740745262"/>
      </font>
    </dxf>
    <dxf>
      <fill>
        <patternFill>
          <bgColor rgb="FFFFCCCC"/>
        </patternFill>
      </fill>
    </dxf>
    <dxf>
      <fill>
        <patternFill>
          <bgColor rgb="FFFFFFCC"/>
        </patternFill>
      </fill>
    </dxf>
    <dxf>
      <font>
        <color rgb="FF9C0006"/>
      </font>
      <fill>
        <patternFill>
          <bgColor rgb="FFFFC7CE"/>
        </patternFill>
      </fill>
    </dxf>
    <dxf>
      <font>
        <color rgb="FF9C0006"/>
      </font>
      <fill>
        <patternFill>
          <bgColor rgb="FFFFC7CE"/>
        </patternFill>
      </fill>
    </dxf>
    <dxf>
      <fill>
        <patternFill patternType="gray125"/>
      </fill>
    </dxf>
    <dxf>
      <fill>
        <patternFill>
          <bgColor rgb="FFFFFFCC"/>
        </patternFill>
      </fill>
    </dxf>
    <dxf>
      <fill>
        <patternFill>
          <bgColor rgb="FFFFFFCC"/>
        </patternFill>
      </fill>
    </dxf>
    <dxf>
      <fill>
        <patternFill>
          <bgColor rgb="FFFFCCCC"/>
        </patternFill>
      </fill>
    </dxf>
    <dxf>
      <fill>
        <patternFill>
          <bgColor rgb="FFFFFFCC"/>
        </patternFill>
      </fill>
    </dxf>
    <dxf>
      <font>
        <color rgb="FF9C0006"/>
      </font>
      <fill>
        <patternFill>
          <bgColor rgb="FFFFCCCC"/>
        </patternFill>
      </fill>
    </dxf>
    <dxf>
      <fill>
        <patternFill>
          <bgColor rgb="FFFFCCCC"/>
        </patternFill>
      </fill>
    </dxf>
    <dxf>
      <fill>
        <patternFill>
          <bgColor rgb="FFFFFFCC"/>
        </patternFill>
      </fill>
    </dxf>
    <dxf>
      <fill>
        <patternFill patternType="gray125"/>
      </fill>
    </dxf>
    <dxf>
      <font>
        <b/>
        <i val="0"/>
        <color rgb="FFFF0000"/>
      </font>
      <fill>
        <patternFill>
          <bgColor theme="8" tint="0.79998168889431442"/>
        </patternFill>
      </fill>
    </dxf>
    <dxf>
      <font>
        <color theme="0"/>
      </font>
      <fill>
        <patternFill>
          <bgColor theme="0"/>
        </patternFill>
      </fill>
    </dxf>
    <dxf>
      <font>
        <color theme="0"/>
      </font>
      <fill>
        <patternFill>
          <bgColor theme="0"/>
        </patternFill>
      </fill>
    </dxf>
    <dxf>
      <font>
        <color theme="0"/>
      </font>
      <fill>
        <patternFill patternType="gray125">
          <bgColor theme="0"/>
        </patternFill>
      </fill>
    </dxf>
    <dxf>
      <font>
        <color theme="0"/>
      </font>
      <fill>
        <patternFill patternType="gray125">
          <bgColor theme="0"/>
        </patternFill>
      </fill>
    </dxf>
    <dxf>
      <font>
        <color theme="0"/>
      </font>
      <fill>
        <patternFill patternType="none">
          <bgColor auto="1"/>
        </patternFill>
      </fill>
    </dxf>
    <dxf>
      <font>
        <color theme="0"/>
      </font>
      <fill>
        <patternFill patternType="gray125">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CCC"/>
        </patternFill>
      </fill>
    </dxf>
    <dxf>
      <fill>
        <patternFill patternType="gray125">
          <fgColor auto="1"/>
          <bgColor theme="0"/>
        </patternFill>
      </fill>
    </dxf>
    <dxf>
      <fill>
        <patternFill>
          <bgColor rgb="FFFFFFCC"/>
        </patternFill>
      </fill>
    </dxf>
    <dxf>
      <font>
        <color rgb="FF006100"/>
      </font>
      <fill>
        <patternFill>
          <bgColor rgb="FFC6EFCE"/>
        </patternFill>
      </fill>
    </dxf>
    <dxf>
      <font>
        <color rgb="FF9C0006"/>
      </font>
      <fill>
        <patternFill>
          <bgColor rgb="FFFFC7CE"/>
        </patternFill>
      </fill>
    </dxf>
    <dxf>
      <fill>
        <patternFill>
          <bgColor rgb="FFFFFFCC"/>
        </patternFill>
      </fill>
    </dxf>
    <dxf>
      <fill>
        <patternFill>
          <bgColor rgb="FFFFCCCC"/>
        </patternFill>
      </fill>
    </dxf>
    <dxf>
      <fill>
        <patternFill>
          <bgColor rgb="FFFFFFC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tint="-0.14996795556505021"/>
      </font>
    </dxf>
    <dxf>
      <font>
        <color rgb="FF9C0006"/>
      </font>
      <fill>
        <patternFill>
          <bgColor rgb="FFFFC7CE"/>
        </patternFill>
      </fill>
    </dxf>
    <dxf>
      <font>
        <color rgb="FF006100"/>
      </font>
      <fill>
        <patternFill>
          <bgColor rgb="FFC6EFCE"/>
        </patternFill>
      </fill>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006100"/>
      </font>
      <fill>
        <patternFill>
          <bgColor rgb="FFC6EFCE"/>
        </patternFill>
      </fill>
      <border>
        <left style="thin">
          <color auto="1"/>
        </left>
        <right style="thin">
          <color auto="1"/>
        </right>
        <top style="thin">
          <color auto="1"/>
        </top>
        <bottom style="thin">
          <color auto="1"/>
        </bottom>
      </border>
    </dxf>
    <dxf>
      <font>
        <color theme="0"/>
      </font>
      <border>
        <left/>
        <right/>
        <top/>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theme="0"/>
      </font>
      <border>
        <left/>
        <right/>
        <top/>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border>
        <left/>
        <right/>
        <top/>
        <bottom/>
      </border>
    </dxf>
    <dxf>
      <font>
        <color theme="0"/>
      </font>
      <fill>
        <patternFill patternType="solid"/>
      </fill>
      <border>
        <left/>
        <right/>
        <top/>
        <bottom/>
        <vertical/>
        <horizontal/>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patternType="none">
          <bgColor auto="1"/>
        </patternFill>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theme="0"/>
      </font>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dxf>
    <dxf>
      <font>
        <color theme="0"/>
      </font>
      <fill>
        <patternFill patternType="solid"/>
      </fill>
      <border>
        <left/>
        <right/>
        <top/>
        <bottom/>
        <vertical/>
        <horizontal/>
      </border>
    </dxf>
    <dxf>
      <font>
        <color rgb="FF006100"/>
      </font>
      <fill>
        <patternFill>
          <bgColor rgb="FFC6EF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dxf>
    <dxf>
      <font>
        <color rgb="FF006100"/>
      </font>
      <fill>
        <patternFill>
          <bgColor rgb="FFC6EFCE"/>
        </patternFill>
      </fill>
    </dxf>
    <dxf>
      <font>
        <b/>
        <i val="0"/>
        <strike val="0"/>
        <color auto="1"/>
      </font>
      <fill>
        <patternFill>
          <bgColor theme="4" tint="0.39994506668294322"/>
        </patternFill>
      </fill>
    </dxf>
    <dxf>
      <font>
        <b/>
        <i val="0"/>
        <color rgb="FFFF0000"/>
      </font>
      <fill>
        <patternFill patternType="none">
          <bgColor auto="1"/>
        </patternFill>
      </fill>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theme="0"/>
      </font>
      <fill>
        <patternFill patternType="solid"/>
      </fill>
      <border>
        <left/>
        <right/>
        <top/>
        <bottom/>
        <vertical/>
        <horizontal/>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006100"/>
      </font>
      <fill>
        <patternFill>
          <bgColor rgb="FFC6EF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border>
        <left/>
        <right/>
        <top/>
        <bottom/>
        <vertical/>
        <horizontal/>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theme="0"/>
      </font>
    </dxf>
    <dxf>
      <font>
        <color theme="0"/>
      </font>
    </dxf>
    <dxf>
      <fill>
        <patternFill>
          <bgColor rgb="FFFFCCCC"/>
        </patternFill>
      </fill>
      <border>
        <left style="thin">
          <color auto="1"/>
        </left>
        <right style="thin">
          <color auto="1"/>
        </right>
        <top style="thin">
          <color auto="1"/>
        </top>
        <bottom style="thin">
          <color auto="1"/>
        </bottom>
        <vertical/>
        <horizontal/>
      </border>
    </dxf>
    <dxf>
      <font>
        <color theme="0"/>
      </font>
      <fill>
        <patternFill patternType="none">
          <bgColor auto="1"/>
        </patternFill>
      </fill>
    </dxf>
    <dxf>
      <font>
        <color rgb="FFFF0000"/>
      </font>
      <fill>
        <patternFill patternType="none">
          <bgColor auto="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theme="0"/>
      </font>
      <fill>
        <patternFill patternType="solid"/>
      </fill>
      <border>
        <left/>
        <right/>
        <top/>
        <bottom/>
        <vertical/>
        <horizontal/>
      </border>
    </dxf>
    <dxf>
      <font>
        <color theme="0"/>
      </font>
      <fill>
        <patternFill patternType="solid"/>
      </fill>
      <border>
        <left/>
        <right/>
        <top/>
        <bottom/>
        <vertical/>
        <horizontal/>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b/>
        <i val="0"/>
        <color rgb="FFFF0000"/>
      </font>
      <fill>
        <patternFill patternType="none">
          <bgColor auto="1"/>
        </patternFill>
      </fill>
    </dxf>
    <dxf>
      <font>
        <color rgb="FF006100"/>
      </font>
      <fill>
        <patternFill>
          <bgColor rgb="FFC6EFCE"/>
        </patternFill>
      </fill>
    </dxf>
    <dxf>
      <font>
        <b/>
        <i val="0"/>
        <strike val="0"/>
        <color auto="1"/>
      </font>
      <fill>
        <patternFill>
          <bgColor theme="4" tint="0.39994506668294322"/>
        </patternFill>
      </fill>
    </dxf>
    <dxf>
      <font>
        <b/>
        <i val="0"/>
        <color rgb="FFFF0000"/>
      </font>
      <fill>
        <patternFill patternType="none">
          <bgColor auto="1"/>
        </patternFill>
      </fill>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C00000"/>
      </font>
      <fill>
        <patternFill>
          <bgColor rgb="FFFFCCCC"/>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theme="0"/>
      </font>
      <fill>
        <patternFill patternType="solid"/>
      </fill>
      <border>
        <left/>
        <right/>
        <top/>
        <bottom/>
        <vertical/>
        <horizontal/>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b val="0"/>
        <i val="0"/>
        <color theme="0"/>
      </font>
      <fill>
        <patternFill patternType="solid">
          <bgColor auto="1"/>
        </patternFill>
      </fill>
      <border>
        <left/>
        <right/>
        <top/>
        <bottom/>
      </border>
    </dxf>
    <dxf>
      <font>
        <b val="0"/>
        <i val="0"/>
        <color theme="0"/>
      </font>
      <fill>
        <patternFill patternType="solid">
          <bgColor auto="1"/>
        </patternFill>
      </fill>
      <border>
        <left/>
        <right/>
        <top/>
        <bottom/>
      </border>
    </dxf>
    <dxf>
      <font>
        <color theme="0"/>
      </font>
      <fill>
        <patternFill patternType="none">
          <bgColor auto="1"/>
        </patternFill>
      </fill>
      <border>
        <left/>
        <right/>
        <top/>
        <bottom/>
        <vertical/>
        <horizontal/>
      </border>
    </dxf>
    <dxf>
      <font>
        <b val="0"/>
        <i val="0"/>
        <color theme="0"/>
      </font>
      <fill>
        <patternFill patternType="solid">
          <bgColor auto="1"/>
        </patternFill>
      </fill>
      <border>
        <left/>
        <right/>
        <top/>
        <bottom/>
      </border>
    </dxf>
    <dxf>
      <font>
        <b val="0"/>
        <i val="0"/>
        <color theme="0"/>
      </font>
      <fill>
        <patternFill patternType="solid">
          <bgColor auto="1"/>
        </patternFill>
      </fill>
      <border>
        <left/>
        <right/>
        <top/>
        <bottom/>
      </border>
    </dxf>
    <dxf>
      <font>
        <b/>
        <i val="0"/>
        <color rgb="FFFF0000"/>
      </font>
      <fill>
        <patternFill patternType="none">
          <bgColor auto="1"/>
        </patternFill>
      </fill>
    </dxf>
    <dxf>
      <font>
        <color theme="0"/>
      </font>
      <fill>
        <patternFill patternType="none">
          <bgColor auto="1"/>
        </patternFill>
      </fill>
      <border>
        <left/>
        <right/>
        <top/>
        <bottom/>
        <vertical/>
        <horizontal/>
      </border>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numFmt numFmtId="0" formatCode="General"/>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left"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left"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auto="1"/>
        <name val="Arial"/>
        <scheme val="none"/>
      </font>
      <alignment horizontal="center"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alignment horizontal="center" vertical="center"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auto="1"/>
        </patternFill>
      </fill>
    </dxf>
    <dxf>
      <alignment horizontal="center" vertical="bottom" textRotation="0" wrapText="0" indent="0" justifyLastLine="0" shrinkToFit="0" readingOrder="0"/>
    </dxf>
    <dxf>
      <font>
        <b/>
        <i val="0"/>
        <strike val="0"/>
        <condense val="0"/>
        <extend val="0"/>
        <outline val="0"/>
        <shadow val="0"/>
        <u val="none"/>
        <vertAlign val="baseline"/>
        <sz val="10"/>
        <color auto="1"/>
        <name val="Arial"/>
        <scheme val="none"/>
      </font>
      <alignment horizontal="center" vertical="bottom" textRotation="0" wrapText="1" indent="0" justifyLastLine="0" shrinkToFit="0" readingOrder="0"/>
    </dxf>
  </dxfs>
  <tableStyles count="0" defaultTableStyle="TableStyleMedium2" defaultPivotStyle="PivotStyleLight16"/>
  <colors>
    <mruColors>
      <color rgb="FFFFFFCC"/>
      <color rgb="FFFFCCCC"/>
      <color rgb="FFC6EFCE"/>
      <color rgb="FF006100"/>
      <color rgb="FF006600"/>
      <color rgb="FF9C0006"/>
      <color rgb="FFFFC7CE"/>
      <color rgb="FFFFEB9C"/>
      <color rgb="FF0000FF"/>
      <color rgb="FF644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Ext Area Schedule'!H15"/><Relationship Id="rId13" Type="http://schemas.openxmlformats.org/officeDocument/2006/relationships/hyperlink" Target="http://www.ies.org/" TargetMode="External"/><Relationship Id="rId18" Type="http://schemas.openxmlformats.org/officeDocument/2006/relationships/hyperlink" Target="#_1_Space_c_Top"/><Relationship Id="rId3" Type="http://schemas.openxmlformats.org/officeDocument/2006/relationships/hyperlink" Target="#'Main Compliance Page'!M29"/><Relationship Id="rId21" Type="http://schemas.openxmlformats.org/officeDocument/2006/relationships/hyperlink" Target="#'SpxSp Compliance Details'!G17"/><Relationship Id="rId7" Type="http://schemas.openxmlformats.org/officeDocument/2006/relationships/hyperlink" Target="#_Step2_AlterationsYesNo"/><Relationship Id="rId12" Type="http://schemas.openxmlformats.org/officeDocument/2006/relationships/image" Target="../media/image1.png"/><Relationship Id="rId17" Type="http://schemas.openxmlformats.org/officeDocument/2006/relationships/hyperlink" Target="#_1_Space_b_Top"/><Relationship Id="rId25" Type="http://schemas.openxmlformats.org/officeDocument/2006/relationships/hyperlink" Target="#'Main Compliance Page'!G73"/><Relationship Id="rId2" Type="http://schemas.openxmlformats.org/officeDocument/2006/relationships/hyperlink" Target="#_Step1_ProjectName"/><Relationship Id="rId16" Type="http://schemas.openxmlformats.org/officeDocument/2006/relationships/hyperlink" Target="http://www.ashrae.org/um90.1-2016" TargetMode="External"/><Relationship Id="rId20" Type="http://schemas.openxmlformats.org/officeDocument/2006/relationships/hyperlink" Target="#'Ext Nontradable'!_1_Exterior_Top_NonTradable"/><Relationship Id="rId1" Type="http://schemas.openxmlformats.org/officeDocument/2006/relationships/hyperlink" Target="#'Main Compliance Page'!H14"/><Relationship Id="rId6" Type="http://schemas.openxmlformats.org/officeDocument/2006/relationships/hyperlink" Target="#_1_BAM_Top"/><Relationship Id="rId11" Type="http://schemas.openxmlformats.org/officeDocument/2006/relationships/hyperlink" Target="http://www.ashrae.org" TargetMode="External"/><Relationship Id="rId24" Type="http://schemas.openxmlformats.org/officeDocument/2006/relationships/hyperlink" Target="#'9.3 Ext Simplified'!I21"/><Relationship Id="rId5" Type="http://schemas.openxmlformats.org/officeDocument/2006/relationships/hyperlink" Target="#__Luminaires_Top"/><Relationship Id="rId15" Type="http://schemas.openxmlformats.org/officeDocument/2006/relationships/image" Target="../media/image3.jpeg"/><Relationship Id="rId23" Type="http://schemas.openxmlformats.org/officeDocument/2006/relationships/hyperlink" Target="#'9.3 Int Simplified'!I21"/><Relationship Id="rId10" Type="http://schemas.openxmlformats.org/officeDocument/2006/relationships/hyperlink" Target="#'Ext Tradable'!_1_Exterior_Tradable_Top"/><Relationship Id="rId19" Type="http://schemas.openxmlformats.org/officeDocument/2006/relationships/hyperlink" Target="#_1_Space_d_Top"/><Relationship Id="rId4" Type="http://schemas.openxmlformats.org/officeDocument/2006/relationships/hyperlink" Target="#_1_Int_Room_Top"/><Relationship Id="rId9" Type="http://schemas.openxmlformats.org/officeDocument/2006/relationships/hyperlink" Target="#_1_Space_a_Top"/><Relationship Id="rId14" Type="http://schemas.openxmlformats.org/officeDocument/2006/relationships/image" Target="../media/image2.jpeg"/><Relationship Id="rId22" Type="http://schemas.openxmlformats.org/officeDocument/2006/relationships/hyperlink" Target="#'Exterior Compliance Details'!G17"/></Relationships>
</file>

<file path=xl/drawings/_rels/drawing2.xml.rels><?xml version="1.0" encoding="UTF-8" standalone="yes"?>
<Relationships xmlns="http://schemas.openxmlformats.org/package/2006/relationships"><Relationship Id="rId8" Type="http://schemas.openxmlformats.org/officeDocument/2006/relationships/hyperlink" Target="#_1_Space_c_Top"/><Relationship Id="rId3" Type="http://schemas.openxmlformats.org/officeDocument/2006/relationships/hyperlink" Target="http://www.ashrae.org" TargetMode="External"/><Relationship Id="rId7" Type="http://schemas.openxmlformats.org/officeDocument/2006/relationships/hyperlink" Target="#_1_Space_a_Top"/><Relationship Id="rId2" Type="http://schemas.openxmlformats.org/officeDocument/2006/relationships/hyperlink" Target="#'SpxSp Compliance Details'!G17"/><Relationship Id="rId1" Type="http://schemas.openxmlformats.org/officeDocument/2006/relationships/hyperlink" Target="#_1_Main_Compliance_Top"/><Relationship Id="rId6" Type="http://schemas.openxmlformats.org/officeDocument/2006/relationships/image" Target="../media/image3.jpeg"/><Relationship Id="rId5" Type="http://schemas.openxmlformats.org/officeDocument/2006/relationships/hyperlink" Target="http://www.ies.org/" TargetMode="External"/><Relationship Id="rId10" Type="http://schemas.openxmlformats.org/officeDocument/2006/relationships/hyperlink" Target="#_1_Space_b_Top"/><Relationship Id="rId4" Type="http://schemas.openxmlformats.org/officeDocument/2006/relationships/image" Target="../media/image1.png"/><Relationship Id="rId9" Type="http://schemas.openxmlformats.org/officeDocument/2006/relationships/hyperlink" Target="#_1_Space_d_Top"/></Relationships>
</file>

<file path=xl/drawings/_rels/drawing3.xml.rels><?xml version="1.0" encoding="UTF-8" standalone="yes"?>
<Relationships xmlns="http://schemas.openxmlformats.org/package/2006/relationships"><Relationship Id="rId8" Type="http://schemas.openxmlformats.org/officeDocument/2006/relationships/hyperlink" Target="#'Ext Nontradable'!_1_Exterior_Top_NonTradable"/><Relationship Id="rId3" Type="http://schemas.openxmlformats.org/officeDocument/2006/relationships/hyperlink" Target="http://www.ashrae.org" TargetMode="External"/><Relationship Id="rId7" Type="http://schemas.openxmlformats.org/officeDocument/2006/relationships/hyperlink" Target="#'Ext Tradable'!_1_Exterior_Tradable_Top"/><Relationship Id="rId2" Type="http://schemas.openxmlformats.org/officeDocument/2006/relationships/hyperlink" Target="#'Exterior Compliance Details'!G17"/><Relationship Id="rId1" Type="http://schemas.openxmlformats.org/officeDocument/2006/relationships/hyperlink" Target="#_1_Main_Compliance_Top"/><Relationship Id="rId6" Type="http://schemas.openxmlformats.org/officeDocument/2006/relationships/image" Target="../media/image3.jpeg"/><Relationship Id="rId5" Type="http://schemas.openxmlformats.org/officeDocument/2006/relationships/hyperlink" Target="http://www.ies.org/" TargetMode="Externa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_1_Main_Compliance_Top"/><Relationship Id="rId7" Type="http://schemas.openxmlformats.org/officeDocument/2006/relationships/hyperlink" Target="http://www.ashrae.org" TargetMode="External"/><Relationship Id="rId2" Type="http://schemas.openxmlformats.org/officeDocument/2006/relationships/hyperlink" Target="#'Luminaire Schedule'!J16:N16"/><Relationship Id="rId1" Type="http://schemas.openxmlformats.org/officeDocument/2006/relationships/hyperlink" Target="#_Luminaire_ExitSign"/><Relationship Id="rId6" Type="http://schemas.openxmlformats.org/officeDocument/2006/relationships/image" Target="../media/image3.jpeg"/><Relationship Id="rId5" Type="http://schemas.openxmlformats.org/officeDocument/2006/relationships/hyperlink" Target="http://www.ies.org/" TargetMode="External"/><Relationship Id="rId10" Type="http://schemas.openxmlformats.org/officeDocument/2006/relationships/hyperlink" Target="#_1_Int_Room_Top"/><Relationship Id="rId4" Type="http://schemas.openxmlformats.org/officeDocument/2006/relationships/hyperlink" Target="#__Luminaires_Top"/><Relationship Id="rId9" Type="http://schemas.openxmlformats.org/officeDocument/2006/relationships/hyperlink" Target="#'Ext Area Schedule'!H15"/></Relationships>
</file>

<file path=xl/drawings/_rels/drawing5.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_1_Main_Compliance_Top"/><Relationship Id="rId7" Type="http://schemas.openxmlformats.org/officeDocument/2006/relationships/hyperlink" Target="http://www.ashrae.org" TargetMode="External"/><Relationship Id="rId12" Type="http://schemas.openxmlformats.org/officeDocument/2006/relationships/hyperlink" Target="#__Luminaires_Top"/><Relationship Id="rId2" Type="http://schemas.openxmlformats.org/officeDocument/2006/relationships/hyperlink" Target="#_BAM_Areas"/><Relationship Id="rId1" Type="http://schemas.openxmlformats.org/officeDocument/2006/relationships/hyperlink" Target="#'Building Area Method'!H21"/><Relationship Id="rId6" Type="http://schemas.openxmlformats.org/officeDocument/2006/relationships/hyperlink" Target="#_1_BAM_Top"/><Relationship Id="rId11" Type="http://schemas.openxmlformats.org/officeDocument/2006/relationships/hyperlink" Target="#_1_Int_Room_Top"/><Relationship Id="rId5" Type="http://schemas.openxmlformats.org/officeDocument/2006/relationships/hyperlink" Target="#_1_Space_a_Top"/><Relationship Id="rId10" Type="http://schemas.openxmlformats.org/officeDocument/2006/relationships/image" Target="../media/image3.jpeg"/><Relationship Id="rId4" Type="http://schemas.openxmlformats.org/officeDocument/2006/relationships/hyperlink" Target="#_Room_Space_by_Space"/><Relationship Id="rId9" Type="http://schemas.openxmlformats.org/officeDocument/2006/relationships/hyperlink" Target="http://www.ies.org/" TargetMode="External"/></Relationships>
</file>

<file path=xl/drawings/_rels/drawing6.xml.rels><?xml version="1.0" encoding="UTF-8" standalone="yes"?>
<Relationships xmlns="http://schemas.openxmlformats.org/package/2006/relationships"><Relationship Id="rId8" Type="http://schemas.openxmlformats.org/officeDocument/2006/relationships/hyperlink" Target="http://www.ies.org/" TargetMode="External"/><Relationship Id="rId3" Type="http://schemas.openxmlformats.org/officeDocument/2006/relationships/hyperlink" Target="#'Building Area Method'!I21"/><Relationship Id="rId7" Type="http://schemas.openxmlformats.org/officeDocument/2006/relationships/image" Target="../media/image1.png"/><Relationship Id="rId2" Type="http://schemas.openxmlformats.org/officeDocument/2006/relationships/hyperlink" Target="#'9.4.2'!A1"/><Relationship Id="rId1" Type="http://schemas.openxmlformats.org/officeDocument/2006/relationships/hyperlink" Target="#_9.6_Space_by_Space"/><Relationship Id="rId6" Type="http://schemas.openxmlformats.org/officeDocument/2006/relationships/hyperlink" Target="http://www.ashrae.org" TargetMode="External"/><Relationship Id="rId11" Type="http://schemas.openxmlformats.org/officeDocument/2006/relationships/hyperlink" Target="#__Luminaires_Top"/><Relationship Id="rId5" Type="http://schemas.openxmlformats.org/officeDocument/2006/relationships/hyperlink" Target="#_1_Main_Compliance_Top"/><Relationship Id="rId10" Type="http://schemas.openxmlformats.org/officeDocument/2006/relationships/hyperlink" Target="#'Building Area Method'!W21"/><Relationship Id="rId4" Type="http://schemas.openxmlformats.org/officeDocument/2006/relationships/hyperlink" Target="#_1_Int_Room_Top"/><Relationship Id="rId9" Type="http://schemas.openxmlformats.org/officeDocument/2006/relationships/image" Target="../media/image3.jpeg"/></Relationships>
</file>

<file path=xl/drawings/_rels/drawing7.xml.rels><?xml version="1.0" encoding="UTF-8" standalone="yes"?>
<Relationships xmlns="http://schemas.openxmlformats.org/package/2006/relationships"><Relationship Id="rId8" Type="http://schemas.openxmlformats.org/officeDocument/2006/relationships/hyperlink" Target="http://www.ies.org/" TargetMode="External"/><Relationship Id="rId3" Type="http://schemas.openxmlformats.org/officeDocument/2006/relationships/hyperlink" Target="#_1_Space_d_Top"/><Relationship Id="rId7" Type="http://schemas.openxmlformats.org/officeDocument/2006/relationships/image" Target="../media/image1.png"/><Relationship Id="rId2" Type="http://schemas.openxmlformats.org/officeDocument/2006/relationships/hyperlink" Target="#'RCR Calculator'!G15"/><Relationship Id="rId1" Type="http://schemas.openxmlformats.org/officeDocument/2006/relationships/hyperlink" Target="#_1_Space_c_Top"/><Relationship Id="rId6" Type="http://schemas.openxmlformats.org/officeDocument/2006/relationships/hyperlink" Target="http://www.ashrae.org" TargetMode="External"/><Relationship Id="rId11" Type="http://schemas.openxmlformats.org/officeDocument/2006/relationships/hyperlink" Target="#_1_Space_b_Top"/><Relationship Id="rId5" Type="http://schemas.openxmlformats.org/officeDocument/2006/relationships/hyperlink" Target="#'SpxSp (step-a)'!G21"/><Relationship Id="rId10" Type="http://schemas.openxmlformats.org/officeDocument/2006/relationships/hyperlink" Target="#'SpxSp Compliance Details'!G17"/><Relationship Id="rId4" Type="http://schemas.openxmlformats.org/officeDocument/2006/relationships/hyperlink" Target="#_1_Main_Compliance_Top"/><Relationship Id="rId9" Type="http://schemas.openxmlformats.org/officeDocument/2006/relationships/image" Target="../media/image3.jpeg"/></Relationships>
</file>

<file path=xl/drawings/_rels/drawing8.xml.rels><?xml version="1.0" encoding="UTF-8" standalone="yes"?>
<Relationships xmlns="http://schemas.openxmlformats.org/package/2006/relationships"><Relationship Id="rId8" Type="http://schemas.openxmlformats.org/officeDocument/2006/relationships/hyperlink" Target="#_1_Space_a_Top"/><Relationship Id="rId3" Type="http://schemas.openxmlformats.org/officeDocument/2006/relationships/hyperlink" Target="http://www.ashrae.org" TargetMode="External"/><Relationship Id="rId7" Type="http://schemas.openxmlformats.org/officeDocument/2006/relationships/hyperlink" Target="#'RCR Calculator'!G15"/><Relationship Id="rId2" Type="http://schemas.openxmlformats.org/officeDocument/2006/relationships/hyperlink" Target="#_1_Main_Compliance_Top"/><Relationship Id="rId1" Type="http://schemas.openxmlformats.org/officeDocument/2006/relationships/image" Target="../media/image4.emf"/><Relationship Id="rId6" Type="http://schemas.openxmlformats.org/officeDocument/2006/relationships/image" Target="../media/image3.jpeg"/><Relationship Id="rId5" Type="http://schemas.openxmlformats.org/officeDocument/2006/relationships/hyperlink" Target="http://www.ies.org/" TargetMode="External"/><Relationship Id="rId4" Type="http://schemas.openxmlformats.org/officeDocument/2006/relationships/image" Target="../media/image1.png"/></Relationships>
</file>

<file path=xl/drawings/_rels/drawing9.xml.rels><?xml version="1.0" encoding="UTF-8" standalone="yes"?>
<Relationships xmlns="http://schemas.openxmlformats.org/package/2006/relationships"><Relationship Id="rId8" Type="http://schemas.openxmlformats.org/officeDocument/2006/relationships/hyperlink" Target="#'SpxSp (step-b)'!N25"/><Relationship Id="rId3" Type="http://schemas.openxmlformats.org/officeDocument/2006/relationships/hyperlink" Target="http://www.ashrae.org" TargetMode="External"/><Relationship Id="rId7" Type="http://schemas.openxmlformats.org/officeDocument/2006/relationships/hyperlink" Target="#'SpxSp (step-b)'!P25"/><Relationship Id="rId12" Type="http://schemas.openxmlformats.org/officeDocument/2006/relationships/hyperlink" Target="#_1_Space_d_Top"/><Relationship Id="rId2" Type="http://schemas.openxmlformats.org/officeDocument/2006/relationships/hyperlink" Target="#'SpxSp (step-b)'!G25"/><Relationship Id="rId1" Type="http://schemas.openxmlformats.org/officeDocument/2006/relationships/hyperlink" Target="#_1_Main_Compliance_Top"/><Relationship Id="rId6" Type="http://schemas.openxmlformats.org/officeDocument/2006/relationships/image" Target="../media/image3.jpeg"/><Relationship Id="rId11" Type="http://schemas.openxmlformats.org/officeDocument/2006/relationships/hyperlink" Target="#_1_Space_c_Top"/><Relationship Id="rId5" Type="http://schemas.openxmlformats.org/officeDocument/2006/relationships/hyperlink" Target="http://www.ies.org/" TargetMode="External"/><Relationship Id="rId10" Type="http://schemas.openxmlformats.org/officeDocument/2006/relationships/hyperlink" Target="#_1_Space_a_Top"/><Relationship Id="rId4" Type="http://schemas.openxmlformats.org/officeDocument/2006/relationships/image" Target="../media/image1.png"/><Relationship Id="rId9" Type="http://schemas.openxmlformats.org/officeDocument/2006/relationships/hyperlink" Target="#'SpxSp Compliance Details'!G17"/></Relationships>
</file>

<file path=xl/drawings/_rels/drawing10.xml.rels><?xml version="1.0" encoding="UTF-8" standalone="yes"?>
<Relationships xmlns="http://schemas.openxmlformats.org/package/2006/relationships"><Relationship Id="rId8" Type="http://schemas.openxmlformats.org/officeDocument/2006/relationships/hyperlink" Target="#_1_Space_a_Top"/><Relationship Id="rId3" Type="http://schemas.openxmlformats.org/officeDocument/2006/relationships/hyperlink" Target="#'Luminaire Schedule'!F8"/><Relationship Id="rId7" Type="http://schemas.openxmlformats.org/officeDocument/2006/relationships/image" Target="../media/image3.jpeg"/><Relationship Id="rId2" Type="http://schemas.openxmlformats.org/officeDocument/2006/relationships/hyperlink" Target="#_1_Space_c_Top"/><Relationship Id="rId1" Type="http://schemas.openxmlformats.org/officeDocument/2006/relationships/hyperlink" Target="#_1_Main_Compliance_Top"/><Relationship Id="rId6" Type="http://schemas.openxmlformats.org/officeDocument/2006/relationships/hyperlink" Target="http://www.ies.org/" TargetMode="External"/><Relationship Id="rId11" Type="http://schemas.openxmlformats.org/officeDocument/2006/relationships/hyperlink" Target="#'SpxSp Compliance Details'!G17"/><Relationship Id="rId5" Type="http://schemas.openxmlformats.org/officeDocument/2006/relationships/image" Target="../media/image1.png"/><Relationship Id="rId10" Type="http://schemas.openxmlformats.org/officeDocument/2006/relationships/hyperlink" Target="#_1_Space_b_Top"/><Relationship Id="rId4" Type="http://schemas.openxmlformats.org/officeDocument/2006/relationships/hyperlink" Target="http://www.ashrae.org" TargetMode="External"/><Relationship Id="rId9" Type="http://schemas.openxmlformats.org/officeDocument/2006/relationships/hyperlink" Target="#_1_Space_d_Top"/></Relationships>
</file>

<file path=xl/drawings/_rels/drawing11.xml.rels><?xml version="1.0" encoding="UTF-8" standalone="yes"?>
<Relationships xmlns="http://schemas.openxmlformats.org/package/2006/relationships"><Relationship Id="rId8" Type="http://schemas.openxmlformats.org/officeDocument/2006/relationships/hyperlink" Target="#_1_Space_a_Top"/><Relationship Id="rId3" Type="http://schemas.openxmlformats.org/officeDocument/2006/relationships/hyperlink" Target="#_1_Space_d_Top"/><Relationship Id="rId7" Type="http://schemas.openxmlformats.org/officeDocument/2006/relationships/image" Target="../media/image3.jpeg"/><Relationship Id="rId2" Type="http://schemas.openxmlformats.org/officeDocument/2006/relationships/hyperlink" Target="#_1_Main_Compliance_Top"/><Relationship Id="rId1" Type="http://schemas.openxmlformats.org/officeDocument/2006/relationships/hyperlink" Target="#'Luminaire Schedule'!F8"/><Relationship Id="rId6" Type="http://schemas.openxmlformats.org/officeDocument/2006/relationships/hyperlink" Target="http://www.ies.org/" TargetMode="External"/><Relationship Id="rId11" Type="http://schemas.openxmlformats.org/officeDocument/2006/relationships/hyperlink" Target="#_1_Space_c_Top"/><Relationship Id="rId5" Type="http://schemas.openxmlformats.org/officeDocument/2006/relationships/image" Target="../media/image1.png"/><Relationship Id="rId10" Type="http://schemas.openxmlformats.org/officeDocument/2006/relationships/hyperlink" Target="#'SpxSp Compliance Details'!G17"/><Relationship Id="rId4" Type="http://schemas.openxmlformats.org/officeDocument/2006/relationships/hyperlink" Target="http://www.ashrae.org" TargetMode="External"/><Relationship Id="rId9" Type="http://schemas.openxmlformats.org/officeDocument/2006/relationships/hyperlink" Target="#_1_Space_b_Top"/></Relationships>
</file>

<file path=xl/drawings/_rels/drawing12.xml.rels><?xml version="1.0" encoding="UTF-8" standalone="yes"?>
<Relationships xmlns="http://schemas.openxmlformats.org/package/2006/relationships"><Relationship Id="rId8" Type="http://schemas.openxmlformats.org/officeDocument/2006/relationships/hyperlink" Target="http://www.ies.org/" TargetMode="External"/><Relationship Id="rId3" Type="http://schemas.openxmlformats.org/officeDocument/2006/relationships/hyperlink" Target="#_1_Main_Compliance_Top"/><Relationship Id="rId7" Type="http://schemas.openxmlformats.org/officeDocument/2006/relationships/image" Target="../media/image1.png"/><Relationship Id="rId2" Type="http://schemas.openxmlformats.org/officeDocument/2006/relationships/hyperlink" Target="#'Ext Area Schedule'!P15"/><Relationship Id="rId1" Type="http://schemas.openxmlformats.org/officeDocument/2006/relationships/hyperlink" Target="#'Ext Area Schedule'!I15"/><Relationship Id="rId6" Type="http://schemas.openxmlformats.org/officeDocument/2006/relationships/hyperlink" Target="http://www.ashrae.org" TargetMode="External"/><Relationship Id="rId11" Type="http://schemas.openxmlformats.org/officeDocument/2006/relationships/hyperlink" Target="#__Luminaires_Top"/><Relationship Id="rId5" Type="http://schemas.openxmlformats.org/officeDocument/2006/relationships/hyperlink" Target="#'Ext Nontradable'!_1_Exterior_Top_NonTradable"/><Relationship Id="rId10" Type="http://schemas.openxmlformats.org/officeDocument/2006/relationships/hyperlink" Target="#_Exterior_LZ"/><Relationship Id="rId4" Type="http://schemas.openxmlformats.org/officeDocument/2006/relationships/hyperlink" Target="#'Ext Tradable'!_1_Exterior_Tradable_Top"/><Relationship Id="rId9"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8" Type="http://schemas.openxmlformats.org/officeDocument/2006/relationships/hyperlink" Target="#'Ext Tradable'!Q25"/><Relationship Id="rId3" Type="http://schemas.openxmlformats.org/officeDocument/2006/relationships/hyperlink" Target="http://www.ashrae.org" TargetMode="External"/><Relationship Id="rId7" Type="http://schemas.openxmlformats.org/officeDocument/2006/relationships/hyperlink" Target="#'Ext Tradable'!H25"/><Relationship Id="rId12" Type="http://schemas.openxmlformats.org/officeDocument/2006/relationships/hyperlink" Target="#'Exterior Compliance Details'!G17"/><Relationship Id="rId2" Type="http://schemas.openxmlformats.org/officeDocument/2006/relationships/hyperlink" Target="#_1_Main_Compliance_Top"/><Relationship Id="rId1" Type="http://schemas.openxmlformats.org/officeDocument/2006/relationships/hyperlink" Target="#'Ext Tradable'!G25"/><Relationship Id="rId6" Type="http://schemas.openxmlformats.org/officeDocument/2006/relationships/image" Target="../media/image3.jpeg"/><Relationship Id="rId11" Type="http://schemas.openxmlformats.org/officeDocument/2006/relationships/hyperlink" Target="#'Ext Area Schedule'!H15"/><Relationship Id="rId5" Type="http://schemas.openxmlformats.org/officeDocument/2006/relationships/hyperlink" Target="http://www.ies.org/" TargetMode="External"/><Relationship Id="rId10" Type="http://schemas.openxmlformats.org/officeDocument/2006/relationships/hyperlink" Target="#'Ext Nontradable'!_1_Exterior_Top_NonTradable"/><Relationship Id="rId4" Type="http://schemas.openxmlformats.org/officeDocument/2006/relationships/image" Target="../media/image1.png"/><Relationship Id="rId9" Type="http://schemas.openxmlformats.org/officeDocument/2006/relationships/hyperlink" Target="#'Ext Tradable'!O25"/></Relationships>
</file>

<file path=xl/drawings/_rels/drawing14.xml.rels><?xml version="1.0" encoding="UTF-8" standalone="yes"?>
<Relationships xmlns="http://schemas.openxmlformats.org/package/2006/relationships"><Relationship Id="rId8" Type="http://schemas.openxmlformats.org/officeDocument/2006/relationships/hyperlink" Target="#'Ext Nontradable'!U25"/><Relationship Id="rId3" Type="http://schemas.openxmlformats.org/officeDocument/2006/relationships/hyperlink" Target="http://www.ashrae.org" TargetMode="External"/><Relationship Id="rId7" Type="http://schemas.openxmlformats.org/officeDocument/2006/relationships/hyperlink" Target="#'Ext Nontradable'!W25"/><Relationship Id="rId2" Type="http://schemas.openxmlformats.org/officeDocument/2006/relationships/hyperlink" Target="#_1_Main_Compliance_Top"/><Relationship Id="rId1" Type="http://schemas.openxmlformats.org/officeDocument/2006/relationships/hyperlink" Target="#'Ext Nontradable'!I25"/><Relationship Id="rId6" Type="http://schemas.openxmlformats.org/officeDocument/2006/relationships/image" Target="../media/image3.jpeg"/><Relationship Id="rId11" Type="http://schemas.openxmlformats.org/officeDocument/2006/relationships/hyperlink" Target="#'Exterior Compliance Details'!G17"/><Relationship Id="rId5" Type="http://schemas.openxmlformats.org/officeDocument/2006/relationships/hyperlink" Target="http://www.ies.org/" TargetMode="External"/><Relationship Id="rId10" Type="http://schemas.openxmlformats.org/officeDocument/2006/relationships/hyperlink" Target="#'Ext Area Schedule'!H15"/><Relationship Id="rId4" Type="http://schemas.openxmlformats.org/officeDocument/2006/relationships/image" Target="../media/image1.png"/><Relationship Id="rId9" Type="http://schemas.openxmlformats.org/officeDocument/2006/relationships/hyperlink" Target="#'Ext Tradable'!_1_Exterior_Tradable_Top"/></Relationships>
</file>

<file path=xl/drawings/_rels/drawing15.xml.rels><?xml version="1.0" encoding="UTF-8" standalone="yes"?>
<Relationships xmlns="http://schemas.openxmlformats.org/package/2006/relationships"><Relationship Id="rId8" Type="http://schemas.openxmlformats.org/officeDocument/2006/relationships/hyperlink" Target="#'9.3 Int Simplified'!I21"/><Relationship Id="rId3" Type="http://schemas.openxmlformats.org/officeDocument/2006/relationships/hyperlink" Target="#_1_Main_Compliance_Top"/><Relationship Id="rId7" Type="http://schemas.openxmlformats.org/officeDocument/2006/relationships/image" Target="../media/image3.jpeg"/><Relationship Id="rId2" Type="http://schemas.openxmlformats.org/officeDocument/2006/relationships/hyperlink" Target="#'9.3 Int Simplified'!J21"/><Relationship Id="rId1" Type="http://schemas.openxmlformats.org/officeDocument/2006/relationships/hyperlink" Target="#_9.6_Space_by_Space"/><Relationship Id="rId6" Type="http://schemas.openxmlformats.org/officeDocument/2006/relationships/hyperlink" Target="http://www.ies.org/" TargetMode="External"/><Relationship Id="rId11" Type="http://schemas.openxmlformats.org/officeDocument/2006/relationships/hyperlink" Target="#'9.3 Ext Simplified'!I21"/><Relationship Id="rId5" Type="http://schemas.openxmlformats.org/officeDocument/2006/relationships/image" Target="../media/image1.png"/><Relationship Id="rId10" Type="http://schemas.openxmlformats.org/officeDocument/2006/relationships/hyperlink" Target="#__Luminaires_Top"/><Relationship Id="rId4" Type="http://schemas.openxmlformats.org/officeDocument/2006/relationships/hyperlink" Target="http://www.ashrae.org" TargetMode="External"/><Relationship Id="rId9" Type="http://schemas.openxmlformats.org/officeDocument/2006/relationships/hyperlink" Target="#'9.3 Int Simplified'!T21"/></Relationships>
</file>

<file path=xl/drawings/_rels/drawing16.xml.rels><?xml version="1.0" encoding="UTF-8" standalone="yes"?>
<Relationships xmlns="http://schemas.openxmlformats.org/package/2006/relationships"><Relationship Id="rId8" Type="http://schemas.openxmlformats.org/officeDocument/2006/relationships/hyperlink" Target="#'9.3 Ext Simplified'!V21"/><Relationship Id="rId3" Type="http://schemas.openxmlformats.org/officeDocument/2006/relationships/hyperlink" Target="#_1_Main_Compliance_Top"/><Relationship Id="rId7" Type="http://schemas.openxmlformats.org/officeDocument/2006/relationships/image" Target="../media/image3.jpeg"/><Relationship Id="rId2" Type="http://schemas.openxmlformats.org/officeDocument/2006/relationships/hyperlink" Target="#'9.3 Ext Simplified'!I21"/><Relationship Id="rId1" Type="http://schemas.openxmlformats.org/officeDocument/2006/relationships/hyperlink" Target="#_9.6_Space_by_Space"/><Relationship Id="rId6" Type="http://schemas.openxmlformats.org/officeDocument/2006/relationships/hyperlink" Target="http://www.ies.org/" TargetMode="External"/><Relationship Id="rId5" Type="http://schemas.openxmlformats.org/officeDocument/2006/relationships/image" Target="../media/image1.png"/><Relationship Id="rId10" Type="http://schemas.openxmlformats.org/officeDocument/2006/relationships/hyperlink" Target="#'9.3 Int Simplified'!I21"/><Relationship Id="rId4" Type="http://schemas.openxmlformats.org/officeDocument/2006/relationships/hyperlink" Target="http://www.ashrae.org" TargetMode="External"/><Relationship Id="rId9" Type="http://schemas.openxmlformats.org/officeDocument/2006/relationships/hyperlink" Target="#__Luminaires_Top"/></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1</xdr:rowOff>
    </xdr:from>
    <xdr:to>
      <xdr:col>4</xdr:col>
      <xdr:colOff>0</xdr:colOff>
      <xdr:row>12</xdr:row>
      <xdr:rowOff>0</xdr:rowOff>
    </xdr:to>
    <xdr:sp macro="" textlink="">
      <xdr:nvSpPr>
        <xdr:cNvPr id="4" name="Rectangle 3" title="9.4.2 Exit Signs">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185738" y="1452564"/>
          <a:ext cx="2514600" cy="190499"/>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b="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1</xdr:col>
      <xdr:colOff>0</xdr:colOff>
      <xdr:row>16</xdr:row>
      <xdr:rowOff>1</xdr:rowOff>
    </xdr:from>
    <xdr:to>
      <xdr:col>4</xdr:col>
      <xdr:colOff>0</xdr:colOff>
      <xdr:row>17</xdr:row>
      <xdr:rowOff>1</xdr:rowOff>
    </xdr:to>
    <xdr:sp macro="" textlink="">
      <xdr:nvSpPr>
        <xdr:cNvPr id="48" name="Rectangle 47" title="9.4.2 Exit Signs">
          <a:hlinkClick xmlns:r="http://schemas.openxmlformats.org/officeDocument/2006/relationships" r:id="rId2"/>
          <a:extLst>
            <a:ext uri="{FF2B5EF4-FFF2-40B4-BE49-F238E27FC236}">
              <a16:creationId xmlns:a16="http://schemas.microsoft.com/office/drawing/2014/main" id="{00000000-0008-0000-0000-000030000000}"/>
            </a:ext>
          </a:extLst>
        </xdr:cNvPr>
        <xdr:cNvSpPr/>
      </xdr:nvSpPr>
      <xdr:spPr>
        <a:xfrm>
          <a:off x="185738" y="1871664"/>
          <a:ext cx="2514600" cy="190500"/>
        </a:xfrm>
        <a:prstGeom prst="rect">
          <a:avLst/>
        </a:prstGeom>
        <a:solidFill>
          <a:srgbClr val="FFFFCC"/>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rgbClr val="0000FF"/>
              </a:solidFill>
              <a:latin typeface="Arial" panose="020B0604020202020204" pitchFamily="34" charset="0"/>
              <a:cs typeface="Arial" panose="020B0604020202020204" pitchFamily="34" charset="0"/>
            </a:rPr>
            <a:t>  </a:t>
          </a:r>
          <a:r>
            <a:rPr lang="en-US" sz="1000" b="0" u="none">
              <a:solidFill>
                <a:sysClr val="windowText" lastClr="000000"/>
              </a:solidFill>
              <a:latin typeface="Arial" panose="020B0604020202020204" pitchFamily="34" charset="0"/>
              <a:cs typeface="Arial" panose="020B0604020202020204" pitchFamily="34" charset="0"/>
            </a:rPr>
            <a:t>1 - Project Information</a:t>
          </a:r>
        </a:p>
      </xdr:txBody>
    </xdr:sp>
    <xdr:clientData/>
  </xdr:twoCellAnchor>
  <xdr:twoCellAnchor>
    <xdr:from>
      <xdr:col>1</xdr:col>
      <xdr:colOff>0</xdr:colOff>
      <xdr:row>20</xdr:row>
      <xdr:rowOff>9525</xdr:rowOff>
    </xdr:from>
    <xdr:to>
      <xdr:col>4</xdr:col>
      <xdr:colOff>0</xdr:colOff>
      <xdr:row>21</xdr:row>
      <xdr:rowOff>0</xdr:rowOff>
    </xdr:to>
    <xdr:sp macro="" textlink="">
      <xdr:nvSpPr>
        <xdr:cNvPr id="49" name="Rectangle 48" title="9.4.2 Exit Signs">
          <a:hlinkClick xmlns:r="http://schemas.openxmlformats.org/officeDocument/2006/relationships" r:id="rId3"/>
          <a:extLst>
            <a:ext uri="{FF2B5EF4-FFF2-40B4-BE49-F238E27FC236}">
              <a16:creationId xmlns:a16="http://schemas.microsoft.com/office/drawing/2014/main" id="{00000000-0008-0000-0000-000031000000}"/>
            </a:ext>
          </a:extLst>
        </xdr:cNvPr>
        <xdr:cNvSpPr/>
      </xdr:nvSpPr>
      <xdr:spPr>
        <a:xfrm>
          <a:off x="185738" y="2352675"/>
          <a:ext cx="2514600" cy="161925"/>
        </a:xfrm>
        <a:prstGeom prst="rect">
          <a:avLst/>
        </a:prstGeom>
        <a:solidFill>
          <a:srgbClr val="FFFFCC"/>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rgbClr val="0000FF"/>
              </a:solidFill>
              <a:latin typeface="Arial" panose="020B0604020202020204" pitchFamily="34" charset="0"/>
              <a:cs typeface="Arial" panose="020B0604020202020204" pitchFamily="34" charset="0"/>
            </a:rPr>
            <a:t>  </a:t>
          </a:r>
          <a:r>
            <a:rPr lang="en-US" sz="1000" b="0" u="none">
              <a:solidFill>
                <a:sysClr val="windowText" lastClr="000000"/>
              </a:solidFill>
              <a:latin typeface="Arial" panose="020B0604020202020204" pitchFamily="34" charset="0"/>
              <a:cs typeface="Arial" panose="020B0604020202020204" pitchFamily="34" charset="0"/>
            </a:rPr>
            <a:t>3 - Choose Interior Compliance Method </a:t>
          </a:r>
        </a:p>
      </xdr:txBody>
    </xdr:sp>
    <xdr:clientData/>
  </xdr:twoCellAnchor>
  <xdr:twoCellAnchor editAs="oneCell">
    <xdr:from>
      <xdr:col>12</xdr:col>
      <xdr:colOff>285750</xdr:colOff>
      <xdr:row>28</xdr:row>
      <xdr:rowOff>0</xdr:rowOff>
    </xdr:from>
    <xdr:to>
      <xdr:col>14</xdr:col>
      <xdr:colOff>741362</xdr:colOff>
      <xdr:row>28</xdr:row>
      <xdr:rowOff>180975</xdr:rowOff>
    </xdr:to>
    <xdr:sp macro="" textlink="">
      <xdr:nvSpPr>
        <xdr:cNvPr id="6169" name="Option Button 25" descr="Building Area Method" hidden="1">
          <a:extLst>
            <a:ext uri="{63B3BB69-23CF-44E3-9099-C40C66FF867C}">
              <a14:compatExt xmlns:a14="http://schemas.microsoft.com/office/drawing/2010/main"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Building Area Method</a:t>
          </a:r>
        </a:p>
      </xdr:txBody>
    </xdr:sp>
    <xdr:clientData/>
  </xdr:twoCellAnchor>
  <xdr:twoCellAnchor editAs="oneCell">
    <xdr:from>
      <xdr:col>9</xdr:col>
      <xdr:colOff>285750</xdr:colOff>
      <xdr:row>34</xdr:row>
      <xdr:rowOff>0</xdr:rowOff>
    </xdr:from>
    <xdr:to>
      <xdr:col>11</xdr:col>
      <xdr:colOff>83609</xdr:colOff>
      <xdr:row>34</xdr:row>
      <xdr:rowOff>173568</xdr:rowOff>
    </xdr:to>
    <xdr:sp macro="" textlink="">
      <xdr:nvSpPr>
        <xdr:cNvPr id="6170" name="Option Button 26" descr="Space-bySpace Method" hidden="1">
          <a:extLst>
            <a:ext uri="{63B3BB69-23CF-44E3-9099-C40C66FF867C}">
              <a14:compatExt xmlns:a14="http://schemas.microsoft.com/office/drawing/2010/main"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Space-by Space Method</a:t>
          </a:r>
        </a:p>
      </xdr:txBody>
    </xdr:sp>
    <xdr:clientData/>
  </xdr:twoCellAnchor>
  <xdr:twoCellAnchor>
    <xdr:from>
      <xdr:col>1</xdr:col>
      <xdr:colOff>0</xdr:colOff>
      <xdr:row>24</xdr:row>
      <xdr:rowOff>0</xdr:rowOff>
    </xdr:from>
    <xdr:to>
      <xdr:col>4</xdr:col>
      <xdr:colOff>0</xdr:colOff>
      <xdr:row>25</xdr:row>
      <xdr:rowOff>0</xdr:rowOff>
    </xdr:to>
    <xdr:sp macro="" textlink="">
      <xdr:nvSpPr>
        <xdr:cNvPr id="50" name="Rectangle 49" title="9.4.2 Exit Signs">
          <a:hlinkClick xmlns:r="http://schemas.openxmlformats.org/officeDocument/2006/relationships" r:id="rId4"/>
          <a:extLst>
            <a:ext uri="{FF2B5EF4-FFF2-40B4-BE49-F238E27FC236}">
              <a16:creationId xmlns:a16="http://schemas.microsoft.com/office/drawing/2014/main" id="{00000000-0008-0000-0000-000032000000}"/>
            </a:ext>
          </a:extLst>
        </xdr:cNvPr>
        <xdr:cNvSpPr/>
      </xdr:nvSpPr>
      <xdr:spPr>
        <a:xfrm>
          <a:off x="171450" y="2924175"/>
          <a:ext cx="2114550" cy="190500"/>
        </a:xfrm>
        <a:prstGeom prst="rect">
          <a:avLst/>
        </a:prstGeom>
        <a:solidFill>
          <a:schemeClr val="accent6">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chemeClr val="bg1"/>
              </a:solidFill>
              <a:latin typeface="Arial" panose="020B0604020202020204" pitchFamily="34" charset="0"/>
              <a:cs typeface="Arial" panose="020B0604020202020204" pitchFamily="34" charset="0"/>
            </a:rPr>
            <a:t>  5 - Fill in Interior Room Schedule</a:t>
          </a:r>
        </a:p>
      </xdr:txBody>
    </xdr:sp>
    <xdr:clientData/>
  </xdr:twoCellAnchor>
  <xdr:twoCellAnchor>
    <xdr:from>
      <xdr:col>1</xdr:col>
      <xdr:colOff>0</xdr:colOff>
      <xdr:row>22</xdr:row>
      <xdr:rowOff>9525</xdr:rowOff>
    </xdr:from>
    <xdr:to>
      <xdr:col>4</xdr:col>
      <xdr:colOff>0</xdr:colOff>
      <xdr:row>23</xdr:row>
      <xdr:rowOff>0</xdr:rowOff>
    </xdr:to>
    <xdr:sp macro="" textlink="">
      <xdr:nvSpPr>
        <xdr:cNvPr id="51" name="Rectangle 50" title="9.4.2 Exit Signs">
          <a:hlinkClick xmlns:r="http://schemas.openxmlformats.org/officeDocument/2006/relationships" r:id="rId5"/>
          <a:extLst>
            <a:ext uri="{FF2B5EF4-FFF2-40B4-BE49-F238E27FC236}">
              <a16:creationId xmlns:a16="http://schemas.microsoft.com/office/drawing/2014/main" id="{00000000-0008-0000-0000-000033000000}"/>
            </a:ext>
          </a:extLst>
        </xdr:cNvPr>
        <xdr:cNvSpPr/>
      </xdr:nvSpPr>
      <xdr:spPr>
        <a:xfrm>
          <a:off x="171450" y="2686050"/>
          <a:ext cx="2114550" cy="180975"/>
        </a:xfrm>
        <a:prstGeom prst="rect">
          <a:avLst/>
        </a:prstGeom>
        <a:solidFill>
          <a:schemeClr val="accent6">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chemeClr val="bg1"/>
              </a:solidFill>
              <a:latin typeface="Arial" panose="020B0604020202020204" pitchFamily="34" charset="0"/>
              <a:cs typeface="Arial" panose="020B0604020202020204" pitchFamily="34" charset="0"/>
            </a:rPr>
            <a:t>  4 - Fill in the Luminaire Schedule</a:t>
          </a:r>
        </a:p>
      </xdr:txBody>
    </xdr:sp>
    <xdr:clientData/>
  </xdr:twoCellAnchor>
  <xdr:twoCellAnchor>
    <xdr:from>
      <xdr:col>1</xdr:col>
      <xdr:colOff>0</xdr:colOff>
      <xdr:row>26</xdr:row>
      <xdr:rowOff>7329</xdr:rowOff>
    </xdr:from>
    <xdr:to>
      <xdr:col>4</xdr:col>
      <xdr:colOff>0</xdr:colOff>
      <xdr:row>27</xdr:row>
      <xdr:rowOff>1</xdr:rowOff>
    </xdr:to>
    <xdr:sp macro="" textlink="">
      <xdr:nvSpPr>
        <xdr:cNvPr id="55" name="Rectangle 54" title="9.4.2 Exit Signs">
          <a:hlinkClick xmlns:r="http://schemas.openxmlformats.org/officeDocument/2006/relationships" r:id="rId6"/>
          <a:extLst>
            <a:ext uri="{FF2B5EF4-FFF2-40B4-BE49-F238E27FC236}">
              <a16:creationId xmlns:a16="http://schemas.microsoft.com/office/drawing/2014/main" id="{00000000-0008-0000-0000-000037000000}"/>
            </a:ext>
          </a:extLst>
        </xdr:cNvPr>
        <xdr:cNvSpPr/>
      </xdr:nvSpPr>
      <xdr:spPr>
        <a:xfrm>
          <a:off x="171450" y="3179154"/>
          <a:ext cx="2114550" cy="183172"/>
        </a:xfrm>
        <a:prstGeom prst="rect">
          <a:avLst/>
        </a:prstGeom>
        <a:solidFill>
          <a:schemeClr val="accent4">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6 - Building Area Method </a:t>
          </a:r>
        </a:p>
      </xdr:txBody>
    </xdr:sp>
    <xdr:clientData/>
  </xdr:twoCellAnchor>
  <xdr:twoCellAnchor>
    <xdr:from>
      <xdr:col>1</xdr:col>
      <xdr:colOff>4763</xdr:colOff>
      <xdr:row>18</xdr:row>
      <xdr:rowOff>0</xdr:rowOff>
    </xdr:from>
    <xdr:to>
      <xdr:col>4</xdr:col>
      <xdr:colOff>0</xdr:colOff>
      <xdr:row>19</xdr:row>
      <xdr:rowOff>1</xdr:rowOff>
    </xdr:to>
    <xdr:sp macro="" textlink="">
      <xdr:nvSpPr>
        <xdr:cNvPr id="80" name="Rectangle 79" title="9.4.2 Exit Signs">
          <a:hlinkClick xmlns:r="http://schemas.openxmlformats.org/officeDocument/2006/relationships" r:id="rId7"/>
          <a:extLst>
            <a:ext uri="{FF2B5EF4-FFF2-40B4-BE49-F238E27FC236}">
              <a16:creationId xmlns:a16="http://schemas.microsoft.com/office/drawing/2014/main" id="{00000000-0008-0000-0000-000050000000}"/>
            </a:ext>
          </a:extLst>
        </xdr:cNvPr>
        <xdr:cNvSpPr/>
      </xdr:nvSpPr>
      <xdr:spPr>
        <a:xfrm>
          <a:off x="190501" y="2124075"/>
          <a:ext cx="2509837" cy="190501"/>
        </a:xfrm>
        <a:prstGeom prst="rect">
          <a:avLst/>
        </a:prstGeom>
        <a:solidFill>
          <a:srgbClr val="FFFFCC"/>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2 - Alteration (yes/no)</a:t>
          </a:r>
        </a:p>
      </xdr:txBody>
    </xdr:sp>
    <xdr:clientData/>
  </xdr:twoCellAnchor>
  <xdr:twoCellAnchor>
    <xdr:from>
      <xdr:col>1</xdr:col>
      <xdr:colOff>0</xdr:colOff>
      <xdr:row>40</xdr:row>
      <xdr:rowOff>0</xdr:rowOff>
    </xdr:from>
    <xdr:to>
      <xdr:col>4</xdr:col>
      <xdr:colOff>0</xdr:colOff>
      <xdr:row>41</xdr:row>
      <xdr:rowOff>0</xdr:rowOff>
    </xdr:to>
    <xdr:sp macro="" textlink="">
      <xdr:nvSpPr>
        <xdr:cNvPr id="41" name="Rectangle 40" title="9.4.2 Exit Signs">
          <a:hlinkClick xmlns:r="http://schemas.openxmlformats.org/officeDocument/2006/relationships" r:id="rId8"/>
          <a:extLst>
            <a:ext uri="{FF2B5EF4-FFF2-40B4-BE49-F238E27FC236}">
              <a16:creationId xmlns:a16="http://schemas.microsoft.com/office/drawing/2014/main" id="{00000000-0008-0000-0000-000029000000}"/>
            </a:ext>
          </a:extLst>
        </xdr:cNvPr>
        <xdr:cNvSpPr/>
      </xdr:nvSpPr>
      <xdr:spPr>
        <a:xfrm>
          <a:off x="169333" y="4826000"/>
          <a:ext cx="2127250" cy="190500"/>
        </a:xfrm>
        <a:prstGeom prst="rect">
          <a:avLst/>
        </a:prstGeom>
        <a:solidFill>
          <a:schemeClr val="accent6">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chemeClr val="bg1"/>
              </a:solidFill>
              <a:latin typeface="Arial" panose="020B0604020202020204" pitchFamily="34" charset="0"/>
              <a:cs typeface="Arial" panose="020B0604020202020204" pitchFamily="34" charset="0"/>
            </a:rPr>
            <a:t>  8 - Fill in Exterior Area Schedule</a:t>
          </a:r>
        </a:p>
      </xdr:txBody>
    </xdr:sp>
    <xdr:clientData/>
  </xdr:twoCellAnchor>
  <xdr:twoCellAnchor>
    <xdr:from>
      <xdr:col>1</xdr:col>
      <xdr:colOff>0</xdr:colOff>
      <xdr:row>28</xdr:row>
      <xdr:rowOff>0</xdr:rowOff>
    </xdr:from>
    <xdr:to>
      <xdr:col>4</xdr:col>
      <xdr:colOff>0</xdr:colOff>
      <xdr:row>29</xdr:row>
      <xdr:rowOff>0</xdr:rowOff>
    </xdr:to>
    <xdr:sp macro="" textlink="">
      <xdr:nvSpPr>
        <xdr:cNvPr id="56" name="Rectangle 55" title="9.4.2 Exit Signs">
          <a:hlinkClick xmlns:r="http://schemas.openxmlformats.org/officeDocument/2006/relationships" r:id="rId9"/>
          <a:extLst>
            <a:ext uri="{FF2B5EF4-FFF2-40B4-BE49-F238E27FC236}">
              <a16:creationId xmlns:a16="http://schemas.microsoft.com/office/drawing/2014/main" id="{00000000-0008-0000-0000-000038000000}"/>
            </a:ext>
          </a:extLst>
        </xdr:cNvPr>
        <xdr:cNvSpPr/>
      </xdr:nvSpPr>
      <xdr:spPr>
        <a:xfrm>
          <a:off x="171450" y="3419475"/>
          <a:ext cx="211455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1000" b="0" u="none">
              <a:solidFill>
                <a:schemeClr val="bg1"/>
              </a:solidFill>
              <a:latin typeface="Arial" panose="020B0604020202020204" pitchFamily="34" charset="0"/>
              <a:cs typeface="Arial" panose="020B0604020202020204" pitchFamily="34" charset="0"/>
            </a:rPr>
            <a:t>7 - Space by Space Method</a:t>
          </a:r>
        </a:p>
      </xdr:txBody>
    </xdr:sp>
    <xdr:clientData/>
  </xdr:twoCellAnchor>
  <xdr:twoCellAnchor>
    <xdr:from>
      <xdr:col>1</xdr:col>
      <xdr:colOff>0</xdr:colOff>
      <xdr:row>42</xdr:row>
      <xdr:rowOff>0</xdr:rowOff>
    </xdr:from>
    <xdr:to>
      <xdr:col>4</xdr:col>
      <xdr:colOff>0</xdr:colOff>
      <xdr:row>43</xdr:row>
      <xdr:rowOff>0</xdr:rowOff>
    </xdr:to>
    <xdr:sp macro="" textlink="">
      <xdr:nvSpPr>
        <xdr:cNvPr id="57" name="Rectangle 56" title="9.4.2 Exit Signs">
          <a:hlinkClick xmlns:r="http://schemas.openxmlformats.org/officeDocument/2006/relationships" r:id="rId10"/>
          <a:extLst>
            <a:ext uri="{FF2B5EF4-FFF2-40B4-BE49-F238E27FC236}">
              <a16:creationId xmlns:a16="http://schemas.microsoft.com/office/drawing/2014/main" id="{00000000-0008-0000-0000-000039000000}"/>
            </a:ext>
          </a:extLst>
        </xdr:cNvPr>
        <xdr:cNvSpPr/>
      </xdr:nvSpPr>
      <xdr:spPr>
        <a:xfrm>
          <a:off x="169333" y="5069417"/>
          <a:ext cx="2127250" cy="190500"/>
        </a:xfrm>
        <a:prstGeom prst="rect">
          <a:avLst/>
        </a:prstGeom>
        <a:solidFill>
          <a:schemeClr val="accent2">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chemeClr val="bg1"/>
              </a:solidFill>
              <a:latin typeface="Arial" panose="020B0604020202020204" pitchFamily="34" charset="0"/>
              <a:cs typeface="Arial" panose="020B0604020202020204" pitchFamily="34" charset="0"/>
            </a:rPr>
            <a:t> </a:t>
          </a:r>
          <a:r>
            <a:rPr lang="en-US" sz="1000" b="0" u="none" baseline="0">
              <a:solidFill>
                <a:schemeClr val="bg1"/>
              </a:solidFill>
              <a:latin typeface="Arial" panose="020B0604020202020204" pitchFamily="34" charset="0"/>
              <a:cs typeface="Arial" panose="020B0604020202020204" pitchFamily="34" charset="0"/>
            </a:rPr>
            <a:t> 9 </a:t>
          </a:r>
          <a:r>
            <a:rPr lang="en-US" sz="1000" b="0" u="none">
              <a:solidFill>
                <a:schemeClr val="bg1"/>
              </a:solidFill>
              <a:latin typeface="Arial" panose="020B0604020202020204" pitchFamily="34" charset="0"/>
              <a:cs typeface="Arial" panose="020B0604020202020204" pitchFamily="34" charset="0"/>
            </a:rPr>
            <a:t>- Installed Exterior Lighting</a:t>
          </a:r>
        </a:p>
      </xdr:txBody>
    </xdr:sp>
    <xdr:clientData/>
  </xdr:twoCellAnchor>
  <xdr:twoCellAnchor editAs="oneCell">
    <xdr:from>
      <xdr:col>69</xdr:col>
      <xdr:colOff>0</xdr:colOff>
      <xdr:row>6</xdr:row>
      <xdr:rowOff>0</xdr:rowOff>
    </xdr:from>
    <xdr:to>
      <xdr:col>70</xdr:col>
      <xdr:colOff>314323</xdr:colOff>
      <xdr:row>10</xdr:row>
      <xdr:rowOff>35770</xdr:rowOff>
    </xdr:to>
    <xdr:pic>
      <xdr:nvPicPr>
        <xdr:cNvPr id="67" name="Picture 66" descr="https://www.ashrae.org/Image%20Library/Static/logo_ashrae.png?code=72c4166c-fe1f-490d-abad-d16d2147f7f2">
          <a:hlinkClick xmlns:r="http://schemas.openxmlformats.org/officeDocument/2006/relationships" r:id="rId11"/>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157775" y="742950"/>
          <a:ext cx="923925" cy="664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419100</xdr:colOff>
      <xdr:row>6</xdr:row>
      <xdr:rowOff>41698</xdr:rowOff>
    </xdr:from>
    <xdr:to>
      <xdr:col>71</xdr:col>
      <xdr:colOff>390527</xdr:colOff>
      <xdr:row>9</xdr:row>
      <xdr:rowOff>184573</xdr:rowOff>
    </xdr:to>
    <xdr:pic>
      <xdr:nvPicPr>
        <xdr:cNvPr id="68" name="Picture 67">
          <a:hlinkClick xmlns:r="http://schemas.openxmlformats.org/officeDocument/2006/relationships" r:id="rId13"/>
          <a:extLst>
            <a:ext uri="{FF2B5EF4-FFF2-40B4-BE49-F238E27FC236}">
              <a16:creationId xmlns:a16="http://schemas.microsoft.com/office/drawing/2014/main" id="{00000000-0008-0000-0000-000044000000}"/>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r="74690" b="13515"/>
        <a:stretch/>
      </xdr:blipFill>
      <xdr:spPr>
        <a:xfrm>
          <a:off x="44186475" y="784648"/>
          <a:ext cx="581025" cy="581025"/>
        </a:xfrm>
        <a:prstGeom prst="rect">
          <a:avLst/>
        </a:prstGeom>
      </xdr:spPr>
    </xdr:pic>
    <xdr:clientData/>
  </xdr:twoCellAnchor>
  <xdr:twoCellAnchor editAs="oneCell">
    <xdr:from>
      <xdr:col>8</xdr:col>
      <xdr:colOff>0</xdr:colOff>
      <xdr:row>2</xdr:row>
      <xdr:rowOff>0</xdr:rowOff>
    </xdr:from>
    <xdr:to>
      <xdr:col>8</xdr:col>
      <xdr:colOff>928688</xdr:colOff>
      <xdr:row>6</xdr:row>
      <xdr:rowOff>147638</xdr:rowOff>
    </xdr:to>
    <xdr:pic>
      <xdr:nvPicPr>
        <xdr:cNvPr id="74" name="Picture 73" descr="https://www.ashrae.org/Image%20Library/Static/logo_ashrae.png?code=72c4166c-fe1f-490d-abad-d16d2147f7f2">
          <a:hlinkClick xmlns:r="http://schemas.openxmlformats.org/officeDocument/2006/relationships" r:id="rId11"/>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476625" y="247650"/>
          <a:ext cx="928688"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9527</xdr:colOff>
      <xdr:row>6</xdr:row>
      <xdr:rowOff>138015</xdr:rowOff>
    </xdr:from>
    <xdr:to>
      <xdr:col>9</xdr:col>
      <xdr:colOff>472654</xdr:colOff>
      <xdr:row>9</xdr:row>
      <xdr:rowOff>162992</xdr:rowOff>
    </xdr:to>
    <xdr:pic>
      <xdr:nvPicPr>
        <xdr:cNvPr id="75" name="Picture 74">
          <a:hlinkClick xmlns:r="http://schemas.openxmlformats.org/officeDocument/2006/relationships" r:id="rId13"/>
          <a:extLst>
            <a:ext uri="{FF2B5EF4-FFF2-40B4-BE49-F238E27FC236}">
              <a16:creationId xmlns:a16="http://schemas.microsoft.com/office/drawing/2014/main" id="{00000000-0008-0000-0000-00004B000000}"/>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r="74690" b="13515"/>
        <a:stretch/>
      </xdr:blipFill>
      <xdr:spPr>
        <a:xfrm>
          <a:off x="4333877" y="880965"/>
          <a:ext cx="463127" cy="463127"/>
        </a:xfrm>
        <a:prstGeom prst="rect">
          <a:avLst/>
        </a:prstGeom>
      </xdr:spPr>
    </xdr:pic>
    <xdr:clientData/>
  </xdr:twoCellAnchor>
  <xdr:twoCellAnchor>
    <xdr:from>
      <xdr:col>1</xdr:col>
      <xdr:colOff>6352</xdr:colOff>
      <xdr:row>64</xdr:row>
      <xdr:rowOff>0</xdr:rowOff>
    </xdr:from>
    <xdr:to>
      <xdr:col>2</xdr:col>
      <xdr:colOff>0</xdr:colOff>
      <xdr:row>66</xdr:row>
      <xdr:rowOff>189035</xdr:rowOff>
    </xdr:to>
    <xdr:sp macro="" textlink="">
      <xdr:nvSpPr>
        <xdr:cNvPr id="63" name="Rectangle 62" title="9.4.2 Exit Signs">
          <a:hlinkClick xmlns:r="http://schemas.openxmlformats.org/officeDocument/2006/relationships" r:id="rId16"/>
          <a:extLst>
            <a:ext uri="{FF2B5EF4-FFF2-40B4-BE49-F238E27FC236}">
              <a16:creationId xmlns:a16="http://schemas.microsoft.com/office/drawing/2014/main" id="{00000000-0008-0000-0000-00003F000000}"/>
            </a:ext>
          </a:extLst>
        </xdr:cNvPr>
        <xdr:cNvSpPr/>
      </xdr:nvSpPr>
      <xdr:spPr>
        <a:xfrm>
          <a:off x="177802" y="7877175"/>
          <a:ext cx="698498" cy="436685"/>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rIns="91440" bIns="0" rtlCol="0" anchor="ctr" anchorCtr="0"/>
        <a:lstStyle/>
        <a:p>
          <a:pPr algn="ctr"/>
          <a:r>
            <a:rPr lang="en-US" sz="1000" b="0" u="none">
              <a:solidFill>
                <a:srgbClr val="0000FF"/>
              </a:solidFill>
              <a:latin typeface="Arial" panose="020B0604020202020204" pitchFamily="34" charset="0"/>
              <a:cs typeface="Arial" panose="020B0604020202020204" pitchFamily="34" charset="0"/>
            </a:rPr>
            <a:t>2016 version</a:t>
          </a:r>
        </a:p>
      </xdr:txBody>
    </xdr:sp>
    <xdr:clientData/>
  </xdr:twoCellAnchor>
  <xdr:twoCellAnchor>
    <xdr:from>
      <xdr:col>3</xdr:col>
      <xdr:colOff>0</xdr:colOff>
      <xdr:row>64</xdr:row>
      <xdr:rowOff>1463</xdr:rowOff>
    </xdr:from>
    <xdr:to>
      <xdr:col>4</xdr:col>
      <xdr:colOff>5695</xdr:colOff>
      <xdr:row>67</xdr:row>
      <xdr:rowOff>0</xdr:rowOff>
    </xdr:to>
    <xdr:sp macro="" textlink="">
      <xdr:nvSpPr>
        <xdr:cNvPr id="65" name="Rectangle 64" title="9.4.2 Exit Signs">
          <a:hlinkClick xmlns:r="http://schemas.openxmlformats.org/officeDocument/2006/relationships" r:id="rId16"/>
          <a:extLst>
            <a:ext uri="{FF2B5EF4-FFF2-40B4-BE49-F238E27FC236}">
              <a16:creationId xmlns:a16="http://schemas.microsoft.com/office/drawing/2014/main" id="{00000000-0008-0000-0000-000041000000}"/>
            </a:ext>
          </a:extLst>
        </xdr:cNvPr>
        <xdr:cNvSpPr/>
      </xdr:nvSpPr>
      <xdr:spPr>
        <a:xfrm>
          <a:off x="1581150" y="7878638"/>
          <a:ext cx="710545" cy="436687"/>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rIns="91440" bIns="0" rtlCol="0" anchor="ctr" anchorCtr="0"/>
        <a:lstStyle/>
        <a:p>
          <a:pPr algn="ctr"/>
          <a:r>
            <a:rPr lang="en-US" sz="1000" b="0" u="none">
              <a:solidFill>
                <a:srgbClr val="0000FF"/>
              </a:solidFill>
              <a:latin typeface="Arial" panose="020B0604020202020204" pitchFamily="34" charset="0"/>
              <a:cs typeface="Arial" panose="020B0604020202020204" pitchFamily="34" charset="0"/>
            </a:rPr>
            <a:t>2019 version</a:t>
          </a:r>
        </a:p>
      </xdr:txBody>
    </xdr:sp>
    <xdr:clientData/>
  </xdr:twoCellAnchor>
  <xdr:twoCellAnchor>
    <xdr:from>
      <xdr:col>1</xdr:col>
      <xdr:colOff>285750</xdr:colOff>
      <xdr:row>30</xdr:row>
      <xdr:rowOff>0</xdr:rowOff>
    </xdr:from>
    <xdr:to>
      <xdr:col>4</xdr:col>
      <xdr:colOff>0</xdr:colOff>
      <xdr:row>31</xdr:row>
      <xdr:rowOff>0</xdr:rowOff>
    </xdr:to>
    <xdr:sp macro="" textlink="">
      <xdr:nvSpPr>
        <xdr:cNvPr id="20" name="Rectangle 19" title="9.4.2 Exit Signs">
          <a:hlinkClick xmlns:r="http://schemas.openxmlformats.org/officeDocument/2006/relationships" r:id="rId9"/>
          <a:extLst>
            <a:ext uri="{FF2B5EF4-FFF2-40B4-BE49-F238E27FC236}">
              <a16:creationId xmlns:a16="http://schemas.microsoft.com/office/drawing/2014/main" id="{00000000-0008-0000-0000-000014000000}"/>
            </a:ext>
          </a:extLst>
        </xdr:cNvPr>
        <xdr:cNvSpPr/>
      </xdr:nvSpPr>
      <xdr:spPr>
        <a:xfrm>
          <a:off x="457200" y="3667125"/>
          <a:ext cx="182880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(step-a) - LPA</a:t>
          </a:r>
        </a:p>
      </xdr:txBody>
    </xdr:sp>
    <xdr:clientData/>
  </xdr:twoCellAnchor>
  <xdr:twoCellAnchor>
    <xdr:from>
      <xdr:col>1</xdr:col>
      <xdr:colOff>285750</xdr:colOff>
      <xdr:row>32</xdr:row>
      <xdr:rowOff>0</xdr:rowOff>
    </xdr:from>
    <xdr:to>
      <xdr:col>4</xdr:col>
      <xdr:colOff>0</xdr:colOff>
      <xdr:row>33</xdr:row>
      <xdr:rowOff>0</xdr:rowOff>
    </xdr:to>
    <xdr:sp macro="" textlink="">
      <xdr:nvSpPr>
        <xdr:cNvPr id="21" name="Rectangle 20" title="9.4.2 Exit Signs">
          <a:hlinkClick xmlns:r="http://schemas.openxmlformats.org/officeDocument/2006/relationships" r:id="rId17"/>
          <a:extLst>
            <a:ext uri="{FF2B5EF4-FFF2-40B4-BE49-F238E27FC236}">
              <a16:creationId xmlns:a16="http://schemas.microsoft.com/office/drawing/2014/main" id="{00000000-0008-0000-0000-000015000000}"/>
            </a:ext>
          </a:extLst>
        </xdr:cNvPr>
        <xdr:cNvSpPr/>
      </xdr:nvSpPr>
      <xdr:spPr>
        <a:xfrm>
          <a:off x="457200" y="3914775"/>
          <a:ext cx="182880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(step-b) - Space/Control</a:t>
          </a:r>
        </a:p>
      </xdr:txBody>
    </xdr:sp>
    <xdr:clientData/>
  </xdr:twoCellAnchor>
  <xdr:twoCellAnchor>
    <xdr:from>
      <xdr:col>1</xdr:col>
      <xdr:colOff>285750</xdr:colOff>
      <xdr:row>34</xdr:row>
      <xdr:rowOff>0</xdr:rowOff>
    </xdr:from>
    <xdr:to>
      <xdr:col>4</xdr:col>
      <xdr:colOff>0</xdr:colOff>
      <xdr:row>35</xdr:row>
      <xdr:rowOff>0</xdr:rowOff>
    </xdr:to>
    <xdr:sp macro="" textlink="">
      <xdr:nvSpPr>
        <xdr:cNvPr id="22" name="Rectangle 21" title="9.4.2 Exit Signs">
          <a:hlinkClick xmlns:r="http://schemas.openxmlformats.org/officeDocument/2006/relationships" r:id="rId18"/>
          <a:extLst>
            <a:ext uri="{FF2B5EF4-FFF2-40B4-BE49-F238E27FC236}">
              <a16:creationId xmlns:a16="http://schemas.microsoft.com/office/drawing/2014/main" id="{00000000-0008-0000-0000-000016000000}"/>
            </a:ext>
          </a:extLst>
        </xdr:cNvPr>
        <xdr:cNvSpPr/>
      </xdr:nvSpPr>
      <xdr:spPr>
        <a:xfrm>
          <a:off x="457200" y="4162425"/>
          <a:ext cx="182880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(step-c) - Decorative</a:t>
          </a:r>
        </a:p>
      </xdr:txBody>
    </xdr:sp>
    <xdr:clientData/>
  </xdr:twoCellAnchor>
  <xdr:twoCellAnchor>
    <xdr:from>
      <xdr:col>1</xdr:col>
      <xdr:colOff>285750</xdr:colOff>
      <xdr:row>36</xdr:row>
      <xdr:rowOff>0</xdr:rowOff>
    </xdr:from>
    <xdr:to>
      <xdr:col>4</xdr:col>
      <xdr:colOff>0</xdr:colOff>
      <xdr:row>37</xdr:row>
      <xdr:rowOff>0</xdr:rowOff>
    </xdr:to>
    <xdr:sp macro="" textlink="">
      <xdr:nvSpPr>
        <xdr:cNvPr id="23" name="Rectangle 22" title="9.4.2 Exit Signs">
          <a:hlinkClick xmlns:r="http://schemas.openxmlformats.org/officeDocument/2006/relationships" r:id="rId19"/>
          <a:extLst>
            <a:ext uri="{FF2B5EF4-FFF2-40B4-BE49-F238E27FC236}">
              <a16:creationId xmlns:a16="http://schemas.microsoft.com/office/drawing/2014/main" id="{00000000-0008-0000-0000-000017000000}"/>
            </a:ext>
          </a:extLst>
        </xdr:cNvPr>
        <xdr:cNvSpPr/>
      </xdr:nvSpPr>
      <xdr:spPr>
        <a:xfrm>
          <a:off x="457200" y="4410075"/>
          <a:ext cx="182880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(step-d) - Retail</a:t>
          </a:r>
        </a:p>
      </xdr:txBody>
    </xdr:sp>
    <xdr:clientData/>
  </xdr:twoCellAnchor>
  <xdr:twoCellAnchor>
    <xdr:from>
      <xdr:col>1</xdr:col>
      <xdr:colOff>285750</xdr:colOff>
      <xdr:row>44</xdr:row>
      <xdr:rowOff>1</xdr:rowOff>
    </xdr:from>
    <xdr:to>
      <xdr:col>4</xdr:col>
      <xdr:colOff>0</xdr:colOff>
      <xdr:row>45</xdr:row>
      <xdr:rowOff>1</xdr:rowOff>
    </xdr:to>
    <xdr:sp macro="" textlink="">
      <xdr:nvSpPr>
        <xdr:cNvPr id="24" name="Rectangle 23" title="9.4.2 Exit Signs">
          <a:hlinkClick xmlns:r="http://schemas.openxmlformats.org/officeDocument/2006/relationships" r:id="rId10"/>
          <a:extLst>
            <a:ext uri="{FF2B5EF4-FFF2-40B4-BE49-F238E27FC236}">
              <a16:creationId xmlns:a16="http://schemas.microsoft.com/office/drawing/2014/main" id="{00000000-0008-0000-0000-000018000000}"/>
            </a:ext>
          </a:extLst>
        </xdr:cNvPr>
        <xdr:cNvSpPr/>
      </xdr:nvSpPr>
      <xdr:spPr>
        <a:xfrm>
          <a:off x="455083" y="5312834"/>
          <a:ext cx="1841500" cy="190500"/>
        </a:xfrm>
        <a:prstGeom prst="rect">
          <a:avLst/>
        </a:prstGeom>
        <a:solidFill>
          <a:schemeClr val="accent2">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Tradable Exterior</a:t>
          </a:r>
        </a:p>
      </xdr:txBody>
    </xdr:sp>
    <xdr:clientData/>
  </xdr:twoCellAnchor>
  <xdr:twoCellAnchor>
    <xdr:from>
      <xdr:col>1</xdr:col>
      <xdr:colOff>285750</xdr:colOff>
      <xdr:row>46</xdr:row>
      <xdr:rowOff>0</xdr:rowOff>
    </xdr:from>
    <xdr:to>
      <xdr:col>4</xdr:col>
      <xdr:colOff>0</xdr:colOff>
      <xdr:row>47</xdr:row>
      <xdr:rowOff>0</xdr:rowOff>
    </xdr:to>
    <xdr:sp macro="" textlink="">
      <xdr:nvSpPr>
        <xdr:cNvPr id="25" name="Rectangle 24" title="9.4.2 Exit Signs">
          <a:hlinkClick xmlns:r="http://schemas.openxmlformats.org/officeDocument/2006/relationships" r:id="rId20"/>
          <a:extLst>
            <a:ext uri="{FF2B5EF4-FFF2-40B4-BE49-F238E27FC236}">
              <a16:creationId xmlns:a16="http://schemas.microsoft.com/office/drawing/2014/main" id="{00000000-0008-0000-0000-000019000000}"/>
            </a:ext>
          </a:extLst>
        </xdr:cNvPr>
        <xdr:cNvSpPr/>
      </xdr:nvSpPr>
      <xdr:spPr>
        <a:xfrm>
          <a:off x="455083" y="5556250"/>
          <a:ext cx="1841500" cy="190500"/>
        </a:xfrm>
        <a:prstGeom prst="rect">
          <a:avLst/>
        </a:prstGeom>
        <a:solidFill>
          <a:schemeClr val="accent2">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Nontradable Exterior</a:t>
          </a:r>
        </a:p>
      </xdr:txBody>
    </xdr:sp>
    <xdr:clientData/>
  </xdr:twoCellAnchor>
  <xdr:twoCellAnchor>
    <xdr:from>
      <xdr:col>1</xdr:col>
      <xdr:colOff>285750</xdr:colOff>
      <xdr:row>38</xdr:row>
      <xdr:rowOff>0</xdr:rowOff>
    </xdr:from>
    <xdr:to>
      <xdr:col>4</xdr:col>
      <xdr:colOff>0</xdr:colOff>
      <xdr:row>39</xdr:row>
      <xdr:rowOff>0</xdr:rowOff>
    </xdr:to>
    <xdr:sp macro="" textlink="">
      <xdr:nvSpPr>
        <xdr:cNvPr id="26" name="Rectangle 25" title="9.4.2 Exit Signs">
          <a:hlinkClick xmlns:r="http://schemas.openxmlformats.org/officeDocument/2006/relationships" r:id="rId21"/>
          <a:extLst>
            <a:ext uri="{FF2B5EF4-FFF2-40B4-BE49-F238E27FC236}">
              <a16:creationId xmlns:a16="http://schemas.microsoft.com/office/drawing/2014/main" id="{00000000-0008-0000-0000-00001A000000}"/>
            </a:ext>
          </a:extLst>
        </xdr:cNvPr>
        <xdr:cNvSpPr/>
      </xdr:nvSpPr>
      <xdr:spPr>
        <a:xfrm>
          <a:off x="455083" y="4582583"/>
          <a:ext cx="1841500" cy="190500"/>
        </a:xfrm>
        <a:prstGeom prst="rect">
          <a:avLst/>
        </a:prstGeom>
        <a:solidFill>
          <a:schemeClr val="accent1">
            <a:lumMod val="60000"/>
            <a:lumOff val="40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ysClr val="windowText" lastClr="000000"/>
              </a:solidFill>
              <a:latin typeface="Arial" panose="020B0604020202020204" pitchFamily="34" charset="0"/>
              <a:cs typeface="Arial" panose="020B0604020202020204" pitchFamily="34" charset="0"/>
            </a:rPr>
            <a:t>SpxSp Compliance Details</a:t>
          </a:r>
        </a:p>
      </xdr:txBody>
    </xdr:sp>
    <xdr:clientData/>
  </xdr:twoCellAnchor>
  <xdr:twoCellAnchor>
    <xdr:from>
      <xdr:col>1</xdr:col>
      <xdr:colOff>285750</xdr:colOff>
      <xdr:row>48</xdr:row>
      <xdr:rowOff>0</xdr:rowOff>
    </xdr:from>
    <xdr:to>
      <xdr:col>4</xdr:col>
      <xdr:colOff>0</xdr:colOff>
      <xdr:row>49</xdr:row>
      <xdr:rowOff>0</xdr:rowOff>
    </xdr:to>
    <xdr:sp macro="" textlink="">
      <xdr:nvSpPr>
        <xdr:cNvPr id="27" name="Rectangle 26" title="9.4.2 Exit Signs">
          <a:hlinkClick xmlns:r="http://schemas.openxmlformats.org/officeDocument/2006/relationships" r:id="rId22"/>
          <a:extLst>
            <a:ext uri="{FF2B5EF4-FFF2-40B4-BE49-F238E27FC236}">
              <a16:creationId xmlns:a16="http://schemas.microsoft.com/office/drawing/2014/main" id="{00000000-0008-0000-0000-00001B000000}"/>
            </a:ext>
          </a:extLst>
        </xdr:cNvPr>
        <xdr:cNvSpPr/>
      </xdr:nvSpPr>
      <xdr:spPr>
        <a:xfrm>
          <a:off x="455083" y="5799667"/>
          <a:ext cx="1841500" cy="190500"/>
        </a:xfrm>
        <a:prstGeom prst="rect">
          <a:avLst/>
        </a:prstGeom>
        <a:solidFill>
          <a:schemeClr val="accent2">
            <a:lumMod val="60000"/>
            <a:lumOff val="40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ysClr val="windowText" lastClr="000000"/>
              </a:solidFill>
              <a:latin typeface="Arial" panose="020B0604020202020204" pitchFamily="34" charset="0"/>
              <a:cs typeface="Arial" panose="020B0604020202020204" pitchFamily="34" charset="0"/>
            </a:rPr>
            <a:t>Exterior Compliance Detials</a:t>
          </a:r>
        </a:p>
      </xdr:txBody>
    </xdr:sp>
    <xdr:clientData/>
  </xdr:twoCellAnchor>
  <xdr:twoCellAnchor>
    <xdr:from>
      <xdr:col>1</xdr:col>
      <xdr:colOff>0</xdr:colOff>
      <xdr:row>50</xdr:row>
      <xdr:rowOff>0</xdr:rowOff>
    </xdr:from>
    <xdr:to>
      <xdr:col>4</xdr:col>
      <xdr:colOff>0</xdr:colOff>
      <xdr:row>51</xdr:row>
      <xdr:rowOff>0</xdr:rowOff>
    </xdr:to>
    <xdr:sp macro="" textlink="">
      <xdr:nvSpPr>
        <xdr:cNvPr id="28" name="Rectangle 27" title="9.4.2 Exit Signs">
          <a:hlinkClick xmlns:r="http://schemas.openxmlformats.org/officeDocument/2006/relationships" r:id="rId23"/>
          <a:extLst>
            <a:ext uri="{FF2B5EF4-FFF2-40B4-BE49-F238E27FC236}">
              <a16:creationId xmlns:a16="http://schemas.microsoft.com/office/drawing/2014/main" id="{00000000-0008-0000-0000-00001C000000}"/>
            </a:ext>
          </a:extLst>
        </xdr:cNvPr>
        <xdr:cNvSpPr/>
      </xdr:nvSpPr>
      <xdr:spPr>
        <a:xfrm>
          <a:off x="168519" y="6176596"/>
          <a:ext cx="2110154" cy="190500"/>
        </a:xfrm>
        <a:prstGeom prst="rect">
          <a:avLst/>
        </a:prstGeom>
        <a:solidFill>
          <a:schemeClr val="accent3">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chemeClr val="bg1"/>
              </a:solidFill>
              <a:latin typeface="Arial" panose="020B0604020202020204" pitchFamily="34" charset="0"/>
              <a:cs typeface="Arial" panose="020B0604020202020204" pitchFamily="34" charset="0"/>
            </a:rPr>
            <a:t> </a:t>
          </a:r>
          <a:r>
            <a:rPr lang="en-US" sz="1000" b="0" u="none" baseline="0">
              <a:solidFill>
                <a:schemeClr val="bg1"/>
              </a:solidFill>
              <a:latin typeface="Arial" panose="020B0604020202020204" pitchFamily="34" charset="0"/>
              <a:cs typeface="Arial" panose="020B0604020202020204" pitchFamily="34" charset="0"/>
            </a:rPr>
            <a:t> 10 </a:t>
          </a:r>
          <a:r>
            <a:rPr lang="en-US" sz="1000" b="0" u="none">
              <a:solidFill>
                <a:schemeClr val="bg1"/>
              </a:solidFill>
              <a:latin typeface="Arial" panose="020B0604020202020204" pitchFamily="34" charset="0"/>
              <a:cs typeface="Arial" panose="020B0604020202020204" pitchFamily="34" charset="0"/>
            </a:rPr>
            <a:t>- 9.3 Simplified Method (Interior)</a:t>
          </a:r>
        </a:p>
      </xdr:txBody>
    </xdr:sp>
    <xdr:clientData/>
  </xdr:twoCellAnchor>
  <xdr:twoCellAnchor>
    <xdr:from>
      <xdr:col>1</xdr:col>
      <xdr:colOff>0</xdr:colOff>
      <xdr:row>52</xdr:row>
      <xdr:rowOff>0</xdr:rowOff>
    </xdr:from>
    <xdr:to>
      <xdr:col>4</xdr:col>
      <xdr:colOff>0</xdr:colOff>
      <xdr:row>53</xdr:row>
      <xdr:rowOff>0</xdr:rowOff>
    </xdr:to>
    <xdr:sp macro="" textlink="">
      <xdr:nvSpPr>
        <xdr:cNvPr id="30" name="Rectangle 29" title="9.4.2 Exit Signs">
          <a:hlinkClick xmlns:r="http://schemas.openxmlformats.org/officeDocument/2006/relationships" r:id="rId24"/>
          <a:extLst>
            <a:ext uri="{FF2B5EF4-FFF2-40B4-BE49-F238E27FC236}">
              <a16:creationId xmlns:a16="http://schemas.microsoft.com/office/drawing/2014/main" id="{00000000-0008-0000-0000-00001E000000}"/>
            </a:ext>
          </a:extLst>
        </xdr:cNvPr>
        <xdr:cNvSpPr/>
      </xdr:nvSpPr>
      <xdr:spPr>
        <a:xfrm>
          <a:off x="171450" y="6391275"/>
          <a:ext cx="2114550" cy="190500"/>
        </a:xfrm>
        <a:prstGeom prst="rect">
          <a:avLst/>
        </a:prstGeom>
        <a:solidFill>
          <a:schemeClr val="accent3">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chemeClr val="bg1"/>
              </a:solidFill>
              <a:latin typeface="Arial" panose="020B0604020202020204" pitchFamily="34" charset="0"/>
              <a:cs typeface="Arial" panose="020B0604020202020204" pitchFamily="34" charset="0"/>
            </a:rPr>
            <a:t> </a:t>
          </a:r>
          <a:r>
            <a:rPr lang="en-US" sz="1000" b="0" u="none" baseline="0">
              <a:solidFill>
                <a:schemeClr val="bg1"/>
              </a:solidFill>
              <a:latin typeface="Arial" panose="020B0604020202020204" pitchFamily="34" charset="0"/>
              <a:cs typeface="Arial" panose="020B0604020202020204" pitchFamily="34" charset="0"/>
            </a:rPr>
            <a:t> 11 </a:t>
          </a:r>
          <a:r>
            <a:rPr lang="en-US" sz="1000" b="0" u="none">
              <a:solidFill>
                <a:schemeClr val="bg1"/>
              </a:solidFill>
              <a:latin typeface="Arial" panose="020B0604020202020204" pitchFamily="34" charset="0"/>
              <a:cs typeface="Arial" panose="020B0604020202020204" pitchFamily="34" charset="0"/>
            </a:rPr>
            <a:t>- 9.3 Simplified Method (Exterior)</a:t>
          </a:r>
        </a:p>
      </xdr:txBody>
    </xdr:sp>
    <xdr:clientData/>
  </xdr:twoCellAnchor>
  <xdr:twoCellAnchor>
    <xdr:from>
      <xdr:col>1</xdr:col>
      <xdr:colOff>292554</xdr:colOff>
      <xdr:row>54</xdr:row>
      <xdr:rowOff>0</xdr:rowOff>
    </xdr:from>
    <xdr:to>
      <xdr:col>4</xdr:col>
      <xdr:colOff>0</xdr:colOff>
      <xdr:row>55</xdr:row>
      <xdr:rowOff>0</xdr:rowOff>
    </xdr:to>
    <xdr:sp macro="" textlink="">
      <xdr:nvSpPr>
        <xdr:cNvPr id="31" name="Rectangle 30" title="9.4.2 Exit Signs">
          <a:hlinkClick xmlns:r="http://schemas.openxmlformats.org/officeDocument/2006/relationships" r:id="rId25"/>
          <a:extLst>
            <a:ext uri="{FF2B5EF4-FFF2-40B4-BE49-F238E27FC236}">
              <a16:creationId xmlns:a16="http://schemas.microsoft.com/office/drawing/2014/main" id="{00000000-0008-0000-0000-00001F000000}"/>
            </a:ext>
          </a:extLst>
        </xdr:cNvPr>
        <xdr:cNvSpPr/>
      </xdr:nvSpPr>
      <xdr:spPr>
        <a:xfrm>
          <a:off x="464004" y="6638925"/>
          <a:ext cx="1821996" cy="190500"/>
        </a:xfrm>
        <a:prstGeom prst="rect">
          <a:avLst/>
        </a:prstGeom>
        <a:solidFill>
          <a:schemeClr val="accent3">
            <a:lumMod val="60000"/>
            <a:lumOff val="40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chemeClr val="bg1"/>
              </a:solidFill>
              <a:latin typeface="Arial" panose="020B0604020202020204" pitchFamily="34" charset="0"/>
              <a:cs typeface="Arial" panose="020B0604020202020204" pitchFamily="34" charset="0"/>
            </a:rPr>
            <a:t> </a:t>
          </a:r>
          <a:r>
            <a:rPr lang="en-US" sz="1000" b="0" u="none" baseline="0">
              <a:solidFill>
                <a:schemeClr val="bg1"/>
              </a:solidFill>
              <a:latin typeface="Arial" panose="020B0604020202020204" pitchFamily="34" charset="0"/>
              <a:cs typeface="Arial" panose="020B0604020202020204" pitchFamily="34" charset="0"/>
            </a:rPr>
            <a:t> </a:t>
          </a:r>
          <a:r>
            <a:rPr lang="en-US" sz="800" b="0" u="none">
              <a:solidFill>
                <a:sysClr val="windowText" lastClr="000000"/>
              </a:solidFill>
              <a:latin typeface="Arial" panose="020B0604020202020204" pitchFamily="34" charset="0"/>
              <a:cs typeface="Arial" panose="020B0604020202020204" pitchFamily="34" charset="0"/>
            </a:rPr>
            <a:t>9.3 Simplified Details</a:t>
          </a:r>
        </a:p>
      </xdr:txBody>
    </xdr:sp>
    <xdr:clientData/>
  </xdr:twoCellAnchor>
  <xdr:twoCellAnchor>
    <xdr:from>
      <xdr:col>8</xdr:col>
      <xdr:colOff>435429</xdr:colOff>
      <xdr:row>76</xdr:row>
      <xdr:rowOff>2721</xdr:rowOff>
    </xdr:from>
    <xdr:to>
      <xdr:col>11</xdr:col>
      <xdr:colOff>0</xdr:colOff>
      <xdr:row>77</xdr:row>
      <xdr:rowOff>0</xdr:rowOff>
    </xdr:to>
    <xdr:sp macro="" textlink="">
      <xdr:nvSpPr>
        <xdr:cNvPr id="32" name="Rectangle 31" title="9.4.2 Exit Signs">
          <a:hlinkClick xmlns:r="http://schemas.openxmlformats.org/officeDocument/2006/relationships" r:id="rId23"/>
          <a:extLst>
            <a:ext uri="{FF2B5EF4-FFF2-40B4-BE49-F238E27FC236}">
              <a16:creationId xmlns:a16="http://schemas.microsoft.com/office/drawing/2014/main" id="{00000000-0008-0000-0000-000020000000}"/>
            </a:ext>
          </a:extLst>
        </xdr:cNvPr>
        <xdr:cNvSpPr/>
      </xdr:nvSpPr>
      <xdr:spPr>
        <a:xfrm>
          <a:off x="3109233" y="9262382"/>
          <a:ext cx="2115910" cy="187779"/>
        </a:xfrm>
        <a:prstGeom prst="rect">
          <a:avLst/>
        </a:prstGeom>
        <a:solidFill>
          <a:schemeClr val="accent3">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chemeClr val="bg1"/>
              </a:solidFill>
              <a:latin typeface="Arial" panose="020B0604020202020204" pitchFamily="34" charset="0"/>
              <a:cs typeface="Arial" panose="020B0604020202020204" pitchFamily="34" charset="0"/>
            </a:rPr>
            <a:t> </a:t>
          </a:r>
          <a:r>
            <a:rPr lang="en-US" sz="1000" b="0" u="none" baseline="0">
              <a:solidFill>
                <a:schemeClr val="bg1"/>
              </a:solidFill>
              <a:latin typeface="Arial" panose="020B0604020202020204" pitchFamily="34" charset="0"/>
              <a:cs typeface="Arial" panose="020B0604020202020204" pitchFamily="34" charset="0"/>
            </a:rPr>
            <a:t> 10 </a:t>
          </a:r>
          <a:r>
            <a:rPr lang="en-US" sz="1000" b="0" u="none">
              <a:solidFill>
                <a:schemeClr val="bg1"/>
              </a:solidFill>
              <a:latin typeface="Arial" panose="020B0604020202020204" pitchFamily="34" charset="0"/>
              <a:cs typeface="Arial" panose="020B0604020202020204" pitchFamily="34" charset="0"/>
            </a:rPr>
            <a:t>- 9.3 Simplified Method (Interior)</a:t>
          </a:r>
        </a:p>
      </xdr:txBody>
    </xdr:sp>
    <xdr:clientData/>
  </xdr:twoCellAnchor>
  <xdr:twoCellAnchor>
    <xdr:from>
      <xdr:col>8</xdr:col>
      <xdr:colOff>435429</xdr:colOff>
      <xdr:row>88</xdr:row>
      <xdr:rowOff>0</xdr:rowOff>
    </xdr:from>
    <xdr:to>
      <xdr:col>11</xdr:col>
      <xdr:colOff>0</xdr:colOff>
      <xdr:row>89</xdr:row>
      <xdr:rowOff>0</xdr:rowOff>
    </xdr:to>
    <xdr:sp macro="" textlink="">
      <xdr:nvSpPr>
        <xdr:cNvPr id="33" name="Rectangle 32" title="9.4.2 Exit Signs">
          <a:hlinkClick xmlns:r="http://schemas.openxmlformats.org/officeDocument/2006/relationships" r:id="rId24"/>
          <a:extLst>
            <a:ext uri="{FF2B5EF4-FFF2-40B4-BE49-F238E27FC236}">
              <a16:creationId xmlns:a16="http://schemas.microsoft.com/office/drawing/2014/main" id="{00000000-0008-0000-0000-000021000000}"/>
            </a:ext>
          </a:extLst>
        </xdr:cNvPr>
        <xdr:cNvSpPr/>
      </xdr:nvSpPr>
      <xdr:spPr>
        <a:xfrm>
          <a:off x="3109233" y="10729232"/>
          <a:ext cx="2115910" cy="190500"/>
        </a:xfrm>
        <a:prstGeom prst="rect">
          <a:avLst/>
        </a:prstGeom>
        <a:solidFill>
          <a:schemeClr val="accent3">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chemeClr val="bg1"/>
              </a:solidFill>
              <a:latin typeface="Arial" panose="020B0604020202020204" pitchFamily="34" charset="0"/>
              <a:cs typeface="Arial" panose="020B0604020202020204" pitchFamily="34" charset="0"/>
            </a:rPr>
            <a:t> </a:t>
          </a:r>
          <a:r>
            <a:rPr lang="en-US" sz="1000" b="0" u="none" baseline="0">
              <a:solidFill>
                <a:schemeClr val="bg1"/>
              </a:solidFill>
              <a:latin typeface="Arial" panose="020B0604020202020204" pitchFamily="34" charset="0"/>
              <a:cs typeface="Arial" panose="020B0604020202020204" pitchFamily="34" charset="0"/>
            </a:rPr>
            <a:t> 11 </a:t>
          </a:r>
          <a:r>
            <a:rPr lang="en-US" sz="1000" b="0" u="none">
              <a:solidFill>
                <a:schemeClr val="bg1"/>
              </a:solidFill>
              <a:latin typeface="Arial" panose="020B0604020202020204" pitchFamily="34" charset="0"/>
              <a:cs typeface="Arial" panose="020B0604020202020204" pitchFamily="34" charset="0"/>
            </a:rPr>
            <a:t>- 9.3 Simplified Method (Exterior)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5</xdr:col>
      <xdr:colOff>0</xdr:colOff>
      <xdr:row>13</xdr:row>
      <xdr:rowOff>0</xdr:rowOff>
    </xdr:to>
    <xdr:sp macro="" textlink="">
      <xdr:nvSpPr>
        <xdr:cNvPr id="4" name="Rectangle 3" title="9.4.2 Exit Signs">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857376" y="1524000"/>
          <a:ext cx="1661583" cy="190500"/>
        </a:xfrm>
        <a:prstGeom prst="rect">
          <a:avLst/>
        </a:prstGeom>
        <a:solidFill>
          <a:schemeClr val="accent1">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1"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2</xdr:row>
      <xdr:rowOff>0</xdr:rowOff>
    </xdr:from>
    <xdr:to>
      <xdr:col>5</xdr:col>
      <xdr:colOff>0</xdr:colOff>
      <xdr:row>3</xdr:row>
      <xdr:rowOff>0</xdr:rowOff>
    </xdr:to>
    <xdr:sp macro="" textlink="">
      <xdr:nvSpPr>
        <xdr:cNvPr id="5" name="Rectangle 4" title="9.4.2 Exit Signs">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1857376" y="254000"/>
          <a:ext cx="1661583"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Top of Page</a:t>
          </a:r>
        </a:p>
      </xdr:txBody>
    </xdr:sp>
    <xdr:clientData/>
  </xdr:twoCellAnchor>
  <xdr:twoCellAnchor editAs="oneCell">
    <xdr:from>
      <xdr:col>1</xdr:col>
      <xdr:colOff>0</xdr:colOff>
      <xdr:row>1</xdr:row>
      <xdr:rowOff>0</xdr:rowOff>
    </xdr:from>
    <xdr:to>
      <xdr:col>2</xdr:col>
      <xdr:colOff>157163</xdr:colOff>
      <xdr:row>6</xdr:row>
      <xdr:rowOff>90488</xdr:rowOff>
    </xdr:to>
    <xdr:pic>
      <xdr:nvPicPr>
        <xdr:cNvPr id="6" name="Picture 5" descr="https://www.ashrae.org/Image%20Library/Static/logo_ashrae.png?code=72c4166c-fe1f-490d-abad-d16d2147f7f2">
          <a:hlinkClick xmlns:r="http://schemas.openxmlformats.org/officeDocument/2006/relationships" r:id="rId3"/>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5209" y="190500"/>
          <a:ext cx="987954" cy="661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159810</xdr:colOff>
      <xdr:row>7</xdr:row>
      <xdr:rowOff>4665</xdr:rowOff>
    </xdr:from>
    <xdr:to>
      <xdr:col>2</xdr:col>
      <xdr:colOff>622937</xdr:colOff>
      <xdr:row>10</xdr:row>
      <xdr:rowOff>162992</xdr:rowOff>
    </xdr:to>
    <xdr:pic>
      <xdr:nvPicPr>
        <xdr:cNvPr id="7" name="Picture 6">
          <a:hlinkClick xmlns:r="http://schemas.openxmlformats.org/officeDocument/2006/relationships" r:id="rId5"/>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74690" b="13515"/>
        <a:stretch/>
      </xdr:blipFill>
      <xdr:spPr>
        <a:xfrm>
          <a:off x="1101727" y="957165"/>
          <a:ext cx="463127" cy="475827"/>
        </a:xfrm>
        <a:prstGeom prst="rect">
          <a:avLst/>
        </a:prstGeom>
      </xdr:spPr>
    </xdr:pic>
    <xdr:clientData/>
  </xdr:twoCellAnchor>
  <xdr:twoCellAnchor>
    <xdr:from>
      <xdr:col>3</xdr:col>
      <xdr:colOff>0</xdr:colOff>
      <xdr:row>4</xdr:row>
      <xdr:rowOff>0</xdr:rowOff>
    </xdr:from>
    <xdr:to>
      <xdr:col>4</xdr:col>
      <xdr:colOff>770466</xdr:colOff>
      <xdr:row>5</xdr:row>
      <xdr:rowOff>0</xdr:rowOff>
    </xdr:to>
    <xdr:sp macro="" textlink="">
      <xdr:nvSpPr>
        <xdr:cNvPr id="8" name="Rectangle 7" title="9.4.2 Exit Signs">
          <a:hlinkClick xmlns:r="http://schemas.openxmlformats.org/officeDocument/2006/relationships" r:id="rId7"/>
          <a:extLst>
            <a:ext uri="{FF2B5EF4-FFF2-40B4-BE49-F238E27FC236}">
              <a16:creationId xmlns:a16="http://schemas.microsoft.com/office/drawing/2014/main" id="{00000000-0008-0000-0700-000004000000}"/>
            </a:ext>
          </a:extLst>
        </xdr:cNvPr>
        <xdr:cNvSpPr/>
      </xdr:nvSpPr>
      <xdr:spPr>
        <a:xfrm>
          <a:off x="1725083" y="486833"/>
          <a:ext cx="154305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Step 8a</a:t>
          </a:r>
        </a:p>
      </xdr:txBody>
    </xdr:sp>
    <xdr:clientData/>
  </xdr:twoCellAnchor>
  <xdr:twoCellAnchor>
    <xdr:from>
      <xdr:col>3</xdr:col>
      <xdr:colOff>0</xdr:colOff>
      <xdr:row>8</xdr:row>
      <xdr:rowOff>0</xdr:rowOff>
    </xdr:from>
    <xdr:to>
      <xdr:col>4</xdr:col>
      <xdr:colOff>770466</xdr:colOff>
      <xdr:row>9</xdr:row>
      <xdr:rowOff>0</xdr:rowOff>
    </xdr:to>
    <xdr:sp macro="" textlink="">
      <xdr:nvSpPr>
        <xdr:cNvPr id="9" name="Rectangle 8" title="9.4.2 Exit Signs">
          <a:hlinkClick xmlns:r="http://schemas.openxmlformats.org/officeDocument/2006/relationships" r:id="rId8"/>
          <a:extLst>
            <a:ext uri="{FF2B5EF4-FFF2-40B4-BE49-F238E27FC236}">
              <a16:creationId xmlns:a16="http://schemas.microsoft.com/office/drawing/2014/main" id="{00000000-0008-0000-0700-00000E000000}"/>
            </a:ext>
          </a:extLst>
        </xdr:cNvPr>
        <xdr:cNvSpPr/>
      </xdr:nvSpPr>
      <xdr:spPr>
        <a:xfrm>
          <a:off x="1725083" y="973667"/>
          <a:ext cx="154305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Step 8c</a:t>
          </a:r>
        </a:p>
      </xdr:txBody>
    </xdr:sp>
    <xdr:clientData/>
  </xdr:twoCellAnchor>
  <xdr:twoCellAnchor>
    <xdr:from>
      <xdr:col>3</xdr:col>
      <xdr:colOff>0</xdr:colOff>
      <xdr:row>10</xdr:row>
      <xdr:rowOff>0</xdr:rowOff>
    </xdr:from>
    <xdr:to>
      <xdr:col>4</xdr:col>
      <xdr:colOff>770466</xdr:colOff>
      <xdr:row>10</xdr:row>
      <xdr:rowOff>186267</xdr:rowOff>
    </xdr:to>
    <xdr:sp macro="" textlink="">
      <xdr:nvSpPr>
        <xdr:cNvPr id="10" name="Rectangle 9" title="9.4.2 Exit Signs">
          <a:hlinkClick xmlns:r="http://schemas.openxmlformats.org/officeDocument/2006/relationships" r:id="rId9"/>
          <a:extLst>
            <a:ext uri="{FF2B5EF4-FFF2-40B4-BE49-F238E27FC236}">
              <a16:creationId xmlns:a16="http://schemas.microsoft.com/office/drawing/2014/main" id="{00000000-0008-0000-0700-00000F000000}"/>
            </a:ext>
          </a:extLst>
        </xdr:cNvPr>
        <xdr:cNvSpPr/>
      </xdr:nvSpPr>
      <xdr:spPr>
        <a:xfrm>
          <a:off x="1725083" y="1217083"/>
          <a:ext cx="1543050" cy="186267"/>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Step 8d</a:t>
          </a:r>
        </a:p>
      </xdr:txBody>
    </xdr:sp>
    <xdr:clientData/>
  </xdr:twoCellAnchor>
  <xdr:twoCellAnchor>
    <xdr:from>
      <xdr:col>3</xdr:col>
      <xdr:colOff>0</xdr:colOff>
      <xdr:row>6</xdr:row>
      <xdr:rowOff>0</xdr:rowOff>
    </xdr:from>
    <xdr:to>
      <xdr:col>4</xdr:col>
      <xdr:colOff>770466</xdr:colOff>
      <xdr:row>7</xdr:row>
      <xdr:rowOff>0</xdr:rowOff>
    </xdr:to>
    <xdr:sp macro="" textlink="">
      <xdr:nvSpPr>
        <xdr:cNvPr id="13" name="Rectangle 12" title="9.4.2 Exit Signs">
          <a:hlinkClick xmlns:r="http://schemas.openxmlformats.org/officeDocument/2006/relationships" r:id="rId10"/>
          <a:extLst>
            <a:ext uri="{FF2B5EF4-FFF2-40B4-BE49-F238E27FC236}">
              <a16:creationId xmlns:a16="http://schemas.microsoft.com/office/drawing/2014/main" id="{00000000-0008-0000-0800-000014000000}"/>
            </a:ext>
          </a:extLst>
        </xdr:cNvPr>
        <xdr:cNvSpPr/>
      </xdr:nvSpPr>
      <xdr:spPr>
        <a:xfrm>
          <a:off x="1725083" y="730250"/>
          <a:ext cx="154305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Step 8b</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12</xdr:row>
      <xdr:rowOff>0</xdr:rowOff>
    </xdr:from>
    <xdr:to>
      <xdr:col>5</xdr:col>
      <xdr:colOff>0</xdr:colOff>
      <xdr:row>13</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724025" y="1485900"/>
          <a:ext cx="1543050" cy="190500"/>
        </a:xfrm>
        <a:prstGeom prst="rect">
          <a:avLst/>
        </a:prstGeom>
        <a:solidFill>
          <a:schemeClr val="accent1">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1"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2</xdr:row>
      <xdr:rowOff>0</xdr:rowOff>
    </xdr:from>
    <xdr:to>
      <xdr:col>5</xdr:col>
      <xdr:colOff>0</xdr:colOff>
      <xdr:row>3</xdr:row>
      <xdr:rowOff>0</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724025" y="247650"/>
          <a:ext cx="154305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Top of Page</a:t>
          </a:r>
        </a:p>
      </xdr:txBody>
    </xdr:sp>
    <xdr:clientData/>
  </xdr:twoCellAnchor>
  <xdr:twoCellAnchor editAs="oneCell">
    <xdr:from>
      <xdr:col>1</xdr:col>
      <xdr:colOff>0</xdr:colOff>
      <xdr:row>1</xdr:row>
      <xdr:rowOff>0</xdr:rowOff>
    </xdr:from>
    <xdr:to>
      <xdr:col>2</xdr:col>
      <xdr:colOff>157163</xdr:colOff>
      <xdr:row>6</xdr:row>
      <xdr:rowOff>90488</xdr:rowOff>
    </xdr:to>
    <xdr:pic>
      <xdr:nvPicPr>
        <xdr:cNvPr id="4" name="Picture 3" descr="https://www.ashrae.org/Image%20Library/Static/logo_ashrae.png?code=72c4166c-fe1f-490d-abad-d16d2147f7f2">
          <a:hlinkClick xmlns:r="http://schemas.openxmlformats.org/officeDocument/2006/relationships" r:id="rId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0975" y="190500"/>
          <a:ext cx="928688"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159810</xdr:colOff>
      <xdr:row>7</xdr:row>
      <xdr:rowOff>4665</xdr:rowOff>
    </xdr:from>
    <xdr:to>
      <xdr:col>2</xdr:col>
      <xdr:colOff>622937</xdr:colOff>
      <xdr:row>10</xdr:row>
      <xdr:rowOff>162992</xdr:rowOff>
    </xdr:to>
    <xdr:pic>
      <xdr:nvPicPr>
        <xdr:cNvPr id="5" name="Picture 4">
          <a:hlinkClick xmlns:r="http://schemas.openxmlformats.org/officeDocument/2006/relationships" r:id="rId5"/>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74690" b="13515"/>
        <a:stretch/>
      </xdr:blipFill>
      <xdr:spPr>
        <a:xfrm>
          <a:off x="1112310" y="938115"/>
          <a:ext cx="463127" cy="463127"/>
        </a:xfrm>
        <a:prstGeom prst="rect">
          <a:avLst/>
        </a:prstGeom>
      </xdr:spPr>
    </xdr:pic>
    <xdr:clientData/>
  </xdr:twoCellAnchor>
  <xdr:twoCellAnchor>
    <xdr:from>
      <xdr:col>3</xdr:col>
      <xdr:colOff>0</xdr:colOff>
      <xdr:row>4</xdr:row>
      <xdr:rowOff>0</xdr:rowOff>
    </xdr:from>
    <xdr:to>
      <xdr:col>5</xdr:col>
      <xdr:colOff>0</xdr:colOff>
      <xdr:row>5</xdr:row>
      <xdr:rowOff>0</xdr:rowOff>
    </xdr:to>
    <xdr:sp macro="" textlink="">
      <xdr:nvSpPr>
        <xdr:cNvPr id="8" name="Rectangle 7" title="9.4.2 Exit Signs">
          <a:hlinkClick xmlns:r="http://schemas.openxmlformats.org/officeDocument/2006/relationships" r:id="rId7"/>
          <a:extLst>
            <a:ext uri="{FF2B5EF4-FFF2-40B4-BE49-F238E27FC236}">
              <a16:creationId xmlns:a16="http://schemas.microsoft.com/office/drawing/2014/main" id="{00000000-0008-0000-0000-000018000000}"/>
            </a:ext>
          </a:extLst>
        </xdr:cNvPr>
        <xdr:cNvSpPr/>
      </xdr:nvSpPr>
      <xdr:spPr>
        <a:xfrm>
          <a:off x="1724025" y="495300"/>
          <a:ext cx="1543050" cy="190500"/>
        </a:xfrm>
        <a:prstGeom prst="rect">
          <a:avLst/>
        </a:prstGeom>
        <a:solidFill>
          <a:schemeClr val="accent2">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Tradable Exterior</a:t>
          </a:r>
        </a:p>
      </xdr:txBody>
    </xdr:sp>
    <xdr:clientData/>
  </xdr:twoCellAnchor>
  <xdr:twoCellAnchor>
    <xdr:from>
      <xdr:col>3</xdr:col>
      <xdr:colOff>0</xdr:colOff>
      <xdr:row>5</xdr:row>
      <xdr:rowOff>57149</xdr:rowOff>
    </xdr:from>
    <xdr:to>
      <xdr:col>5</xdr:col>
      <xdr:colOff>0</xdr:colOff>
      <xdr:row>6</xdr:row>
      <xdr:rowOff>190498</xdr:rowOff>
    </xdr:to>
    <xdr:sp macro="" textlink="">
      <xdr:nvSpPr>
        <xdr:cNvPr id="9" name="Rectangle 8" title="9.4.2 Exit Signs">
          <a:hlinkClick xmlns:r="http://schemas.openxmlformats.org/officeDocument/2006/relationships" r:id="rId8"/>
          <a:extLst>
            <a:ext uri="{FF2B5EF4-FFF2-40B4-BE49-F238E27FC236}">
              <a16:creationId xmlns:a16="http://schemas.microsoft.com/office/drawing/2014/main" id="{00000000-0008-0000-0000-000019000000}"/>
            </a:ext>
          </a:extLst>
        </xdr:cNvPr>
        <xdr:cNvSpPr/>
      </xdr:nvSpPr>
      <xdr:spPr>
        <a:xfrm>
          <a:off x="1724025" y="742949"/>
          <a:ext cx="1543050" cy="190499"/>
        </a:xfrm>
        <a:prstGeom prst="rect">
          <a:avLst/>
        </a:prstGeom>
        <a:solidFill>
          <a:schemeClr val="accent2">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Nontradable Exterior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25</xdr:row>
      <xdr:rowOff>0</xdr:rowOff>
    </xdr:from>
    <xdr:to>
      <xdr:col>5</xdr:col>
      <xdr:colOff>238125</xdr:colOff>
      <xdr:row>26</xdr:row>
      <xdr:rowOff>0</xdr:rowOff>
    </xdr:to>
    <xdr:sp macro="" textlink="">
      <xdr:nvSpPr>
        <xdr:cNvPr id="7" name="Rectangle 6" title="9.4.2 Exit Signs">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942975" y="3919538"/>
          <a:ext cx="1752600" cy="166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Exit Sign</a:t>
          </a:r>
        </a:p>
      </xdr:txBody>
    </xdr:sp>
    <xdr:clientData/>
  </xdr:twoCellAnchor>
  <xdr:twoCellAnchor>
    <xdr:from>
      <xdr:col>1</xdr:col>
      <xdr:colOff>757236</xdr:colOff>
      <xdr:row>31</xdr:row>
      <xdr:rowOff>0</xdr:rowOff>
    </xdr:from>
    <xdr:to>
      <xdr:col>6</xdr:col>
      <xdr:colOff>0</xdr:colOff>
      <xdr:row>32</xdr:row>
      <xdr:rowOff>0</xdr:rowOff>
    </xdr:to>
    <xdr:sp macro="" textlink="">
      <xdr:nvSpPr>
        <xdr:cNvPr id="9" name="Rectangle 8" title="9.4.2 Exit Signs">
          <a:hlinkClick xmlns:r="http://schemas.openxmlformats.org/officeDocument/2006/relationships" r:id="rId2"/>
          <a:extLst>
            <a:ext uri="{FF2B5EF4-FFF2-40B4-BE49-F238E27FC236}">
              <a16:creationId xmlns:a16="http://schemas.microsoft.com/office/drawing/2014/main" id="{00000000-0008-0000-0300-000009000000}"/>
            </a:ext>
          </a:extLst>
        </xdr:cNvPr>
        <xdr:cNvSpPr/>
      </xdr:nvSpPr>
      <xdr:spPr>
        <a:xfrm>
          <a:off x="942974" y="4733925"/>
          <a:ext cx="2509839" cy="1666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Create Luminaire Schedule</a:t>
          </a:r>
        </a:p>
      </xdr:txBody>
    </xdr:sp>
    <xdr:clientData/>
  </xdr:twoCellAnchor>
  <xdr:twoCellAnchor>
    <xdr:from>
      <xdr:col>3</xdr:col>
      <xdr:colOff>0</xdr:colOff>
      <xdr:row>12</xdr:row>
      <xdr:rowOff>0</xdr:rowOff>
    </xdr:from>
    <xdr:to>
      <xdr:col>5</xdr:col>
      <xdr:colOff>0</xdr:colOff>
      <xdr:row>13</xdr:row>
      <xdr:rowOff>0</xdr:rowOff>
    </xdr:to>
    <xdr:sp macro="" textlink="">
      <xdr:nvSpPr>
        <xdr:cNvPr id="11" name="Rectangle 10" title="9.4.2 Exit Signs">
          <a:hlinkClick xmlns:r="http://schemas.openxmlformats.org/officeDocument/2006/relationships" r:id="rId3"/>
          <a:extLst>
            <a:ext uri="{FF2B5EF4-FFF2-40B4-BE49-F238E27FC236}">
              <a16:creationId xmlns:a16="http://schemas.microsoft.com/office/drawing/2014/main" id="{00000000-0008-0000-0300-00000B000000}"/>
            </a:ext>
          </a:extLst>
        </xdr:cNvPr>
        <xdr:cNvSpPr/>
      </xdr:nvSpPr>
      <xdr:spPr>
        <a:xfrm>
          <a:off x="1699461" y="1518987"/>
          <a:ext cx="1513973" cy="190500"/>
        </a:xfrm>
        <a:prstGeom prst="rect">
          <a:avLst/>
        </a:prstGeom>
        <a:solidFill>
          <a:schemeClr val="accent1">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2</xdr:row>
      <xdr:rowOff>0</xdr:rowOff>
    </xdr:from>
    <xdr:to>
      <xdr:col>5</xdr:col>
      <xdr:colOff>0</xdr:colOff>
      <xdr:row>3</xdr:row>
      <xdr:rowOff>0</xdr:rowOff>
    </xdr:to>
    <xdr:sp macro="" textlink="">
      <xdr:nvSpPr>
        <xdr:cNvPr id="14" name="Rectangle 13" title="9.4.2 Exit Signs">
          <a:hlinkClick xmlns:r="http://schemas.openxmlformats.org/officeDocument/2006/relationships" r:id="rId4"/>
          <a:extLst>
            <a:ext uri="{FF2B5EF4-FFF2-40B4-BE49-F238E27FC236}">
              <a16:creationId xmlns:a16="http://schemas.microsoft.com/office/drawing/2014/main" id="{00000000-0008-0000-0300-00000E000000}"/>
            </a:ext>
          </a:extLst>
        </xdr:cNvPr>
        <xdr:cNvSpPr/>
      </xdr:nvSpPr>
      <xdr:spPr>
        <a:xfrm>
          <a:off x="1699461" y="253165"/>
          <a:ext cx="1513973"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3</xdr:col>
      <xdr:colOff>0</xdr:colOff>
      <xdr:row>4</xdr:row>
      <xdr:rowOff>1</xdr:rowOff>
    </xdr:from>
    <xdr:to>
      <xdr:col>5</xdr:col>
      <xdr:colOff>0</xdr:colOff>
      <xdr:row>5</xdr:row>
      <xdr:rowOff>0</xdr:rowOff>
    </xdr:to>
    <xdr:sp macro="" textlink="">
      <xdr:nvSpPr>
        <xdr:cNvPr id="15" name="Rectangle 14" title="9.4.2 Exit Signs">
          <a:hlinkClick xmlns:r="http://schemas.openxmlformats.org/officeDocument/2006/relationships" r:id="rId1"/>
          <a:extLst>
            <a:ext uri="{FF2B5EF4-FFF2-40B4-BE49-F238E27FC236}">
              <a16:creationId xmlns:a16="http://schemas.microsoft.com/office/drawing/2014/main" id="{00000000-0008-0000-0300-00000F000000}"/>
            </a:ext>
          </a:extLst>
        </xdr:cNvPr>
        <xdr:cNvSpPr/>
      </xdr:nvSpPr>
      <xdr:spPr>
        <a:xfrm>
          <a:off x="1699461" y="506330"/>
          <a:ext cx="1513973" cy="190499"/>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Exit</a:t>
          </a:r>
          <a:r>
            <a:rPr lang="en-US" sz="900" b="0" u="none" baseline="0">
              <a:solidFill>
                <a:srgbClr val="0000FF"/>
              </a:solidFill>
              <a:latin typeface="Arial" panose="020B0604020202020204" pitchFamily="34" charset="0"/>
              <a:cs typeface="Arial" panose="020B0604020202020204" pitchFamily="34" charset="0"/>
            </a:rPr>
            <a:t> Sign</a:t>
          </a:r>
          <a:endParaRPr lang="en-US" sz="900" b="0" u="none">
            <a:solidFill>
              <a:srgbClr val="0000FF"/>
            </a:solidFill>
            <a:latin typeface="Arial" panose="020B0604020202020204" pitchFamily="34" charset="0"/>
            <a:cs typeface="Arial" panose="020B0604020202020204" pitchFamily="34" charset="0"/>
          </a:endParaRPr>
        </a:p>
      </xdr:txBody>
    </xdr:sp>
    <xdr:clientData/>
  </xdr:twoCellAnchor>
  <xdr:twoCellAnchor>
    <xdr:from>
      <xdr:col>3</xdr:col>
      <xdr:colOff>0</xdr:colOff>
      <xdr:row>6</xdr:row>
      <xdr:rowOff>0</xdr:rowOff>
    </xdr:from>
    <xdr:to>
      <xdr:col>5</xdr:col>
      <xdr:colOff>0</xdr:colOff>
      <xdr:row>7</xdr:row>
      <xdr:rowOff>0</xdr:rowOff>
    </xdr:to>
    <xdr:sp macro="" textlink="">
      <xdr:nvSpPr>
        <xdr:cNvPr id="16" name="Rectangle 15" title="9.4.2 Exit Signs">
          <a:hlinkClick xmlns:r="http://schemas.openxmlformats.org/officeDocument/2006/relationships" r:id="rId2"/>
          <a:extLst>
            <a:ext uri="{FF2B5EF4-FFF2-40B4-BE49-F238E27FC236}">
              <a16:creationId xmlns:a16="http://schemas.microsoft.com/office/drawing/2014/main" id="{00000000-0008-0000-0300-000010000000}"/>
            </a:ext>
          </a:extLst>
        </xdr:cNvPr>
        <xdr:cNvSpPr/>
      </xdr:nvSpPr>
      <xdr:spPr>
        <a:xfrm>
          <a:off x="1699461" y="759494"/>
          <a:ext cx="1513973"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Luminaire</a:t>
          </a:r>
        </a:p>
      </xdr:txBody>
    </xdr:sp>
    <xdr:clientData/>
  </xdr:twoCellAnchor>
  <xdr:twoCellAnchor editAs="oneCell">
    <xdr:from>
      <xdr:col>2</xdr:col>
      <xdr:colOff>0</xdr:colOff>
      <xdr:row>7</xdr:row>
      <xdr:rowOff>0</xdr:rowOff>
    </xdr:from>
    <xdr:to>
      <xdr:col>2</xdr:col>
      <xdr:colOff>463127</xdr:colOff>
      <xdr:row>10</xdr:row>
      <xdr:rowOff>24225</xdr:rowOff>
    </xdr:to>
    <xdr:pic>
      <xdr:nvPicPr>
        <xdr:cNvPr id="21" name="Picture 20">
          <a:hlinkClick xmlns:r="http://schemas.openxmlformats.org/officeDocument/2006/relationships" r:id="rId5"/>
          <a:extLst>
            <a:ext uri="{FF2B5EF4-FFF2-40B4-BE49-F238E27FC236}">
              <a16:creationId xmlns:a16="http://schemas.microsoft.com/office/drawing/2014/main" id="{00000000-0008-0000-0300-000015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74690" b="13515"/>
        <a:stretch/>
      </xdr:blipFill>
      <xdr:spPr>
        <a:xfrm>
          <a:off x="942474" y="949994"/>
          <a:ext cx="463127" cy="463879"/>
        </a:xfrm>
        <a:prstGeom prst="rect">
          <a:avLst/>
        </a:prstGeom>
      </xdr:spPr>
    </xdr:pic>
    <xdr:clientData/>
  </xdr:twoCellAnchor>
  <xdr:twoCellAnchor editAs="oneCell">
    <xdr:from>
      <xdr:col>1</xdr:col>
      <xdr:colOff>0</xdr:colOff>
      <xdr:row>1</xdr:row>
      <xdr:rowOff>0</xdr:rowOff>
    </xdr:from>
    <xdr:to>
      <xdr:col>2</xdr:col>
      <xdr:colOff>239244</xdr:colOff>
      <xdr:row>6</xdr:row>
      <xdr:rowOff>90134</xdr:rowOff>
    </xdr:to>
    <xdr:pic>
      <xdr:nvPicPr>
        <xdr:cNvPr id="19" name="Picture 18" descr="https://www.ashrae.org/Image%20Library/Static/logo_ashrae.png?code=72c4166c-fe1f-490d-abad-d16d2147f7f2">
          <a:hlinkClick xmlns:r="http://schemas.openxmlformats.org/officeDocument/2006/relationships" r:id="rId7"/>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5487" y="190500"/>
          <a:ext cx="996231" cy="659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10</xdr:row>
      <xdr:rowOff>0</xdr:rowOff>
    </xdr:from>
    <xdr:to>
      <xdr:col>5</xdr:col>
      <xdr:colOff>0</xdr:colOff>
      <xdr:row>11</xdr:row>
      <xdr:rowOff>4234</xdr:rowOff>
    </xdr:to>
    <xdr:sp macro="" textlink="">
      <xdr:nvSpPr>
        <xdr:cNvPr id="12" name="Rectangle 11" title="9.4.2 Exit Signs">
          <a:hlinkClick xmlns:r="http://schemas.openxmlformats.org/officeDocument/2006/relationships" r:id="rId9"/>
          <a:extLst>
            <a:ext uri="{FF2B5EF4-FFF2-40B4-BE49-F238E27FC236}">
              <a16:creationId xmlns:a16="http://schemas.microsoft.com/office/drawing/2014/main" id="{00000000-0008-0000-0300-00000C000000}"/>
            </a:ext>
          </a:extLst>
        </xdr:cNvPr>
        <xdr:cNvSpPr/>
      </xdr:nvSpPr>
      <xdr:spPr>
        <a:xfrm>
          <a:off x="1581150" y="1365250"/>
          <a:ext cx="1409700" cy="194734"/>
        </a:xfrm>
        <a:prstGeom prst="rect">
          <a:avLst/>
        </a:prstGeom>
        <a:solidFill>
          <a:schemeClr val="accent6">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Exterior Room Schedule</a:t>
          </a:r>
        </a:p>
      </xdr:txBody>
    </xdr:sp>
    <xdr:clientData/>
  </xdr:twoCellAnchor>
  <xdr:twoCellAnchor>
    <xdr:from>
      <xdr:col>3</xdr:col>
      <xdr:colOff>0</xdr:colOff>
      <xdr:row>8</xdr:row>
      <xdr:rowOff>122766</xdr:rowOff>
    </xdr:from>
    <xdr:to>
      <xdr:col>5</xdr:col>
      <xdr:colOff>0</xdr:colOff>
      <xdr:row>9</xdr:row>
      <xdr:rowOff>0</xdr:rowOff>
    </xdr:to>
    <xdr:sp macro="" textlink="">
      <xdr:nvSpPr>
        <xdr:cNvPr id="17" name="Rectangle 16" title="9.4.2 Exit Signs">
          <a:hlinkClick xmlns:r="http://schemas.openxmlformats.org/officeDocument/2006/relationships" r:id="rId10"/>
          <a:extLst>
            <a:ext uri="{FF2B5EF4-FFF2-40B4-BE49-F238E27FC236}">
              <a16:creationId xmlns:a16="http://schemas.microsoft.com/office/drawing/2014/main" id="{00000000-0008-0000-0300-000011000000}"/>
            </a:ext>
          </a:extLst>
        </xdr:cNvPr>
        <xdr:cNvSpPr/>
      </xdr:nvSpPr>
      <xdr:spPr>
        <a:xfrm>
          <a:off x="1581150" y="1113366"/>
          <a:ext cx="1409700" cy="194734"/>
        </a:xfrm>
        <a:prstGeom prst="rect">
          <a:avLst/>
        </a:prstGeom>
        <a:solidFill>
          <a:schemeClr val="accent6">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Interior Room Schedule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4</xdr:row>
      <xdr:rowOff>0</xdr:rowOff>
    </xdr:from>
    <xdr:to>
      <xdr:col>5</xdr:col>
      <xdr:colOff>0</xdr:colOff>
      <xdr:row>5</xdr:row>
      <xdr:rowOff>1059</xdr:rowOff>
    </xdr:to>
    <xdr:sp macro="" textlink="">
      <xdr:nvSpPr>
        <xdr:cNvPr id="7" name="Rectangle 6" title="9.4.2 Exit Signs">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1700213" y="504825"/>
          <a:ext cx="1514475" cy="191559"/>
        </a:xfrm>
        <a:prstGeom prst="rect">
          <a:avLst/>
        </a:prstGeom>
        <a:solidFill>
          <a:schemeClr val="accent4">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chemeClr val="bg1"/>
              </a:solidFill>
              <a:latin typeface="Arial" panose="020B0604020202020204" pitchFamily="34" charset="0"/>
              <a:cs typeface="Arial" panose="020B0604020202020204" pitchFamily="34" charset="0"/>
            </a:rPr>
            <a:t>Building Area Method Installed Lighting</a:t>
          </a:r>
        </a:p>
      </xdr:txBody>
    </xdr:sp>
    <xdr:clientData/>
  </xdr:twoCellAnchor>
  <xdr:twoCellAnchor>
    <xdr:from>
      <xdr:col>1</xdr:col>
      <xdr:colOff>0</xdr:colOff>
      <xdr:row>22</xdr:row>
      <xdr:rowOff>0</xdr:rowOff>
    </xdr:from>
    <xdr:to>
      <xdr:col>6</xdr:col>
      <xdr:colOff>0</xdr:colOff>
      <xdr:row>23</xdr:row>
      <xdr:rowOff>0</xdr:rowOff>
    </xdr:to>
    <xdr:sp macro="" textlink="">
      <xdr:nvSpPr>
        <xdr:cNvPr id="10" name="Rectangle 9" title="9.4.2 Exit Signs">
          <a:hlinkClick xmlns:r="http://schemas.openxmlformats.org/officeDocument/2006/relationships" r:id="rId2"/>
          <a:extLst>
            <a:ext uri="{FF2B5EF4-FFF2-40B4-BE49-F238E27FC236}">
              <a16:creationId xmlns:a16="http://schemas.microsoft.com/office/drawing/2014/main" id="{00000000-0008-0000-0400-00000A000000}"/>
            </a:ext>
          </a:extLst>
        </xdr:cNvPr>
        <xdr:cNvSpPr/>
      </xdr:nvSpPr>
      <xdr:spPr>
        <a:xfrm>
          <a:off x="185738" y="3100388"/>
          <a:ext cx="3214687"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Create "</a:t>
          </a:r>
          <a:r>
            <a:rPr lang="en-US" sz="1000" b="0" u="sng">
              <a:solidFill>
                <a:srgbClr val="0000FF"/>
              </a:solidFill>
              <a:latin typeface="Arial" panose="020B0604020202020204" pitchFamily="34" charset="0"/>
              <a:cs typeface="Arial" panose="020B0604020202020204" pitchFamily="34" charset="0"/>
            </a:rPr>
            <a:t>Building Area Method" </a:t>
          </a:r>
          <a:r>
            <a:rPr lang="en-US" sz="1000" u="sng">
              <a:solidFill>
                <a:srgbClr val="0000FF"/>
              </a:solidFill>
              <a:latin typeface="Arial" panose="020B0604020202020204" pitchFamily="34" charset="0"/>
              <a:cs typeface="Arial" panose="020B0604020202020204" pitchFamily="34" charset="0"/>
            </a:rPr>
            <a:t>Interior</a:t>
          </a:r>
          <a:r>
            <a:rPr lang="en-US" sz="1000" u="sng" baseline="0">
              <a:solidFill>
                <a:srgbClr val="0000FF"/>
              </a:solidFill>
              <a:latin typeface="Arial" panose="020B0604020202020204" pitchFamily="34" charset="0"/>
              <a:cs typeface="Arial" panose="020B0604020202020204" pitchFamily="34" charset="0"/>
            </a:rPr>
            <a:t> Areas</a:t>
          </a:r>
          <a:endParaRPr lang="en-US" sz="10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3</xdr:col>
      <xdr:colOff>1</xdr:colOff>
      <xdr:row>12</xdr:row>
      <xdr:rowOff>0</xdr:rowOff>
    </xdr:from>
    <xdr:to>
      <xdr:col>5</xdr:col>
      <xdr:colOff>1</xdr:colOff>
      <xdr:row>13</xdr:row>
      <xdr:rowOff>0</xdr:rowOff>
    </xdr:to>
    <xdr:sp macro="" textlink="">
      <xdr:nvSpPr>
        <xdr:cNvPr id="15" name="Rectangle 14" title="9.4.2 Exit Signs">
          <a:hlinkClick xmlns:r="http://schemas.openxmlformats.org/officeDocument/2006/relationships" r:id="rId3"/>
          <a:extLst>
            <a:ext uri="{FF2B5EF4-FFF2-40B4-BE49-F238E27FC236}">
              <a16:creationId xmlns:a16="http://schemas.microsoft.com/office/drawing/2014/main" id="{00000000-0008-0000-0400-00000F000000}"/>
            </a:ext>
          </a:extLst>
        </xdr:cNvPr>
        <xdr:cNvSpPr/>
      </xdr:nvSpPr>
      <xdr:spPr>
        <a:xfrm>
          <a:off x="1697692" y="1512794"/>
          <a:ext cx="1512794" cy="190500"/>
        </a:xfrm>
        <a:prstGeom prst="rect">
          <a:avLst/>
        </a:prstGeom>
        <a:solidFill>
          <a:schemeClr val="accent1">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1</xdr:col>
      <xdr:colOff>0</xdr:colOff>
      <xdr:row>30</xdr:row>
      <xdr:rowOff>0</xdr:rowOff>
    </xdr:from>
    <xdr:to>
      <xdr:col>6</xdr:col>
      <xdr:colOff>0</xdr:colOff>
      <xdr:row>31</xdr:row>
      <xdr:rowOff>0</xdr:rowOff>
    </xdr:to>
    <xdr:sp macro="" textlink="">
      <xdr:nvSpPr>
        <xdr:cNvPr id="12" name="Rectangle 11" title="9.4.2 Exit Signs">
          <a:hlinkClick xmlns:r="http://schemas.openxmlformats.org/officeDocument/2006/relationships" r:id="rId4"/>
          <a:extLst>
            <a:ext uri="{FF2B5EF4-FFF2-40B4-BE49-F238E27FC236}">
              <a16:creationId xmlns:a16="http://schemas.microsoft.com/office/drawing/2014/main" id="{00000000-0008-0000-0400-00000C000000}"/>
            </a:ext>
          </a:extLst>
        </xdr:cNvPr>
        <xdr:cNvSpPr/>
      </xdr:nvSpPr>
      <xdr:spPr>
        <a:xfrm>
          <a:off x="185738" y="4395788"/>
          <a:ext cx="3214687"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Create "</a:t>
          </a:r>
          <a:r>
            <a:rPr lang="en-US" sz="1000" b="0" u="sng">
              <a:solidFill>
                <a:srgbClr val="0000FF"/>
              </a:solidFill>
              <a:latin typeface="Arial" panose="020B0604020202020204" pitchFamily="34" charset="0"/>
              <a:cs typeface="Arial" panose="020B0604020202020204" pitchFamily="34" charset="0"/>
            </a:rPr>
            <a:t>Space by Space Method" </a:t>
          </a:r>
          <a:r>
            <a:rPr lang="en-US" sz="1000" u="sng">
              <a:solidFill>
                <a:srgbClr val="0000FF"/>
              </a:solidFill>
              <a:latin typeface="Arial" panose="020B0604020202020204" pitchFamily="34" charset="0"/>
              <a:cs typeface="Arial" panose="020B0604020202020204" pitchFamily="34" charset="0"/>
            </a:rPr>
            <a:t>Interior</a:t>
          </a:r>
          <a:r>
            <a:rPr lang="en-US" sz="1000" u="sng" baseline="0">
              <a:solidFill>
                <a:srgbClr val="0000FF"/>
              </a:solidFill>
              <a:latin typeface="Arial" panose="020B0604020202020204" pitchFamily="34" charset="0"/>
              <a:cs typeface="Arial" panose="020B0604020202020204" pitchFamily="34" charset="0"/>
            </a:rPr>
            <a:t> Spaces</a:t>
          </a:r>
          <a:endParaRPr lang="en-US" sz="10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3</xdr:col>
      <xdr:colOff>0</xdr:colOff>
      <xdr:row>6</xdr:row>
      <xdr:rowOff>0</xdr:rowOff>
    </xdr:from>
    <xdr:to>
      <xdr:col>5</xdr:col>
      <xdr:colOff>0</xdr:colOff>
      <xdr:row>7</xdr:row>
      <xdr:rowOff>0</xdr:rowOff>
    </xdr:to>
    <xdr:sp macro="" textlink="">
      <xdr:nvSpPr>
        <xdr:cNvPr id="13" name="Rectangle 12" title="9.4.2 Exit Signs">
          <a:hlinkClick xmlns:r="http://schemas.openxmlformats.org/officeDocument/2006/relationships" r:id="rId5"/>
          <a:extLst>
            <a:ext uri="{FF2B5EF4-FFF2-40B4-BE49-F238E27FC236}">
              <a16:creationId xmlns:a16="http://schemas.microsoft.com/office/drawing/2014/main" id="{00000000-0008-0000-0400-00000D000000}"/>
            </a:ext>
          </a:extLst>
        </xdr:cNvPr>
        <xdr:cNvSpPr/>
      </xdr:nvSpPr>
      <xdr:spPr>
        <a:xfrm>
          <a:off x="1700213" y="757238"/>
          <a:ext cx="1514475"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chemeClr val="bg1"/>
              </a:solidFill>
              <a:latin typeface="Arial" panose="020B0604020202020204" pitchFamily="34" charset="0"/>
              <a:cs typeface="Arial" panose="020B0604020202020204" pitchFamily="34" charset="0"/>
            </a:rPr>
            <a:t>Space by Space Method Installed Lighting</a:t>
          </a:r>
        </a:p>
      </xdr:txBody>
    </xdr:sp>
    <xdr:clientData/>
  </xdr:twoCellAnchor>
  <xdr:twoCellAnchor>
    <xdr:from>
      <xdr:col>0</xdr:col>
      <xdr:colOff>166688</xdr:colOff>
      <xdr:row>27</xdr:row>
      <xdr:rowOff>0</xdr:rowOff>
    </xdr:from>
    <xdr:to>
      <xdr:col>6</xdr:col>
      <xdr:colOff>0</xdr:colOff>
      <xdr:row>28</xdr:row>
      <xdr:rowOff>0</xdr:rowOff>
    </xdr:to>
    <xdr:sp macro="" textlink="">
      <xdr:nvSpPr>
        <xdr:cNvPr id="11" name="Rectangle 10" title="9.4.2 Exit Signs">
          <a:hlinkClick xmlns:r="http://schemas.openxmlformats.org/officeDocument/2006/relationships" r:id="rId6"/>
          <a:extLst>
            <a:ext uri="{FF2B5EF4-FFF2-40B4-BE49-F238E27FC236}">
              <a16:creationId xmlns:a16="http://schemas.microsoft.com/office/drawing/2014/main" id="{00000000-0008-0000-0400-00000B000000}"/>
            </a:ext>
          </a:extLst>
        </xdr:cNvPr>
        <xdr:cNvSpPr/>
      </xdr:nvSpPr>
      <xdr:spPr>
        <a:xfrm>
          <a:off x="166688" y="3910013"/>
          <a:ext cx="3233737"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Link to  "</a:t>
          </a:r>
          <a:r>
            <a:rPr lang="en-US" sz="1000" b="0" u="sng">
              <a:solidFill>
                <a:srgbClr val="0000FF"/>
              </a:solidFill>
              <a:latin typeface="Arial" panose="020B0604020202020204" pitchFamily="34" charset="0"/>
              <a:cs typeface="Arial" panose="020B0604020202020204" pitchFamily="34" charset="0"/>
            </a:rPr>
            <a:t>Building Area Method" </a:t>
          </a:r>
          <a:r>
            <a:rPr lang="en-US" sz="1000" u="sng">
              <a:solidFill>
                <a:srgbClr val="0000FF"/>
              </a:solidFill>
              <a:latin typeface="Arial" panose="020B0604020202020204" pitchFamily="34" charset="0"/>
              <a:cs typeface="Arial" panose="020B0604020202020204" pitchFamily="34" charset="0"/>
            </a:rPr>
            <a:t>Installed Lighting</a:t>
          </a:r>
        </a:p>
      </xdr:txBody>
    </xdr:sp>
    <xdr:clientData/>
  </xdr:twoCellAnchor>
  <xdr:twoCellAnchor>
    <xdr:from>
      <xdr:col>1</xdr:col>
      <xdr:colOff>0</xdr:colOff>
      <xdr:row>35</xdr:row>
      <xdr:rowOff>0</xdr:rowOff>
    </xdr:from>
    <xdr:to>
      <xdr:col>6</xdr:col>
      <xdr:colOff>0</xdr:colOff>
      <xdr:row>36</xdr:row>
      <xdr:rowOff>1</xdr:rowOff>
    </xdr:to>
    <xdr:sp macro="" textlink="">
      <xdr:nvSpPr>
        <xdr:cNvPr id="14" name="Rectangle 13" title="9.4.2 Exit Signs">
          <a:hlinkClick xmlns:r="http://schemas.openxmlformats.org/officeDocument/2006/relationships" r:id="rId5"/>
          <a:extLst>
            <a:ext uri="{FF2B5EF4-FFF2-40B4-BE49-F238E27FC236}">
              <a16:creationId xmlns:a16="http://schemas.microsoft.com/office/drawing/2014/main" id="{00000000-0008-0000-0400-00000E000000}"/>
            </a:ext>
          </a:extLst>
        </xdr:cNvPr>
        <xdr:cNvSpPr/>
      </xdr:nvSpPr>
      <xdr:spPr>
        <a:xfrm>
          <a:off x="187325" y="5216525"/>
          <a:ext cx="3222625" cy="1619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Link to "</a:t>
          </a:r>
          <a:r>
            <a:rPr lang="en-US" sz="1000" b="0" u="sng">
              <a:solidFill>
                <a:srgbClr val="0000FF"/>
              </a:solidFill>
              <a:latin typeface="Arial" panose="020B0604020202020204" pitchFamily="34" charset="0"/>
              <a:cs typeface="Arial" panose="020B0604020202020204" pitchFamily="34" charset="0"/>
            </a:rPr>
            <a:t>Space by Space Method" </a:t>
          </a:r>
          <a:r>
            <a:rPr lang="en-US" sz="1000" u="sng">
              <a:solidFill>
                <a:srgbClr val="0000FF"/>
              </a:solidFill>
              <a:latin typeface="Arial" panose="020B0604020202020204" pitchFamily="34" charset="0"/>
              <a:cs typeface="Arial" panose="020B0604020202020204" pitchFamily="34" charset="0"/>
            </a:rPr>
            <a:t>Installed Lighting</a:t>
          </a:r>
        </a:p>
      </xdr:txBody>
    </xdr:sp>
    <xdr:clientData/>
  </xdr:twoCellAnchor>
  <xdr:twoCellAnchor editAs="oneCell">
    <xdr:from>
      <xdr:col>1</xdr:col>
      <xdr:colOff>0</xdr:colOff>
      <xdr:row>0</xdr:row>
      <xdr:rowOff>184897</xdr:rowOff>
    </xdr:from>
    <xdr:to>
      <xdr:col>2</xdr:col>
      <xdr:colOff>237285</xdr:colOff>
      <xdr:row>6</xdr:row>
      <xdr:rowOff>71126</xdr:rowOff>
    </xdr:to>
    <xdr:pic>
      <xdr:nvPicPr>
        <xdr:cNvPr id="20" name="Picture 19" descr="https://www.ashrae.org/Image%20Library/Static/logo_ashrae.png?code=72c4166c-fe1f-490d-abad-d16d2147f7f2">
          <a:hlinkClick xmlns:r="http://schemas.openxmlformats.org/officeDocument/2006/relationships" r:id="rId7"/>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4897" y="184897"/>
          <a:ext cx="993682" cy="642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xdr:row>
      <xdr:rowOff>0</xdr:rowOff>
    </xdr:from>
    <xdr:to>
      <xdr:col>2</xdr:col>
      <xdr:colOff>463127</xdr:colOff>
      <xdr:row>10</xdr:row>
      <xdr:rowOff>148802</xdr:rowOff>
    </xdr:to>
    <xdr:pic>
      <xdr:nvPicPr>
        <xdr:cNvPr id="21" name="Picture 20">
          <a:hlinkClick xmlns:r="http://schemas.openxmlformats.org/officeDocument/2006/relationships" r:id="rId9"/>
          <a:extLst>
            <a:ext uri="{FF2B5EF4-FFF2-40B4-BE49-F238E27FC236}">
              <a16:creationId xmlns:a16="http://schemas.microsoft.com/office/drawing/2014/main" id="{00000000-0008-0000-0400-000015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r="74690" b="13515"/>
        <a:stretch/>
      </xdr:blipFill>
      <xdr:spPr>
        <a:xfrm>
          <a:off x="941294" y="946897"/>
          <a:ext cx="463127" cy="462567"/>
        </a:xfrm>
        <a:prstGeom prst="rect">
          <a:avLst/>
        </a:prstGeom>
      </xdr:spPr>
    </xdr:pic>
    <xdr:clientData/>
  </xdr:twoCellAnchor>
  <xdr:twoCellAnchor>
    <xdr:from>
      <xdr:col>3</xdr:col>
      <xdr:colOff>0</xdr:colOff>
      <xdr:row>1</xdr:row>
      <xdr:rowOff>60854</xdr:rowOff>
    </xdr:from>
    <xdr:to>
      <xdr:col>5</xdr:col>
      <xdr:colOff>0</xdr:colOff>
      <xdr:row>3</xdr:row>
      <xdr:rowOff>0</xdr:rowOff>
    </xdr:to>
    <xdr:sp macro="" textlink="">
      <xdr:nvSpPr>
        <xdr:cNvPr id="19" name="Rectangle 18" title="9.4.2 Exit Signs">
          <a:hlinkClick xmlns:r="http://schemas.openxmlformats.org/officeDocument/2006/relationships" r:id="rId11"/>
          <a:extLst>
            <a:ext uri="{FF2B5EF4-FFF2-40B4-BE49-F238E27FC236}">
              <a16:creationId xmlns:a16="http://schemas.microsoft.com/office/drawing/2014/main" id="{00000000-0008-0000-0400-000013000000}"/>
            </a:ext>
          </a:extLst>
        </xdr:cNvPr>
        <xdr:cNvSpPr/>
      </xdr:nvSpPr>
      <xdr:spPr>
        <a:xfrm>
          <a:off x="1700213" y="251354"/>
          <a:ext cx="1514475" cy="191559"/>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3</xdr:col>
      <xdr:colOff>0</xdr:colOff>
      <xdr:row>10</xdr:row>
      <xdr:rowOff>0</xdr:rowOff>
    </xdr:from>
    <xdr:to>
      <xdr:col>5</xdr:col>
      <xdr:colOff>0</xdr:colOff>
      <xdr:row>11</xdr:row>
      <xdr:rowOff>0</xdr:rowOff>
    </xdr:to>
    <xdr:sp macro="" textlink="">
      <xdr:nvSpPr>
        <xdr:cNvPr id="17" name="Rectangle 16" title="9.4.2 Exit Signs">
          <a:hlinkClick xmlns:r="http://schemas.openxmlformats.org/officeDocument/2006/relationships" r:id="rId12"/>
          <a:extLst>
            <a:ext uri="{FF2B5EF4-FFF2-40B4-BE49-F238E27FC236}">
              <a16:creationId xmlns:a16="http://schemas.microsoft.com/office/drawing/2014/main" id="{00000000-0008-0000-0400-000011000000}"/>
            </a:ext>
          </a:extLst>
        </xdr:cNvPr>
        <xdr:cNvSpPr/>
      </xdr:nvSpPr>
      <xdr:spPr>
        <a:xfrm>
          <a:off x="1581150" y="1238250"/>
          <a:ext cx="1409700" cy="190500"/>
        </a:xfrm>
        <a:prstGeom prst="rect">
          <a:avLst/>
        </a:prstGeom>
        <a:solidFill>
          <a:schemeClr val="accent6">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chemeClr val="bg1"/>
              </a:solidFill>
              <a:latin typeface="Arial" panose="020B0604020202020204" pitchFamily="34" charset="0"/>
              <a:cs typeface="Arial" panose="020B0604020202020204" pitchFamily="34" charset="0"/>
            </a:rPr>
            <a:t>Luminaire schedule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57</xdr:row>
      <xdr:rowOff>4762</xdr:rowOff>
    </xdr:from>
    <xdr:to>
      <xdr:col>1</xdr:col>
      <xdr:colOff>0</xdr:colOff>
      <xdr:row>58</xdr:row>
      <xdr:rowOff>0</xdr:rowOff>
    </xdr:to>
    <xdr:sp macro="" textlink="">
      <xdr:nvSpPr>
        <xdr:cNvPr id="19" name="Rectangle 18" title="9.4.2 Exit Signs">
          <a:hlinkClick xmlns:r="http://schemas.openxmlformats.org/officeDocument/2006/relationships" r:id="rId1"/>
          <a:extLst>
            <a:ext uri="{FF2B5EF4-FFF2-40B4-BE49-F238E27FC236}">
              <a16:creationId xmlns:a16="http://schemas.microsoft.com/office/drawing/2014/main" id="{00000000-0008-0000-0500-000013000000}"/>
            </a:ext>
          </a:extLst>
        </xdr:cNvPr>
        <xdr:cNvSpPr/>
      </xdr:nvSpPr>
      <xdr:spPr>
        <a:xfrm>
          <a:off x="0" y="16125825"/>
          <a:ext cx="185738" cy="36909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lang="en-US" sz="10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43</xdr:col>
      <xdr:colOff>0</xdr:colOff>
      <xdr:row>14</xdr:row>
      <xdr:rowOff>1</xdr:rowOff>
    </xdr:from>
    <xdr:to>
      <xdr:col>44</xdr:col>
      <xdr:colOff>0</xdr:colOff>
      <xdr:row>16</xdr:row>
      <xdr:rowOff>357187</xdr:rowOff>
    </xdr:to>
    <xdr:sp macro="" textlink="">
      <xdr:nvSpPr>
        <xdr:cNvPr id="22" name="Rectangle 21" title="9.4.2 Exit Signs">
          <a:hlinkClick xmlns:r="http://schemas.openxmlformats.org/officeDocument/2006/relationships" r:id="rId2"/>
          <a:extLst>
            <a:ext uri="{FF2B5EF4-FFF2-40B4-BE49-F238E27FC236}">
              <a16:creationId xmlns:a16="http://schemas.microsoft.com/office/drawing/2014/main" id="{00000000-0008-0000-0500-000016000000}"/>
            </a:ext>
          </a:extLst>
        </xdr:cNvPr>
        <xdr:cNvSpPr/>
      </xdr:nvSpPr>
      <xdr:spPr>
        <a:xfrm>
          <a:off x="17297400" y="1743076"/>
          <a:ext cx="828675" cy="5238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Link to 9.4.2 </a:t>
          </a:r>
        </a:p>
        <a:p>
          <a:pPr algn="ctr"/>
          <a:r>
            <a:rPr lang="en-US" sz="800" u="sng">
              <a:solidFill>
                <a:srgbClr val="0000FF"/>
              </a:solidFill>
              <a:latin typeface="Arial" panose="020B0604020202020204" pitchFamily="34" charset="0"/>
              <a:cs typeface="Arial" panose="020B0604020202020204" pitchFamily="34" charset="0"/>
            </a:rPr>
            <a:t>Exit Sign Requirements</a:t>
          </a:r>
        </a:p>
      </xdr:txBody>
    </xdr:sp>
    <xdr:clientData/>
  </xdr:twoCellAnchor>
  <xdr:twoCellAnchor>
    <xdr:from>
      <xdr:col>4</xdr:col>
      <xdr:colOff>1</xdr:colOff>
      <xdr:row>2</xdr:row>
      <xdr:rowOff>1</xdr:rowOff>
    </xdr:from>
    <xdr:to>
      <xdr:col>6</xdr:col>
      <xdr:colOff>1</xdr:colOff>
      <xdr:row>3</xdr:row>
      <xdr:rowOff>1</xdr:rowOff>
    </xdr:to>
    <xdr:sp macro="" textlink="">
      <xdr:nvSpPr>
        <xdr:cNvPr id="28" name="Rectangle 27" title="9.4.2 Exit Signs">
          <a:hlinkClick xmlns:r="http://schemas.openxmlformats.org/officeDocument/2006/relationships" r:id="rId3"/>
          <a:extLst>
            <a:ext uri="{FF2B5EF4-FFF2-40B4-BE49-F238E27FC236}">
              <a16:creationId xmlns:a16="http://schemas.microsoft.com/office/drawing/2014/main" id="{00000000-0008-0000-0500-00001C000000}"/>
            </a:ext>
          </a:extLst>
        </xdr:cNvPr>
        <xdr:cNvSpPr/>
      </xdr:nvSpPr>
      <xdr:spPr>
        <a:xfrm>
          <a:off x="1734912" y="244930"/>
          <a:ext cx="1415143"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4</xdr:col>
      <xdr:colOff>1</xdr:colOff>
      <xdr:row>10</xdr:row>
      <xdr:rowOff>0</xdr:rowOff>
    </xdr:from>
    <xdr:to>
      <xdr:col>6</xdr:col>
      <xdr:colOff>1</xdr:colOff>
      <xdr:row>11</xdr:row>
      <xdr:rowOff>0</xdr:rowOff>
    </xdr:to>
    <xdr:sp macro="" textlink="">
      <xdr:nvSpPr>
        <xdr:cNvPr id="30" name="Rectangle 29" title="9.4.2 Exit Signs">
          <a:hlinkClick xmlns:r="http://schemas.openxmlformats.org/officeDocument/2006/relationships" r:id="rId4"/>
          <a:extLst>
            <a:ext uri="{FF2B5EF4-FFF2-40B4-BE49-F238E27FC236}">
              <a16:creationId xmlns:a16="http://schemas.microsoft.com/office/drawing/2014/main" id="{00000000-0008-0000-0500-00001E000000}"/>
            </a:ext>
          </a:extLst>
        </xdr:cNvPr>
        <xdr:cNvSpPr/>
      </xdr:nvSpPr>
      <xdr:spPr>
        <a:xfrm>
          <a:off x="1862389" y="1137987"/>
          <a:ext cx="1513974" cy="162928"/>
        </a:xfrm>
        <a:prstGeom prst="rect">
          <a:avLst/>
        </a:prstGeom>
        <a:solidFill>
          <a:schemeClr val="accent6">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chemeClr val="bg1"/>
              </a:solidFill>
              <a:latin typeface="Arial" panose="020B0604020202020204" pitchFamily="34" charset="0"/>
              <a:cs typeface="Arial" panose="020B0604020202020204" pitchFamily="34" charset="0"/>
            </a:rPr>
            <a:t>Interior Room Schedule</a:t>
          </a:r>
        </a:p>
      </xdr:txBody>
    </xdr:sp>
    <xdr:clientData/>
  </xdr:twoCellAnchor>
  <xdr:twoCellAnchor>
    <xdr:from>
      <xdr:col>3</xdr:col>
      <xdr:colOff>756986</xdr:colOff>
      <xdr:row>12</xdr:row>
      <xdr:rowOff>0</xdr:rowOff>
    </xdr:from>
    <xdr:to>
      <xdr:col>6</xdr:col>
      <xdr:colOff>0</xdr:colOff>
      <xdr:row>12</xdr:row>
      <xdr:rowOff>170447</xdr:rowOff>
    </xdr:to>
    <xdr:sp macro="" textlink="">
      <xdr:nvSpPr>
        <xdr:cNvPr id="31" name="Rectangle 30" title="9.4.2 Exit Signs">
          <a:hlinkClick xmlns:r="http://schemas.openxmlformats.org/officeDocument/2006/relationships" r:id="rId5"/>
          <a:extLst>
            <a:ext uri="{FF2B5EF4-FFF2-40B4-BE49-F238E27FC236}">
              <a16:creationId xmlns:a16="http://schemas.microsoft.com/office/drawing/2014/main" id="{00000000-0008-0000-0500-00001F000000}"/>
            </a:ext>
          </a:extLst>
        </xdr:cNvPr>
        <xdr:cNvSpPr/>
      </xdr:nvSpPr>
      <xdr:spPr>
        <a:xfrm>
          <a:off x="1862388" y="1363579"/>
          <a:ext cx="1513974" cy="170447"/>
        </a:xfrm>
        <a:prstGeom prst="rect">
          <a:avLst/>
        </a:prstGeom>
        <a:solidFill>
          <a:schemeClr val="accent1">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editAs="oneCell">
    <xdr:from>
      <xdr:col>1</xdr:col>
      <xdr:colOff>0</xdr:colOff>
      <xdr:row>1</xdr:row>
      <xdr:rowOff>0</xdr:rowOff>
    </xdr:from>
    <xdr:to>
      <xdr:col>3</xdr:col>
      <xdr:colOff>76202</xdr:colOff>
      <xdr:row>6</xdr:row>
      <xdr:rowOff>89793</xdr:rowOff>
    </xdr:to>
    <xdr:pic>
      <xdr:nvPicPr>
        <xdr:cNvPr id="48" name="Picture 47" descr="https://www.ashrae.org/Image%20Library/Static/logo_ashrae.png?code=72c4166c-fe1f-490d-abad-d16d2147f7f2">
          <a:hlinkClick xmlns:r="http://schemas.openxmlformats.org/officeDocument/2006/relationships" r:id="rId6"/>
          <a:extLst>
            <a:ext uri="{FF2B5EF4-FFF2-40B4-BE49-F238E27FC236}">
              <a16:creationId xmlns:a16="http://schemas.microsoft.com/office/drawing/2014/main" id="{00000000-0008-0000-0500-000030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5487" y="167941"/>
          <a:ext cx="996117" cy="660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3</xdr:col>
      <xdr:colOff>463127</xdr:colOff>
      <xdr:row>10</xdr:row>
      <xdr:rowOff>152049</xdr:rowOff>
    </xdr:to>
    <xdr:pic>
      <xdr:nvPicPr>
        <xdr:cNvPr id="49" name="Picture 48">
          <a:hlinkClick xmlns:r="http://schemas.openxmlformats.org/officeDocument/2006/relationships" r:id="rId8"/>
          <a:extLst>
            <a:ext uri="{FF2B5EF4-FFF2-40B4-BE49-F238E27FC236}">
              <a16:creationId xmlns:a16="http://schemas.microsoft.com/office/drawing/2014/main" id="{00000000-0008-0000-0500-00003100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r="74690" b="13515"/>
        <a:stretch/>
      </xdr:blipFill>
      <xdr:spPr>
        <a:xfrm>
          <a:off x="1105402" y="849731"/>
          <a:ext cx="463127" cy="469017"/>
        </a:xfrm>
        <a:prstGeom prst="rect">
          <a:avLst/>
        </a:prstGeom>
      </xdr:spPr>
    </xdr:pic>
    <xdr:clientData/>
  </xdr:twoCellAnchor>
  <xdr:twoCellAnchor>
    <xdr:from>
      <xdr:col>4</xdr:col>
      <xdr:colOff>1789</xdr:colOff>
      <xdr:row>4</xdr:row>
      <xdr:rowOff>0</xdr:rowOff>
    </xdr:from>
    <xdr:to>
      <xdr:col>6</xdr:col>
      <xdr:colOff>0</xdr:colOff>
      <xdr:row>5</xdr:row>
      <xdr:rowOff>0</xdr:rowOff>
    </xdr:to>
    <xdr:sp macro="" textlink="">
      <xdr:nvSpPr>
        <xdr:cNvPr id="10" name="Rectangle 9" title="9.4.2 Exit Signs">
          <a:hlinkClick xmlns:r="http://schemas.openxmlformats.org/officeDocument/2006/relationships" r:id="rId3"/>
          <a:extLst>
            <a:ext uri="{FF2B5EF4-FFF2-40B4-BE49-F238E27FC236}">
              <a16:creationId xmlns:a16="http://schemas.microsoft.com/office/drawing/2014/main" id="{00000000-0008-0000-0500-00000A000000}"/>
            </a:ext>
          </a:extLst>
        </xdr:cNvPr>
        <xdr:cNvSpPr/>
      </xdr:nvSpPr>
      <xdr:spPr>
        <a:xfrm>
          <a:off x="1736700" y="489857"/>
          <a:ext cx="1413354"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Installed Interior Lighting</a:t>
          </a:r>
        </a:p>
      </xdr:txBody>
    </xdr:sp>
    <xdr:clientData/>
  </xdr:twoCellAnchor>
  <xdr:twoCellAnchor>
    <xdr:from>
      <xdr:col>4</xdr:col>
      <xdr:colOff>5821</xdr:colOff>
      <xdr:row>6</xdr:row>
      <xdr:rowOff>0</xdr:rowOff>
    </xdr:from>
    <xdr:to>
      <xdr:col>6</xdr:col>
      <xdr:colOff>1</xdr:colOff>
      <xdr:row>7</xdr:row>
      <xdr:rowOff>0</xdr:rowOff>
    </xdr:to>
    <xdr:sp macro="" textlink="">
      <xdr:nvSpPr>
        <xdr:cNvPr id="12" name="Rectangle 11" title="9.4.2 Exit Signs">
          <a:hlinkClick xmlns:r="http://schemas.openxmlformats.org/officeDocument/2006/relationships" r:id="rId10"/>
          <a:extLst>
            <a:ext uri="{FF2B5EF4-FFF2-40B4-BE49-F238E27FC236}">
              <a16:creationId xmlns:a16="http://schemas.microsoft.com/office/drawing/2014/main" id="{00000000-0008-0000-0500-00000C000000}"/>
            </a:ext>
          </a:extLst>
        </xdr:cNvPr>
        <xdr:cNvSpPr/>
      </xdr:nvSpPr>
      <xdr:spPr>
        <a:xfrm>
          <a:off x="1740732" y="734786"/>
          <a:ext cx="1409323"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Controls</a:t>
          </a:r>
        </a:p>
      </xdr:txBody>
    </xdr:sp>
    <xdr:clientData/>
  </xdr:twoCellAnchor>
  <xdr:twoCellAnchor>
    <xdr:from>
      <xdr:col>4</xdr:col>
      <xdr:colOff>0</xdr:colOff>
      <xdr:row>8</xdr:row>
      <xdr:rowOff>0</xdr:rowOff>
    </xdr:from>
    <xdr:to>
      <xdr:col>6</xdr:col>
      <xdr:colOff>0</xdr:colOff>
      <xdr:row>9</xdr:row>
      <xdr:rowOff>0</xdr:rowOff>
    </xdr:to>
    <xdr:sp macro="" textlink="">
      <xdr:nvSpPr>
        <xdr:cNvPr id="11" name="Rectangle 10" title="9.4.2 Exit Signs">
          <a:hlinkClick xmlns:r="http://schemas.openxmlformats.org/officeDocument/2006/relationships" r:id="rId11"/>
          <a:extLst>
            <a:ext uri="{FF2B5EF4-FFF2-40B4-BE49-F238E27FC236}">
              <a16:creationId xmlns:a16="http://schemas.microsoft.com/office/drawing/2014/main" id="{00000000-0008-0000-0500-00000B000000}"/>
            </a:ext>
          </a:extLst>
        </xdr:cNvPr>
        <xdr:cNvSpPr/>
      </xdr:nvSpPr>
      <xdr:spPr>
        <a:xfrm>
          <a:off x="1733550" y="990600"/>
          <a:ext cx="1409700" cy="190500"/>
        </a:xfrm>
        <a:prstGeom prst="rect">
          <a:avLst/>
        </a:prstGeom>
        <a:solidFill>
          <a:schemeClr val="accent6">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chemeClr val="bg1"/>
              </a:solidFill>
              <a:latin typeface="Arial" panose="020B0604020202020204" pitchFamily="34" charset="0"/>
              <a:cs typeface="Arial" panose="020B0604020202020204" pitchFamily="34" charset="0"/>
            </a:rPr>
            <a:t>Luminaire schedule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0</xdr:colOff>
      <xdr:row>16</xdr:row>
      <xdr:rowOff>0</xdr:rowOff>
    </xdr:from>
    <xdr:to>
      <xdr:col>18</xdr:col>
      <xdr:colOff>0</xdr:colOff>
      <xdr:row>17</xdr:row>
      <xdr:rowOff>0</xdr:rowOff>
    </xdr:to>
    <xdr:sp macro="" textlink="">
      <xdr:nvSpPr>
        <xdr:cNvPr id="64" name="Rectangle 63" title="9.4.2 Exit Signs">
          <a:hlinkClick xmlns:r="http://schemas.openxmlformats.org/officeDocument/2006/relationships" r:id="rId1"/>
          <a:extLst>
            <a:ext uri="{FF2B5EF4-FFF2-40B4-BE49-F238E27FC236}">
              <a16:creationId xmlns:a16="http://schemas.microsoft.com/office/drawing/2014/main" id="{00000000-0008-0000-0600-000040000000}"/>
            </a:ext>
          </a:extLst>
        </xdr:cNvPr>
        <xdr:cNvSpPr/>
      </xdr:nvSpPr>
      <xdr:spPr>
        <a:xfrm>
          <a:off x="8810625" y="2143125"/>
          <a:ext cx="2486025" cy="214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i="1" u="sng">
              <a:solidFill>
                <a:srgbClr val="0000FF"/>
              </a:solidFill>
              <a:latin typeface="Arial" panose="020B0604020202020204" pitchFamily="34" charset="0"/>
              <a:cs typeface="Arial" panose="020B0604020202020204" pitchFamily="34" charset="0"/>
            </a:rPr>
            <a:t>Click for Space by Space (step-c)</a:t>
          </a:r>
        </a:p>
      </xdr:txBody>
    </xdr:sp>
    <xdr:clientData/>
  </xdr:twoCellAnchor>
  <xdr:twoCellAnchor>
    <xdr:from>
      <xdr:col>11</xdr:col>
      <xdr:colOff>1</xdr:colOff>
      <xdr:row>16</xdr:row>
      <xdr:rowOff>0</xdr:rowOff>
    </xdr:from>
    <xdr:to>
      <xdr:col>12</xdr:col>
      <xdr:colOff>0</xdr:colOff>
      <xdr:row>17</xdr:row>
      <xdr:rowOff>171449</xdr:rowOff>
    </xdr:to>
    <xdr:sp macro="" textlink="">
      <xdr:nvSpPr>
        <xdr:cNvPr id="65" name="Rectangle 64" title="9.4.2 Exit Signs">
          <a:hlinkClick xmlns:r="http://schemas.openxmlformats.org/officeDocument/2006/relationships" r:id="rId2"/>
          <a:extLst>
            <a:ext uri="{FF2B5EF4-FFF2-40B4-BE49-F238E27FC236}">
              <a16:creationId xmlns:a16="http://schemas.microsoft.com/office/drawing/2014/main" id="{00000000-0008-0000-0600-000041000000}"/>
            </a:ext>
          </a:extLst>
        </xdr:cNvPr>
        <xdr:cNvSpPr/>
      </xdr:nvSpPr>
      <xdr:spPr>
        <a:xfrm>
          <a:off x="6638926" y="2214563"/>
          <a:ext cx="828674" cy="500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i="1" u="sng">
              <a:solidFill>
                <a:srgbClr val="0000FF"/>
              </a:solidFill>
              <a:latin typeface="Arial" panose="020B0604020202020204" pitchFamily="34" charset="0"/>
              <a:cs typeface="Arial" panose="020B0604020202020204" pitchFamily="34" charset="0"/>
            </a:rPr>
            <a:t>Click for RCR Calculator</a:t>
          </a:r>
        </a:p>
      </xdr:txBody>
    </xdr:sp>
    <xdr:clientData/>
  </xdr:twoCellAnchor>
  <xdr:twoCellAnchor>
    <xdr:from>
      <xdr:col>18</xdr:col>
      <xdr:colOff>0</xdr:colOff>
      <xdr:row>16</xdr:row>
      <xdr:rowOff>0</xdr:rowOff>
    </xdr:from>
    <xdr:to>
      <xdr:col>21</xdr:col>
      <xdr:colOff>0</xdr:colOff>
      <xdr:row>17</xdr:row>
      <xdr:rowOff>0</xdr:rowOff>
    </xdr:to>
    <xdr:sp macro="" textlink="">
      <xdr:nvSpPr>
        <xdr:cNvPr id="66" name="Rectangle 65" title="9.4.2 Exit Signs">
          <a:hlinkClick xmlns:r="http://schemas.openxmlformats.org/officeDocument/2006/relationships" r:id="rId3"/>
          <a:extLst>
            <a:ext uri="{FF2B5EF4-FFF2-40B4-BE49-F238E27FC236}">
              <a16:creationId xmlns:a16="http://schemas.microsoft.com/office/drawing/2014/main" id="{00000000-0008-0000-0600-000042000000}"/>
            </a:ext>
          </a:extLst>
        </xdr:cNvPr>
        <xdr:cNvSpPr/>
      </xdr:nvSpPr>
      <xdr:spPr>
        <a:xfrm>
          <a:off x="11296650" y="2143125"/>
          <a:ext cx="2486025" cy="214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i="1" u="sng">
              <a:solidFill>
                <a:srgbClr val="0000FF"/>
              </a:solidFill>
              <a:latin typeface="Arial" panose="020B0604020202020204" pitchFamily="34" charset="0"/>
              <a:cs typeface="Arial" panose="020B0604020202020204" pitchFamily="34" charset="0"/>
            </a:rPr>
            <a:t>Click for Space by Space (step-d)</a:t>
          </a:r>
        </a:p>
      </xdr:txBody>
    </xdr:sp>
    <xdr:clientData/>
  </xdr:twoCellAnchor>
  <xdr:twoCellAnchor>
    <xdr:from>
      <xdr:col>3</xdr:col>
      <xdr:colOff>0</xdr:colOff>
      <xdr:row>12</xdr:row>
      <xdr:rowOff>0</xdr:rowOff>
    </xdr:from>
    <xdr:to>
      <xdr:col>5</xdr:col>
      <xdr:colOff>0</xdr:colOff>
      <xdr:row>13</xdr:row>
      <xdr:rowOff>0</xdr:rowOff>
    </xdr:to>
    <xdr:sp macro="" textlink="">
      <xdr:nvSpPr>
        <xdr:cNvPr id="35" name="Rectangle 34" title="9.4.2 Exit Signs">
          <a:hlinkClick xmlns:r="http://schemas.openxmlformats.org/officeDocument/2006/relationships" r:id="rId4"/>
          <a:extLst>
            <a:ext uri="{FF2B5EF4-FFF2-40B4-BE49-F238E27FC236}">
              <a16:creationId xmlns:a16="http://schemas.microsoft.com/office/drawing/2014/main" id="{00000000-0008-0000-0600-000023000000}"/>
            </a:ext>
          </a:extLst>
        </xdr:cNvPr>
        <xdr:cNvSpPr/>
      </xdr:nvSpPr>
      <xdr:spPr>
        <a:xfrm>
          <a:off x="1733550" y="1485900"/>
          <a:ext cx="1562100" cy="190500"/>
        </a:xfrm>
        <a:prstGeom prst="rect">
          <a:avLst/>
        </a:prstGeom>
        <a:solidFill>
          <a:schemeClr val="accent1">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1"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2</xdr:row>
      <xdr:rowOff>0</xdr:rowOff>
    </xdr:from>
    <xdr:to>
      <xdr:col>5</xdr:col>
      <xdr:colOff>0</xdr:colOff>
      <xdr:row>3</xdr:row>
      <xdr:rowOff>0</xdr:rowOff>
    </xdr:to>
    <xdr:sp macro="" textlink="">
      <xdr:nvSpPr>
        <xdr:cNvPr id="37" name="Rectangle 36" title="9.4.2 Exit Signs">
          <a:hlinkClick xmlns:r="http://schemas.openxmlformats.org/officeDocument/2006/relationships" r:id="rId5"/>
          <a:extLst>
            <a:ext uri="{FF2B5EF4-FFF2-40B4-BE49-F238E27FC236}">
              <a16:creationId xmlns:a16="http://schemas.microsoft.com/office/drawing/2014/main" id="{00000000-0008-0000-0600-000025000000}"/>
            </a:ext>
          </a:extLst>
        </xdr:cNvPr>
        <xdr:cNvSpPr/>
      </xdr:nvSpPr>
      <xdr:spPr>
        <a:xfrm>
          <a:off x="1733550" y="247650"/>
          <a:ext cx="156210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16</xdr:col>
      <xdr:colOff>0</xdr:colOff>
      <xdr:row>73</xdr:row>
      <xdr:rowOff>152400</xdr:rowOff>
    </xdr:from>
    <xdr:to>
      <xdr:col>17</xdr:col>
      <xdr:colOff>0</xdr:colOff>
      <xdr:row>74</xdr:row>
      <xdr:rowOff>0</xdr:rowOff>
    </xdr:to>
    <xdr:sp macro="" textlink="#REF!">
      <xdr:nvSpPr>
        <xdr:cNvPr id="3" name="Rectangle 2">
          <a:extLst>
            <a:ext uri="{FF2B5EF4-FFF2-40B4-BE49-F238E27FC236}">
              <a16:creationId xmlns:a16="http://schemas.microsoft.com/office/drawing/2014/main" id="{00000000-0008-0000-0600-000003000000}"/>
            </a:ext>
          </a:extLst>
        </xdr:cNvPr>
        <xdr:cNvSpPr/>
      </xdr:nvSpPr>
      <xdr:spPr>
        <a:xfrm>
          <a:off x="10591800" y="5238750"/>
          <a:ext cx="909637" cy="1666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2294B685-A62C-4FF6-B07B-84B706D882B1}" type="TxLink">
            <a:rPr lang="en-US" sz="800" b="0" i="0" u="sng" strike="noStrike">
              <a:solidFill>
                <a:srgbClr val="0000FF"/>
              </a:solidFill>
              <a:latin typeface="Arial"/>
              <a:cs typeface="Arial"/>
            </a:rPr>
            <a:pPr algn="ctr"/>
            <a:t> </a:t>
          </a:fld>
          <a:endParaRPr lang="en-US" sz="1100"/>
        </a:p>
      </xdr:txBody>
    </xdr:sp>
    <xdr:clientData/>
  </xdr:twoCellAnchor>
  <xdr:twoCellAnchor editAs="oneCell">
    <xdr:from>
      <xdr:col>0</xdr:col>
      <xdr:colOff>142875</xdr:colOff>
      <xdr:row>0</xdr:row>
      <xdr:rowOff>152400</xdr:rowOff>
    </xdr:from>
    <xdr:to>
      <xdr:col>2</xdr:col>
      <xdr:colOff>119063</xdr:colOff>
      <xdr:row>6</xdr:row>
      <xdr:rowOff>52388</xdr:rowOff>
    </xdr:to>
    <xdr:pic>
      <xdr:nvPicPr>
        <xdr:cNvPr id="20" name="Picture 19" descr="https://www.ashrae.org/Image%20Library/Static/logo_ashrae.png?code=72c4166c-fe1f-490d-abad-d16d2147f7f2">
          <a:hlinkClick xmlns:r="http://schemas.openxmlformats.org/officeDocument/2006/relationships" r:id="rId6"/>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2875" y="152400"/>
          <a:ext cx="928688"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47627</xdr:colOff>
      <xdr:row>6</xdr:row>
      <xdr:rowOff>157065</xdr:rowOff>
    </xdr:from>
    <xdr:to>
      <xdr:col>2</xdr:col>
      <xdr:colOff>510754</xdr:colOff>
      <xdr:row>10</xdr:row>
      <xdr:rowOff>124892</xdr:rowOff>
    </xdr:to>
    <xdr:pic>
      <xdr:nvPicPr>
        <xdr:cNvPr id="22" name="Picture 21">
          <a:hlinkClick xmlns:r="http://schemas.openxmlformats.org/officeDocument/2006/relationships" r:id="rId8"/>
          <a:extLst>
            <a:ext uri="{FF2B5EF4-FFF2-40B4-BE49-F238E27FC236}">
              <a16:creationId xmlns:a16="http://schemas.microsoft.com/office/drawing/2014/main" id="{00000000-0008-0000-0600-00001600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r="74690" b="13515"/>
        <a:stretch/>
      </xdr:blipFill>
      <xdr:spPr>
        <a:xfrm>
          <a:off x="1000127" y="785715"/>
          <a:ext cx="463127" cy="463127"/>
        </a:xfrm>
        <a:prstGeom prst="rect">
          <a:avLst/>
        </a:prstGeom>
      </xdr:spPr>
    </xdr:pic>
    <xdr:clientData/>
  </xdr:twoCellAnchor>
  <xdr:twoCellAnchor>
    <xdr:from>
      <xdr:col>3</xdr:col>
      <xdr:colOff>0</xdr:colOff>
      <xdr:row>10</xdr:row>
      <xdr:rowOff>0</xdr:rowOff>
    </xdr:from>
    <xdr:to>
      <xdr:col>5</xdr:col>
      <xdr:colOff>0</xdr:colOff>
      <xdr:row>11</xdr:row>
      <xdr:rowOff>0</xdr:rowOff>
    </xdr:to>
    <xdr:sp macro="" textlink="">
      <xdr:nvSpPr>
        <xdr:cNvPr id="13" name="Rectangle 12" title="9.4.2 Exit Signs">
          <a:hlinkClick xmlns:r="http://schemas.openxmlformats.org/officeDocument/2006/relationships" r:id="rId10"/>
          <a:extLst>
            <a:ext uri="{FF2B5EF4-FFF2-40B4-BE49-F238E27FC236}">
              <a16:creationId xmlns:a16="http://schemas.microsoft.com/office/drawing/2014/main" id="{00000000-0008-0000-0000-00001A000000}"/>
            </a:ext>
          </a:extLst>
        </xdr:cNvPr>
        <xdr:cNvSpPr/>
      </xdr:nvSpPr>
      <xdr:spPr>
        <a:xfrm>
          <a:off x="1733550" y="1238250"/>
          <a:ext cx="1562100" cy="190500"/>
        </a:xfrm>
        <a:prstGeom prst="rect">
          <a:avLst/>
        </a:prstGeom>
        <a:solidFill>
          <a:schemeClr val="accent1">
            <a:lumMod val="60000"/>
            <a:lumOff val="40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ysClr val="windowText" lastClr="000000"/>
              </a:solidFill>
              <a:latin typeface="Arial" panose="020B0604020202020204" pitchFamily="34" charset="0"/>
              <a:cs typeface="Arial" panose="020B0604020202020204" pitchFamily="34" charset="0"/>
            </a:rPr>
            <a:t>SpxSp Compliance Details</a:t>
          </a:r>
        </a:p>
      </xdr:txBody>
    </xdr:sp>
    <xdr:clientData/>
  </xdr:twoCellAnchor>
  <xdr:twoCellAnchor>
    <xdr:from>
      <xdr:col>3</xdr:col>
      <xdr:colOff>0</xdr:colOff>
      <xdr:row>6</xdr:row>
      <xdr:rowOff>0</xdr:rowOff>
    </xdr:from>
    <xdr:to>
      <xdr:col>5</xdr:col>
      <xdr:colOff>0</xdr:colOff>
      <xdr:row>7</xdr:row>
      <xdr:rowOff>0</xdr:rowOff>
    </xdr:to>
    <xdr:sp macro="" textlink="">
      <xdr:nvSpPr>
        <xdr:cNvPr id="14" name="Rectangle 13" title="9.4.2 Exit Signs">
          <a:hlinkClick xmlns:r="http://schemas.openxmlformats.org/officeDocument/2006/relationships" r:id="rId1"/>
          <a:extLst>
            <a:ext uri="{FF2B5EF4-FFF2-40B4-BE49-F238E27FC236}">
              <a16:creationId xmlns:a16="http://schemas.microsoft.com/office/drawing/2014/main" id="{00000000-0008-0000-0000-000016000000}"/>
            </a:ext>
          </a:extLst>
        </xdr:cNvPr>
        <xdr:cNvSpPr/>
      </xdr:nvSpPr>
      <xdr:spPr>
        <a:xfrm>
          <a:off x="1733550" y="742950"/>
          <a:ext cx="156210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(step-c) - Decorative</a:t>
          </a:r>
        </a:p>
      </xdr:txBody>
    </xdr:sp>
    <xdr:clientData/>
  </xdr:twoCellAnchor>
  <xdr:twoCellAnchor>
    <xdr:from>
      <xdr:col>3</xdr:col>
      <xdr:colOff>0</xdr:colOff>
      <xdr:row>8</xdr:row>
      <xdr:rowOff>0</xdr:rowOff>
    </xdr:from>
    <xdr:to>
      <xdr:col>5</xdr:col>
      <xdr:colOff>0</xdr:colOff>
      <xdr:row>9</xdr:row>
      <xdr:rowOff>0</xdr:rowOff>
    </xdr:to>
    <xdr:sp macro="" textlink="">
      <xdr:nvSpPr>
        <xdr:cNvPr id="15" name="Rectangle 14" title="9.4.2 Exit Signs">
          <a:hlinkClick xmlns:r="http://schemas.openxmlformats.org/officeDocument/2006/relationships" r:id="rId3"/>
          <a:extLst>
            <a:ext uri="{FF2B5EF4-FFF2-40B4-BE49-F238E27FC236}">
              <a16:creationId xmlns:a16="http://schemas.microsoft.com/office/drawing/2014/main" id="{00000000-0008-0000-0000-000017000000}"/>
            </a:ext>
          </a:extLst>
        </xdr:cNvPr>
        <xdr:cNvSpPr/>
      </xdr:nvSpPr>
      <xdr:spPr>
        <a:xfrm>
          <a:off x="1733550" y="990600"/>
          <a:ext cx="156210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(step-d) - Retail</a:t>
          </a:r>
        </a:p>
      </xdr:txBody>
    </xdr:sp>
    <xdr:clientData/>
  </xdr:twoCellAnchor>
  <xdr:twoCellAnchor>
    <xdr:from>
      <xdr:col>3</xdr:col>
      <xdr:colOff>1</xdr:colOff>
      <xdr:row>4</xdr:row>
      <xdr:rowOff>0</xdr:rowOff>
    </xdr:from>
    <xdr:to>
      <xdr:col>5</xdr:col>
      <xdr:colOff>1</xdr:colOff>
      <xdr:row>5</xdr:row>
      <xdr:rowOff>0</xdr:rowOff>
    </xdr:to>
    <xdr:sp macro="" textlink="">
      <xdr:nvSpPr>
        <xdr:cNvPr id="25" name="Rectangle 24" title="9.4.2 Exit Signs">
          <a:hlinkClick xmlns:r="http://schemas.openxmlformats.org/officeDocument/2006/relationships" r:id="rId11"/>
          <a:extLst>
            <a:ext uri="{FF2B5EF4-FFF2-40B4-BE49-F238E27FC236}">
              <a16:creationId xmlns:a16="http://schemas.microsoft.com/office/drawing/2014/main" id="{00000000-0008-0000-0000-000015000000}"/>
            </a:ext>
          </a:extLst>
        </xdr:cNvPr>
        <xdr:cNvSpPr/>
      </xdr:nvSpPr>
      <xdr:spPr>
        <a:xfrm>
          <a:off x="1733551" y="495300"/>
          <a:ext cx="156210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(step-b) - Space/Control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0</xdr:colOff>
      <xdr:row>19</xdr:row>
      <xdr:rowOff>0</xdr:rowOff>
    </xdr:from>
    <xdr:to>
      <xdr:col>12</xdr:col>
      <xdr:colOff>566738</xdr:colOff>
      <xdr:row>40</xdr:row>
      <xdr:rowOff>28575</xdr:rowOff>
    </xdr:to>
    <xdr:pic>
      <xdr:nvPicPr>
        <xdr:cNvPr id="7301" name="Picture 1">
          <a:extLst>
            <a:ext uri="{FF2B5EF4-FFF2-40B4-BE49-F238E27FC236}">
              <a16:creationId xmlns:a16="http://schemas.microsoft.com/office/drawing/2014/main" id="{00000000-0008-0000-0F00-00008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2819400"/>
          <a:ext cx="3424238"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12</xdr:row>
      <xdr:rowOff>1</xdr:rowOff>
    </xdr:from>
    <xdr:to>
      <xdr:col>5</xdr:col>
      <xdr:colOff>0</xdr:colOff>
      <xdr:row>13</xdr:row>
      <xdr:rowOff>0</xdr:rowOff>
    </xdr:to>
    <xdr:sp macro="" textlink="">
      <xdr:nvSpPr>
        <xdr:cNvPr id="7" name="Rectangle 6" title="9.4.2 Exit Signs">
          <a:hlinkClick xmlns:r="http://schemas.openxmlformats.org/officeDocument/2006/relationships" r:id="rId2"/>
          <a:extLst>
            <a:ext uri="{FF2B5EF4-FFF2-40B4-BE49-F238E27FC236}">
              <a16:creationId xmlns:a16="http://schemas.microsoft.com/office/drawing/2014/main" id="{00000000-0008-0000-0D00-000006000000}"/>
            </a:ext>
          </a:extLst>
        </xdr:cNvPr>
        <xdr:cNvSpPr/>
      </xdr:nvSpPr>
      <xdr:spPr>
        <a:xfrm>
          <a:off x="1609725" y="1485901"/>
          <a:ext cx="1428750" cy="190499"/>
        </a:xfrm>
        <a:prstGeom prst="rect">
          <a:avLst/>
        </a:prstGeom>
        <a:solidFill>
          <a:schemeClr val="accent1">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1"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editAs="oneCell">
    <xdr:from>
      <xdr:col>1</xdr:col>
      <xdr:colOff>0</xdr:colOff>
      <xdr:row>1</xdr:row>
      <xdr:rowOff>0</xdr:rowOff>
    </xdr:from>
    <xdr:to>
      <xdr:col>2</xdr:col>
      <xdr:colOff>219076</xdr:colOff>
      <xdr:row>6</xdr:row>
      <xdr:rowOff>90488</xdr:rowOff>
    </xdr:to>
    <xdr:pic>
      <xdr:nvPicPr>
        <xdr:cNvPr id="8" name="Picture 7" descr="https://www.ashrae.org/Image%20Library/Static/logo_ashrae.png?code=72c4166c-fe1f-490d-abad-d16d2147f7f2">
          <a:hlinkClick xmlns:r="http://schemas.openxmlformats.org/officeDocument/2006/relationships" r:id="rId3"/>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0975" y="190500"/>
          <a:ext cx="933451"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171452</xdr:colOff>
      <xdr:row>7</xdr:row>
      <xdr:rowOff>23715</xdr:rowOff>
    </xdr:from>
    <xdr:to>
      <xdr:col>2</xdr:col>
      <xdr:colOff>634579</xdr:colOff>
      <xdr:row>10</xdr:row>
      <xdr:rowOff>182042</xdr:rowOff>
    </xdr:to>
    <xdr:pic>
      <xdr:nvPicPr>
        <xdr:cNvPr id="9" name="Picture 8">
          <a:hlinkClick xmlns:r="http://schemas.openxmlformats.org/officeDocument/2006/relationships" r:id="rId5"/>
          <a:extLst>
            <a:ext uri="{FF2B5EF4-FFF2-40B4-BE49-F238E27FC236}">
              <a16:creationId xmlns:a16="http://schemas.microsoft.com/office/drawing/2014/main" id="{00000000-0008-0000-0D00-00000A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74690" b="13515"/>
        <a:stretch/>
      </xdr:blipFill>
      <xdr:spPr>
        <a:xfrm>
          <a:off x="962027" y="957165"/>
          <a:ext cx="463127" cy="463127"/>
        </a:xfrm>
        <a:prstGeom prst="rect">
          <a:avLst/>
        </a:prstGeom>
      </xdr:spPr>
    </xdr:pic>
    <xdr:clientData/>
  </xdr:twoCellAnchor>
  <xdr:twoCellAnchor>
    <xdr:from>
      <xdr:col>3</xdr:col>
      <xdr:colOff>0</xdr:colOff>
      <xdr:row>2</xdr:row>
      <xdr:rowOff>0</xdr:rowOff>
    </xdr:from>
    <xdr:to>
      <xdr:col>5</xdr:col>
      <xdr:colOff>0</xdr:colOff>
      <xdr:row>3</xdr:row>
      <xdr:rowOff>0</xdr:rowOff>
    </xdr:to>
    <xdr:sp macro="" textlink="">
      <xdr:nvSpPr>
        <xdr:cNvPr id="10" name="Rectangle 9" title="9.4.2 Exit Signs">
          <a:hlinkClick xmlns:r="http://schemas.openxmlformats.org/officeDocument/2006/relationships" r:id="rId7"/>
          <a:extLst>
            <a:ext uri="{FF2B5EF4-FFF2-40B4-BE49-F238E27FC236}">
              <a16:creationId xmlns:a16="http://schemas.microsoft.com/office/drawing/2014/main" id="{00000000-0008-0000-0D00-000002000000}"/>
            </a:ext>
          </a:extLst>
        </xdr:cNvPr>
        <xdr:cNvSpPr/>
      </xdr:nvSpPr>
      <xdr:spPr>
        <a:xfrm>
          <a:off x="1609725" y="247650"/>
          <a:ext cx="142875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3</xdr:col>
      <xdr:colOff>0</xdr:colOff>
      <xdr:row>4</xdr:row>
      <xdr:rowOff>0</xdr:rowOff>
    </xdr:from>
    <xdr:to>
      <xdr:col>5</xdr:col>
      <xdr:colOff>0</xdr:colOff>
      <xdr:row>5</xdr:row>
      <xdr:rowOff>0</xdr:rowOff>
    </xdr:to>
    <xdr:sp macro="" textlink="">
      <xdr:nvSpPr>
        <xdr:cNvPr id="11" name="Rectangle 10" title="9.4.2 Exit Signs">
          <a:hlinkClick xmlns:r="http://schemas.openxmlformats.org/officeDocument/2006/relationships" r:id="rId8"/>
          <a:extLst>
            <a:ext uri="{FF2B5EF4-FFF2-40B4-BE49-F238E27FC236}">
              <a16:creationId xmlns:a16="http://schemas.microsoft.com/office/drawing/2014/main" id="{00000000-0008-0000-0000-000014000000}"/>
            </a:ext>
          </a:extLst>
        </xdr:cNvPr>
        <xdr:cNvSpPr/>
      </xdr:nvSpPr>
      <xdr:spPr>
        <a:xfrm>
          <a:off x="1609725" y="495300"/>
          <a:ext cx="142875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(step-a) - LPA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12</xdr:row>
      <xdr:rowOff>0</xdr:rowOff>
    </xdr:from>
    <xdr:to>
      <xdr:col>5</xdr:col>
      <xdr:colOff>0</xdr:colOff>
      <xdr:row>13</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714500" y="1485900"/>
          <a:ext cx="1543050" cy="190500"/>
        </a:xfrm>
        <a:prstGeom prst="rect">
          <a:avLst/>
        </a:prstGeom>
        <a:solidFill>
          <a:schemeClr val="accent1">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1"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2</xdr:row>
      <xdr:rowOff>0</xdr:rowOff>
    </xdr:from>
    <xdr:to>
      <xdr:col>5</xdr:col>
      <xdr:colOff>0</xdr:colOff>
      <xdr:row>3</xdr:row>
      <xdr:rowOff>0</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1714500" y="247650"/>
          <a:ext cx="154305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1</xdr:col>
      <xdr:colOff>0</xdr:colOff>
      <xdr:row>18</xdr:row>
      <xdr:rowOff>0</xdr:rowOff>
    </xdr:from>
    <xdr:to>
      <xdr:col>4</xdr:col>
      <xdr:colOff>0</xdr:colOff>
      <xdr:row>19</xdr:row>
      <xdr:rowOff>0</xdr:rowOff>
    </xdr:to>
    <xdr:sp macro="" textlink="">
      <xdr:nvSpPr>
        <xdr:cNvPr id="10" name="Rectangle 9" title="9.4.2 Exit Signs">
          <a:hlinkClick xmlns:r="http://schemas.openxmlformats.org/officeDocument/2006/relationships" r:id="rId2"/>
          <a:extLst>
            <a:ext uri="{FF2B5EF4-FFF2-40B4-BE49-F238E27FC236}">
              <a16:creationId xmlns:a16="http://schemas.microsoft.com/office/drawing/2014/main" id="{00000000-0008-0000-0700-00000A000000}"/>
            </a:ext>
          </a:extLst>
        </xdr:cNvPr>
        <xdr:cNvSpPr/>
      </xdr:nvSpPr>
      <xdr:spPr>
        <a:xfrm>
          <a:off x="171450" y="2486025"/>
          <a:ext cx="2314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go to to Luminaire section</a:t>
          </a:r>
        </a:p>
      </xdr:txBody>
    </xdr:sp>
    <xdr:clientData/>
  </xdr:twoCellAnchor>
  <xdr:twoCellAnchor editAs="oneCell">
    <xdr:from>
      <xdr:col>0</xdr:col>
      <xdr:colOff>161925</xdr:colOff>
      <xdr:row>0</xdr:row>
      <xdr:rowOff>133350</xdr:rowOff>
    </xdr:from>
    <xdr:to>
      <xdr:col>2</xdr:col>
      <xdr:colOff>147638</xdr:colOff>
      <xdr:row>6</xdr:row>
      <xdr:rowOff>33338</xdr:rowOff>
    </xdr:to>
    <xdr:pic>
      <xdr:nvPicPr>
        <xdr:cNvPr id="51" name="Picture 50" descr="https://www.ashrae.org/Image%20Library/Static/logo_ashrae.png?code=72c4166c-fe1f-490d-abad-d16d2147f7f2">
          <a:hlinkClick xmlns:r="http://schemas.openxmlformats.org/officeDocument/2006/relationships" r:id="rId3"/>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1925" y="133350"/>
          <a:ext cx="928688"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76202</xdr:colOff>
      <xdr:row>6</xdr:row>
      <xdr:rowOff>138015</xdr:rowOff>
    </xdr:from>
    <xdr:to>
      <xdr:col>2</xdr:col>
      <xdr:colOff>539329</xdr:colOff>
      <xdr:row>10</xdr:row>
      <xdr:rowOff>105842</xdr:rowOff>
    </xdr:to>
    <xdr:pic>
      <xdr:nvPicPr>
        <xdr:cNvPr id="52" name="Picture 51">
          <a:hlinkClick xmlns:r="http://schemas.openxmlformats.org/officeDocument/2006/relationships" r:id="rId5"/>
          <a:extLst>
            <a:ext uri="{FF2B5EF4-FFF2-40B4-BE49-F238E27FC236}">
              <a16:creationId xmlns:a16="http://schemas.microsoft.com/office/drawing/2014/main" id="{00000000-0008-0000-0700-000034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74690" b="13515"/>
        <a:stretch/>
      </xdr:blipFill>
      <xdr:spPr>
        <a:xfrm>
          <a:off x="1019177" y="766665"/>
          <a:ext cx="463127" cy="463127"/>
        </a:xfrm>
        <a:prstGeom prst="rect">
          <a:avLst/>
        </a:prstGeom>
      </xdr:spPr>
    </xdr:pic>
    <xdr:clientData/>
  </xdr:twoCellAnchor>
  <xdr:twoCellAnchor>
    <xdr:from>
      <xdr:col>1</xdr:col>
      <xdr:colOff>0</xdr:colOff>
      <xdr:row>20</xdr:row>
      <xdr:rowOff>0</xdr:rowOff>
    </xdr:from>
    <xdr:to>
      <xdr:col>4</xdr:col>
      <xdr:colOff>0</xdr:colOff>
      <xdr:row>21</xdr:row>
      <xdr:rowOff>0</xdr:rowOff>
    </xdr:to>
    <xdr:sp macro="" textlink="">
      <xdr:nvSpPr>
        <xdr:cNvPr id="12" name="Rectangle 11" title="9.4.2 Exit Signs">
          <a:hlinkClick xmlns:r="http://schemas.openxmlformats.org/officeDocument/2006/relationships" r:id="rId7"/>
          <a:extLst>
            <a:ext uri="{FF2B5EF4-FFF2-40B4-BE49-F238E27FC236}">
              <a16:creationId xmlns:a16="http://schemas.microsoft.com/office/drawing/2014/main" id="{00000000-0008-0000-0700-00000C000000}"/>
            </a:ext>
          </a:extLst>
        </xdr:cNvPr>
        <xdr:cNvSpPr/>
      </xdr:nvSpPr>
      <xdr:spPr>
        <a:xfrm>
          <a:off x="171450" y="2981325"/>
          <a:ext cx="2314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go to to Controls section</a:t>
          </a:r>
        </a:p>
      </xdr:txBody>
    </xdr:sp>
    <xdr:clientData/>
  </xdr:twoCellAnchor>
  <xdr:twoCellAnchor>
    <xdr:from>
      <xdr:col>1</xdr:col>
      <xdr:colOff>0</xdr:colOff>
      <xdr:row>22</xdr:row>
      <xdr:rowOff>0</xdr:rowOff>
    </xdr:from>
    <xdr:to>
      <xdr:col>4</xdr:col>
      <xdr:colOff>0</xdr:colOff>
      <xdr:row>23</xdr:row>
      <xdr:rowOff>0</xdr:rowOff>
    </xdr:to>
    <xdr:sp macro="" textlink="">
      <xdr:nvSpPr>
        <xdr:cNvPr id="13" name="Rectangle 12" title="9.4.2 Exit Signs">
          <a:hlinkClick xmlns:r="http://schemas.openxmlformats.org/officeDocument/2006/relationships" r:id="rId8"/>
          <a:extLst>
            <a:ext uri="{FF2B5EF4-FFF2-40B4-BE49-F238E27FC236}">
              <a16:creationId xmlns:a16="http://schemas.microsoft.com/office/drawing/2014/main" id="{00000000-0008-0000-0700-00000D000000}"/>
            </a:ext>
          </a:extLst>
        </xdr:cNvPr>
        <xdr:cNvSpPr/>
      </xdr:nvSpPr>
      <xdr:spPr>
        <a:xfrm>
          <a:off x="171450" y="3228975"/>
          <a:ext cx="2314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go to to Alterations section (if applicable)</a:t>
          </a:r>
        </a:p>
      </xdr:txBody>
    </xdr:sp>
    <xdr:clientData/>
  </xdr:twoCellAnchor>
  <xdr:twoCellAnchor>
    <xdr:from>
      <xdr:col>3</xdr:col>
      <xdr:colOff>0</xdr:colOff>
      <xdr:row>10</xdr:row>
      <xdr:rowOff>0</xdr:rowOff>
    </xdr:from>
    <xdr:to>
      <xdr:col>5</xdr:col>
      <xdr:colOff>0</xdr:colOff>
      <xdr:row>11</xdr:row>
      <xdr:rowOff>0</xdr:rowOff>
    </xdr:to>
    <xdr:sp macro="" textlink="">
      <xdr:nvSpPr>
        <xdr:cNvPr id="17" name="Rectangle 16" title="9.4.2 Exit Signs">
          <a:hlinkClick xmlns:r="http://schemas.openxmlformats.org/officeDocument/2006/relationships" r:id="rId9"/>
          <a:extLst>
            <a:ext uri="{FF2B5EF4-FFF2-40B4-BE49-F238E27FC236}">
              <a16:creationId xmlns:a16="http://schemas.microsoft.com/office/drawing/2014/main" id="{00000000-0008-0000-0000-00001A000000}"/>
            </a:ext>
          </a:extLst>
        </xdr:cNvPr>
        <xdr:cNvSpPr/>
      </xdr:nvSpPr>
      <xdr:spPr>
        <a:xfrm>
          <a:off x="1714500" y="1238250"/>
          <a:ext cx="1543050" cy="190500"/>
        </a:xfrm>
        <a:prstGeom prst="rect">
          <a:avLst/>
        </a:prstGeom>
        <a:solidFill>
          <a:schemeClr val="accent1">
            <a:lumMod val="60000"/>
            <a:lumOff val="40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ysClr val="windowText" lastClr="000000"/>
              </a:solidFill>
              <a:latin typeface="Arial" panose="020B0604020202020204" pitchFamily="34" charset="0"/>
              <a:cs typeface="Arial" panose="020B0604020202020204" pitchFamily="34" charset="0"/>
            </a:rPr>
            <a:t>SpxSp Compliance Details</a:t>
          </a:r>
        </a:p>
      </xdr:txBody>
    </xdr:sp>
    <xdr:clientData/>
  </xdr:twoCellAnchor>
  <xdr:twoCellAnchor>
    <xdr:from>
      <xdr:col>3</xdr:col>
      <xdr:colOff>0</xdr:colOff>
      <xdr:row>4</xdr:row>
      <xdr:rowOff>0</xdr:rowOff>
    </xdr:from>
    <xdr:to>
      <xdr:col>5</xdr:col>
      <xdr:colOff>0</xdr:colOff>
      <xdr:row>5</xdr:row>
      <xdr:rowOff>0</xdr:rowOff>
    </xdr:to>
    <xdr:sp macro="" textlink="">
      <xdr:nvSpPr>
        <xdr:cNvPr id="18" name="Rectangle 17" title="9.4.2 Exit Signs">
          <a:hlinkClick xmlns:r="http://schemas.openxmlformats.org/officeDocument/2006/relationships" r:id="rId10"/>
          <a:extLst>
            <a:ext uri="{FF2B5EF4-FFF2-40B4-BE49-F238E27FC236}">
              <a16:creationId xmlns:a16="http://schemas.microsoft.com/office/drawing/2014/main" id="{00000000-0008-0000-0000-000014000000}"/>
            </a:ext>
          </a:extLst>
        </xdr:cNvPr>
        <xdr:cNvSpPr/>
      </xdr:nvSpPr>
      <xdr:spPr>
        <a:xfrm>
          <a:off x="1714500" y="495300"/>
          <a:ext cx="154305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(step-a) - LPA</a:t>
          </a:r>
        </a:p>
      </xdr:txBody>
    </xdr:sp>
    <xdr:clientData/>
  </xdr:twoCellAnchor>
  <xdr:twoCellAnchor>
    <xdr:from>
      <xdr:col>3</xdr:col>
      <xdr:colOff>0</xdr:colOff>
      <xdr:row>6</xdr:row>
      <xdr:rowOff>0</xdr:rowOff>
    </xdr:from>
    <xdr:to>
      <xdr:col>5</xdr:col>
      <xdr:colOff>0</xdr:colOff>
      <xdr:row>7</xdr:row>
      <xdr:rowOff>0</xdr:rowOff>
    </xdr:to>
    <xdr:sp macro="" textlink="">
      <xdr:nvSpPr>
        <xdr:cNvPr id="20" name="Rectangle 19" title="9.4.2 Exit Signs">
          <a:hlinkClick xmlns:r="http://schemas.openxmlformats.org/officeDocument/2006/relationships" r:id="rId11"/>
          <a:extLst>
            <a:ext uri="{FF2B5EF4-FFF2-40B4-BE49-F238E27FC236}">
              <a16:creationId xmlns:a16="http://schemas.microsoft.com/office/drawing/2014/main" id="{00000000-0008-0000-0000-000016000000}"/>
            </a:ext>
          </a:extLst>
        </xdr:cNvPr>
        <xdr:cNvSpPr/>
      </xdr:nvSpPr>
      <xdr:spPr>
        <a:xfrm>
          <a:off x="1714500" y="742950"/>
          <a:ext cx="154305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(step-c) - Decorative</a:t>
          </a:r>
        </a:p>
      </xdr:txBody>
    </xdr:sp>
    <xdr:clientData/>
  </xdr:twoCellAnchor>
  <xdr:twoCellAnchor>
    <xdr:from>
      <xdr:col>3</xdr:col>
      <xdr:colOff>0</xdr:colOff>
      <xdr:row>8</xdr:row>
      <xdr:rowOff>0</xdr:rowOff>
    </xdr:from>
    <xdr:to>
      <xdr:col>5</xdr:col>
      <xdr:colOff>0</xdr:colOff>
      <xdr:row>9</xdr:row>
      <xdr:rowOff>0</xdr:rowOff>
    </xdr:to>
    <xdr:sp macro="" textlink="">
      <xdr:nvSpPr>
        <xdr:cNvPr id="21" name="Rectangle 20" title="9.4.2 Exit Signs">
          <a:hlinkClick xmlns:r="http://schemas.openxmlformats.org/officeDocument/2006/relationships" r:id="rId12"/>
          <a:extLst>
            <a:ext uri="{FF2B5EF4-FFF2-40B4-BE49-F238E27FC236}">
              <a16:creationId xmlns:a16="http://schemas.microsoft.com/office/drawing/2014/main" id="{00000000-0008-0000-0000-000017000000}"/>
            </a:ext>
          </a:extLst>
        </xdr:cNvPr>
        <xdr:cNvSpPr/>
      </xdr:nvSpPr>
      <xdr:spPr>
        <a:xfrm>
          <a:off x="1714500" y="990600"/>
          <a:ext cx="154305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(step-d) - Retail</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12</xdr:row>
      <xdr:rowOff>0</xdr:rowOff>
    </xdr:from>
    <xdr:to>
      <xdr:col>5</xdr:col>
      <xdr:colOff>0</xdr:colOff>
      <xdr:row>13</xdr:row>
      <xdr:rowOff>0</xdr:rowOff>
    </xdr:to>
    <xdr:sp macro="" textlink="">
      <xdr:nvSpPr>
        <xdr:cNvPr id="7" name="Rectangle 6" title="9.4.2 Exit Signs">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1714500" y="1600200"/>
          <a:ext cx="1543050" cy="209550"/>
        </a:xfrm>
        <a:prstGeom prst="rect">
          <a:avLst/>
        </a:prstGeom>
        <a:solidFill>
          <a:schemeClr val="accent1">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1"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2</xdr:row>
      <xdr:rowOff>0</xdr:rowOff>
    </xdr:from>
    <xdr:to>
      <xdr:col>5</xdr:col>
      <xdr:colOff>0</xdr:colOff>
      <xdr:row>3</xdr:row>
      <xdr:rowOff>0</xdr:rowOff>
    </xdr:to>
    <xdr:sp macro="" textlink="">
      <xdr:nvSpPr>
        <xdr:cNvPr id="8" name="Rectangle 7" title="9.4.2 Exit Signs">
          <a:hlinkClick xmlns:r="http://schemas.openxmlformats.org/officeDocument/2006/relationships" r:id="rId2"/>
          <a:extLst>
            <a:ext uri="{FF2B5EF4-FFF2-40B4-BE49-F238E27FC236}">
              <a16:creationId xmlns:a16="http://schemas.microsoft.com/office/drawing/2014/main" id="{00000000-0008-0000-0800-000008000000}"/>
            </a:ext>
          </a:extLst>
        </xdr:cNvPr>
        <xdr:cNvSpPr/>
      </xdr:nvSpPr>
      <xdr:spPr>
        <a:xfrm>
          <a:off x="1714500" y="266700"/>
          <a:ext cx="1543050" cy="20955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Top of Page (Step</a:t>
          </a:r>
          <a:r>
            <a:rPr lang="en-US" sz="900" b="0" u="none" baseline="0">
              <a:solidFill>
                <a:srgbClr val="0000FF"/>
              </a:solidFill>
              <a:latin typeface="Arial" panose="020B0604020202020204" pitchFamily="34" charset="0"/>
              <a:cs typeface="Arial" panose="020B0604020202020204" pitchFamily="34" charset="0"/>
            </a:rPr>
            <a:t> 8c)</a:t>
          </a:r>
          <a:endParaRPr lang="en-US" sz="900" b="0" u="none">
            <a:solidFill>
              <a:srgbClr val="0000FF"/>
            </a:solidFill>
            <a:latin typeface="Arial" panose="020B0604020202020204" pitchFamily="34" charset="0"/>
            <a:cs typeface="Arial" panose="020B0604020202020204" pitchFamily="34" charset="0"/>
          </a:endParaRPr>
        </a:p>
      </xdr:txBody>
    </xdr:sp>
    <xdr:clientData/>
  </xdr:twoCellAnchor>
  <xdr:twoCellAnchor>
    <xdr:from>
      <xdr:col>8</xdr:col>
      <xdr:colOff>1</xdr:colOff>
      <xdr:row>15</xdr:row>
      <xdr:rowOff>0</xdr:rowOff>
    </xdr:from>
    <xdr:to>
      <xdr:col>10</xdr:col>
      <xdr:colOff>0</xdr:colOff>
      <xdr:row>15</xdr:row>
      <xdr:rowOff>365760</xdr:rowOff>
    </xdr:to>
    <xdr:sp macro="" textlink="">
      <xdr:nvSpPr>
        <xdr:cNvPr id="14" name="Rectangle 13" title="9.4.2 Exit Signs">
          <a:hlinkClick xmlns:r="http://schemas.openxmlformats.org/officeDocument/2006/relationships" r:id="rId3"/>
          <a:extLst>
            <a:ext uri="{FF2B5EF4-FFF2-40B4-BE49-F238E27FC236}">
              <a16:creationId xmlns:a16="http://schemas.microsoft.com/office/drawing/2014/main" id="{00000000-0008-0000-0800-00000E000000}"/>
            </a:ext>
          </a:extLst>
        </xdr:cNvPr>
        <xdr:cNvSpPr/>
      </xdr:nvSpPr>
      <xdr:spPr>
        <a:xfrm>
          <a:off x="4633914" y="10710863"/>
          <a:ext cx="1890711" cy="3657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Luminaire Type</a:t>
          </a:r>
        </a:p>
        <a:p>
          <a:pPr algn="ctr"/>
          <a:r>
            <a:rPr lang="en-US" sz="800" u="sng">
              <a:solidFill>
                <a:srgbClr val="0000FF"/>
              </a:solidFill>
              <a:latin typeface="Arial" panose="020B0604020202020204" pitchFamily="34" charset="0"/>
              <a:cs typeface="Arial" panose="020B0604020202020204" pitchFamily="34" charset="0"/>
            </a:rPr>
            <a:t>From</a:t>
          </a:r>
          <a:r>
            <a:rPr lang="en-US" sz="800" u="sng" baseline="0">
              <a:solidFill>
                <a:srgbClr val="0000FF"/>
              </a:solidFill>
              <a:latin typeface="Arial" panose="020B0604020202020204" pitchFamily="34" charset="0"/>
              <a:cs typeface="Arial" panose="020B0604020202020204" pitchFamily="34" charset="0"/>
            </a:rPr>
            <a:t> Luminaire Schedule</a:t>
          </a:r>
          <a:endParaRPr lang="en-US" sz="800" u="sng">
            <a:solidFill>
              <a:srgbClr val="0000FF"/>
            </a:solidFill>
            <a:latin typeface="Arial" panose="020B0604020202020204" pitchFamily="34" charset="0"/>
            <a:cs typeface="Arial" panose="020B0604020202020204" pitchFamily="34" charset="0"/>
          </a:endParaRPr>
        </a:p>
      </xdr:txBody>
    </xdr:sp>
    <xdr:clientData/>
  </xdr:twoCellAnchor>
  <xdr:twoCellAnchor editAs="oneCell">
    <xdr:from>
      <xdr:col>1</xdr:col>
      <xdr:colOff>9525</xdr:colOff>
      <xdr:row>0</xdr:row>
      <xdr:rowOff>133350</xdr:rowOff>
    </xdr:from>
    <xdr:to>
      <xdr:col>2</xdr:col>
      <xdr:colOff>166688</xdr:colOff>
      <xdr:row>5</xdr:row>
      <xdr:rowOff>52388</xdr:rowOff>
    </xdr:to>
    <xdr:pic>
      <xdr:nvPicPr>
        <xdr:cNvPr id="12" name="Picture 11" descr="https://www.ashrae.org/Image%20Library/Static/logo_ashrae.png?code=72c4166c-fe1f-490d-abad-d16d2147f7f2">
          <a:hlinkClick xmlns:r="http://schemas.openxmlformats.org/officeDocument/2006/relationships" r:id="rId4"/>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0975" y="133350"/>
          <a:ext cx="928688"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95252</xdr:colOff>
      <xdr:row>6</xdr:row>
      <xdr:rowOff>138015</xdr:rowOff>
    </xdr:from>
    <xdr:to>
      <xdr:col>2</xdr:col>
      <xdr:colOff>558379</xdr:colOff>
      <xdr:row>10</xdr:row>
      <xdr:rowOff>105842</xdr:rowOff>
    </xdr:to>
    <xdr:pic>
      <xdr:nvPicPr>
        <xdr:cNvPr id="17" name="Picture 16">
          <a:hlinkClick xmlns:r="http://schemas.openxmlformats.org/officeDocument/2006/relationships" r:id="rId6"/>
          <a:extLst>
            <a:ext uri="{FF2B5EF4-FFF2-40B4-BE49-F238E27FC236}">
              <a16:creationId xmlns:a16="http://schemas.microsoft.com/office/drawing/2014/main" id="{00000000-0008-0000-0800-000011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74690" b="13515"/>
        <a:stretch/>
      </xdr:blipFill>
      <xdr:spPr>
        <a:xfrm>
          <a:off x="1038227" y="766665"/>
          <a:ext cx="463127" cy="463127"/>
        </a:xfrm>
        <a:prstGeom prst="rect">
          <a:avLst/>
        </a:prstGeom>
      </xdr:spPr>
    </xdr:pic>
    <xdr:clientData/>
  </xdr:twoCellAnchor>
  <xdr:twoCellAnchor>
    <xdr:from>
      <xdr:col>3</xdr:col>
      <xdr:colOff>0</xdr:colOff>
      <xdr:row>4</xdr:row>
      <xdr:rowOff>0</xdr:rowOff>
    </xdr:from>
    <xdr:to>
      <xdr:col>5</xdr:col>
      <xdr:colOff>0</xdr:colOff>
      <xdr:row>4</xdr:row>
      <xdr:rowOff>190500</xdr:rowOff>
    </xdr:to>
    <xdr:sp macro="" textlink="">
      <xdr:nvSpPr>
        <xdr:cNvPr id="10" name="Rectangle 9" title="9.4.2 Exit Signs">
          <a:hlinkClick xmlns:r="http://schemas.openxmlformats.org/officeDocument/2006/relationships" r:id="rId8"/>
          <a:extLst>
            <a:ext uri="{FF2B5EF4-FFF2-40B4-BE49-F238E27FC236}">
              <a16:creationId xmlns:a16="http://schemas.microsoft.com/office/drawing/2014/main" id="{00000000-0008-0000-0000-000014000000}"/>
            </a:ext>
          </a:extLst>
        </xdr:cNvPr>
        <xdr:cNvSpPr/>
      </xdr:nvSpPr>
      <xdr:spPr>
        <a:xfrm>
          <a:off x="1714500" y="533400"/>
          <a:ext cx="154305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(step-a) - LPA</a:t>
          </a:r>
        </a:p>
      </xdr:txBody>
    </xdr:sp>
    <xdr:clientData/>
  </xdr:twoCellAnchor>
  <xdr:twoCellAnchor>
    <xdr:from>
      <xdr:col>3</xdr:col>
      <xdr:colOff>0</xdr:colOff>
      <xdr:row>8</xdr:row>
      <xdr:rowOff>0</xdr:rowOff>
    </xdr:from>
    <xdr:to>
      <xdr:col>5</xdr:col>
      <xdr:colOff>0</xdr:colOff>
      <xdr:row>9</xdr:row>
      <xdr:rowOff>0</xdr:rowOff>
    </xdr:to>
    <xdr:sp macro="" textlink="">
      <xdr:nvSpPr>
        <xdr:cNvPr id="11" name="Rectangle 10" title="9.4.2 Exit Signs">
          <a:hlinkClick xmlns:r="http://schemas.openxmlformats.org/officeDocument/2006/relationships" r:id="rId9"/>
          <a:extLst>
            <a:ext uri="{FF2B5EF4-FFF2-40B4-BE49-F238E27FC236}">
              <a16:creationId xmlns:a16="http://schemas.microsoft.com/office/drawing/2014/main" id="{00000000-0008-0000-0000-000017000000}"/>
            </a:ext>
          </a:extLst>
        </xdr:cNvPr>
        <xdr:cNvSpPr/>
      </xdr:nvSpPr>
      <xdr:spPr>
        <a:xfrm>
          <a:off x="1714500" y="1028700"/>
          <a:ext cx="154305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(step-d) - Retail</a:t>
          </a:r>
        </a:p>
      </xdr:txBody>
    </xdr:sp>
    <xdr:clientData/>
  </xdr:twoCellAnchor>
  <xdr:twoCellAnchor>
    <xdr:from>
      <xdr:col>3</xdr:col>
      <xdr:colOff>0</xdr:colOff>
      <xdr:row>5</xdr:row>
      <xdr:rowOff>57149</xdr:rowOff>
    </xdr:from>
    <xdr:to>
      <xdr:col>5</xdr:col>
      <xdr:colOff>0</xdr:colOff>
      <xdr:row>7</xdr:row>
      <xdr:rowOff>0</xdr:rowOff>
    </xdr:to>
    <xdr:sp macro="" textlink="">
      <xdr:nvSpPr>
        <xdr:cNvPr id="13" name="Rectangle 12" title="9.4.2 Exit Signs">
          <a:hlinkClick xmlns:r="http://schemas.openxmlformats.org/officeDocument/2006/relationships" r:id="rId10"/>
          <a:extLst>
            <a:ext uri="{FF2B5EF4-FFF2-40B4-BE49-F238E27FC236}">
              <a16:creationId xmlns:a16="http://schemas.microsoft.com/office/drawing/2014/main" id="{00000000-0008-0000-0000-000015000000}"/>
            </a:ext>
          </a:extLst>
        </xdr:cNvPr>
        <xdr:cNvSpPr/>
      </xdr:nvSpPr>
      <xdr:spPr>
        <a:xfrm>
          <a:off x="1714500" y="781049"/>
          <a:ext cx="1543050" cy="190501"/>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(step-b) - Space/Control</a:t>
          </a:r>
        </a:p>
      </xdr:txBody>
    </xdr:sp>
    <xdr:clientData/>
  </xdr:twoCellAnchor>
  <xdr:twoCellAnchor>
    <xdr:from>
      <xdr:col>3</xdr:col>
      <xdr:colOff>0</xdr:colOff>
      <xdr:row>10</xdr:row>
      <xdr:rowOff>0</xdr:rowOff>
    </xdr:from>
    <xdr:to>
      <xdr:col>5</xdr:col>
      <xdr:colOff>0</xdr:colOff>
      <xdr:row>11</xdr:row>
      <xdr:rowOff>0</xdr:rowOff>
    </xdr:to>
    <xdr:sp macro="" textlink="">
      <xdr:nvSpPr>
        <xdr:cNvPr id="19" name="Rectangle 18" title="9.4.2 Exit Signs">
          <a:hlinkClick xmlns:r="http://schemas.openxmlformats.org/officeDocument/2006/relationships" r:id="rId11"/>
          <a:extLst>
            <a:ext uri="{FF2B5EF4-FFF2-40B4-BE49-F238E27FC236}">
              <a16:creationId xmlns:a16="http://schemas.microsoft.com/office/drawing/2014/main" id="{00000000-0008-0000-0000-00001A000000}"/>
            </a:ext>
          </a:extLst>
        </xdr:cNvPr>
        <xdr:cNvSpPr/>
      </xdr:nvSpPr>
      <xdr:spPr>
        <a:xfrm>
          <a:off x="1714500" y="1276350"/>
          <a:ext cx="1543050" cy="190500"/>
        </a:xfrm>
        <a:prstGeom prst="rect">
          <a:avLst/>
        </a:prstGeom>
        <a:solidFill>
          <a:schemeClr val="accent1">
            <a:lumMod val="60000"/>
            <a:lumOff val="40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ysClr val="windowText" lastClr="000000"/>
              </a:solidFill>
              <a:latin typeface="Arial" panose="020B0604020202020204" pitchFamily="34" charset="0"/>
              <a:cs typeface="Arial" panose="020B0604020202020204" pitchFamily="34" charset="0"/>
            </a:rPr>
            <a:t>SpxSp Compliance Details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xdr:colOff>
      <xdr:row>15</xdr:row>
      <xdr:rowOff>0</xdr:rowOff>
    </xdr:from>
    <xdr:to>
      <xdr:col>11</xdr:col>
      <xdr:colOff>0</xdr:colOff>
      <xdr:row>15</xdr:row>
      <xdr:rowOff>365760</xdr:rowOff>
    </xdr:to>
    <xdr:sp macro="" textlink="">
      <xdr:nvSpPr>
        <xdr:cNvPr id="5" name="Rectangle 4" title="9.4.2 Exit Signs">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4633914" y="14306550"/>
          <a:ext cx="1890711" cy="1609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Luminaire Type</a:t>
          </a:r>
        </a:p>
        <a:p>
          <a:pPr algn="ctr"/>
          <a:r>
            <a:rPr lang="en-US" sz="800" u="sng">
              <a:solidFill>
                <a:srgbClr val="0000FF"/>
              </a:solidFill>
              <a:latin typeface="Arial" panose="020B0604020202020204" pitchFamily="34" charset="0"/>
              <a:cs typeface="Arial" panose="020B0604020202020204" pitchFamily="34" charset="0"/>
            </a:rPr>
            <a:t>From</a:t>
          </a:r>
          <a:r>
            <a:rPr lang="en-US" sz="800" u="sng" baseline="0">
              <a:solidFill>
                <a:srgbClr val="0000FF"/>
              </a:solidFill>
              <a:latin typeface="Arial" panose="020B0604020202020204" pitchFamily="34" charset="0"/>
              <a:cs typeface="Arial" panose="020B0604020202020204" pitchFamily="34" charset="0"/>
            </a:rPr>
            <a:t> Luminaire Schedule</a:t>
          </a:r>
          <a:endParaRPr lang="en-US" sz="8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3</xdr:col>
      <xdr:colOff>0</xdr:colOff>
      <xdr:row>12</xdr:row>
      <xdr:rowOff>0</xdr:rowOff>
    </xdr:from>
    <xdr:to>
      <xdr:col>5</xdr:col>
      <xdr:colOff>0</xdr:colOff>
      <xdr:row>13</xdr:row>
      <xdr:rowOff>0</xdr:rowOff>
    </xdr:to>
    <xdr:sp macro="" textlink="">
      <xdr:nvSpPr>
        <xdr:cNvPr id="9" name="Rectangle 8" title="9.4.2 Exit Signs">
          <a:hlinkClick xmlns:r="http://schemas.openxmlformats.org/officeDocument/2006/relationships" r:id="rId2"/>
          <a:extLst>
            <a:ext uri="{FF2B5EF4-FFF2-40B4-BE49-F238E27FC236}">
              <a16:creationId xmlns:a16="http://schemas.microsoft.com/office/drawing/2014/main" id="{00000000-0008-0000-0900-000009000000}"/>
            </a:ext>
          </a:extLst>
        </xdr:cNvPr>
        <xdr:cNvSpPr/>
      </xdr:nvSpPr>
      <xdr:spPr>
        <a:xfrm>
          <a:off x="1724025" y="1485900"/>
          <a:ext cx="1543050" cy="190500"/>
        </a:xfrm>
        <a:prstGeom prst="rect">
          <a:avLst/>
        </a:prstGeom>
        <a:solidFill>
          <a:schemeClr val="accent1">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1"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2</xdr:row>
      <xdr:rowOff>0</xdr:rowOff>
    </xdr:from>
    <xdr:to>
      <xdr:col>5</xdr:col>
      <xdr:colOff>0</xdr:colOff>
      <xdr:row>3</xdr:row>
      <xdr:rowOff>0</xdr:rowOff>
    </xdr:to>
    <xdr:sp macro="" textlink="">
      <xdr:nvSpPr>
        <xdr:cNvPr id="10" name="Rectangle 9" title="9.4.2 Exit Signs">
          <a:hlinkClick xmlns:r="http://schemas.openxmlformats.org/officeDocument/2006/relationships" r:id="rId3"/>
          <a:extLst>
            <a:ext uri="{FF2B5EF4-FFF2-40B4-BE49-F238E27FC236}">
              <a16:creationId xmlns:a16="http://schemas.microsoft.com/office/drawing/2014/main" id="{00000000-0008-0000-0900-00000A000000}"/>
            </a:ext>
          </a:extLst>
        </xdr:cNvPr>
        <xdr:cNvSpPr/>
      </xdr:nvSpPr>
      <xdr:spPr>
        <a:xfrm>
          <a:off x="1724025" y="247650"/>
          <a:ext cx="154305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Top of Page (Step</a:t>
          </a:r>
          <a:r>
            <a:rPr lang="en-US" sz="900" b="0" u="none" baseline="0">
              <a:solidFill>
                <a:srgbClr val="0000FF"/>
              </a:solidFill>
              <a:latin typeface="Arial" panose="020B0604020202020204" pitchFamily="34" charset="0"/>
              <a:cs typeface="Arial" panose="020B0604020202020204" pitchFamily="34" charset="0"/>
            </a:rPr>
            <a:t> 8d)</a:t>
          </a:r>
          <a:endParaRPr lang="en-US" sz="900" b="0" u="none">
            <a:solidFill>
              <a:srgbClr val="0000FF"/>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152400</xdr:rowOff>
    </xdr:from>
    <xdr:to>
      <xdr:col>2</xdr:col>
      <xdr:colOff>157163</xdr:colOff>
      <xdr:row>6</xdr:row>
      <xdr:rowOff>52388</xdr:rowOff>
    </xdr:to>
    <xdr:pic>
      <xdr:nvPicPr>
        <xdr:cNvPr id="18" name="Picture 17" descr="https://www.ashrae.org/Image%20Library/Static/logo_ashrae.png?code=72c4166c-fe1f-490d-abad-d16d2147f7f2">
          <a:hlinkClick xmlns:r="http://schemas.openxmlformats.org/officeDocument/2006/relationships" r:id="rId4"/>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52400"/>
          <a:ext cx="928688"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85727</xdr:colOff>
      <xdr:row>6</xdr:row>
      <xdr:rowOff>157065</xdr:rowOff>
    </xdr:from>
    <xdr:to>
      <xdr:col>2</xdr:col>
      <xdr:colOff>548854</xdr:colOff>
      <xdr:row>10</xdr:row>
      <xdr:rowOff>124892</xdr:rowOff>
    </xdr:to>
    <xdr:pic>
      <xdr:nvPicPr>
        <xdr:cNvPr id="19" name="Picture 18">
          <a:hlinkClick xmlns:r="http://schemas.openxmlformats.org/officeDocument/2006/relationships" r:id="rId6"/>
          <a:extLst>
            <a:ext uri="{FF2B5EF4-FFF2-40B4-BE49-F238E27FC236}">
              <a16:creationId xmlns:a16="http://schemas.microsoft.com/office/drawing/2014/main" id="{00000000-0008-0000-0900-000013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74690" b="13515"/>
        <a:stretch/>
      </xdr:blipFill>
      <xdr:spPr>
        <a:xfrm>
          <a:off x="1028702" y="785715"/>
          <a:ext cx="463127" cy="463127"/>
        </a:xfrm>
        <a:prstGeom prst="rect">
          <a:avLst/>
        </a:prstGeom>
      </xdr:spPr>
    </xdr:pic>
    <xdr:clientData/>
  </xdr:twoCellAnchor>
  <xdr:twoCellAnchor>
    <xdr:from>
      <xdr:col>3</xdr:col>
      <xdr:colOff>0</xdr:colOff>
      <xdr:row>4</xdr:row>
      <xdr:rowOff>0</xdr:rowOff>
    </xdr:from>
    <xdr:to>
      <xdr:col>5</xdr:col>
      <xdr:colOff>0</xdr:colOff>
      <xdr:row>5</xdr:row>
      <xdr:rowOff>0</xdr:rowOff>
    </xdr:to>
    <xdr:sp macro="" textlink="">
      <xdr:nvSpPr>
        <xdr:cNvPr id="11" name="Rectangle 10" title="9.4.2 Exit Signs">
          <a:hlinkClick xmlns:r="http://schemas.openxmlformats.org/officeDocument/2006/relationships" r:id="rId8"/>
          <a:extLst>
            <a:ext uri="{FF2B5EF4-FFF2-40B4-BE49-F238E27FC236}">
              <a16:creationId xmlns:a16="http://schemas.microsoft.com/office/drawing/2014/main" id="{00000000-0008-0000-0000-000014000000}"/>
            </a:ext>
          </a:extLst>
        </xdr:cNvPr>
        <xdr:cNvSpPr/>
      </xdr:nvSpPr>
      <xdr:spPr>
        <a:xfrm>
          <a:off x="1724025" y="495300"/>
          <a:ext cx="154305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(step-a) - LPA</a:t>
          </a:r>
        </a:p>
      </xdr:txBody>
    </xdr:sp>
    <xdr:clientData/>
  </xdr:twoCellAnchor>
  <xdr:twoCellAnchor>
    <xdr:from>
      <xdr:col>3</xdr:col>
      <xdr:colOff>0</xdr:colOff>
      <xdr:row>5</xdr:row>
      <xdr:rowOff>57149</xdr:rowOff>
    </xdr:from>
    <xdr:to>
      <xdr:col>5</xdr:col>
      <xdr:colOff>0</xdr:colOff>
      <xdr:row>7</xdr:row>
      <xdr:rowOff>0</xdr:rowOff>
    </xdr:to>
    <xdr:sp macro="" textlink="">
      <xdr:nvSpPr>
        <xdr:cNvPr id="12" name="Rectangle 11" title="9.4.2 Exit Signs">
          <a:hlinkClick xmlns:r="http://schemas.openxmlformats.org/officeDocument/2006/relationships" r:id="rId9"/>
          <a:extLst>
            <a:ext uri="{FF2B5EF4-FFF2-40B4-BE49-F238E27FC236}">
              <a16:creationId xmlns:a16="http://schemas.microsoft.com/office/drawing/2014/main" id="{00000000-0008-0000-0000-000015000000}"/>
            </a:ext>
          </a:extLst>
        </xdr:cNvPr>
        <xdr:cNvSpPr/>
      </xdr:nvSpPr>
      <xdr:spPr>
        <a:xfrm>
          <a:off x="1724025" y="742949"/>
          <a:ext cx="1543050" cy="190501"/>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(step-b) - Space/Control</a:t>
          </a:r>
        </a:p>
      </xdr:txBody>
    </xdr:sp>
    <xdr:clientData/>
  </xdr:twoCellAnchor>
  <xdr:twoCellAnchor>
    <xdr:from>
      <xdr:col>3</xdr:col>
      <xdr:colOff>0</xdr:colOff>
      <xdr:row>10</xdr:row>
      <xdr:rowOff>0</xdr:rowOff>
    </xdr:from>
    <xdr:to>
      <xdr:col>5</xdr:col>
      <xdr:colOff>0</xdr:colOff>
      <xdr:row>11</xdr:row>
      <xdr:rowOff>0</xdr:rowOff>
    </xdr:to>
    <xdr:sp macro="" textlink="">
      <xdr:nvSpPr>
        <xdr:cNvPr id="13" name="Rectangle 12" title="9.4.2 Exit Signs">
          <a:hlinkClick xmlns:r="http://schemas.openxmlformats.org/officeDocument/2006/relationships" r:id="rId10"/>
          <a:extLst>
            <a:ext uri="{FF2B5EF4-FFF2-40B4-BE49-F238E27FC236}">
              <a16:creationId xmlns:a16="http://schemas.microsoft.com/office/drawing/2014/main" id="{00000000-0008-0000-0000-00001A000000}"/>
            </a:ext>
          </a:extLst>
        </xdr:cNvPr>
        <xdr:cNvSpPr/>
      </xdr:nvSpPr>
      <xdr:spPr>
        <a:xfrm>
          <a:off x="1724025" y="1238250"/>
          <a:ext cx="1543050" cy="190500"/>
        </a:xfrm>
        <a:prstGeom prst="rect">
          <a:avLst/>
        </a:prstGeom>
        <a:solidFill>
          <a:schemeClr val="accent1">
            <a:lumMod val="60000"/>
            <a:lumOff val="40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ysClr val="windowText" lastClr="000000"/>
              </a:solidFill>
              <a:latin typeface="Arial" panose="020B0604020202020204" pitchFamily="34" charset="0"/>
              <a:cs typeface="Arial" panose="020B0604020202020204" pitchFamily="34" charset="0"/>
            </a:rPr>
            <a:t>SpxSp Compliance Details</a:t>
          </a:r>
        </a:p>
      </xdr:txBody>
    </xdr:sp>
    <xdr:clientData/>
  </xdr:twoCellAnchor>
  <xdr:twoCellAnchor>
    <xdr:from>
      <xdr:col>3</xdr:col>
      <xdr:colOff>0</xdr:colOff>
      <xdr:row>8</xdr:row>
      <xdr:rowOff>0</xdr:rowOff>
    </xdr:from>
    <xdr:to>
      <xdr:col>5</xdr:col>
      <xdr:colOff>0</xdr:colOff>
      <xdr:row>9</xdr:row>
      <xdr:rowOff>0</xdr:rowOff>
    </xdr:to>
    <xdr:sp macro="" textlink="">
      <xdr:nvSpPr>
        <xdr:cNvPr id="17" name="Rectangle 16" title="9.4.2 Exit Signs">
          <a:hlinkClick xmlns:r="http://schemas.openxmlformats.org/officeDocument/2006/relationships" r:id="rId11"/>
          <a:extLst>
            <a:ext uri="{FF2B5EF4-FFF2-40B4-BE49-F238E27FC236}">
              <a16:creationId xmlns:a16="http://schemas.microsoft.com/office/drawing/2014/main" id="{00000000-0008-0000-0000-000016000000}"/>
            </a:ext>
          </a:extLst>
        </xdr:cNvPr>
        <xdr:cNvSpPr/>
      </xdr:nvSpPr>
      <xdr:spPr>
        <a:xfrm>
          <a:off x="1724025" y="990600"/>
          <a:ext cx="154305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(step-c) - Decorative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25</xdr:row>
      <xdr:rowOff>168519</xdr:rowOff>
    </xdr:from>
    <xdr:to>
      <xdr:col>5</xdr:col>
      <xdr:colOff>1</xdr:colOff>
      <xdr:row>27</xdr:row>
      <xdr:rowOff>0</xdr:rowOff>
    </xdr:to>
    <xdr:sp macro="" textlink="">
      <xdr:nvSpPr>
        <xdr:cNvPr id="8" name="Rectangle 7" title="9.4.2 Exit Signs">
          <a:hlinkClick xmlns:r="http://schemas.openxmlformats.org/officeDocument/2006/relationships" r:id="rId1"/>
          <a:extLst>
            <a:ext uri="{FF2B5EF4-FFF2-40B4-BE49-F238E27FC236}">
              <a16:creationId xmlns:a16="http://schemas.microsoft.com/office/drawing/2014/main" id="{00000000-0008-0000-0A00-000008000000}"/>
            </a:ext>
          </a:extLst>
        </xdr:cNvPr>
        <xdr:cNvSpPr/>
      </xdr:nvSpPr>
      <xdr:spPr>
        <a:xfrm>
          <a:off x="186837" y="3766038"/>
          <a:ext cx="3033347" cy="1611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Create Tradable Exterior</a:t>
          </a:r>
          <a:r>
            <a:rPr lang="en-US" sz="1000" u="sng" baseline="0">
              <a:solidFill>
                <a:srgbClr val="0000FF"/>
              </a:solidFill>
              <a:latin typeface="Arial" panose="020B0604020202020204" pitchFamily="34" charset="0"/>
              <a:cs typeface="Arial" panose="020B0604020202020204" pitchFamily="34" charset="0"/>
            </a:rPr>
            <a:t> Areas</a:t>
          </a:r>
          <a:endParaRPr lang="en-US" sz="10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31</xdr:row>
      <xdr:rowOff>0</xdr:rowOff>
    </xdr:from>
    <xdr:to>
      <xdr:col>5</xdr:col>
      <xdr:colOff>0</xdr:colOff>
      <xdr:row>31</xdr:row>
      <xdr:rowOff>156430</xdr:rowOff>
    </xdr:to>
    <xdr:sp macro="" textlink="">
      <xdr:nvSpPr>
        <xdr:cNvPr id="9" name="Rectangle 8" title="9.4.2 Exit Signs">
          <a:hlinkClick xmlns:r="http://schemas.openxmlformats.org/officeDocument/2006/relationships" r:id="rId2"/>
          <a:extLst>
            <a:ext uri="{FF2B5EF4-FFF2-40B4-BE49-F238E27FC236}">
              <a16:creationId xmlns:a16="http://schemas.microsoft.com/office/drawing/2014/main" id="{00000000-0008-0000-0A00-000009000000}"/>
            </a:ext>
          </a:extLst>
        </xdr:cNvPr>
        <xdr:cNvSpPr/>
      </xdr:nvSpPr>
      <xdr:spPr>
        <a:xfrm>
          <a:off x="186837" y="4579327"/>
          <a:ext cx="3033346" cy="1564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Create NonTradable Exterior</a:t>
          </a:r>
          <a:r>
            <a:rPr lang="en-US" sz="1000" u="sng" baseline="0">
              <a:solidFill>
                <a:srgbClr val="0000FF"/>
              </a:solidFill>
              <a:latin typeface="Arial" panose="020B0604020202020204" pitchFamily="34" charset="0"/>
              <a:cs typeface="Arial" panose="020B0604020202020204" pitchFamily="34" charset="0"/>
            </a:rPr>
            <a:t> Areas</a:t>
          </a:r>
          <a:endParaRPr lang="en-US" sz="10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3</xdr:col>
      <xdr:colOff>0</xdr:colOff>
      <xdr:row>2</xdr:row>
      <xdr:rowOff>1</xdr:rowOff>
    </xdr:from>
    <xdr:to>
      <xdr:col>4</xdr:col>
      <xdr:colOff>758598</xdr:colOff>
      <xdr:row>3</xdr:row>
      <xdr:rowOff>1</xdr:rowOff>
    </xdr:to>
    <xdr:sp macro="" textlink="">
      <xdr:nvSpPr>
        <xdr:cNvPr id="16" name="Rectangle 15" title="9.4.2 Exit Signs">
          <a:hlinkClick xmlns:r="http://schemas.openxmlformats.org/officeDocument/2006/relationships" r:id="rId1"/>
          <a:extLst>
            <a:ext uri="{FF2B5EF4-FFF2-40B4-BE49-F238E27FC236}">
              <a16:creationId xmlns:a16="http://schemas.microsoft.com/office/drawing/2014/main" id="{00000000-0008-0000-0A00-000010000000}"/>
            </a:ext>
          </a:extLst>
        </xdr:cNvPr>
        <xdr:cNvSpPr/>
      </xdr:nvSpPr>
      <xdr:spPr>
        <a:xfrm>
          <a:off x="1704295" y="251733"/>
          <a:ext cx="1517196"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3</xdr:col>
      <xdr:colOff>1359</xdr:colOff>
      <xdr:row>11</xdr:row>
      <xdr:rowOff>51026</xdr:rowOff>
    </xdr:from>
    <xdr:to>
      <xdr:col>4</xdr:col>
      <xdr:colOff>758598</xdr:colOff>
      <xdr:row>12</xdr:row>
      <xdr:rowOff>190499</xdr:rowOff>
    </xdr:to>
    <xdr:sp macro="" textlink="">
      <xdr:nvSpPr>
        <xdr:cNvPr id="17" name="Rectangle 16" title="9.4.2 Exit Signs">
          <a:hlinkClick xmlns:r="http://schemas.openxmlformats.org/officeDocument/2006/relationships" r:id="rId3"/>
          <a:extLst>
            <a:ext uri="{FF2B5EF4-FFF2-40B4-BE49-F238E27FC236}">
              <a16:creationId xmlns:a16="http://schemas.microsoft.com/office/drawing/2014/main" id="{00000000-0008-0000-0A00-000011000000}"/>
            </a:ext>
          </a:extLst>
        </xdr:cNvPr>
        <xdr:cNvSpPr/>
      </xdr:nvSpPr>
      <xdr:spPr>
        <a:xfrm>
          <a:off x="1705654" y="1500187"/>
          <a:ext cx="1515837" cy="200705"/>
        </a:xfrm>
        <a:prstGeom prst="rect">
          <a:avLst/>
        </a:prstGeom>
        <a:solidFill>
          <a:schemeClr val="accent1">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2</xdr:col>
      <xdr:colOff>700926</xdr:colOff>
      <xdr:row>6</xdr:row>
      <xdr:rowOff>0</xdr:rowOff>
    </xdr:from>
    <xdr:to>
      <xdr:col>5</xdr:col>
      <xdr:colOff>0</xdr:colOff>
      <xdr:row>7</xdr:row>
      <xdr:rowOff>0</xdr:rowOff>
    </xdr:to>
    <xdr:sp macro="" textlink="">
      <xdr:nvSpPr>
        <xdr:cNvPr id="18" name="Rectangle 17" title="9.4.2 Exit Signs">
          <a:hlinkClick xmlns:r="http://schemas.openxmlformats.org/officeDocument/2006/relationships" r:id="rId4"/>
          <a:extLst>
            <a:ext uri="{FF2B5EF4-FFF2-40B4-BE49-F238E27FC236}">
              <a16:creationId xmlns:a16="http://schemas.microsoft.com/office/drawing/2014/main" id="{00000000-0008-0000-0A00-000012000000}"/>
            </a:ext>
          </a:extLst>
        </xdr:cNvPr>
        <xdr:cNvSpPr/>
      </xdr:nvSpPr>
      <xdr:spPr>
        <a:xfrm>
          <a:off x="1577226" y="742950"/>
          <a:ext cx="1413624" cy="190500"/>
        </a:xfrm>
        <a:prstGeom prst="rect">
          <a:avLst/>
        </a:prstGeom>
        <a:solidFill>
          <a:schemeClr val="accent2">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chemeClr val="bg1"/>
              </a:solidFill>
              <a:latin typeface="Arial" panose="020B0604020202020204" pitchFamily="34" charset="0"/>
              <a:cs typeface="Arial" panose="020B0604020202020204" pitchFamily="34" charset="0"/>
            </a:rPr>
            <a:t>Tradable Areas</a:t>
          </a:r>
        </a:p>
      </xdr:txBody>
    </xdr:sp>
    <xdr:clientData/>
  </xdr:twoCellAnchor>
  <xdr:twoCellAnchor>
    <xdr:from>
      <xdr:col>3</xdr:col>
      <xdr:colOff>1938</xdr:colOff>
      <xdr:row>8</xdr:row>
      <xdr:rowOff>7327</xdr:rowOff>
    </xdr:from>
    <xdr:to>
      <xdr:col>5</xdr:col>
      <xdr:colOff>2199</xdr:colOff>
      <xdr:row>9</xdr:row>
      <xdr:rowOff>0</xdr:rowOff>
    </xdr:to>
    <xdr:sp macro="" textlink="">
      <xdr:nvSpPr>
        <xdr:cNvPr id="20" name="Rectangle 19" title="9.4.2 Exit Signs">
          <a:hlinkClick xmlns:r="http://schemas.openxmlformats.org/officeDocument/2006/relationships" r:id="rId5"/>
          <a:extLst>
            <a:ext uri="{FF2B5EF4-FFF2-40B4-BE49-F238E27FC236}">
              <a16:creationId xmlns:a16="http://schemas.microsoft.com/office/drawing/2014/main" id="{00000000-0008-0000-0A00-000014000000}"/>
            </a:ext>
          </a:extLst>
        </xdr:cNvPr>
        <xdr:cNvSpPr/>
      </xdr:nvSpPr>
      <xdr:spPr>
        <a:xfrm>
          <a:off x="1583088" y="997927"/>
          <a:ext cx="1409961" cy="183173"/>
        </a:xfrm>
        <a:prstGeom prst="rect">
          <a:avLst/>
        </a:prstGeom>
        <a:solidFill>
          <a:schemeClr val="accent2">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chemeClr val="bg1"/>
              </a:solidFill>
              <a:latin typeface="Arial" panose="020B0604020202020204" pitchFamily="34" charset="0"/>
              <a:cs typeface="Arial" panose="020B0604020202020204" pitchFamily="34" charset="0"/>
            </a:rPr>
            <a:t>NonTradable Areas</a:t>
          </a:r>
        </a:p>
      </xdr:txBody>
    </xdr:sp>
    <xdr:clientData/>
  </xdr:twoCellAnchor>
  <xdr:twoCellAnchor editAs="oneCell">
    <xdr:from>
      <xdr:col>1</xdr:col>
      <xdr:colOff>0</xdr:colOff>
      <xdr:row>1</xdr:row>
      <xdr:rowOff>6803</xdr:rowOff>
    </xdr:from>
    <xdr:to>
      <xdr:col>2</xdr:col>
      <xdr:colOff>239487</xdr:colOff>
      <xdr:row>6</xdr:row>
      <xdr:rowOff>83003</xdr:rowOff>
    </xdr:to>
    <xdr:pic>
      <xdr:nvPicPr>
        <xdr:cNvPr id="22" name="Picture 21" descr="https://www.ashrae.org/Image%20Library/Static/logo_ashrae.png?code=72c4166c-fe1f-490d-abad-d16d2147f7f2">
          <a:hlinkClick xmlns:r="http://schemas.openxmlformats.org/officeDocument/2006/relationships" r:id="rId6"/>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7099" y="197303"/>
          <a:ext cx="998084" cy="640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758597</xdr:colOff>
      <xdr:row>6</xdr:row>
      <xdr:rowOff>190500</xdr:rowOff>
    </xdr:from>
    <xdr:to>
      <xdr:col>2</xdr:col>
      <xdr:colOff>463127</xdr:colOff>
      <xdr:row>10</xdr:row>
      <xdr:rowOff>149481</xdr:rowOff>
    </xdr:to>
    <xdr:pic>
      <xdr:nvPicPr>
        <xdr:cNvPr id="23" name="Picture 22">
          <a:hlinkClick xmlns:r="http://schemas.openxmlformats.org/officeDocument/2006/relationships" r:id="rId8"/>
          <a:extLst>
            <a:ext uri="{FF2B5EF4-FFF2-40B4-BE49-F238E27FC236}">
              <a16:creationId xmlns:a16="http://schemas.microsoft.com/office/drawing/2014/main" id="{00000000-0008-0000-0A00-00001700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r="74690" b="13515"/>
        <a:stretch/>
      </xdr:blipFill>
      <xdr:spPr>
        <a:xfrm>
          <a:off x="945696" y="945696"/>
          <a:ext cx="463127" cy="462446"/>
        </a:xfrm>
        <a:prstGeom prst="rect">
          <a:avLst/>
        </a:prstGeom>
      </xdr:spPr>
    </xdr:pic>
    <xdr:clientData/>
  </xdr:twoCellAnchor>
  <xdr:twoCellAnchor>
    <xdr:from>
      <xdr:col>0</xdr:col>
      <xdr:colOff>186836</xdr:colOff>
      <xdr:row>22</xdr:row>
      <xdr:rowOff>0</xdr:rowOff>
    </xdr:from>
    <xdr:to>
      <xdr:col>5</xdr:col>
      <xdr:colOff>0</xdr:colOff>
      <xdr:row>23</xdr:row>
      <xdr:rowOff>0</xdr:rowOff>
    </xdr:to>
    <xdr:sp macro="" textlink="">
      <xdr:nvSpPr>
        <xdr:cNvPr id="14" name="Rectangle 13" title="9.4.2 Exit Signs">
          <a:hlinkClick xmlns:r="http://schemas.openxmlformats.org/officeDocument/2006/relationships" r:id="rId10"/>
          <a:extLst>
            <a:ext uri="{FF2B5EF4-FFF2-40B4-BE49-F238E27FC236}">
              <a16:creationId xmlns:a16="http://schemas.microsoft.com/office/drawing/2014/main" id="{00000000-0008-0000-0A00-00000E000000}"/>
            </a:ext>
          </a:extLst>
        </xdr:cNvPr>
        <xdr:cNvSpPr/>
      </xdr:nvSpPr>
      <xdr:spPr>
        <a:xfrm>
          <a:off x="186836" y="3113942"/>
          <a:ext cx="3033347" cy="1611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Select Appropriate Lighting Zone</a:t>
          </a:r>
        </a:p>
      </xdr:txBody>
    </xdr:sp>
    <xdr:clientData/>
  </xdr:twoCellAnchor>
  <xdr:twoCellAnchor>
    <xdr:from>
      <xdr:col>3</xdr:col>
      <xdr:colOff>0</xdr:colOff>
      <xdr:row>10</xdr:row>
      <xdr:rowOff>0</xdr:rowOff>
    </xdr:from>
    <xdr:to>
      <xdr:col>5</xdr:col>
      <xdr:colOff>0</xdr:colOff>
      <xdr:row>11</xdr:row>
      <xdr:rowOff>0</xdr:rowOff>
    </xdr:to>
    <xdr:sp macro="" textlink="">
      <xdr:nvSpPr>
        <xdr:cNvPr id="15" name="Rectangle 14" title="9.4.2 Exit Signs">
          <a:hlinkClick xmlns:r="http://schemas.openxmlformats.org/officeDocument/2006/relationships" r:id="rId11"/>
          <a:extLst>
            <a:ext uri="{FF2B5EF4-FFF2-40B4-BE49-F238E27FC236}">
              <a16:creationId xmlns:a16="http://schemas.microsoft.com/office/drawing/2014/main" id="{00000000-0008-0000-0A00-00000F000000}"/>
            </a:ext>
          </a:extLst>
        </xdr:cNvPr>
        <xdr:cNvSpPr/>
      </xdr:nvSpPr>
      <xdr:spPr>
        <a:xfrm>
          <a:off x="1581150" y="1238250"/>
          <a:ext cx="1409700" cy="190500"/>
        </a:xfrm>
        <a:prstGeom prst="rect">
          <a:avLst/>
        </a:prstGeom>
        <a:solidFill>
          <a:schemeClr val="accent6">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chemeClr val="bg1"/>
              </a:solidFill>
              <a:latin typeface="Arial" panose="020B0604020202020204" pitchFamily="34" charset="0"/>
              <a:cs typeface="Arial" panose="020B0604020202020204" pitchFamily="34" charset="0"/>
            </a:rPr>
            <a:t>Luminaire schedule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xdr:colOff>
      <xdr:row>2</xdr:row>
      <xdr:rowOff>0</xdr:rowOff>
    </xdr:from>
    <xdr:to>
      <xdr:col>5</xdr:col>
      <xdr:colOff>1</xdr:colOff>
      <xdr:row>3</xdr:row>
      <xdr:rowOff>0</xdr:rowOff>
    </xdr:to>
    <xdr:sp macro="" textlink="">
      <xdr:nvSpPr>
        <xdr:cNvPr id="3" name="Rectangle 2" title="9.4.2 Exit Signs">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1862139" y="276225"/>
          <a:ext cx="167640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3</xdr:col>
      <xdr:colOff>1</xdr:colOff>
      <xdr:row>12</xdr:row>
      <xdr:rowOff>0</xdr:rowOff>
    </xdr:from>
    <xdr:to>
      <xdr:col>5</xdr:col>
      <xdr:colOff>1</xdr:colOff>
      <xdr:row>12</xdr:row>
      <xdr:rowOff>190499</xdr:rowOff>
    </xdr:to>
    <xdr:sp macro="" textlink="">
      <xdr:nvSpPr>
        <xdr:cNvPr id="14" name="Rectangle 13" title="9.4.2 Exit Signs">
          <a:hlinkClick xmlns:r="http://schemas.openxmlformats.org/officeDocument/2006/relationships" r:id="rId2"/>
          <a:extLst>
            <a:ext uri="{FF2B5EF4-FFF2-40B4-BE49-F238E27FC236}">
              <a16:creationId xmlns:a16="http://schemas.microsoft.com/office/drawing/2014/main" id="{00000000-0008-0000-0B00-00000E000000}"/>
            </a:ext>
          </a:extLst>
        </xdr:cNvPr>
        <xdr:cNvSpPr/>
      </xdr:nvSpPr>
      <xdr:spPr>
        <a:xfrm>
          <a:off x="1862139" y="1538288"/>
          <a:ext cx="1676400" cy="190499"/>
        </a:xfrm>
        <a:prstGeom prst="rect">
          <a:avLst/>
        </a:prstGeom>
        <a:solidFill>
          <a:schemeClr val="accent1">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1"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editAs="oneCell">
    <xdr:from>
      <xdr:col>0</xdr:col>
      <xdr:colOff>152400</xdr:colOff>
      <xdr:row>0</xdr:row>
      <xdr:rowOff>95250</xdr:rowOff>
    </xdr:from>
    <xdr:to>
      <xdr:col>2</xdr:col>
      <xdr:colOff>209551</xdr:colOff>
      <xdr:row>5</xdr:row>
      <xdr:rowOff>33338</xdr:rowOff>
    </xdr:to>
    <xdr:pic>
      <xdr:nvPicPr>
        <xdr:cNvPr id="19" name="Picture 18" descr="https://www.ashrae.org/Image%20Library/Static/logo_ashrae.png?code=72c4166c-fe1f-490d-abad-d16d2147f7f2">
          <a:hlinkClick xmlns:r="http://schemas.openxmlformats.org/officeDocument/2006/relationships" r:id="rId3"/>
          <a:extLst>
            <a:ext uri="{FF2B5EF4-FFF2-40B4-BE49-F238E27FC236}">
              <a16:creationId xmlns:a16="http://schemas.microsoft.com/office/drawing/2014/main" id="{00000000-0008-0000-0B00-00001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95250"/>
          <a:ext cx="928688"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57152</xdr:colOff>
      <xdr:row>6</xdr:row>
      <xdr:rowOff>99915</xdr:rowOff>
    </xdr:from>
    <xdr:to>
      <xdr:col>2</xdr:col>
      <xdr:colOff>520279</xdr:colOff>
      <xdr:row>10</xdr:row>
      <xdr:rowOff>67742</xdr:rowOff>
    </xdr:to>
    <xdr:pic>
      <xdr:nvPicPr>
        <xdr:cNvPr id="20" name="Picture 19">
          <a:hlinkClick xmlns:r="http://schemas.openxmlformats.org/officeDocument/2006/relationships" r:id="rId5"/>
          <a:extLst>
            <a:ext uri="{FF2B5EF4-FFF2-40B4-BE49-F238E27FC236}">
              <a16:creationId xmlns:a16="http://schemas.microsoft.com/office/drawing/2014/main" id="{00000000-0008-0000-0B00-000014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74690" b="13515"/>
        <a:stretch/>
      </xdr:blipFill>
      <xdr:spPr>
        <a:xfrm>
          <a:off x="1009652" y="728565"/>
          <a:ext cx="463127" cy="463127"/>
        </a:xfrm>
        <a:prstGeom prst="rect">
          <a:avLst/>
        </a:prstGeom>
      </xdr:spPr>
    </xdr:pic>
    <xdr:clientData/>
  </xdr:twoCellAnchor>
  <xdr:twoCellAnchor>
    <xdr:from>
      <xdr:col>1</xdr:col>
      <xdr:colOff>0</xdr:colOff>
      <xdr:row>18</xdr:row>
      <xdr:rowOff>0</xdr:rowOff>
    </xdr:from>
    <xdr:to>
      <xdr:col>4</xdr:col>
      <xdr:colOff>220662</xdr:colOff>
      <xdr:row>19</xdr:row>
      <xdr:rowOff>0</xdr:rowOff>
    </xdr:to>
    <xdr:sp macro="" textlink="">
      <xdr:nvSpPr>
        <xdr:cNvPr id="15" name="Rectangle 14" title="9.4.2 Exit Signs">
          <a:hlinkClick xmlns:r="http://schemas.openxmlformats.org/officeDocument/2006/relationships" r:id="rId7"/>
          <a:extLst>
            <a:ext uri="{FF2B5EF4-FFF2-40B4-BE49-F238E27FC236}">
              <a16:creationId xmlns:a16="http://schemas.microsoft.com/office/drawing/2014/main" id="{00000000-0008-0000-0B00-00000F000000}"/>
            </a:ext>
          </a:extLst>
        </xdr:cNvPr>
        <xdr:cNvSpPr/>
      </xdr:nvSpPr>
      <xdr:spPr>
        <a:xfrm>
          <a:off x="185738" y="2419350"/>
          <a:ext cx="2492374"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go to to Luminaire section</a:t>
          </a:r>
        </a:p>
      </xdr:txBody>
    </xdr:sp>
    <xdr:clientData/>
  </xdr:twoCellAnchor>
  <xdr:twoCellAnchor>
    <xdr:from>
      <xdr:col>1</xdr:col>
      <xdr:colOff>0</xdr:colOff>
      <xdr:row>20</xdr:row>
      <xdr:rowOff>1587</xdr:rowOff>
    </xdr:from>
    <xdr:to>
      <xdr:col>4</xdr:col>
      <xdr:colOff>220662</xdr:colOff>
      <xdr:row>21</xdr:row>
      <xdr:rowOff>1587</xdr:rowOff>
    </xdr:to>
    <xdr:sp macro="" textlink="">
      <xdr:nvSpPr>
        <xdr:cNvPr id="16" name="Rectangle 15" title="9.4.2 Exit Signs">
          <a:hlinkClick xmlns:r="http://schemas.openxmlformats.org/officeDocument/2006/relationships" r:id="rId8"/>
          <a:extLst>
            <a:ext uri="{FF2B5EF4-FFF2-40B4-BE49-F238E27FC236}">
              <a16:creationId xmlns:a16="http://schemas.microsoft.com/office/drawing/2014/main" id="{00000000-0008-0000-0B00-000010000000}"/>
            </a:ext>
          </a:extLst>
        </xdr:cNvPr>
        <xdr:cNvSpPr/>
      </xdr:nvSpPr>
      <xdr:spPr>
        <a:xfrm>
          <a:off x="185738" y="2673350"/>
          <a:ext cx="2492374"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go to to Controls section</a:t>
          </a:r>
        </a:p>
      </xdr:txBody>
    </xdr:sp>
    <xdr:clientData/>
  </xdr:twoCellAnchor>
  <xdr:twoCellAnchor>
    <xdr:from>
      <xdr:col>1</xdr:col>
      <xdr:colOff>0</xdr:colOff>
      <xdr:row>22</xdr:row>
      <xdr:rowOff>3175</xdr:rowOff>
    </xdr:from>
    <xdr:to>
      <xdr:col>4</xdr:col>
      <xdr:colOff>220662</xdr:colOff>
      <xdr:row>23</xdr:row>
      <xdr:rowOff>3175</xdr:rowOff>
    </xdr:to>
    <xdr:sp macro="" textlink="">
      <xdr:nvSpPr>
        <xdr:cNvPr id="17" name="Rectangle 16" title="9.4.2 Exit Signs">
          <a:hlinkClick xmlns:r="http://schemas.openxmlformats.org/officeDocument/2006/relationships" r:id="rId9"/>
          <a:extLst>
            <a:ext uri="{FF2B5EF4-FFF2-40B4-BE49-F238E27FC236}">
              <a16:creationId xmlns:a16="http://schemas.microsoft.com/office/drawing/2014/main" id="{00000000-0008-0000-0B00-000011000000}"/>
            </a:ext>
          </a:extLst>
        </xdr:cNvPr>
        <xdr:cNvSpPr/>
      </xdr:nvSpPr>
      <xdr:spPr>
        <a:xfrm>
          <a:off x="185738" y="2927350"/>
          <a:ext cx="2492374"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go to to Alterations section (if applicable)</a:t>
          </a:r>
        </a:p>
      </xdr:txBody>
    </xdr:sp>
    <xdr:clientData/>
  </xdr:twoCellAnchor>
  <xdr:twoCellAnchor>
    <xdr:from>
      <xdr:col>3</xdr:col>
      <xdr:colOff>0</xdr:colOff>
      <xdr:row>4</xdr:row>
      <xdr:rowOff>0</xdr:rowOff>
    </xdr:from>
    <xdr:to>
      <xdr:col>5</xdr:col>
      <xdr:colOff>261</xdr:colOff>
      <xdr:row>5</xdr:row>
      <xdr:rowOff>0</xdr:rowOff>
    </xdr:to>
    <xdr:sp macro="" textlink="">
      <xdr:nvSpPr>
        <xdr:cNvPr id="13" name="Rectangle 12" title="9.4.2 Exit Signs">
          <a:hlinkClick xmlns:r="http://schemas.openxmlformats.org/officeDocument/2006/relationships" r:id="rId10"/>
          <a:extLst>
            <a:ext uri="{FF2B5EF4-FFF2-40B4-BE49-F238E27FC236}">
              <a16:creationId xmlns:a16="http://schemas.microsoft.com/office/drawing/2014/main" id="{00000000-0008-0000-0B00-00000D000000}"/>
            </a:ext>
          </a:extLst>
        </xdr:cNvPr>
        <xdr:cNvSpPr/>
      </xdr:nvSpPr>
      <xdr:spPr>
        <a:xfrm>
          <a:off x="1581150" y="514350"/>
          <a:ext cx="1409961" cy="190500"/>
        </a:xfrm>
        <a:prstGeom prst="rect">
          <a:avLst/>
        </a:prstGeom>
        <a:solidFill>
          <a:schemeClr val="accent2">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chemeClr val="bg1"/>
              </a:solidFill>
              <a:latin typeface="Arial" panose="020B0604020202020204" pitchFamily="34" charset="0"/>
              <a:cs typeface="Arial" panose="020B0604020202020204" pitchFamily="34" charset="0"/>
            </a:rPr>
            <a:t>NonTradable Areas</a:t>
          </a:r>
        </a:p>
      </xdr:txBody>
    </xdr:sp>
    <xdr:clientData/>
  </xdr:twoCellAnchor>
  <xdr:twoCellAnchor>
    <xdr:from>
      <xdr:col>2</xdr:col>
      <xdr:colOff>700926</xdr:colOff>
      <xdr:row>7</xdr:row>
      <xdr:rowOff>47625</xdr:rowOff>
    </xdr:from>
    <xdr:to>
      <xdr:col>5</xdr:col>
      <xdr:colOff>0</xdr:colOff>
      <xdr:row>8</xdr:row>
      <xdr:rowOff>180975</xdr:rowOff>
    </xdr:to>
    <xdr:sp macro="" textlink="">
      <xdr:nvSpPr>
        <xdr:cNvPr id="21" name="Rectangle 20" title="9.4.2 Exit Signs">
          <a:hlinkClick xmlns:r="http://schemas.openxmlformats.org/officeDocument/2006/relationships" r:id="rId11"/>
          <a:extLst>
            <a:ext uri="{FF2B5EF4-FFF2-40B4-BE49-F238E27FC236}">
              <a16:creationId xmlns:a16="http://schemas.microsoft.com/office/drawing/2014/main" id="{00000000-0008-0000-0B00-000015000000}"/>
            </a:ext>
          </a:extLst>
        </xdr:cNvPr>
        <xdr:cNvSpPr/>
      </xdr:nvSpPr>
      <xdr:spPr>
        <a:xfrm>
          <a:off x="1577226" y="1000125"/>
          <a:ext cx="1413624" cy="190500"/>
        </a:xfrm>
        <a:prstGeom prst="rect">
          <a:avLst/>
        </a:prstGeom>
        <a:solidFill>
          <a:schemeClr val="accent6">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chemeClr val="bg1"/>
              </a:solidFill>
              <a:latin typeface="Arial" panose="020B0604020202020204" pitchFamily="34" charset="0"/>
              <a:cs typeface="Arial" panose="020B0604020202020204" pitchFamily="34" charset="0"/>
            </a:rPr>
            <a:t>Ext Area</a:t>
          </a:r>
          <a:r>
            <a:rPr lang="en-US" sz="900" u="none" baseline="0">
              <a:solidFill>
                <a:schemeClr val="bg1"/>
              </a:solidFill>
              <a:latin typeface="Arial" panose="020B0604020202020204" pitchFamily="34" charset="0"/>
              <a:cs typeface="Arial" panose="020B0604020202020204" pitchFamily="34" charset="0"/>
            </a:rPr>
            <a:t> Schedule</a:t>
          </a:r>
          <a:endParaRPr lang="en-US" sz="900" u="none">
            <a:solidFill>
              <a:schemeClr val="bg1"/>
            </a:solidFill>
            <a:latin typeface="Arial" panose="020B0604020202020204" pitchFamily="34" charset="0"/>
            <a:cs typeface="Arial" panose="020B0604020202020204" pitchFamily="34" charset="0"/>
          </a:endParaRPr>
        </a:p>
      </xdr:txBody>
    </xdr:sp>
    <xdr:clientData/>
  </xdr:twoCellAnchor>
  <xdr:twoCellAnchor>
    <xdr:from>
      <xdr:col>3</xdr:col>
      <xdr:colOff>0</xdr:colOff>
      <xdr:row>6</xdr:row>
      <xdr:rowOff>0</xdr:rowOff>
    </xdr:from>
    <xdr:to>
      <xdr:col>5</xdr:col>
      <xdr:colOff>0</xdr:colOff>
      <xdr:row>7</xdr:row>
      <xdr:rowOff>0</xdr:rowOff>
    </xdr:to>
    <xdr:sp macro="" textlink="">
      <xdr:nvSpPr>
        <xdr:cNvPr id="11" name="Rectangle 10" title="9.4.2 Exit Signs">
          <a:hlinkClick xmlns:r="http://schemas.openxmlformats.org/officeDocument/2006/relationships" r:id="rId12"/>
          <a:extLst>
            <a:ext uri="{FF2B5EF4-FFF2-40B4-BE49-F238E27FC236}">
              <a16:creationId xmlns:a16="http://schemas.microsoft.com/office/drawing/2014/main" id="{00000000-0008-0000-0000-00001B000000}"/>
            </a:ext>
          </a:extLst>
        </xdr:cNvPr>
        <xdr:cNvSpPr/>
      </xdr:nvSpPr>
      <xdr:spPr>
        <a:xfrm>
          <a:off x="1581150" y="762000"/>
          <a:ext cx="1409700" cy="190500"/>
        </a:xfrm>
        <a:prstGeom prst="rect">
          <a:avLst/>
        </a:prstGeom>
        <a:solidFill>
          <a:schemeClr val="accent2">
            <a:lumMod val="60000"/>
            <a:lumOff val="40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ysClr val="windowText" lastClr="000000"/>
              </a:solidFill>
              <a:latin typeface="Arial" panose="020B0604020202020204" pitchFamily="34" charset="0"/>
              <a:cs typeface="Arial" panose="020B0604020202020204" pitchFamily="34" charset="0"/>
            </a:rPr>
            <a:t>Exterior Compliance Detials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xdr:colOff>
      <xdr:row>2</xdr:row>
      <xdr:rowOff>0</xdr:rowOff>
    </xdr:from>
    <xdr:to>
      <xdr:col>5</xdr:col>
      <xdr:colOff>1</xdr:colOff>
      <xdr:row>3</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1581151" y="266700"/>
          <a:ext cx="140970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3</xdr:col>
      <xdr:colOff>1</xdr:colOff>
      <xdr:row>12</xdr:row>
      <xdr:rowOff>0</xdr:rowOff>
    </xdr:from>
    <xdr:to>
      <xdr:col>5</xdr:col>
      <xdr:colOff>1</xdr:colOff>
      <xdr:row>12</xdr:row>
      <xdr:rowOff>190499</xdr:rowOff>
    </xdr:to>
    <xdr:sp macro="" textlink="">
      <xdr:nvSpPr>
        <xdr:cNvPr id="6" name="Rectangle 5" title="9.4.2 Exit Signs">
          <a:hlinkClick xmlns:r="http://schemas.openxmlformats.org/officeDocument/2006/relationships" r:id="rId2"/>
          <a:extLst>
            <a:ext uri="{FF2B5EF4-FFF2-40B4-BE49-F238E27FC236}">
              <a16:creationId xmlns:a16="http://schemas.microsoft.com/office/drawing/2014/main" id="{00000000-0008-0000-0D00-000006000000}"/>
            </a:ext>
          </a:extLst>
        </xdr:cNvPr>
        <xdr:cNvSpPr/>
      </xdr:nvSpPr>
      <xdr:spPr>
        <a:xfrm>
          <a:off x="1581151" y="1504950"/>
          <a:ext cx="1409700" cy="190499"/>
        </a:xfrm>
        <a:prstGeom prst="rect">
          <a:avLst/>
        </a:prstGeom>
        <a:solidFill>
          <a:schemeClr val="accent1">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1"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editAs="oneCell">
    <xdr:from>
      <xdr:col>0</xdr:col>
      <xdr:colOff>152400</xdr:colOff>
      <xdr:row>0</xdr:row>
      <xdr:rowOff>95250</xdr:rowOff>
    </xdr:from>
    <xdr:to>
      <xdr:col>2</xdr:col>
      <xdr:colOff>209551</xdr:colOff>
      <xdr:row>5</xdr:row>
      <xdr:rowOff>33338</xdr:rowOff>
    </xdr:to>
    <xdr:pic>
      <xdr:nvPicPr>
        <xdr:cNvPr id="9" name="Picture 8" descr="https://www.ashrae.org/Image%20Library/Static/logo_ashrae.png?code=72c4166c-fe1f-490d-abad-d16d2147f7f2">
          <a:hlinkClick xmlns:r="http://schemas.openxmlformats.org/officeDocument/2006/relationships" r:id="rId3"/>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95250"/>
          <a:ext cx="933451"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57152</xdr:colOff>
      <xdr:row>6</xdr:row>
      <xdr:rowOff>99915</xdr:rowOff>
    </xdr:from>
    <xdr:to>
      <xdr:col>2</xdr:col>
      <xdr:colOff>520279</xdr:colOff>
      <xdr:row>10</xdr:row>
      <xdr:rowOff>67742</xdr:rowOff>
    </xdr:to>
    <xdr:pic>
      <xdr:nvPicPr>
        <xdr:cNvPr id="10" name="Picture 9">
          <a:hlinkClick xmlns:r="http://schemas.openxmlformats.org/officeDocument/2006/relationships" r:id="rId5"/>
          <a:extLst>
            <a:ext uri="{FF2B5EF4-FFF2-40B4-BE49-F238E27FC236}">
              <a16:creationId xmlns:a16="http://schemas.microsoft.com/office/drawing/2014/main" id="{00000000-0008-0000-0D00-00000A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74690" b="13515"/>
        <a:stretch/>
      </xdr:blipFill>
      <xdr:spPr>
        <a:xfrm>
          <a:off x="933452" y="861915"/>
          <a:ext cx="463127" cy="463127"/>
        </a:xfrm>
        <a:prstGeom prst="rect">
          <a:avLst/>
        </a:prstGeom>
      </xdr:spPr>
    </xdr:pic>
    <xdr:clientData/>
  </xdr:twoCellAnchor>
  <xdr:twoCellAnchor>
    <xdr:from>
      <xdr:col>1</xdr:col>
      <xdr:colOff>0</xdr:colOff>
      <xdr:row>18</xdr:row>
      <xdr:rowOff>0</xdr:rowOff>
    </xdr:from>
    <xdr:to>
      <xdr:col>4</xdr:col>
      <xdr:colOff>220662</xdr:colOff>
      <xdr:row>19</xdr:row>
      <xdr:rowOff>0</xdr:rowOff>
    </xdr:to>
    <xdr:sp macro="" textlink="">
      <xdr:nvSpPr>
        <xdr:cNvPr id="11" name="Rectangle 10" title="9.4.2 Exit Signs">
          <a:hlinkClick xmlns:r="http://schemas.openxmlformats.org/officeDocument/2006/relationships" r:id="rId1"/>
          <a:extLst>
            <a:ext uri="{FF2B5EF4-FFF2-40B4-BE49-F238E27FC236}">
              <a16:creationId xmlns:a16="http://schemas.microsoft.com/office/drawing/2014/main" id="{00000000-0008-0000-0D00-00000B000000}"/>
            </a:ext>
          </a:extLst>
        </xdr:cNvPr>
        <xdr:cNvSpPr/>
      </xdr:nvSpPr>
      <xdr:spPr>
        <a:xfrm>
          <a:off x="171450" y="2371725"/>
          <a:ext cx="2335212"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go to to Luminaire section</a:t>
          </a:r>
        </a:p>
      </xdr:txBody>
    </xdr:sp>
    <xdr:clientData/>
  </xdr:twoCellAnchor>
  <xdr:twoCellAnchor>
    <xdr:from>
      <xdr:col>1</xdr:col>
      <xdr:colOff>0</xdr:colOff>
      <xdr:row>20</xdr:row>
      <xdr:rowOff>1587</xdr:rowOff>
    </xdr:from>
    <xdr:to>
      <xdr:col>4</xdr:col>
      <xdr:colOff>220662</xdr:colOff>
      <xdr:row>21</xdr:row>
      <xdr:rowOff>1587</xdr:rowOff>
    </xdr:to>
    <xdr:sp macro="" textlink="">
      <xdr:nvSpPr>
        <xdr:cNvPr id="12" name="Rectangle 11" title="9.4.2 Exit Signs">
          <a:hlinkClick xmlns:r="http://schemas.openxmlformats.org/officeDocument/2006/relationships" r:id="rId7"/>
          <a:extLst>
            <a:ext uri="{FF2B5EF4-FFF2-40B4-BE49-F238E27FC236}">
              <a16:creationId xmlns:a16="http://schemas.microsoft.com/office/drawing/2014/main" id="{00000000-0008-0000-0D00-00000C000000}"/>
            </a:ext>
          </a:extLst>
        </xdr:cNvPr>
        <xdr:cNvSpPr/>
      </xdr:nvSpPr>
      <xdr:spPr>
        <a:xfrm>
          <a:off x="171450" y="2620962"/>
          <a:ext cx="2335212"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go to to Controls section</a:t>
          </a:r>
        </a:p>
      </xdr:txBody>
    </xdr:sp>
    <xdr:clientData/>
  </xdr:twoCellAnchor>
  <xdr:twoCellAnchor>
    <xdr:from>
      <xdr:col>1</xdr:col>
      <xdr:colOff>0</xdr:colOff>
      <xdr:row>22</xdr:row>
      <xdr:rowOff>3175</xdr:rowOff>
    </xdr:from>
    <xdr:to>
      <xdr:col>4</xdr:col>
      <xdr:colOff>220662</xdr:colOff>
      <xdr:row>23</xdr:row>
      <xdr:rowOff>3175</xdr:rowOff>
    </xdr:to>
    <xdr:sp macro="" textlink="">
      <xdr:nvSpPr>
        <xdr:cNvPr id="13" name="Rectangle 12" title="9.4.2 Exit Signs">
          <a:hlinkClick xmlns:r="http://schemas.openxmlformats.org/officeDocument/2006/relationships" r:id="rId8"/>
          <a:extLst>
            <a:ext uri="{FF2B5EF4-FFF2-40B4-BE49-F238E27FC236}">
              <a16:creationId xmlns:a16="http://schemas.microsoft.com/office/drawing/2014/main" id="{00000000-0008-0000-0D00-00000D000000}"/>
            </a:ext>
          </a:extLst>
        </xdr:cNvPr>
        <xdr:cNvSpPr/>
      </xdr:nvSpPr>
      <xdr:spPr>
        <a:xfrm>
          <a:off x="171450" y="2870200"/>
          <a:ext cx="2335212"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go to to Alterations section (if applicable)</a:t>
          </a:r>
        </a:p>
      </xdr:txBody>
    </xdr:sp>
    <xdr:clientData/>
  </xdr:twoCellAnchor>
  <xdr:twoCellAnchor>
    <xdr:from>
      <xdr:col>3</xdr:col>
      <xdr:colOff>0</xdr:colOff>
      <xdr:row>4</xdr:row>
      <xdr:rowOff>0</xdr:rowOff>
    </xdr:from>
    <xdr:to>
      <xdr:col>5</xdr:col>
      <xdr:colOff>3924</xdr:colOff>
      <xdr:row>5</xdr:row>
      <xdr:rowOff>0</xdr:rowOff>
    </xdr:to>
    <xdr:sp macro="" textlink="">
      <xdr:nvSpPr>
        <xdr:cNvPr id="14" name="Rectangle 13" title="9.4.2 Exit Signs">
          <a:hlinkClick xmlns:r="http://schemas.openxmlformats.org/officeDocument/2006/relationships" r:id="rId9"/>
          <a:extLst>
            <a:ext uri="{FF2B5EF4-FFF2-40B4-BE49-F238E27FC236}">
              <a16:creationId xmlns:a16="http://schemas.microsoft.com/office/drawing/2014/main" id="{00000000-0008-0000-0D00-00000E000000}"/>
            </a:ext>
          </a:extLst>
        </xdr:cNvPr>
        <xdr:cNvSpPr/>
      </xdr:nvSpPr>
      <xdr:spPr>
        <a:xfrm>
          <a:off x="1581150" y="514350"/>
          <a:ext cx="1413624" cy="190500"/>
        </a:xfrm>
        <a:prstGeom prst="rect">
          <a:avLst/>
        </a:prstGeom>
        <a:solidFill>
          <a:schemeClr val="accent2">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chemeClr val="bg1"/>
              </a:solidFill>
              <a:latin typeface="Arial" panose="020B0604020202020204" pitchFamily="34" charset="0"/>
              <a:cs typeface="Arial" panose="020B0604020202020204" pitchFamily="34" charset="0"/>
            </a:rPr>
            <a:t>Tradable Areas</a:t>
          </a:r>
        </a:p>
      </xdr:txBody>
    </xdr:sp>
    <xdr:clientData/>
  </xdr:twoCellAnchor>
  <xdr:twoCellAnchor>
    <xdr:from>
      <xdr:col>3</xdr:col>
      <xdr:colOff>0</xdr:colOff>
      <xdr:row>8</xdr:row>
      <xdr:rowOff>0</xdr:rowOff>
    </xdr:from>
    <xdr:to>
      <xdr:col>5</xdr:col>
      <xdr:colOff>0</xdr:colOff>
      <xdr:row>9</xdr:row>
      <xdr:rowOff>0</xdr:rowOff>
    </xdr:to>
    <xdr:sp macro="" textlink="">
      <xdr:nvSpPr>
        <xdr:cNvPr id="17" name="Rectangle 16" title="9.4.2 Exit Signs">
          <a:hlinkClick xmlns:r="http://schemas.openxmlformats.org/officeDocument/2006/relationships" r:id="rId10"/>
          <a:extLst>
            <a:ext uri="{FF2B5EF4-FFF2-40B4-BE49-F238E27FC236}">
              <a16:creationId xmlns:a16="http://schemas.microsoft.com/office/drawing/2014/main" id="{00000000-0008-0000-0D00-000011000000}"/>
            </a:ext>
          </a:extLst>
        </xdr:cNvPr>
        <xdr:cNvSpPr/>
      </xdr:nvSpPr>
      <xdr:spPr>
        <a:xfrm>
          <a:off x="1581150" y="1009650"/>
          <a:ext cx="1409700" cy="190500"/>
        </a:xfrm>
        <a:prstGeom prst="rect">
          <a:avLst/>
        </a:prstGeom>
        <a:solidFill>
          <a:schemeClr val="accent6">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chemeClr val="bg1"/>
              </a:solidFill>
              <a:latin typeface="Arial" panose="020B0604020202020204" pitchFamily="34" charset="0"/>
              <a:cs typeface="Arial" panose="020B0604020202020204" pitchFamily="34" charset="0"/>
            </a:rPr>
            <a:t>Ext Area</a:t>
          </a:r>
          <a:r>
            <a:rPr lang="en-US" sz="900" u="none" baseline="0">
              <a:solidFill>
                <a:schemeClr val="bg1"/>
              </a:solidFill>
              <a:latin typeface="Arial" panose="020B0604020202020204" pitchFamily="34" charset="0"/>
              <a:cs typeface="Arial" panose="020B0604020202020204" pitchFamily="34" charset="0"/>
            </a:rPr>
            <a:t> Schedule</a:t>
          </a:r>
          <a:endParaRPr lang="en-US" sz="900" u="none">
            <a:solidFill>
              <a:schemeClr val="bg1"/>
            </a:solidFill>
            <a:latin typeface="Arial" panose="020B0604020202020204" pitchFamily="34" charset="0"/>
            <a:cs typeface="Arial" panose="020B0604020202020204" pitchFamily="34" charset="0"/>
          </a:endParaRPr>
        </a:p>
      </xdr:txBody>
    </xdr:sp>
    <xdr:clientData/>
  </xdr:twoCellAnchor>
  <xdr:twoCellAnchor>
    <xdr:from>
      <xdr:col>3</xdr:col>
      <xdr:colOff>0</xdr:colOff>
      <xdr:row>6</xdr:row>
      <xdr:rowOff>0</xdr:rowOff>
    </xdr:from>
    <xdr:to>
      <xdr:col>5</xdr:col>
      <xdr:colOff>0</xdr:colOff>
      <xdr:row>7</xdr:row>
      <xdr:rowOff>0</xdr:rowOff>
    </xdr:to>
    <xdr:sp macro="" textlink="">
      <xdr:nvSpPr>
        <xdr:cNvPr id="16" name="Rectangle 15" title="9.4.2 Exit Signs">
          <a:hlinkClick xmlns:r="http://schemas.openxmlformats.org/officeDocument/2006/relationships" r:id="rId11"/>
          <a:extLst>
            <a:ext uri="{FF2B5EF4-FFF2-40B4-BE49-F238E27FC236}">
              <a16:creationId xmlns:a16="http://schemas.microsoft.com/office/drawing/2014/main" id="{00000000-0008-0000-0000-00001B000000}"/>
            </a:ext>
          </a:extLst>
        </xdr:cNvPr>
        <xdr:cNvSpPr/>
      </xdr:nvSpPr>
      <xdr:spPr>
        <a:xfrm>
          <a:off x="1581150" y="762000"/>
          <a:ext cx="1409700" cy="190500"/>
        </a:xfrm>
        <a:prstGeom prst="rect">
          <a:avLst/>
        </a:prstGeom>
        <a:solidFill>
          <a:schemeClr val="accent2">
            <a:lumMod val="60000"/>
            <a:lumOff val="40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ysClr val="windowText" lastClr="000000"/>
              </a:solidFill>
              <a:latin typeface="Arial" panose="020B0604020202020204" pitchFamily="34" charset="0"/>
              <a:cs typeface="Arial" panose="020B0604020202020204" pitchFamily="34" charset="0"/>
            </a:rPr>
            <a:t>Exterior Compliance Detials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57</xdr:row>
      <xdr:rowOff>4762</xdr:rowOff>
    </xdr:from>
    <xdr:to>
      <xdr:col>1</xdr:col>
      <xdr:colOff>0</xdr:colOff>
      <xdr:row>58</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0" y="7810500"/>
          <a:ext cx="1714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lang="en-US" sz="10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4</xdr:col>
      <xdr:colOff>1</xdr:colOff>
      <xdr:row>2</xdr:row>
      <xdr:rowOff>1</xdr:rowOff>
    </xdr:from>
    <xdr:to>
      <xdr:col>6</xdr:col>
      <xdr:colOff>1</xdr:colOff>
      <xdr:row>3</xdr:row>
      <xdr:rowOff>1</xdr:rowOff>
    </xdr:to>
    <xdr:sp macro="" textlink="">
      <xdr:nvSpPr>
        <xdr:cNvPr id="4" name="Rectangle 3" title="9.4.2 Exit Signs">
          <a:hlinkClick xmlns:r="http://schemas.openxmlformats.org/officeDocument/2006/relationships" r:id="rId2"/>
          <a:extLst>
            <a:ext uri="{FF2B5EF4-FFF2-40B4-BE49-F238E27FC236}">
              <a16:creationId xmlns:a16="http://schemas.microsoft.com/office/drawing/2014/main" id="{00000000-0008-0000-1500-000004000000}"/>
            </a:ext>
          </a:extLst>
        </xdr:cNvPr>
        <xdr:cNvSpPr/>
      </xdr:nvSpPr>
      <xdr:spPr>
        <a:xfrm>
          <a:off x="1733551" y="247651"/>
          <a:ext cx="140970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3</xdr:col>
      <xdr:colOff>756986</xdr:colOff>
      <xdr:row>12</xdr:row>
      <xdr:rowOff>0</xdr:rowOff>
    </xdr:from>
    <xdr:to>
      <xdr:col>6</xdr:col>
      <xdr:colOff>0</xdr:colOff>
      <xdr:row>12</xdr:row>
      <xdr:rowOff>170447</xdr:rowOff>
    </xdr:to>
    <xdr:sp macro="" textlink="">
      <xdr:nvSpPr>
        <xdr:cNvPr id="6" name="Rectangle 5" title="9.4.2 Exit Signs">
          <a:hlinkClick xmlns:r="http://schemas.openxmlformats.org/officeDocument/2006/relationships" r:id="rId3"/>
          <a:extLst>
            <a:ext uri="{FF2B5EF4-FFF2-40B4-BE49-F238E27FC236}">
              <a16:creationId xmlns:a16="http://schemas.microsoft.com/office/drawing/2014/main" id="{00000000-0008-0000-1500-000006000000}"/>
            </a:ext>
          </a:extLst>
        </xdr:cNvPr>
        <xdr:cNvSpPr/>
      </xdr:nvSpPr>
      <xdr:spPr>
        <a:xfrm>
          <a:off x="1738061" y="1485900"/>
          <a:ext cx="1405189" cy="170447"/>
        </a:xfrm>
        <a:prstGeom prst="rect">
          <a:avLst/>
        </a:prstGeom>
        <a:solidFill>
          <a:schemeClr val="accent1">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editAs="oneCell">
    <xdr:from>
      <xdr:col>1</xdr:col>
      <xdr:colOff>0</xdr:colOff>
      <xdr:row>1</xdr:row>
      <xdr:rowOff>0</xdr:rowOff>
    </xdr:from>
    <xdr:to>
      <xdr:col>3</xdr:col>
      <xdr:colOff>76202</xdr:colOff>
      <xdr:row>6</xdr:row>
      <xdr:rowOff>89793</xdr:rowOff>
    </xdr:to>
    <xdr:pic>
      <xdr:nvPicPr>
        <xdr:cNvPr id="7" name="Picture 6" descr="https://www.ashrae.org/Image%20Library/Static/logo_ashrae.png?code=72c4166c-fe1f-490d-abad-d16d2147f7f2">
          <a:hlinkClick xmlns:r="http://schemas.openxmlformats.org/officeDocument/2006/relationships" r:id="rId4"/>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90500"/>
          <a:ext cx="933452" cy="642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3</xdr:col>
      <xdr:colOff>463127</xdr:colOff>
      <xdr:row>10</xdr:row>
      <xdr:rowOff>152049</xdr:rowOff>
    </xdr:to>
    <xdr:pic>
      <xdr:nvPicPr>
        <xdr:cNvPr id="8" name="Picture 7">
          <a:hlinkClick xmlns:r="http://schemas.openxmlformats.org/officeDocument/2006/relationships" r:id="rId6"/>
          <a:extLst>
            <a:ext uri="{FF2B5EF4-FFF2-40B4-BE49-F238E27FC236}">
              <a16:creationId xmlns:a16="http://schemas.microsoft.com/office/drawing/2014/main" id="{00000000-0008-0000-1500-000008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74690" b="13515"/>
        <a:stretch/>
      </xdr:blipFill>
      <xdr:spPr>
        <a:xfrm>
          <a:off x="1028700" y="933450"/>
          <a:ext cx="463127" cy="456849"/>
        </a:xfrm>
        <a:prstGeom prst="rect">
          <a:avLst/>
        </a:prstGeom>
      </xdr:spPr>
    </xdr:pic>
    <xdr:clientData/>
  </xdr:twoCellAnchor>
  <xdr:twoCellAnchor>
    <xdr:from>
      <xdr:col>4</xdr:col>
      <xdr:colOff>1789</xdr:colOff>
      <xdr:row>4</xdr:row>
      <xdr:rowOff>0</xdr:rowOff>
    </xdr:from>
    <xdr:to>
      <xdr:col>6</xdr:col>
      <xdr:colOff>0</xdr:colOff>
      <xdr:row>5</xdr:row>
      <xdr:rowOff>0</xdr:rowOff>
    </xdr:to>
    <xdr:sp macro="" textlink="">
      <xdr:nvSpPr>
        <xdr:cNvPr id="9" name="Rectangle 8" title="9.4.2 Exit Signs">
          <a:hlinkClick xmlns:r="http://schemas.openxmlformats.org/officeDocument/2006/relationships" r:id="rId8"/>
          <a:extLst>
            <a:ext uri="{FF2B5EF4-FFF2-40B4-BE49-F238E27FC236}">
              <a16:creationId xmlns:a16="http://schemas.microsoft.com/office/drawing/2014/main" id="{00000000-0008-0000-1500-000009000000}"/>
            </a:ext>
          </a:extLst>
        </xdr:cNvPr>
        <xdr:cNvSpPr/>
      </xdr:nvSpPr>
      <xdr:spPr>
        <a:xfrm>
          <a:off x="1735339" y="495300"/>
          <a:ext cx="1407911"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Installed Interior Lighting</a:t>
          </a:r>
        </a:p>
      </xdr:txBody>
    </xdr:sp>
    <xdr:clientData/>
  </xdr:twoCellAnchor>
  <xdr:twoCellAnchor>
    <xdr:from>
      <xdr:col>4</xdr:col>
      <xdr:colOff>5821</xdr:colOff>
      <xdr:row>6</xdr:row>
      <xdr:rowOff>0</xdr:rowOff>
    </xdr:from>
    <xdr:to>
      <xdr:col>6</xdr:col>
      <xdr:colOff>1</xdr:colOff>
      <xdr:row>7</xdr:row>
      <xdr:rowOff>0</xdr:rowOff>
    </xdr:to>
    <xdr:sp macro="" textlink="">
      <xdr:nvSpPr>
        <xdr:cNvPr id="10" name="Rectangle 9" title="9.4.2 Exit Signs">
          <a:hlinkClick xmlns:r="http://schemas.openxmlformats.org/officeDocument/2006/relationships" r:id="rId9"/>
          <a:extLst>
            <a:ext uri="{FF2B5EF4-FFF2-40B4-BE49-F238E27FC236}">
              <a16:creationId xmlns:a16="http://schemas.microsoft.com/office/drawing/2014/main" id="{00000000-0008-0000-1500-00000A000000}"/>
            </a:ext>
          </a:extLst>
        </xdr:cNvPr>
        <xdr:cNvSpPr/>
      </xdr:nvSpPr>
      <xdr:spPr>
        <a:xfrm>
          <a:off x="1739371" y="742950"/>
          <a:ext cx="140388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Controls</a:t>
          </a:r>
        </a:p>
      </xdr:txBody>
    </xdr:sp>
    <xdr:clientData/>
  </xdr:twoCellAnchor>
  <xdr:twoCellAnchor>
    <xdr:from>
      <xdr:col>4</xdr:col>
      <xdr:colOff>0</xdr:colOff>
      <xdr:row>8</xdr:row>
      <xdr:rowOff>0</xdr:rowOff>
    </xdr:from>
    <xdr:to>
      <xdr:col>6</xdr:col>
      <xdr:colOff>0</xdr:colOff>
      <xdr:row>9</xdr:row>
      <xdr:rowOff>0</xdr:rowOff>
    </xdr:to>
    <xdr:sp macro="" textlink="">
      <xdr:nvSpPr>
        <xdr:cNvPr id="11" name="Rectangle 10" title="9.4.2 Exit Signs">
          <a:hlinkClick xmlns:r="http://schemas.openxmlformats.org/officeDocument/2006/relationships" r:id="rId10"/>
          <a:extLst>
            <a:ext uri="{FF2B5EF4-FFF2-40B4-BE49-F238E27FC236}">
              <a16:creationId xmlns:a16="http://schemas.microsoft.com/office/drawing/2014/main" id="{00000000-0008-0000-1500-00000B000000}"/>
            </a:ext>
          </a:extLst>
        </xdr:cNvPr>
        <xdr:cNvSpPr/>
      </xdr:nvSpPr>
      <xdr:spPr>
        <a:xfrm>
          <a:off x="1733550" y="990600"/>
          <a:ext cx="1409700" cy="190500"/>
        </a:xfrm>
        <a:prstGeom prst="rect">
          <a:avLst/>
        </a:prstGeom>
        <a:solidFill>
          <a:schemeClr val="accent6">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chemeClr val="bg1"/>
              </a:solidFill>
              <a:latin typeface="Arial" panose="020B0604020202020204" pitchFamily="34" charset="0"/>
              <a:cs typeface="Arial" panose="020B0604020202020204" pitchFamily="34" charset="0"/>
            </a:rPr>
            <a:t>Luminaire schedule</a:t>
          </a:r>
        </a:p>
      </xdr:txBody>
    </xdr:sp>
    <xdr:clientData/>
  </xdr:twoCellAnchor>
  <xdr:twoCellAnchor>
    <xdr:from>
      <xdr:col>4</xdr:col>
      <xdr:colOff>4511</xdr:colOff>
      <xdr:row>13</xdr:row>
      <xdr:rowOff>47625</xdr:rowOff>
    </xdr:from>
    <xdr:to>
      <xdr:col>6</xdr:col>
      <xdr:colOff>0</xdr:colOff>
      <xdr:row>14</xdr:row>
      <xdr:rowOff>160922</xdr:rowOff>
    </xdr:to>
    <xdr:sp macro="" textlink="">
      <xdr:nvSpPr>
        <xdr:cNvPr id="12" name="Rectangle 11" title="9.4.2 Exit Signs">
          <a:hlinkClick xmlns:r="http://schemas.openxmlformats.org/officeDocument/2006/relationships" r:id="rId11"/>
          <a:extLst>
            <a:ext uri="{FF2B5EF4-FFF2-40B4-BE49-F238E27FC236}">
              <a16:creationId xmlns:a16="http://schemas.microsoft.com/office/drawing/2014/main" id="{00000000-0008-0000-1500-00000C000000}"/>
            </a:ext>
          </a:extLst>
        </xdr:cNvPr>
        <xdr:cNvSpPr/>
      </xdr:nvSpPr>
      <xdr:spPr>
        <a:xfrm>
          <a:off x="1738061" y="1724025"/>
          <a:ext cx="1405189" cy="170447"/>
        </a:xfrm>
        <a:prstGeom prst="rect">
          <a:avLst/>
        </a:prstGeom>
        <a:solidFill>
          <a:schemeClr val="accent3">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9.3 Ext Simplified</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57</xdr:row>
      <xdr:rowOff>4762</xdr:rowOff>
    </xdr:from>
    <xdr:to>
      <xdr:col>1</xdr:col>
      <xdr:colOff>0</xdr:colOff>
      <xdr:row>58</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0" y="7810500"/>
          <a:ext cx="1714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lang="en-US" sz="10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4</xdr:col>
      <xdr:colOff>1</xdr:colOff>
      <xdr:row>2</xdr:row>
      <xdr:rowOff>1</xdr:rowOff>
    </xdr:from>
    <xdr:to>
      <xdr:col>6</xdr:col>
      <xdr:colOff>1</xdr:colOff>
      <xdr:row>3</xdr:row>
      <xdr:rowOff>1</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id="{00000000-0008-0000-1600-000003000000}"/>
            </a:ext>
          </a:extLst>
        </xdr:cNvPr>
        <xdr:cNvSpPr/>
      </xdr:nvSpPr>
      <xdr:spPr>
        <a:xfrm>
          <a:off x="1733551" y="247651"/>
          <a:ext cx="140970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3</xdr:col>
      <xdr:colOff>756986</xdr:colOff>
      <xdr:row>12</xdr:row>
      <xdr:rowOff>0</xdr:rowOff>
    </xdr:from>
    <xdr:to>
      <xdr:col>6</xdr:col>
      <xdr:colOff>0</xdr:colOff>
      <xdr:row>12</xdr:row>
      <xdr:rowOff>170447</xdr:rowOff>
    </xdr:to>
    <xdr:sp macro="" textlink="">
      <xdr:nvSpPr>
        <xdr:cNvPr id="5" name="Rectangle 4" title="9.4.2 Exit Signs">
          <a:hlinkClick xmlns:r="http://schemas.openxmlformats.org/officeDocument/2006/relationships" r:id="rId3"/>
          <a:extLst>
            <a:ext uri="{FF2B5EF4-FFF2-40B4-BE49-F238E27FC236}">
              <a16:creationId xmlns:a16="http://schemas.microsoft.com/office/drawing/2014/main" id="{00000000-0008-0000-1600-000005000000}"/>
            </a:ext>
          </a:extLst>
        </xdr:cNvPr>
        <xdr:cNvSpPr/>
      </xdr:nvSpPr>
      <xdr:spPr>
        <a:xfrm>
          <a:off x="1738061" y="1485900"/>
          <a:ext cx="1405189" cy="170447"/>
        </a:xfrm>
        <a:prstGeom prst="rect">
          <a:avLst/>
        </a:prstGeom>
        <a:solidFill>
          <a:schemeClr val="accent1">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editAs="oneCell">
    <xdr:from>
      <xdr:col>1</xdr:col>
      <xdr:colOff>0</xdr:colOff>
      <xdr:row>1</xdr:row>
      <xdr:rowOff>0</xdr:rowOff>
    </xdr:from>
    <xdr:to>
      <xdr:col>3</xdr:col>
      <xdr:colOff>76202</xdr:colOff>
      <xdr:row>6</xdr:row>
      <xdr:rowOff>89793</xdr:rowOff>
    </xdr:to>
    <xdr:pic>
      <xdr:nvPicPr>
        <xdr:cNvPr id="6" name="Picture 5" descr="https://www.ashrae.org/Image%20Library/Static/logo_ashrae.png?code=72c4166c-fe1f-490d-abad-d16d2147f7f2">
          <a:hlinkClick xmlns:r="http://schemas.openxmlformats.org/officeDocument/2006/relationships" r:id="rId4"/>
          <a:extLst>
            <a:ext uri="{FF2B5EF4-FFF2-40B4-BE49-F238E27FC236}">
              <a16:creationId xmlns:a16="http://schemas.microsoft.com/office/drawing/2014/main" id="{00000000-0008-0000-16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90500"/>
          <a:ext cx="933452" cy="642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3</xdr:col>
      <xdr:colOff>463127</xdr:colOff>
      <xdr:row>10</xdr:row>
      <xdr:rowOff>152049</xdr:rowOff>
    </xdr:to>
    <xdr:pic>
      <xdr:nvPicPr>
        <xdr:cNvPr id="7" name="Picture 6">
          <a:hlinkClick xmlns:r="http://schemas.openxmlformats.org/officeDocument/2006/relationships" r:id="rId6"/>
          <a:extLst>
            <a:ext uri="{FF2B5EF4-FFF2-40B4-BE49-F238E27FC236}">
              <a16:creationId xmlns:a16="http://schemas.microsoft.com/office/drawing/2014/main" id="{00000000-0008-0000-1600-000007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74690" b="13515"/>
        <a:stretch/>
      </xdr:blipFill>
      <xdr:spPr>
        <a:xfrm>
          <a:off x="1028700" y="933450"/>
          <a:ext cx="463127" cy="456849"/>
        </a:xfrm>
        <a:prstGeom prst="rect">
          <a:avLst/>
        </a:prstGeom>
      </xdr:spPr>
    </xdr:pic>
    <xdr:clientData/>
  </xdr:twoCellAnchor>
  <xdr:twoCellAnchor>
    <xdr:from>
      <xdr:col>4</xdr:col>
      <xdr:colOff>1789</xdr:colOff>
      <xdr:row>4</xdr:row>
      <xdr:rowOff>0</xdr:rowOff>
    </xdr:from>
    <xdr:to>
      <xdr:col>6</xdr:col>
      <xdr:colOff>0</xdr:colOff>
      <xdr:row>5</xdr:row>
      <xdr:rowOff>0</xdr:rowOff>
    </xdr:to>
    <xdr:sp macro="" textlink="">
      <xdr:nvSpPr>
        <xdr:cNvPr id="8" name="Rectangle 7" title="9.4.2 Exit Signs">
          <a:hlinkClick xmlns:r="http://schemas.openxmlformats.org/officeDocument/2006/relationships" r:id="rId2"/>
          <a:extLst>
            <a:ext uri="{FF2B5EF4-FFF2-40B4-BE49-F238E27FC236}">
              <a16:creationId xmlns:a16="http://schemas.microsoft.com/office/drawing/2014/main" id="{00000000-0008-0000-1600-000008000000}"/>
            </a:ext>
          </a:extLst>
        </xdr:cNvPr>
        <xdr:cNvSpPr/>
      </xdr:nvSpPr>
      <xdr:spPr>
        <a:xfrm>
          <a:off x="1735339" y="495300"/>
          <a:ext cx="1407911"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Installed Interior Lighting</a:t>
          </a:r>
        </a:p>
      </xdr:txBody>
    </xdr:sp>
    <xdr:clientData/>
  </xdr:twoCellAnchor>
  <xdr:twoCellAnchor>
    <xdr:from>
      <xdr:col>4</xdr:col>
      <xdr:colOff>5821</xdr:colOff>
      <xdr:row>6</xdr:row>
      <xdr:rowOff>0</xdr:rowOff>
    </xdr:from>
    <xdr:to>
      <xdr:col>6</xdr:col>
      <xdr:colOff>1</xdr:colOff>
      <xdr:row>7</xdr:row>
      <xdr:rowOff>0</xdr:rowOff>
    </xdr:to>
    <xdr:sp macro="" textlink="">
      <xdr:nvSpPr>
        <xdr:cNvPr id="9" name="Rectangle 8" title="9.4.2 Exit Signs">
          <a:hlinkClick xmlns:r="http://schemas.openxmlformats.org/officeDocument/2006/relationships" r:id="rId8"/>
          <a:extLst>
            <a:ext uri="{FF2B5EF4-FFF2-40B4-BE49-F238E27FC236}">
              <a16:creationId xmlns:a16="http://schemas.microsoft.com/office/drawing/2014/main" id="{00000000-0008-0000-1600-000009000000}"/>
            </a:ext>
          </a:extLst>
        </xdr:cNvPr>
        <xdr:cNvSpPr/>
      </xdr:nvSpPr>
      <xdr:spPr>
        <a:xfrm>
          <a:off x="1739371" y="742950"/>
          <a:ext cx="140388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Controls</a:t>
          </a:r>
        </a:p>
      </xdr:txBody>
    </xdr:sp>
    <xdr:clientData/>
  </xdr:twoCellAnchor>
  <xdr:twoCellAnchor>
    <xdr:from>
      <xdr:col>4</xdr:col>
      <xdr:colOff>0</xdr:colOff>
      <xdr:row>8</xdr:row>
      <xdr:rowOff>0</xdr:rowOff>
    </xdr:from>
    <xdr:to>
      <xdr:col>6</xdr:col>
      <xdr:colOff>0</xdr:colOff>
      <xdr:row>9</xdr:row>
      <xdr:rowOff>0</xdr:rowOff>
    </xdr:to>
    <xdr:sp macro="" textlink="">
      <xdr:nvSpPr>
        <xdr:cNvPr id="10" name="Rectangle 9" title="9.4.2 Exit Signs">
          <a:hlinkClick xmlns:r="http://schemas.openxmlformats.org/officeDocument/2006/relationships" r:id="rId9"/>
          <a:extLst>
            <a:ext uri="{FF2B5EF4-FFF2-40B4-BE49-F238E27FC236}">
              <a16:creationId xmlns:a16="http://schemas.microsoft.com/office/drawing/2014/main" id="{00000000-0008-0000-1600-00000A000000}"/>
            </a:ext>
          </a:extLst>
        </xdr:cNvPr>
        <xdr:cNvSpPr/>
      </xdr:nvSpPr>
      <xdr:spPr>
        <a:xfrm>
          <a:off x="1733550" y="990600"/>
          <a:ext cx="1409700" cy="190500"/>
        </a:xfrm>
        <a:prstGeom prst="rect">
          <a:avLst/>
        </a:prstGeom>
        <a:solidFill>
          <a:schemeClr val="accent6">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chemeClr val="bg1"/>
              </a:solidFill>
              <a:latin typeface="Arial" panose="020B0604020202020204" pitchFamily="34" charset="0"/>
              <a:cs typeface="Arial" panose="020B0604020202020204" pitchFamily="34" charset="0"/>
            </a:rPr>
            <a:t>Luminaire schedule</a:t>
          </a:r>
        </a:p>
      </xdr:txBody>
    </xdr:sp>
    <xdr:clientData/>
  </xdr:twoCellAnchor>
  <xdr:twoCellAnchor>
    <xdr:from>
      <xdr:col>4</xdr:col>
      <xdr:colOff>4511</xdr:colOff>
      <xdr:row>13</xdr:row>
      <xdr:rowOff>47625</xdr:rowOff>
    </xdr:from>
    <xdr:to>
      <xdr:col>6</xdr:col>
      <xdr:colOff>0</xdr:colOff>
      <xdr:row>14</xdr:row>
      <xdr:rowOff>160922</xdr:rowOff>
    </xdr:to>
    <xdr:sp macro="" textlink="">
      <xdr:nvSpPr>
        <xdr:cNvPr id="11" name="Rectangle 10" title="9.4.2 Exit Signs">
          <a:hlinkClick xmlns:r="http://schemas.openxmlformats.org/officeDocument/2006/relationships" r:id="rId10"/>
          <a:extLst>
            <a:ext uri="{FF2B5EF4-FFF2-40B4-BE49-F238E27FC236}">
              <a16:creationId xmlns:a16="http://schemas.microsoft.com/office/drawing/2014/main" id="{00000000-0008-0000-1600-00000B000000}"/>
            </a:ext>
          </a:extLst>
        </xdr:cNvPr>
        <xdr:cNvSpPr/>
      </xdr:nvSpPr>
      <xdr:spPr>
        <a:xfrm>
          <a:off x="1738061" y="1724025"/>
          <a:ext cx="1405189" cy="170447"/>
        </a:xfrm>
        <a:prstGeom prst="rect">
          <a:avLst/>
        </a:prstGeom>
        <a:solidFill>
          <a:schemeClr val="accent3">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9.3 Int Simplified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lane\AppData\Local\Microsoft\Windows\Temporary%20Internet%20Files\Content.Outlook\6AK5L0QU\Lighting%20v1.03%202016%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iance Worksheet"/>
      <sheetName val="9.6 Table"/>
      <sheetName val="Room Schedule"/>
      <sheetName val="Luminaire Schedule"/>
      <sheetName val="9.1.1"/>
      <sheetName val="9.1.2"/>
      <sheetName val="9.1.3"/>
      <sheetName val="9.1.4"/>
      <sheetName val="9.2"/>
      <sheetName val="9.4.1.1"/>
      <sheetName val="9.4.1.2"/>
      <sheetName val="9.4.1.3"/>
      <sheetName val="9.4.1.2-OLD"/>
      <sheetName val="Project Worksheet"/>
      <sheetName val="Luminaire_Schedule"/>
      <sheetName val="9.4.1.4"/>
      <sheetName val="9.4.1.5"/>
      <sheetName val="9.4.1.6"/>
      <sheetName val="9.4.1.7"/>
      <sheetName val="9.4.2"/>
      <sheetName val="9.4.3"/>
      <sheetName val="9.4.3 Tables"/>
      <sheetName val="9.4.4"/>
      <sheetName val="9.5"/>
      <sheetName val="9.6"/>
      <sheetName val="LISTS"/>
      <sheetName val="9.5 Table"/>
      <sheetName val="Sheet2"/>
      <sheetName val="9.6.2c"/>
      <sheetName val="9.7"/>
      <sheetName val="RCR Calculator"/>
    </sheetNames>
    <sheetDataSet>
      <sheetData sheetId="0">
        <row r="1">
          <cell r="V1">
            <v>2016</v>
          </cell>
        </row>
      </sheetData>
      <sheetData sheetId="1"/>
      <sheetData sheetId="2">
        <row r="7">
          <cell r="AB7">
            <v>4</v>
          </cell>
          <cell r="AH7">
            <v>0</v>
          </cell>
        </row>
        <row r="8">
          <cell r="AI8">
            <v>0</v>
          </cell>
        </row>
        <row r="9">
          <cell r="AI9">
            <v>0</v>
          </cell>
        </row>
        <row r="10">
          <cell r="AI10">
            <v>0</v>
          </cell>
        </row>
        <row r="11">
          <cell r="AI11">
            <v>0</v>
          </cell>
        </row>
        <row r="12">
          <cell r="AI12">
            <v>0</v>
          </cell>
        </row>
        <row r="13">
          <cell r="AI13">
            <v>0</v>
          </cell>
        </row>
        <row r="14">
          <cell r="AI14">
            <v>0</v>
          </cell>
        </row>
        <row r="15">
          <cell r="AI15">
            <v>0</v>
          </cell>
        </row>
        <row r="16">
          <cell r="AI16">
            <v>0</v>
          </cell>
        </row>
        <row r="17">
          <cell r="AI17">
            <v>0</v>
          </cell>
        </row>
        <row r="18">
          <cell r="AI18">
            <v>0</v>
          </cell>
        </row>
        <row r="19">
          <cell r="AI19">
            <v>0</v>
          </cell>
        </row>
        <row r="20">
          <cell r="AI20">
            <v>0</v>
          </cell>
        </row>
        <row r="21">
          <cell r="AI21">
            <v>0</v>
          </cell>
        </row>
        <row r="22">
          <cell r="AI22">
            <v>0</v>
          </cell>
        </row>
        <row r="23">
          <cell r="AI23">
            <v>0</v>
          </cell>
        </row>
        <row r="24">
          <cell r="AI24">
            <v>0</v>
          </cell>
        </row>
        <row r="25">
          <cell r="AI25">
            <v>0</v>
          </cell>
        </row>
        <row r="26">
          <cell r="AI26">
            <v>0</v>
          </cell>
        </row>
        <row r="27">
          <cell r="AI27">
            <v>0</v>
          </cell>
        </row>
        <row r="28">
          <cell r="AI28">
            <v>0</v>
          </cell>
        </row>
        <row r="29">
          <cell r="AI29">
            <v>0</v>
          </cell>
        </row>
        <row r="30">
          <cell r="AI30">
            <v>0</v>
          </cell>
        </row>
        <row r="31">
          <cell r="AI31">
            <v>0</v>
          </cell>
        </row>
        <row r="32">
          <cell r="AI32">
            <v>0</v>
          </cell>
        </row>
        <row r="33">
          <cell r="AI33">
            <v>0</v>
          </cell>
        </row>
        <row r="34">
          <cell r="AI34">
            <v>0</v>
          </cell>
        </row>
        <row r="35">
          <cell r="AI35">
            <v>0</v>
          </cell>
        </row>
        <row r="36">
          <cell r="AI36">
            <v>0</v>
          </cell>
        </row>
        <row r="37">
          <cell r="AI37">
            <v>0</v>
          </cell>
        </row>
        <row r="38">
          <cell r="AI38">
            <v>0</v>
          </cell>
        </row>
        <row r="39">
          <cell r="AI39">
            <v>0</v>
          </cell>
        </row>
        <row r="40">
          <cell r="AI40">
            <v>0</v>
          </cell>
        </row>
        <row r="41">
          <cell r="AI41">
            <v>0</v>
          </cell>
        </row>
        <row r="42">
          <cell r="AI42">
            <v>0</v>
          </cell>
        </row>
        <row r="43">
          <cell r="AI43">
            <v>0</v>
          </cell>
        </row>
        <row r="44">
          <cell r="AI44">
            <v>0</v>
          </cell>
        </row>
        <row r="45">
          <cell r="AI45">
            <v>0</v>
          </cell>
        </row>
        <row r="46">
          <cell r="AI46">
            <v>0</v>
          </cell>
        </row>
        <row r="47">
          <cell r="AI47">
            <v>0</v>
          </cell>
        </row>
        <row r="48">
          <cell r="AI48">
            <v>0</v>
          </cell>
        </row>
        <row r="49">
          <cell r="AI49">
            <v>0</v>
          </cell>
        </row>
        <row r="50">
          <cell r="AI50">
            <v>0</v>
          </cell>
        </row>
        <row r="51">
          <cell r="AI51">
            <v>0</v>
          </cell>
        </row>
        <row r="52">
          <cell r="AI52">
            <v>0</v>
          </cell>
        </row>
        <row r="53">
          <cell r="AI53">
            <v>0</v>
          </cell>
        </row>
        <row r="54">
          <cell r="AI54">
            <v>0</v>
          </cell>
        </row>
        <row r="55">
          <cell r="AI55">
            <v>0</v>
          </cell>
        </row>
        <row r="56">
          <cell r="AI56">
            <v>0</v>
          </cell>
        </row>
        <row r="57">
          <cell r="AI57">
            <v>0</v>
          </cell>
        </row>
      </sheetData>
      <sheetData sheetId="3">
        <row r="7">
          <cell r="V7">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4">
          <cell r="B4">
            <v>0</v>
          </cell>
        </row>
      </sheetData>
      <sheetData sheetId="22"/>
      <sheetData sheetId="23"/>
      <sheetData sheetId="24"/>
      <sheetData sheetId="25">
        <row r="2">
          <cell r="A2" t="str">
            <v>90.1-2001</v>
          </cell>
        </row>
      </sheetData>
      <sheetData sheetId="26"/>
      <sheetData sheetId="27"/>
      <sheetData sheetId="28">
        <row r="3">
          <cell r="A3" t="str">
            <v>01</v>
          </cell>
        </row>
      </sheetData>
      <sheetData sheetId="29"/>
      <sheetData sheetId="3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9.6.1_2016" displayName="Table_9.6.1_2016" ref="A2:AE105" totalsRowShown="0" headerRowDxfId="738" dataDxfId="737" headerRowCellStyle="Normal 2" dataCellStyle="Normal 2">
  <autoFilter ref="A2:AE105" xr:uid="{00000000-0009-0000-0100-000001000000}"/>
  <tableColumns count="31">
    <tableColumn id="1" xr3:uid="{00000000-0010-0000-0000-000001000000}" name="2016 Spaces" dataDxfId="736" dataCellStyle="Normal 2"/>
    <tableColumn id="2" xr3:uid="{00000000-0010-0000-0000-000002000000}" name="2016 LPD" dataDxfId="735" dataCellStyle="Normal 2"/>
    <tableColumn id="3" xr3:uid="{00000000-0010-0000-0000-000003000000}" name="2016 RCR" dataDxfId="734" dataCellStyle="Normal 2"/>
    <tableColumn id="4" xr3:uid="{00000000-0010-0000-0000-000004000000}" name="2016_x000a_Local Control (9.4.1.1[a])" dataDxfId="733" dataCellStyle="Normal 2"/>
    <tableColumn id="5" xr3:uid="{00000000-0010-0000-0000-000005000000}" name="2016_x000a_Restricted to Manual ON (9.4.1.1[b])" dataDxfId="732" dataCellStyle="Normal 2"/>
    <tableColumn id="6" xr3:uid="{00000000-0010-0000-0000-000006000000}" name="2016_x000a_Restricted to Partial Automatic ON (9.4.1.1[c])" dataDxfId="731" dataCellStyle="Normal 2"/>
    <tableColumn id="7" xr3:uid="{00000000-0010-0000-0000-000007000000}" name="2016_x000a_Bilevel Lighting Control (9.4.1.1[d])" dataDxfId="730" dataCellStyle="Normal 2"/>
    <tableColumn id="8" xr3:uid="{00000000-0010-0000-0000-000008000000}" name="2016_x000a_Automatic Daylight Responsive Controls for Sidelighting (9.4.1.1[e]6)" dataDxfId="729" dataCellStyle="Normal 2"/>
    <tableColumn id="9" xr3:uid="{00000000-0010-0000-0000-000009000000}" name="2016_x000a_Automatic Daylight Responsive Controls for Toplighting (9.4.1.1[f]6)" dataDxfId="728" dataCellStyle="Normal 2"/>
    <tableColumn id="10" xr3:uid="{00000000-0010-0000-0000-00000A000000}" name="2016_x000a_Automatic Partial OFF (9.4.1.1[g]_x000a_[Full Off complies])" dataDxfId="727" dataCellStyle="Normal 2"/>
    <tableColumn id="11" xr3:uid="{00000000-0010-0000-0000-00000B000000}" name="2016_x000a_Automatic Full OFF_x000a_(9.4.1.1[h])" dataDxfId="726" dataCellStyle="Normal 2"/>
    <tableColumn id="12" xr3:uid="{00000000-0010-0000-0000-00000C000000}" name="2016_x000a_Scheduled Shutoff_x000a_(9.4.1.1[i])" dataDxfId="725" dataCellStyle="Normal 2"/>
    <tableColumn id="27" xr3:uid="{00000000-0010-0000-0000-00001B000000}" name="Garage 9.4.1.2b" dataDxfId="724" dataCellStyle="Normal 2"/>
    <tableColumn id="28" xr3:uid="{00000000-0010-0000-0000-00001C000000}" name="Garage 9.4.1.2c" dataDxfId="723" dataCellStyle="Normal 2"/>
    <tableColumn id="33" xr3:uid="{00000000-0010-0000-0000-000021000000}" name="Garage 9.4.1.2d" dataDxfId="722" dataCellStyle="Normal 2"/>
    <tableColumn id="32" xr3:uid="{00000000-0010-0000-0000-000020000000}" name="Guest Room 9.4.1.3b.2" dataDxfId="721" dataCellStyle="Normal 2"/>
    <tableColumn id="13" xr3:uid="{00000000-0010-0000-0000-00000D000000}" name="2016_x000a_9.6.2c" dataDxfId="720" dataCellStyle="Normal 2"/>
    <tableColumn id="29" xr3:uid="{00000000-0010-0000-0000-00001D000000}" name="Master" dataDxfId="719" dataCellStyle="Normal 2"/>
    <tableColumn id="14" xr3:uid="{00000000-0010-0000-0000-00000E000000}" name="Alteration_x000a_9.4.1.1a_x000a_Local Control " dataDxfId="718" dataCellStyle="Normal 2"/>
    <tableColumn id="15" xr3:uid="{00000000-0010-0000-0000-00000F000000}" name="Alterations_x000a_9.4.1.1b_x000a_Restricted to Manual ON " dataDxfId="717" dataCellStyle="Normal 2"/>
    <tableColumn id="16" xr3:uid="{00000000-0010-0000-0000-000010000000}" name="Alteration _x000a_9.4.1.1c_x000a_Restricted to Partial Automatic ON " dataDxfId="716" dataCellStyle="Normal 2"/>
    <tableColumn id="17" xr3:uid="{00000000-0010-0000-0000-000011000000}" name="Alteration_x000a_9.4.1.1d_x000a_Bilevel Lighting Control " dataDxfId="715" dataCellStyle="Normal 2"/>
    <tableColumn id="18" xr3:uid="{00000000-0010-0000-0000-000012000000}" name="Alteration_x000a_9.4.1.1e_x000a_Automatic Daylight Controls for Sidelighting " dataDxfId="714" dataCellStyle="Normal 2"/>
    <tableColumn id="19" xr3:uid="{00000000-0010-0000-0000-000013000000}" name="Alteration_x000a_9.4.1.1f_x000a_Automatic Daylight Controls for Toplighting " dataDxfId="713" dataCellStyle="Normal 2"/>
    <tableColumn id="20" xr3:uid="{00000000-0010-0000-0000-000014000000}" name="Alteration_x000a_9.4.1.1g_x000a_Automatic Partial OFF " dataDxfId="712" dataCellStyle="Normal 2"/>
    <tableColumn id="21" xr3:uid="{00000000-0010-0000-0000-000015000000}" name="Alteration _x000a_9.4.1.1h_x000a_Automatic Full OFF_x000a_" dataDxfId="711" dataCellStyle="Normal 2"/>
    <tableColumn id="22" xr3:uid="{00000000-0010-0000-0000-000016000000}" name="Alteration_x000a_9.4.1.1i_x000a_Scheduled Shutoff" dataDxfId="710" dataCellStyle="Normal 2"/>
    <tableColumn id="23" xr3:uid="{00000000-0010-0000-0000-000017000000}" name="Alteration_x000a_9.4.1.2b_x000a_Garage" dataDxfId="709" dataCellStyle="Normal 2"/>
    <tableColumn id="24" xr3:uid="{00000000-0010-0000-0000-000018000000}" name="Alteration_x000a_9.4.1.2c_x000a_Garage " dataDxfId="708" dataCellStyle="Normal 2"/>
    <tableColumn id="25" xr3:uid="{00000000-0010-0000-0000-000019000000}" name="Alteration_x000a_9.4.1.2d_x000a_Garage " dataDxfId="707" dataCellStyle="Normal 2"/>
    <tableColumn id="26" xr3:uid="{00000000-0010-0000-0000-00001A000000}" name="9.4.1.3b.2_x000a_Guest Room " dataDxfId="706" dataCellStyle="Normal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_9.6.1_2019" displayName="Table_9.6.1_2019" ref="A346:AE458" totalsRowShown="0" headerRowDxfId="705" headerRowCellStyle="Normal 2" dataCellStyle="Normal 2">
  <autoFilter ref="A346:AE458" xr:uid="{00000000-0009-0000-0100-000003000000}"/>
  <sortState xmlns:xlrd2="http://schemas.microsoft.com/office/spreadsheetml/2017/richdata2" ref="A346:R456">
    <sortCondition ref="A345:A456"/>
  </sortState>
  <tableColumns count="31">
    <tableColumn id="1" xr3:uid="{00000000-0010-0000-0100-000001000000}" name="2019 Spaces" dataDxfId="704" dataCellStyle="Normal 2"/>
    <tableColumn id="2" xr3:uid="{00000000-0010-0000-0100-000002000000}" name="2019 LPD" dataDxfId="703" dataCellStyle="Normal 2"/>
    <tableColumn id="3" xr3:uid="{00000000-0010-0000-0100-000003000000}" name="2019 RCR" dataDxfId="702" dataCellStyle="Normal 2"/>
    <tableColumn id="4" xr3:uid="{00000000-0010-0000-0100-000004000000}" name="2019_x000a_Local Control (9.4.1.1[a])" dataDxfId="701" dataCellStyle="Normal 2"/>
    <tableColumn id="5" xr3:uid="{00000000-0010-0000-0100-000005000000}" name="2019_x000a_Restricted to Manual ON (9.4.1.1[b])" dataDxfId="700" dataCellStyle="Normal 2"/>
    <tableColumn id="6" xr3:uid="{00000000-0010-0000-0100-000006000000}" name="2019_x000a_Restricted to Partial Automatic ON (9.4.1.1[c])" dataDxfId="699" dataCellStyle="Normal 2"/>
    <tableColumn id="7" xr3:uid="{00000000-0010-0000-0100-000007000000}" name="2019_x000a_Bilevel Lighting Control (9.4.1.1[d])" dataDxfId="698" dataCellStyle="Normal 2"/>
    <tableColumn id="8" xr3:uid="{00000000-0010-0000-0100-000008000000}" name="2019_x000a_Automatic Daylight Responsive Controls for Sidelighting (9.4.1.1[e]6)" dataDxfId="697" dataCellStyle="Normal 2"/>
    <tableColumn id="9" xr3:uid="{00000000-0010-0000-0100-000009000000}" name="2019_x000a_Automatic Daylight Responsive Controls for Toplighting (9.4.1.1[f]6)" dataDxfId="696" dataCellStyle="Normal 2"/>
    <tableColumn id="10" xr3:uid="{00000000-0010-0000-0100-00000A000000}" name="2019_x000a_Automatic Partial OFF (9.4.1.1[g]_x000a_[Full Off complies])" dataDxfId="695" dataCellStyle="Normal 2"/>
    <tableColumn id="11" xr3:uid="{00000000-0010-0000-0100-00000B000000}" name="2019_x000a_Automatic Full OFF_x000a_(9.4.1.1[h])" dataDxfId="694" dataCellStyle="Normal 2"/>
    <tableColumn id="12" xr3:uid="{00000000-0010-0000-0100-00000C000000}" name="2019_x000a_Scheduled Shutoff_x000a_(9.4.1.1[i])" dataDxfId="693" dataCellStyle="Normal 2"/>
    <tableColumn id="13" xr3:uid="{00000000-0010-0000-0100-00000D000000}" name="Garage 9.4.1.2b" dataDxfId="692" dataCellStyle="Normal 2"/>
    <tableColumn id="14" xr3:uid="{00000000-0010-0000-0100-00000E000000}" name="Garage 9.4.1.2c" dataDxfId="691" dataCellStyle="Normal 2"/>
    <tableColumn id="15" xr3:uid="{00000000-0010-0000-0100-00000F000000}" name="Garage 9.4.1.2d" dataDxfId="690" dataCellStyle="Normal 2"/>
    <tableColumn id="16" xr3:uid="{00000000-0010-0000-0100-000010000000}" name="Guest Room 9.4.1.3b.2" dataCellStyle="Normal 2"/>
    <tableColumn id="17" xr3:uid="{00000000-0010-0000-0100-000011000000}" name="2019_x000a_9.6.2c" dataDxfId="689" dataCellStyle="Normal 2"/>
    <tableColumn id="18" xr3:uid="{00000000-0010-0000-0100-000012000000}" name="Master" dataDxfId="688" dataCellStyle="Normal 2"/>
    <tableColumn id="19" xr3:uid="{00000000-0010-0000-0100-000013000000}" name="Alteration_x000a_9.4.1.1a_x000a_Local Control " dataDxfId="687" dataCellStyle="Normal 2"/>
    <tableColumn id="20" xr3:uid="{00000000-0010-0000-0100-000014000000}" name="Alterations_x000a_9.4.1.1b_x000a_Restricted to Manual ON " dataDxfId="686" dataCellStyle="Normal 2"/>
    <tableColumn id="21" xr3:uid="{00000000-0010-0000-0100-000015000000}" name="Alteration _x000a_9.4.1.1c_x000a_Restricted to Partial Automatic ON " dataDxfId="685" dataCellStyle="Normal 2"/>
    <tableColumn id="22" xr3:uid="{00000000-0010-0000-0100-000016000000}" name="Alteration_x000a_9.4.1.1d_x000a_Bilevel Lighting Control " dataDxfId="684" dataCellStyle="Normal 2"/>
    <tableColumn id="23" xr3:uid="{00000000-0010-0000-0100-000017000000}" name="Alteration_x000a_9.4.1.1e_x000a_Automatic Daylight Controls for Sidelighting " dataDxfId="683" dataCellStyle="Normal 2"/>
    <tableColumn id="24" xr3:uid="{00000000-0010-0000-0100-000018000000}" name="Alteration_x000a_9.4.1.1f_x000a_Automatic Daylight Controls for Toplighting " dataDxfId="682" dataCellStyle="Normal 2"/>
    <tableColumn id="25" xr3:uid="{00000000-0010-0000-0100-000019000000}" name="Alteration_x000a_9.4.1.1g_x000a_Automatic Partial OFF " dataDxfId="681" dataCellStyle="Normal 2"/>
    <tableColumn id="26" xr3:uid="{00000000-0010-0000-0100-00001A000000}" name="Alteration _x000a_9.4.1.1h_x000a_Automatic Full OFF_x000a_" dataDxfId="680" dataCellStyle="Normal 2"/>
    <tableColumn id="27" xr3:uid="{00000000-0010-0000-0100-00001B000000}" name="Alteration_x000a_9.4.1.1i_x000a_Scheduled Shutoff" dataDxfId="679" dataCellStyle="Normal 2"/>
    <tableColumn id="28" xr3:uid="{00000000-0010-0000-0100-00001C000000}" name="Alteration_x000a_9.4.1.2b_x000a_Garage" dataDxfId="678" dataCellStyle="Normal 2"/>
    <tableColumn id="29" xr3:uid="{00000000-0010-0000-0100-00001D000000}" name="Alteration_x000a_9.4.1.2c_x000a_Garage " dataDxfId="677" dataCellStyle="Normal 2"/>
    <tableColumn id="30" xr3:uid="{00000000-0010-0000-0100-00001E000000}" name="Alteration_x000a_9.4.1.2d_x000a_Garage " dataDxfId="676" dataCellStyle="Normal 2"/>
    <tableColumn id="31" xr3:uid="{00000000-0010-0000-0100-00001F000000}" name="9.4.1.3b.2_x000a_Guest Room " dataDxfId="675" dataCellStyle="Normal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_Table_9.6.1_2010" displayName="_Table_9.6.1_2010" ref="A473:AE571" totalsRowShown="0" headerRowDxfId="674" dataDxfId="673" headerRowCellStyle="Normal 2" dataCellStyle="Normal 2">
  <autoFilter ref="A473:AE571" xr:uid="{00000000-0009-0000-0100-000004000000}"/>
  <tableColumns count="31">
    <tableColumn id="14" xr3:uid="{00000000-0010-0000-0200-00000E000000}" name="2010 Spaces" dataDxfId="672" dataCellStyle="Normal 2"/>
    <tableColumn id="15" xr3:uid="{00000000-0010-0000-0200-00000F000000}" name="2010_x000a_LPD" dataDxfId="671" dataCellStyle="Normal 2"/>
    <tableColumn id="16" xr3:uid="{00000000-0010-0000-0200-000010000000}" name="2010_x000a_RCR" dataDxfId="670" dataCellStyle="Normal 2"/>
    <tableColumn id="17" xr3:uid="{00000000-0010-0000-0200-000011000000}" name="9.4.1.1 Automatic Lighting Shutoff" dataDxfId="669" dataCellStyle="Normal 2"/>
    <tableColumn id="18" xr3:uid="{00000000-0010-0000-0200-000012000000}" name="9.4.1.2 Space Control (a) Bi-Level" dataDxfId="668" dataCellStyle="Normal 2"/>
    <tableColumn id="19" xr3:uid="{00000000-0010-0000-0200-000013000000}" name="9.4.1.2 Space Control (b) Occ" dataDxfId="667" dataCellStyle="Normal 2"/>
    <tableColumn id="20" xr3:uid="{00000000-0010-0000-0200-000014000000}" name="9.4.1.2 Space Control (c)" dataDxfId="666" dataCellStyle="Normal 2"/>
    <tableColumn id="22" xr3:uid="{00000000-0010-0000-0200-000016000000}" name="9.4.1.4 Automatic Daylighting Controls for Primary Sidelighted Areas" dataDxfId="665" dataCellStyle="Normal 2"/>
    <tableColumn id="23" xr3:uid="{00000000-0010-0000-0200-000017000000}" name="9.4.1.5 Automatic Daylighting Controls for Toplighting" dataDxfId="664" dataCellStyle="Normal 2"/>
    <tableColumn id="24" xr3:uid="{00000000-0010-0000-0200-000018000000}" name="9.4.1.6 Additional Control" dataDxfId="663" dataCellStyle="Normal 2"/>
    <tableColumn id="7" xr3:uid="{00000000-0010-0000-0200-000007000000}" name="Not Used" dataDxfId="662" dataCellStyle="Normal 2"/>
    <tableColumn id="8" xr3:uid="{00000000-0010-0000-0200-000008000000}" name="Not Used2" dataDxfId="661" dataCellStyle="Normal 2"/>
    <tableColumn id="26" xr3:uid="{00000000-0010-0000-0200-00001A000000}" name="9.4.1.3.b Parking Garage Control" dataDxfId="660" dataCellStyle="Normal 2"/>
    <tableColumn id="2" xr3:uid="{00000000-0010-0000-0200-000002000000}" name="9.4.1.3.c Parking Garage Control" dataDxfId="659" dataCellStyle="Normal 2"/>
    <tableColumn id="3" xr3:uid="{00000000-0010-0000-0200-000003000000}" name="9.4.1.3.d Parking Garage Control" dataDxfId="658" dataCellStyle="Normal 2"/>
    <tableColumn id="4" xr3:uid="{00000000-0010-0000-0200-000004000000}" name="Guest Room 9.4.1.6c" dataDxfId="657" dataCellStyle="Normal 2"/>
    <tableColumn id="5" xr3:uid="{00000000-0010-0000-0200-000005000000}" name="Column2" dataDxfId="656" dataCellStyle="Normal 2"/>
    <tableColumn id="1" xr3:uid="{00000000-0010-0000-0200-000001000000}" name="Master" dataDxfId="655" dataCellStyle="Normal 2"/>
    <tableColumn id="6" xr3:uid="{00000000-0010-0000-0200-000006000000}" name="9.4.1.1 Automatic Lighting Shutoff2" dataDxfId="654" dataCellStyle="Normal 2">
      <calculatedColumnFormula>_Table_9.6.1_2010[[#Headers],[9.4.1.1 Automatic Lighting Shutoff]]</calculatedColumnFormula>
    </tableColumn>
    <tableColumn id="9" xr3:uid="{00000000-0010-0000-0200-000009000000}" name="9.4.1.2 Space Control (a) Bi-Level3" dataDxfId="653" dataCellStyle="Normal 2"/>
    <tableColumn id="10" xr3:uid="{00000000-0010-0000-0200-00000A000000}" name="9.4.1.2 Space Control (b) Occ4" dataDxfId="652" dataCellStyle="Normal 2"/>
    <tableColumn id="11" xr3:uid="{00000000-0010-0000-0200-00000B000000}" name="9.4.1.2 Space Control (c)5" dataDxfId="651" dataCellStyle="Normal 2"/>
    <tableColumn id="12" xr3:uid="{00000000-0010-0000-0200-00000C000000}" name="9.4.1.4 Automatic Daylighting Controls for Primary Sidelighted Areas6" dataDxfId="650" dataCellStyle="Normal 2"/>
    <tableColumn id="13" xr3:uid="{00000000-0010-0000-0200-00000D000000}" name="9.4.1.5 Automatic Daylighting Controls for Toplighting7" dataDxfId="649" dataCellStyle="Normal 2"/>
    <tableColumn id="21" xr3:uid="{00000000-0010-0000-0200-000015000000}" name="9.4.1.6 Additional Control8" dataDxfId="648" dataCellStyle="Normal 2"/>
    <tableColumn id="25" xr3:uid="{00000000-0010-0000-0200-000019000000}" name="Not Used9" dataDxfId="647" dataCellStyle="Normal 2"/>
    <tableColumn id="27" xr3:uid="{00000000-0010-0000-0200-00001B000000}" name="Not Used210" dataDxfId="646" dataCellStyle="Normal 2"/>
    <tableColumn id="28" xr3:uid="{00000000-0010-0000-0200-00001C000000}" name="9.4.1.3.b Parking Garage Control11" dataDxfId="645" dataCellStyle="Normal 2"/>
    <tableColumn id="29" xr3:uid="{00000000-0010-0000-0200-00001D000000}" name="9.4.1.3.c Parking Garage Control12" dataDxfId="644" dataCellStyle="Normal 2"/>
    <tableColumn id="30" xr3:uid="{00000000-0010-0000-0200-00001E000000}" name="9.4.1.3.d Parking Garage Control13" dataDxfId="643" dataCellStyle="Normal 2"/>
    <tableColumn id="31" xr3:uid="{00000000-0010-0000-0200-00001F000000}" name="Guest Room 9.4.1.6c14" dataDxfId="642"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es.org/" TargetMode="External"/><Relationship Id="rId1" Type="http://schemas.openxmlformats.org/officeDocument/2006/relationships/hyperlink" Target="http://www.ashrae.org/"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0.bin"/><Relationship Id="rId4" Type="http://schemas.openxmlformats.org/officeDocument/2006/relationships/table" Target="../tables/table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4" tint="-0.249977111117893"/>
    <pageSetUpPr fitToPage="1"/>
  </sheetPr>
  <dimension ref="A1:IA231"/>
  <sheetViews>
    <sheetView showGridLines="0" showRowColHeaders="0" tabSelected="1" zoomScale="80" zoomScaleNormal="80" workbookViewId="0">
      <pane xSplit="7" ySplit="13" topLeftCell="H14" activePane="bottomRight" state="frozen"/>
      <selection pane="topRight" activeCell="H1" sqref="H1"/>
      <selection pane="bottomLeft" activeCell="A14" sqref="A14"/>
      <selection pane="bottomRight" activeCell="J19" sqref="J19"/>
    </sheetView>
  </sheetViews>
  <sheetFormatPr defaultColWidth="9.1796875" defaultRowHeight="12.5" x14ac:dyDescent="0.25"/>
  <cols>
    <col min="1" max="1" width="2.54296875" style="42" customWidth="1"/>
    <col min="2" max="4" width="10.54296875" style="42" customWidth="1"/>
    <col min="5" max="5" width="2.54296875" style="42" customWidth="1"/>
    <col min="6" max="6" width="2.7265625" style="42" hidden="1" customWidth="1"/>
    <col min="7" max="7" width="0.453125" style="42" customWidth="1"/>
    <col min="8" max="8" width="2.7265625" style="42" customWidth="1"/>
    <col min="9" max="9" width="14" style="42" customWidth="1"/>
    <col min="10" max="10" width="12.7265625" style="42" customWidth="1"/>
    <col min="11" max="11" width="11.54296875" style="42" customWidth="1"/>
    <col min="12" max="12" width="1.7265625" style="42" customWidth="1"/>
    <col min="13" max="13" width="13.7265625" style="42" customWidth="1"/>
    <col min="14" max="14" width="1.7265625" style="42" customWidth="1"/>
    <col min="15" max="15" width="13.7265625" style="42" customWidth="1"/>
    <col min="16" max="16" width="1.7265625" style="42" customWidth="1"/>
    <col min="17" max="17" width="13.7265625" style="42" customWidth="1"/>
    <col min="18" max="18" width="1.7265625" style="42" customWidth="1"/>
    <col min="19" max="19" width="13.7265625" style="42" customWidth="1"/>
    <col min="20" max="20" width="1.7265625" style="42" customWidth="1"/>
    <col min="21" max="21" width="13.7265625" style="42" customWidth="1"/>
    <col min="22" max="22" width="1.7265625" style="42" customWidth="1"/>
    <col min="23" max="23" width="13.7265625" style="42" customWidth="1"/>
    <col min="24" max="24" width="1.7265625" style="42" customWidth="1"/>
    <col min="25" max="25" width="13.7265625" style="42" customWidth="1"/>
    <col min="26" max="26" width="6.54296875" style="42" customWidth="1"/>
    <col min="27" max="33" width="11.54296875" style="42" customWidth="1"/>
    <col min="34" max="34" width="8.1796875" style="42" customWidth="1"/>
    <col min="35" max="35" width="27.54296875" style="42" bestFit="1" customWidth="1"/>
    <col min="36" max="36" width="9.54296875" style="42" bestFit="1" customWidth="1"/>
    <col min="37" max="37" width="15" style="42" bestFit="1" customWidth="1"/>
    <col min="38" max="41" width="11.54296875" style="42" customWidth="1"/>
    <col min="42" max="58" width="9.1796875" style="42"/>
    <col min="59" max="59" width="53.1796875" style="42" bestFit="1" customWidth="1"/>
    <col min="60" max="62" width="11.54296875" style="42" customWidth="1"/>
    <col min="63" max="73" width="9.1796875" style="42"/>
    <col min="74" max="74" width="26" style="42" customWidth="1"/>
    <col min="75" max="16384" width="9.1796875" style="42"/>
  </cols>
  <sheetData>
    <row r="1" spans="1:67" ht="15" customHeight="1" x14ac:dyDescent="0.3">
      <c r="A1" s="143" t="s">
        <v>0</v>
      </c>
      <c r="B1" s="94" t="s">
        <v>1</v>
      </c>
      <c r="C1" s="94"/>
      <c r="D1" s="94"/>
      <c r="E1" s="94"/>
      <c r="F1" s="451"/>
      <c r="G1" s="1120"/>
      <c r="H1" s="316"/>
      <c r="I1" s="316"/>
      <c r="J1" s="316"/>
      <c r="K1" s="1435" t="str">
        <f>CONCATENATE("ASHRAE/IES 90.1-",Z1," Lighting Compliance Documentation (v4.0)")</f>
        <v>ASHRAE/IES 90.1-2019 Lighting Compliance Documentation (v4.0)</v>
      </c>
      <c r="L1" s="1436"/>
      <c r="M1" s="1435"/>
      <c r="N1" s="1436"/>
      <c r="O1" s="1435"/>
      <c r="P1" s="1436"/>
      <c r="Q1" s="1435"/>
      <c r="R1" s="1436"/>
      <c r="S1" s="1435"/>
      <c r="T1" s="1436"/>
      <c r="U1" s="1435"/>
      <c r="V1" s="615"/>
      <c r="W1" s="143"/>
      <c r="X1" s="143"/>
      <c r="Y1" s="297" t="s">
        <v>2</v>
      </c>
      <c r="Z1" s="474">
        <v>2019</v>
      </c>
      <c r="AA1" s="365"/>
      <c r="AB1" s="298">
        <f>Z1</f>
        <v>2019</v>
      </c>
      <c r="AC1" s="298">
        <f>IF(Compliance_Version_Year=2010,2,IF(Compliance_Version_Year=2016,4,IF(Compliance_Version_Year=2019,5,0)))</f>
        <v>5</v>
      </c>
      <c r="AD1" s="298" t="b">
        <f>IF(Compliance_Version_Year=2010,"_2010_Space_by_SpaceTypes",IF(Compliance_Version_Year=2016,"_2016_Space_by_SpaceTypes"))</f>
        <v>0</v>
      </c>
      <c r="AE1" s="286"/>
      <c r="AF1" s="199"/>
      <c r="AG1" s="199"/>
      <c r="AH1" s="199"/>
      <c r="AI1" s="199"/>
      <c r="AJ1" s="286" t="s">
        <v>3</v>
      </c>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row>
    <row r="2" spans="1:67" ht="5.15" customHeight="1" x14ac:dyDescent="0.3">
      <c r="A2" s="143"/>
      <c r="B2" s="94"/>
      <c r="C2" s="94"/>
      <c r="D2" s="94"/>
      <c r="E2" s="94"/>
      <c r="F2" s="451"/>
      <c r="G2" s="1120"/>
      <c r="H2" s="118"/>
      <c r="I2" s="118"/>
      <c r="J2" s="118"/>
      <c r="K2" s="406"/>
      <c r="L2" s="613"/>
      <c r="M2" s="407"/>
      <c r="N2" s="607"/>
      <c r="O2" s="407"/>
      <c r="P2" s="607"/>
      <c r="Q2" s="407"/>
      <c r="R2" s="607"/>
      <c r="S2" s="407"/>
      <c r="T2" s="607"/>
      <c r="U2" s="407"/>
      <c r="V2" s="616"/>
      <c r="W2" s="337"/>
      <c r="X2" s="616"/>
      <c r="Y2" s="337"/>
      <c r="Z2" s="74"/>
      <c r="AA2" s="74"/>
      <c r="AB2" s="286"/>
      <c r="AC2" s="286"/>
      <c r="AD2" s="286"/>
      <c r="AE2" s="286"/>
      <c r="AF2" s="199"/>
      <c r="AG2" s="199"/>
      <c r="AH2" s="199"/>
      <c r="AI2" s="199"/>
      <c r="AJ2" s="205"/>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row>
    <row r="3" spans="1:67" ht="15" customHeight="1" x14ac:dyDescent="0.3">
      <c r="A3" s="143"/>
      <c r="B3" s="1383" t="s">
        <v>4</v>
      </c>
      <c r="C3" s="1383"/>
      <c r="D3" s="1383"/>
      <c r="E3" s="143"/>
      <c r="F3" s="143"/>
      <c r="G3" s="143"/>
      <c r="H3" s="118"/>
      <c r="I3" s="118"/>
      <c r="J3" s="118"/>
      <c r="K3" s="1409" t="s">
        <v>5</v>
      </c>
      <c r="L3" s="1410"/>
      <c r="M3" s="1421"/>
      <c r="N3" s="1422"/>
      <c r="O3" s="1423"/>
      <c r="P3" s="1422"/>
      <c r="Q3" s="1423"/>
      <c r="R3" s="1422"/>
      <c r="S3" s="1423"/>
      <c r="T3" s="1422"/>
      <c r="U3" s="1423"/>
      <c r="V3" s="1422"/>
      <c r="W3" s="1423"/>
      <c r="X3" s="1422"/>
      <c r="Y3" s="1424"/>
      <c r="Z3" s="74"/>
      <c r="AA3" s="74"/>
      <c r="AB3" s="286"/>
      <c r="AC3" s="286"/>
      <c r="AD3" s="286"/>
      <c r="AE3" s="286"/>
      <c r="AF3" s="199"/>
      <c r="AG3" s="199"/>
      <c r="AH3" s="199"/>
      <c r="AI3" s="199"/>
      <c r="AJ3" s="205"/>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row>
    <row r="4" spans="1:67" ht="5.15" customHeight="1" x14ac:dyDescent="0.3">
      <c r="A4" s="143"/>
      <c r="B4" s="1383"/>
      <c r="C4" s="1383"/>
      <c r="D4" s="1383"/>
      <c r="E4" s="143"/>
      <c r="F4" s="143"/>
      <c r="G4" s="143"/>
      <c r="H4" s="118"/>
      <c r="I4" s="118"/>
      <c r="J4" s="118"/>
      <c r="K4" s="406"/>
      <c r="L4" s="613"/>
      <c r="M4" s="407"/>
      <c r="N4" s="607"/>
      <c r="O4" s="407"/>
      <c r="P4" s="607"/>
      <c r="Q4" s="407"/>
      <c r="R4" s="607"/>
      <c r="S4" s="407"/>
      <c r="T4" s="607"/>
      <c r="U4" s="407"/>
      <c r="V4" s="607"/>
      <c r="W4" s="407"/>
      <c r="X4" s="607"/>
      <c r="Y4" s="407"/>
      <c r="Z4" s="74"/>
      <c r="AA4" s="74"/>
      <c r="AB4" s="286"/>
      <c r="AC4" s="286"/>
      <c r="AD4" s="286"/>
      <c r="AE4" s="286"/>
      <c r="AF4" s="199"/>
      <c r="AG4" s="199"/>
      <c r="AH4" s="199"/>
      <c r="AI4" s="199"/>
      <c r="AJ4" s="205"/>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row>
    <row r="5" spans="1:67" ht="15" customHeight="1" x14ac:dyDescent="0.3">
      <c r="A5" s="143"/>
      <c r="B5" s="1383"/>
      <c r="C5" s="1383"/>
      <c r="D5" s="1383"/>
      <c r="E5" s="146"/>
      <c r="F5" s="146"/>
      <c r="G5" s="146"/>
      <c r="H5" s="118"/>
      <c r="I5" s="118"/>
      <c r="J5" s="118"/>
      <c r="K5" s="1409" t="s">
        <v>6</v>
      </c>
      <c r="L5" s="1410"/>
      <c r="M5" s="1421"/>
      <c r="N5" s="1422"/>
      <c r="O5" s="1423"/>
      <c r="P5" s="1422"/>
      <c r="Q5" s="1423"/>
      <c r="R5" s="1422"/>
      <c r="S5" s="1423"/>
      <c r="T5" s="1422"/>
      <c r="U5" s="1423"/>
      <c r="V5" s="1422"/>
      <c r="W5" s="1423"/>
      <c r="X5" s="1422"/>
      <c r="Y5" s="1424"/>
      <c r="AB5" s="286"/>
      <c r="AC5" s="286"/>
      <c r="AD5" s="286"/>
      <c r="AE5" s="286"/>
      <c r="AF5" s="199"/>
      <c r="AG5" s="199"/>
      <c r="AH5" s="199"/>
      <c r="AI5" s="199"/>
      <c r="AJ5" s="206"/>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row>
    <row r="6" spans="1:67" ht="5.15" customHeight="1" x14ac:dyDescent="0.3">
      <c r="A6" s="143"/>
      <c r="B6" s="138"/>
      <c r="C6" s="138"/>
      <c r="D6" s="143"/>
      <c r="E6" s="143"/>
      <c r="F6" s="143"/>
      <c r="G6" s="143"/>
      <c r="H6" s="118"/>
      <c r="I6" s="118"/>
      <c r="J6" s="118"/>
      <c r="K6" s="406"/>
      <c r="L6" s="613"/>
      <c r="M6" s="407"/>
      <c r="N6" s="607"/>
      <c r="O6" s="407"/>
      <c r="P6" s="607"/>
      <c r="Q6" s="407"/>
      <c r="R6" s="607"/>
      <c r="S6" s="407"/>
      <c r="T6" s="607"/>
      <c r="U6" s="407"/>
      <c r="V6" s="607"/>
      <c r="W6" s="407"/>
      <c r="X6" s="607"/>
      <c r="Y6" s="407"/>
      <c r="Z6" s="74"/>
      <c r="AA6" s="74"/>
      <c r="AB6" s="286"/>
      <c r="AC6" s="286"/>
      <c r="AD6" s="286"/>
      <c r="AE6" s="286"/>
      <c r="AF6" s="199"/>
      <c r="AG6" s="199"/>
      <c r="AH6" s="199"/>
      <c r="AI6" s="199"/>
      <c r="AJ6" s="205"/>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row>
    <row r="7" spans="1:67" ht="15" customHeight="1" x14ac:dyDescent="0.3">
      <c r="A7" s="143"/>
      <c r="B7" s="1383" t="s">
        <v>1152</v>
      </c>
      <c r="C7" s="1383"/>
      <c r="D7" s="1383"/>
      <c r="E7" s="143"/>
      <c r="F7" s="143"/>
      <c r="G7" s="143"/>
      <c r="H7" s="118"/>
      <c r="I7" s="118"/>
      <c r="J7" s="118"/>
      <c r="K7" s="1409" t="s">
        <v>924</v>
      </c>
      <c r="L7" s="1410"/>
      <c r="M7" s="1428"/>
      <c r="N7" s="1422"/>
      <c r="O7" s="1422"/>
      <c r="P7" s="1429"/>
      <c r="Q7" s="1443" t="s">
        <v>855</v>
      </c>
      <c r="R7" s="1444"/>
      <c r="S7" s="1444"/>
      <c r="T7" s="1445"/>
      <c r="U7" s="1432"/>
      <c r="V7" s="1433"/>
      <c r="W7" s="1441" t="s">
        <v>854</v>
      </c>
      <c r="X7" s="1442"/>
      <c r="Y7" s="1226"/>
      <c r="Z7" s="82"/>
      <c r="AA7" s="82"/>
      <c r="AB7" s="286"/>
      <c r="AC7" s="286"/>
      <c r="AD7" s="286"/>
      <c r="AE7" s="286"/>
      <c r="AF7" s="199"/>
      <c r="AG7" s="199"/>
      <c r="AH7" s="199"/>
      <c r="AI7" s="199"/>
      <c r="AJ7" s="206"/>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row>
    <row r="8" spans="1:67" ht="5.15" customHeight="1" x14ac:dyDescent="0.3">
      <c r="A8" s="143"/>
      <c r="B8" s="1383"/>
      <c r="C8" s="1383"/>
      <c r="D8" s="1383"/>
      <c r="E8" s="143"/>
      <c r="F8" s="143"/>
      <c r="G8" s="143"/>
      <c r="H8" s="118"/>
      <c r="I8" s="118"/>
      <c r="J8" s="118"/>
      <c r="K8" s="408"/>
      <c r="L8" s="452"/>
      <c r="M8" s="409"/>
      <c r="N8" s="608"/>
      <c r="O8" s="409"/>
      <c r="P8" s="608"/>
      <c r="Q8" s="409"/>
      <c r="R8" s="608"/>
      <c r="S8" s="409"/>
      <c r="T8" s="608"/>
      <c r="U8" s="409"/>
      <c r="V8" s="608"/>
      <c r="W8" s="409"/>
      <c r="X8" s="608"/>
      <c r="Y8" s="409"/>
      <c r="Z8" s="74"/>
      <c r="AA8" s="74"/>
      <c r="AB8" s="286"/>
      <c r="AC8" s="286"/>
      <c r="AD8" s="286"/>
      <c r="AE8" s="286"/>
      <c r="AF8" s="199"/>
      <c r="AG8" s="199"/>
      <c r="AH8" s="199"/>
      <c r="AI8" s="199"/>
      <c r="AJ8" s="205"/>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row>
    <row r="9" spans="1:67" ht="15" customHeight="1" x14ac:dyDescent="0.3">
      <c r="A9" s="143"/>
      <c r="B9" s="1383"/>
      <c r="C9" s="1383"/>
      <c r="D9" s="1383"/>
      <c r="E9" s="143"/>
      <c r="F9" s="143"/>
      <c r="G9" s="143"/>
      <c r="H9" s="92"/>
      <c r="I9" s="92"/>
      <c r="J9" s="92"/>
      <c r="K9" s="338"/>
      <c r="L9" s="614"/>
      <c r="M9" s="1430" t="s">
        <v>7</v>
      </c>
      <c r="N9" s="1431"/>
      <c r="O9" s="1430"/>
      <c r="P9" s="609"/>
      <c r="Q9" s="119" t="s">
        <v>8</v>
      </c>
      <c r="R9" s="611"/>
      <c r="S9" s="119"/>
      <c r="T9" s="611"/>
      <c r="U9" s="119"/>
      <c r="V9" s="611"/>
      <c r="W9" s="1430" t="s">
        <v>9</v>
      </c>
      <c r="X9" s="1431"/>
      <c r="Y9" s="1430"/>
      <c r="Z9" s="74"/>
      <c r="AA9" s="74"/>
      <c r="AB9" s="299"/>
      <c r="AC9" s="286"/>
      <c r="AD9" s="286"/>
      <c r="AE9" s="286"/>
      <c r="AF9" s="199"/>
      <c r="AG9" s="199"/>
      <c r="AH9" s="199"/>
      <c r="AI9" s="199"/>
      <c r="AJ9" s="206"/>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row>
    <row r="10" spans="1:67" ht="15" customHeight="1" x14ac:dyDescent="0.3">
      <c r="A10" s="143"/>
      <c r="C10" s="138"/>
      <c r="D10" s="138"/>
      <c r="E10" s="138"/>
      <c r="F10" s="138"/>
      <c r="G10" s="138"/>
      <c r="H10" s="315"/>
      <c r="I10" s="1225"/>
      <c r="J10" s="296"/>
      <c r="K10" s="1409" t="s">
        <v>10</v>
      </c>
      <c r="L10" s="1410"/>
      <c r="M10" s="1411"/>
      <c r="N10" s="1412"/>
      <c r="O10" s="1412"/>
      <c r="P10" s="1413"/>
      <c r="Q10" s="1438"/>
      <c r="R10" s="1439"/>
      <c r="S10" s="1439"/>
      <c r="T10" s="1439"/>
      <c r="U10" s="1439"/>
      <c r="V10" s="1440"/>
      <c r="W10" s="1421"/>
      <c r="X10" s="1422"/>
      <c r="Y10" s="1424"/>
      <c r="Z10" s="74"/>
      <c r="AA10" s="74"/>
      <c r="AB10" s="299"/>
      <c r="AC10" s="286"/>
      <c r="AD10" s="286"/>
      <c r="AE10" s="286"/>
      <c r="AF10" s="199"/>
      <c r="AG10" s="199"/>
      <c r="AH10" s="199"/>
      <c r="AI10" s="199"/>
      <c r="AJ10" s="206"/>
      <c r="AK10" s="199"/>
      <c r="AL10" s="1407" t="s">
        <v>11</v>
      </c>
      <c r="AM10" s="1407"/>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row>
    <row r="11" spans="1:67" ht="5.15" customHeight="1" x14ac:dyDescent="0.3">
      <c r="A11" s="143"/>
      <c r="B11" s="138"/>
      <c r="C11" s="138"/>
      <c r="D11" s="138"/>
      <c r="E11" s="138"/>
      <c r="F11" s="138"/>
      <c r="G11" s="138"/>
      <c r="H11" s="118"/>
      <c r="I11" s="118"/>
      <c r="J11" s="118"/>
      <c r="K11" s="406"/>
      <c r="L11" s="613"/>
      <c r="M11" s="407"/>
      <c r="N11" s="607"/>
      <c r="O11" s="407"/>
      <c r="P11" s="607"/>
      <c r="Q11" s="410"/>
      <c r="R11" s="612"/>
      <c r="S11" s="410"/>
      <c r="T11" s="612"/>
      <c r="U11" s="410"/>
      <c r="V11" s="612"/>
      <c r="W11" s="407"/>
      <c r="X11" s="607"/>
      <c r="Y11" s="407"/>
      <c r="Z11" s="74"/>
      <c r="AA11" s="74"/>
      <c r="AB11" s="286"/>
      <c r="AC11" s="286"/>
      <c r="AD11" s="286"/>
      <c r="AE11" s="286"/>
      <c r="AF11" s="199"/>
      <c r="AG11" s="199"/>
      <c r="AH11" s="199"/>
      <c r="AI11" s="199"/>
      <c r="AJ11" s="205"/>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row>
    <row r="12" spans="1:67" ht="15" customHeight="1" x14ac:dyDescent="0.35">
      <c r="A12" s="143"/>
      <c r="H12" s="315"/>
      <c r="I12" s="1426" t="str">
        <f>CONCATENATE("90.1-",Compliance_Version_Year)</f>
        <v>90.1-2019</v>
      </c>
      <c r="J12" s="1427"/>
      <c r="K12" s="1409" t="s">
        <v>12</v>
      </c>
      <c r="L12" s="1410"/>
      <c r="M12" s="1411"/>
      <c r="N12" s="1412"/>
      <c r="O12" s="1412"/>
      <c r="P12" s="1413"/>
      <c r="Q12" s="1438"/>
      <c r="R12" s="1439"/>
      <c r="S12" s="1439"/>
      <c r="T12" s="1439"/>
      <c r="U12" s="1439"/>
      <c r="V12" s="1440"/>
      <c r="W12" s="1421"/>
      <c r="X12" s="1422"/>
      <c r="Y12" s="1424"/>
      <c r="AB12" s="286"/>
      <c r="AC12" s="286"/>
      <c r="AD12" s="286"/>
      <c r="AE12" s="286"/>
      <c r="AF12" s="199"/>
      <c r="AG12" s="199"/>
      <c r="AH12" s="199"/>
      <c r="AI12" s="199"/>
      <c r="AJ12" s="206"/>
      <c r="AK12" s="199"/>
      <c r="AL12" s="1404" t="s">
        <v>13</v>
      </c>
      <c r="AM12" s="1404"/>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row>
    <row r="13" spans="1:67" ht="3" customHeight="1" x14ac:dyDescent="0.3">
      <c r="A13" s="143"/>
      <c r="K13" s="314"/>
      <c r="L13" s="605"/>
      <c r="M13" s="314"/>
      <c r="N13" s="600"/>
      <c r="O13" s="121"/>
      <c r="P13" s="121"/>
      <c r="Q13" s="121"/>
      <c r="R13" s="121"/>
      <c r="S13" s="339"/>
      <c r="T13" s="339"/>
      <c r="U13" s="121"/>
      <c r="V13" s="121"/>
      <c r="W13" s="121"/>
      <c r="X13" s="121"/>
      <c r="Y13" s="121"/>
      <c r="Z13" s="121"/>
      <c r="AA13" s="121"/>
      <c r="AB13" s="300"/>
      <c r="AC13" s="300"/>
      <c r="AD13" s="286"/>
      <c r="AE13" s="286"/>
      <c r="AF13" s="199"/>
      <c r="AG13" s="199"/>
      <c r="AH13" s="199"/>
      <c r="AI13" s="199"/>
      <c r="AJ13" s="199"/>
      <c r="AK13" s="199"/>
      <c r="AL13" s="199"/>
      <c r="AM13" s="199"/>
      <c r="AN13" s="199"/>
      <c r="AO13" s="205"/>
      <c r="AP13" s="205"/>
      <c r="AQ13" s="205"/>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row>
    <row r="14" spans="1:67" ht="3" customHeight="1" x14ac:dyDescent="0.3">
      <c r="A14" s="143"/>
      <c r="H14" s="65"/>
      <c r="K14" s="314"/>
      <c r="L14" s="605"/>
      <c r="M14" s="314"/>
      <c r="N14" s="600"/>
      <c r="O14" s="121"/>
      <c r="P14" s="121"/>
      <c r="Q14" s="121"/>
      <c r="R14" s="121"/>
      <c r="S14" s="339"/>
      <c r="T14" s="339"/>
      <c r="U14" s="121"/>
      <c r="V14" s="121"/>
      <c r="W14" s="121"/>
      <c r="X14" s="121"/>
      <c r="Y14" s="121"/>
      <c r="Z14" s="121"/>
      <c r="AA14" s="121"/>
      <c r="AB14" s="300"/>
      <c r="AC14" s="300"/>
      <c r="AD14" s="286"/>
      <c r="AE14" s="286"/>
      <c r="AF14" s="199"/>
      <c r="AG14" s="199"/>
      <c r="AH14" s="199"/>
      <c r="AI14" s="199"/>
      <c r="AJ14" s="199"/>
      <c r="AK14" s="199"/>
      <c r="AL14" s="199"/>
      <c r="AM14" s="199"/>
      <c r="AN14" s="199"/>
      <c r="AO14" s="205"/>
      <c r="AP14" s="205"/>
      <c r="AQ14" s="205"/>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row>
    <row r="15" spans="1:67" ht="15" customHeight="1" x14ac:dyDescent="0.3">
      <c r="B15" s="1420"/>
      <c r="C15" s="1420"/>
      <c r="D15" s="121"/>
      <c r="E15" s="121"/>
      <c r="F15" s="340"/>
      <c r="G15" s="121"/>
      <c r="H15" s="121"/>
      <c r="I15" s="201" t="s">
        <v>17</v>
      </c>
      <c r="J15" s="343"/>
      <c r="K15" s="202"/>
      <c r="L15" s="202"/>
      <c r="M15" s="203"/>
      <c r="N15" s="203"/>
      <c r="O15" s="203"/>
      <c r="P15" s="203"/>
      <c r="Q15" s="203"/>
      <c r="R15" s="203"/>
      <c r="S15" s="341"/>
      <c r="T15" s="341"/>
      <c r="U15" s="342"/>
      <c r="V15" s="342"/>
      <c r="W15" s="342"/>
      <c r="X15" s="342"/>
      <c r="Y15" s="342"/>
      <c r="Z15" s="212"/>
      <c r="AB15" s="286"/>
      <c r="AC15" s="286"/>
      <c r="AD15" s="286"/>
      <c r="AE15" s="286"/>
      <c r="AF15" s="199"/>
      <c r="AG15" s="199"/>
      <c r="AH15" s="199"/>
      <c r="AI15" s="205"/>
      <c r="AJ15" s="205"/>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row>
    <row r="16" spans="1:67" ht="5.15" customHeight="1" x14ac:dyDescent="0.3">
      <c r="B16" s="522"/>
      <c r="C16" s="522"/>
      <c r="D16" s="121"/>
      <c r="E16" s="121"/>
      <c r="F16" s="121"/>
      <c r="G16" s="121"/>
      <c r="H16" s="121"/>
      <c r="I16" s="462"/>
      <c r="J16" s="345"/>
      <c r="K16" s="63"/>
      <c r="L16" s="63"/>
      <c r="M16" s="188"/>
      <c r="N16" s="188"/>
      <c r="O16" s="188"/>
      <c r="P16" s="188"/>
      <c r="R16" s="137"/>
      <c r="S16" s="137"/>
      <c r="T16" s="137"/>
      <c r="U16" s="137"/>
      <c r="V16" s="137"/>
      <c r="W16" s="137"/>
      <c r="X16" s="137"/>
      <c r="Y16" s="137"/>
      <c r="Z16" s="211"/>
      <c r="AB16" s="286"/>
      <c r="AC16" s="286"/>
      <c r="AD16" s="286"/>
      <c r="AE16" s="286"/>
      <c r="AF16" s="199"/>
      <c r="AG16" s="199"/>
      <c r="AH16" s="199"/>
      <c r="AI16" s="205"/>
      <c r="AJ16" s="205"/>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row>
    <row r="17" spans="1:74" ht="15" customHeight="1" x14ac:dyDescent="0.25">
      <c r="I17" s="435"/>
      <c r="J17" s="121"/>
      <c r="K17" s="63"/>
      <c r="L17" s="63"/>
      <c r="N17" s="463"/>
      <c r="P17" s="595"/>
      <c r="Q17" s="1383" t="s">
        <v>1037</v>
      </c>
      <c r="R17" s="1383"/>
      <c r="S17" s="1383"/>
      <c r="T17" s="1383"/>
      <c r="U17" s="1383"/>
      <c r="V17" s="1383"/>
      <c r="W17" s="1383"/>
      <c r="X17" s="1383"/>
      <c r="Y17" s="1383"/>
      <c r="Z17" s="211"/>
      <c r="AA17" s="95"/>
      <c r="AB17" s="286"/>
      <c r="AC17" s="286"/>
      <c r="AD17" s="286"/>
      <c r="AE17" s="286"/>
      <c r="AF17" s="199"/>
      <c r="AG17" s="199"/>
      <c r="AH17" s="199"/>
      <c r="AI17" s="205"/>
      <c r="AJ17" s="205"/>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row>
    <row r="18" spans="1:74" ht="5.15" customHeight="1" x14ac:dyDescent="0.25">
      <c r="B18" s="191"/>
      <c r="C18" s="191"/>
      <c r="D18" s="191"/>
      <c r="E18" s="191"/>
      <c r="F18" s="191"/>
      <c r="G18" s="191"/>
      <c r="I18" s="435"/>
      <c r="J18" s="121"/>
      <c r="K18" s="63"/>
      <c r="L18" s="63"/>
      <c r="M18" s="463"/>
      <c r="N18" s="463"/>
      <c r="O18" s="461"/>
      <c r="P18" s="461"/>
      <c r="Q18" s="1383"/>
      <c r="R18" s="1383"/>
      <c r="S18" s="1383"/>
      <c r="T18" s="1383"/>
      <c r="U18" s="1383"/>
      <c r="V18" s="1383"/>
      <c r="W18" s="1383"/>
      <c r="X18" s="1383"/>
      <c r="Y18" s="1383"/>
      <c r="Z18" s="211"/>
      <c r="AA18" s="95"/>
      <c r="AB18" s="286"/>
      <c r="AC18" s="286"/>
      <c r="AD18" s="286"/>
      <c r="AE18" s="286"/>
      <c r="AF18" s="199"/>
      <c r="AG18" s="199"/>
      <c r="AH18" s="199"/>
      <c r="AI18" s="205"/>
      <c r="AJ18" s="205"/>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row>
    <row r="19" spans="1:74" ht="15" customHeight="1" x14ac:dyDescent="0.25">
      <c r="B19" s="191"/>
      <c r="C19" s="191"/>
      <c r="D19" s="191"/>
      <c r="E19" s="191"/>
      <c r="F19" s="191"/>
      <c r="G19" s="191"/>
      <c r="I19" s="435"/>
      <c r="J19" s="416"/>
      <c r="K19" s="1449" t="s">
        <v>839</v>
      </c>
      <c r="L19" s="1449"/>
      <c r="M19" s="1449"/>
      <c r="N19" s="593"/>
      <c r="P19" s="137"/>
      <c r="Q19" s="1383"/>
      <c r="R19" s="1383"/>
      <c r="S19" s="1383"/>
      <c r="T19" s="1383"/>
      <c r="U19" s="1383"/>
      <c r="V19" s="1383"/>
      <c r="W19" s="1383"/>
      <c r="X19" s="1383"/>
      <c r="Y19" s="1383"/>
      <c r="Z19" s="211"/>
      <c r="AA19" s="95"/>
      <c r="AB19" s="286"/>
      <c r="AC19" s="286"/>
      <c r="AD19" s="301"/>
      <c r="AE19" s="301"/>
      <c r="AF19" s="199"/>
      <c r="AG19" s="199"/>
      <c r="AH19" s="199"/>
      <c r="AI19" s="205"/>
      <c r="AJ19" s="205"/>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row>
    <row r="20" spans="1:74" ht="5.15" customHeight="1" x14ac:dyDescent="0.25">
      <c r="B20" s="191"/>
      <c r="C20" s="191"/>
      <c r="D20" s="191"/>
      <c r="E20" s="191"/>
      <c r="F20" s="191"/>
      <c r="G20" s="191"/>
      <c r="I20" s="435"/>
      <c r="J20" s="593"/>
      <c r="K20" s="1449"/>
      <c r="L20" s="1449"/>
      <c r="M20" s="1449"/>
      <c r="N20" s="593"/>
      <c r="O20" s="137"/>
      <c r="P20" s="137"/>
      <c r="Q20" s="1383"/>
      <c r="R20" s="1383"/>
      <c r="S20" s="1383"/>
      <c r="T20" s="1383"/>
      <c r="U20" s="1383"/>
      <c r="V20" s="1383"/>
      <c r="W20" s="1383"/>
      <c r="X20" s="1383"/>
      <c r="Y20" s="1383"/>
      <c r="Z20" s="211"/>
      <c r="AA20" s="95"/>
      <c r="AB20" s="286"/>
      <c r="AC20" s="286"/>
      <c r="AD20" s="286"/>
      <c r="AE20" s="302"/>
      <c r="AF20" s="199"/>
      <c r="AG20" s="199"/>
      <c r="AH20" s="199"/>
      <c r="AI20" s="205"/>
      <c r="AJ20" s="205"/>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row>
    <row r="21" spans="1:74" ht="15" customHeight="1" x14ac:dyDescent="0.25">
      <c r="B21" s="191"/>
      <c r="C21" s="191"/>
      <c r="D21" s="191"/>
      <c r="E21" s="191"/>
      <c r="F21" s="191"/>
      <c r="G21" s="191"/>
      <c r="I21" s="435"/>
      <c r="K21" s="1449"/>
      <c r="L21" s="1449"/>
      <c r="M21" s="1449"/>
      <c r="N21" s="137"/>
      <c r="O21" s="137"/>
      <c r="P21" s="137"/>
      <c r="Q21" s="1383"/>
      <c r="R21" s="1383"/>
      <c r="S21" s="1383"/>
      <c r="T21" s="1383"/>
      <c r="U21" s="1383"/>
      <c r="V21" s="1383"/>
      <c r="W21" s="1383"/>
      <c r="X21" s="1383"/>
      <c r="Y21" s="1383"/>
      <c r="Z21" s="211"/>
      <c r="AA21" s="95"/>
      <c r="AB21" s="286"/>
      <c r="AC21" s="286"/>
      <c r="AD21" s="286"/>
      <c r="AE21" s="302"/>
      <c r="AF21" s="199"/>
      <c r="AG21" s="199"/>
      <c r="AH21" s="199"/>
      <c r="AI21" s="199"/>
      <c r="AJ21" s="205"/>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row>
    <row r="22" spans="1:74" ht="5.15" customHeight="1" x14ac:dyDescent="0.25">
      <c r="I22" s="435"/>
      <c r="J22" s="137"/>
      <c r="K22" s="1449"/>
      <c r="L22" s="1449"/>
      <c r="M22" s="1449"/>
      <c r="N22" s="137"/>
      <c r="O22" s="137"/>
      <c r="P22" s="137"/>
      <c r="Q22" s="137"/>
      <c r="R22" s="137"/>
      <c r="S22" s="137"/>
      <c r="T22" s="137"/>
      <c r="U22" s="137"/>
      <c r="V22" s="137"/>
      <c r="W22" s="137"/>
      <c r="X22" s="137"/>
      <c r="Y22" s="137"/>
      <c r="Z22" s="211"/>
      <c r="AA22" s="95"/>
      <c r="AB22" s="302"/>
      <c r="AC22" s="286"/>
      <c r="AD22" s="286"/>
      <c r="AE22" s="302"/>
      <c r="AF22" s="199"/>
      <c r="AG22" s="199"/>
      <c r="AH22" s="199"/>
      <c r="AI22" s="199"/>
      <c r="AJ22" s="205"/>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row>
    <row r="23" spans="1:74" ht="15" customHeight="1" x14ac:dyDescent="0.25">
      <c r="I23" s="435"/>
      <c r="K23" s="1449"/>
      <c r="L23" s="1449"/>
      <c r="M23" s="1449"/>
      <c r="N23" s="137"/>
      <c r="O23" s="137"/>
      <c r="P23" s="137"/>
      <c r="Q23" s="137"/>
      <c r="R23" s="137"/>
      <c r="S23" s="137"/>
      <c r="T23" s="137"/>
      <c r="U23" s="137"/>
      <c r="V23" s="137"/>
      <c r="W23" s="137"/>
      <c r="X23" s="137"/>
      <c r="Y23" s="137"/>
      <c r="Z23" s="211"/>
      <c r="AA23" s="189"/>
      <c r="AB23" s="302"/>
      <c r="AC23" s="286" t="s">
        <v>18</v>
      </c>
      <c r="AD23" s="286" t="s">
        <v>19</v>
      </c>
      <c r="AE23" s="415"/>
      <c r="AF23" s="415"/>
      <c r="AG23" s="199"/>
      <c r="AH23" s="199"/>
      <c r="AI23" s="199"/>
      <c r="AJ23" s="205"/>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row>
    <row r="24" spans="1:74" ht="5.15" customHeight="1" x14ac:dyDescent="0.25">
      <c r="I24" s="435"/>
      <c r="J24" s="137"/>
      <c r="K24" s="594"/>
      <c r="L24" s="594"/>
      <c r="M24" s="594"/>
      <c r="N24" s="137"/>
      <c r="O24" s="137"/>
      <c r="P24" s="137"/>
      <c r="Q24" s="137"/>
      <c r="R24" s="137"/>
      <c r="S24" s="137"/>
      <c r="T24" s="137"/>
      <c r="U24" s="137"/>
      <c r="V24" s="137"/>
      <c r="W24" s="137"/>
      <c r="X24" s="137"/>
      <c r="Y24" s="137"/>
      <c r="Z24" s="211"/>
      <c r="AA24" s="189"/>
      <c r="AB24" s="302"/>
      <c r="AC24" s="286"/>
      <c r="AD24" s="286"/>
      <c r="AE24" s="302"/>
      <c r="AF24" s="199"/>
      <c r="AG24" s="199"/>
      <c r="AH24" s="199"/>
      <c r="AI24" s="199"/>
      <c r="AJ24" s="205"/>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row>
    <row r="25" spans="1:74" ht="15" customHeight="1" x14ac:dyDescent="0.25">
      <c r="C25" s="191"/>
      <c r="D25" s="191"/>
      <c r="E25" s="191"/>
      <c r="F25" s="191"/>
      <c r="G25" s="191"/>
      <c r="I25" s="435"/>
      <c r="J25" s="416" t="s">
        <v>69</v>
      </c>
      <c r="K25" s="1449" t="str">
        <f>IF(_Step2_AlterationsYesNo="Yes","Using a 9.1.2 Exception (Yes/No)? ","")</f>
        <v/>
      </c>
      <c r="L25" s="1449"/>
      <c r="M25" s="1449"/>
      <c r="N25" s="137"/>
      <c r="O25" s="137"/>
      <c r="P25" s="137"/>
      <c r="Q25" s="1383" t="s">
        <v>1318</v>
      </c>
      <c r="R25" s="1383"/>
      <c r="S25" s="1383"/>
      <c r="T25" s="1383"/>
      <c r="U25" s="1383"/>
      <c r="V25" s="1383"/>
      <c r="W25" s="1383"/>
      <c r="X25" s="1383"/>
      <c r="Y25" s="1383"/>
      <c r="Z25" s="211"/>
      <c r="AA25" s="63"/>
      <c r="AB25" s="419"/>
      <c r="AC25" s="286"/>
      <c r="AD25" s="286"/>
      <c r="AE25" s="302"/>
      <c r="AF25" s="199"/>
      <c r="AG25" s="199"/>
      <c r="AH25" s="199"/>
      <c r="AI25" s="199"/>
      <c r="AJ25" s="199"/>
      <c r="AK25" s="205"/>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row>
    <row r="26" spans="1:74" ht="5.15" customHeight="1" x14ac:dyDescent="0.25">
      <c r="C26" s="191"/>
      <c r="D26" s="191"/>
      <c r="E26" s="191"/>
      <c r="F26" s="191"/>
      <c r="G26" s="191"/>
      <c r="I26" s="435"/>
      <c r="J26" s="137"/>
      <c r="K26" s="1449"/>
      <c r="L26" s="1449"/>
      <c r="M26" s="1449"/>
      <c r="N26" s="137"/>
      <c r="O26" s="137"/>
      <c r="P26" s="137"/>
      <c r="Q26" s="1383"/>
      <c r="R26" s="1383"/>
      <c r="S26" s="1383"/>
      <c r="T26" s="1383"/>
      <c r="U26" s="1383"/>
      <c r="V26" s="1383"/>
      <c r="W26" s="1383"/>
      <c r="X26" s="1383"/>
      <c r="Y26" s="1383"/>
      <c r="Z26" s="211"/>
      <c r="AA26" s="63"/>
      <c r="AB26" s="419"/>
      <c r="AC26" s="286"/>
      <c r="AD26" s="286"/>
      <c r="AE26" s="302"/>
      <c r="AF26" s="199"/>
      <c r="AG26" s="199"/>
      <c r="AH26" s="199"/>
      <c r="AI26" s="199"/>
      <c r="AJ26" s="199"/>
      <c r="AK26" s="205"/>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row>
    <row r="27" spans="1:74" ht="15" customHeight="1" x14ac:dyDescent="0.25">
      <c r="B27" s="191"/>
      <c r="C27" s="191"/>
      <c r="D27" s="191"/>
      <c r="E27" s="191"/>
      <c r="F27" s="191"/>
      <c r="G27" s="191"/>
      <c r="H27" s="640"/>
      <c r="I27" s="641"/>
      <c r="J27" s="436"/>
      <c r="K27" s="1449"/>
      <c r="L27" s="1449"/>
      <c r="M27" s="1449"/>
      <c r="N27" s="436"/>
      <c r="O27" s="728"/>
      <c r="P27" s="728"/>
      <c r="Q27" s="1384"/>
      <c r="R27" s="1384"/>
      <c r="S27" s="1384"/>
      <c r="T27" s="1384"/>
      <c r="U27" s="1384"/>
      <c r="V27" s="1384"/>
      <c r="W27" s="1384"/>
      <c r="X27" s="1384"/>
      <c r="Y27" s="1384"/>
      <c r="Z27" s="63"/>
      <c r="AA27" s="63"/>
      <c r="AB27" s="419"/>
      <c r="AC27" s="286" t="s">
        <v>18</v>
      </c>
      <c r="AD27" s="286" t="s">
        <v>19</v>
      </c>
      <c r="AE27" s="415"/>
      <c r="AF27" s="415"/>
      <c r="AG27" s="199"/>
      <c r="AH27" s="199"/>
      <c r="AI27" s="199"/>
      <c r="AJ27" s="199"/>
      <c r="AK27" s="205"/>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row>
    <row r="28" spans="1:74" ht="5.15" customHeight="1" x14ac:dyDescent="0.25">
      <c r="B28" s="191"/>
      <c r="C28" s="191"/>
      <c r="D28" s="191"/>
      <c r="E28" s="191"/>
      <c r="F28" s="191"/>
      <c r="G28" s="191"/>
      <c r="H28" s="344"/>
      <c r="I28" s="1398" t="s">
        <v>918</v>
      </c>
      <c r="J28" s="1399"/>
      <c r="K28" s="412"/>
      <c r="L28" s="412"/>
      <c r="M28" s="412"/>
      <c r="N28" s="412"/>
      <c r="O28" s="412"/>
      <c r="P28" s="412"/>
      <c r="Q28" s="412"/>
      <c r="R28" s="412"/>
      <c r="S28" s="412"/>
      <c r="T28" s="412"/>
      <c r="U28" s="412"/>
      <c r="V28" s="412"/>
      <c r="W28" s="412"/>
      <c r="X28" s="412"/>
      <c r="Y28" s="412"/>
      <c r="Z28" s="414"/>
      <c r="AA28" s="63"/>
      <c r="AB28" s="419"/>
      <c r="AC28" s="286"/>
      <c r="AD28" s="286"/>
      <c r="AE28" s="415"/>
      <c r="AF28" s="415"/>
      <c r="AG28" s="199"/>
      <c r="AH28" s="199"/>
      <c r="AI28" s="199"/>
      <c r="AJ28" s="199"/>
      <c r="AK28" s="205"/>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row>
    <row r="29" spans="1:74" ht="15" customHeight="1" x14ac:dyDescent="0.25">
      <c r="B29" s="191"/>
      <c r="E29" s="191"/>
      <c r="F29" s="191"/>
      <c r="G29" s="191"/>
      <c r="H29" s="344"/>
      <c r="I29" s="1400"/>
      <c r="J29" s="1401"/>
      <c r="K29" s="448"/>
      <c r="L29" s="594"/>
      <c r="M29" s="1414" t="s">
        <v>144</v>
      </c>
      <c r="N29" s="1415"/>
      <c r="O29" s="1416"/>
      <c r="P29" s="594"/>
      <c r="Q29" s="365" t="s">
        <v>838</v>
      </c>
      <c r="R29" s="601"/>
      <c r="S29" s="448"/>
      <c r="T29" s="448"/>
      <c r="U29" s="448"/>
      <c r="V29" s="448"/>
      <c r="Z29" s="449"/>
      <c r="AB29" s="419"/>
      <c r="AC29" s="286"/>
      <c r="AD29" s="286"/>
      <c r="AE29" s="302"/>
      <c r="AF29" s="199"/>
      <c r="AG29" s="199"/>
      <c r="AH29" s="199"/>
      <c r="AI29" s="199"/>
      <c r="AJ29" s="199"/>
      <c r="AK29" s="199"/>
      <c r="AL29" s="199"/>
      <c r="AM29" s="1406"/>
      <c r="AN29" s="1406"/>
      <c r="AO29" s="1406"/>
      <c r="AP29" s="1406"/>
      <c r="AQ29" s="1406"/>
      <c r="AR29" s="1406"/>
      <c r="AS29" s="199"/>
      <c r="AT29" s="1406"/>
      <c r="AU29" s="1406"/>
      <c r="AV29" s="1406"/>
      <c r="AW29" s="1406"/>
      <c r="AX29" s="1406"/>
      <c r="AY29" s="1406"/>
      <c r="AZ29" s="199"/>
      <c r="BA29" s="199"/>
      <c r="BB29" s="199"/>
      <c r="BC29" s="199"/>
      <c r="BD29" s="199"/>
      <c r="BE29" s="199"/>
      <c r="BF29" s="199"/>
      <c r="BG29" s="199"/>
      <c r="BH29" s="199"/>
      <c r="BI29" s="199"/>
      <c r="BJ29" s="199"/>
      <c r="BK29" s="199"/>
      <c r="BL29" s="199"/>
      <c r="BM29" s="199"/>
      <c r="BN29" s="199"/>
      <c r="BO29" s="199"/>
      <c r="BV29" s="42" t="s">
        <v>840</v>
      </c>
    </row>
    <row r="30" spans="1:74" ht="5.15" customHeight="1" x14ac:dyDescent="0.25">
      <c r="B30" s="191"/>
      <c r="E30" s="191"/>
      <c r="F30" s="191"/>
      <c r="G30" s="191"/>
      <c r="H30" s="344"/>
      <c r="I30" s="209"/>
      <c r="J30" s="448"/>
      <c r="K30" s="448"/>
      <c r="L30" s="448"/>
      <c r="M30" s="448"/>
      <c r="N30" s="448"/>
      <c r="O30" s="594"/>
      <c r="P30" s="594"/>
      <c r="Q30" s="594"/>
      <c r="R30" s="594"/>
      <c r="S30" s="448"/>
      <c r="T30" s="448"/>
      <c r="U30" s="448"/>
      <c r="V30" s="448"/>
      <c r="W30" s="448"/>
      <c r="X30" s="448"/>
      <c r="Y30" s="448"/>
      <c r="Z30" s="449"/>
      <c r="AB30" s="419"/>
      <c r="AC30" s="286"/>
      <c r="AD30" s="286"/>
      <c r="AE30" s="302"/>
      <c r="AF30" s="199"/>
      <c r="AG30" s="199"/>
      <c r="AH30" s="199"/>
      <c r="AI30" s="199"/>
      <c r="AJ30" s="199"/>
      <c r="AK30" s="199"/>
      <c r="AL30" s="199"/>
      <c r="AM30" s="1406"/>
      <c r="AN30" s="1406"/>
      <c r="AO30" s="1406"/>
      <c r="AP30" s="1406"/>
      <c r="AQ30" s="1406"/>
      <c r="AR30" s="1406"/>
      <c r="AS30" s="199"/>
      <c r="AT30" s="1406"/>
      <c r="AU30" s="1406"/>
      <c r="AV30" s="1406"/>
      <c r="AW30" s="1406"/>
      <c r="AX30" s="1406"/>
      <c r="AY30" s="1406"/>
      <c r="AZ30" s="199"/>
      <c r="BA30" s="199"/>
      <c r="BB30" s="199"/>
      <c r="BC30" s="199"/>
      <c r="BD30" s="199"/>
      <c r="BE30" s="199"/>
      <c r="BF30" s="199"/>
      <c r="BG30" s="199"/>
      <c r="BH30" s="199"/>
      <c r="BI30" s="199"/>
      <c r="BJ30" s="199"/>
      <c r="BK30" s="199"/>
      <c r="BL30" s="199"/>
      <c r="BM30" s="199"/>
      <c r="BN30" s="199"/>
      <c r="BO30" s="199"/>
    </row>
    <row r="31" spans="1:74" ht="15" customHeight="1" x14ac:dyDescent="0.25">
      <c r="C31" s="137"/>
      <c r="D31" s="137"/>
      <c r="E31" s="137"/>
      <c r="F31" s="137"/>
      <c r="G31" s="137"/>
      <c r="H31" s="344"/>
      <c r="I31" s="1227"/>
      <c r="M31" s="63"/>
      <c r="N31" s="63"/>
      <c r="O31" s="63"/>
      <c r="P31" s="63"/>
      <c r="Q31" s="597">
        <f>IF(_BAM_Compliant="Building Area Compliant",1,0)</f>
        <v>0</v>
      </c>
      <c r="R31" s="597"/>
      <c r="Z31" s="211"/>
      <c r="AB31" s="419"/>
      <c r="AC31" s="286"/>
      <c r="AD31" s="286"/>
      <c r="AE31" s="302"/>
      <c r="AF31" s="199"/>
      <c r="AG31" s="199"/>
      <c r="AH31" s="199"/>
      <c r="AI31" s="199"/>
      <c r="AJ31" s="199"/>
      <c r="AK31" s="199"/>
      <c r="AL31" s="199"/>
      <c r="AM31" s="1406"/>
      <c r="AN31" s="1406"/>
      <c r="AO31" s="1406"/>
      <c r="AP31" s="1406"/>
      <c r="AQ31" s="1406"/>
      <c r="AR31" s="1406"/>
      <c r="AS31" s="199"/>
      <c r="AT31" s="1406"/>
      <c r="AU31" s="1406"/>
      <c r="AV31" s="1406"/>
      <c r="AW31" s="1406"/>
      <c r="AX31" s="1406"/>
      <c r="AY31" s="1406"/>
      <c r="AZ31" s="199"/>
      <c r="BA31" s="199"/>
      <c r="BB31" s="199"/>
      <c r="BC31" s="199"/>
      <c r="BD31" s="199"/>
      <c r="BE31" s="199"/>
      <c r="BF31" s="199"/>
      <c r="BG31" s="199"/>
      <c r="BH31" s="199"/>
      <c r="BI31" s="199"/>
      <c r="BJ31" s="199"/>
      <c r="BK31" s="199"/>
      <c r="BL31" s="199"/>
      <c r="BM31" s="199"/>
      <c r="BN31" s="199"/>
      <c r="BO31" s="199"/>
    </row>
    <row r="32" spans="1:74" ht="5.15" customHeight="1" x14ac:dyDescent="0.25">
      <c r="C32" s="137"/>
      <c r="D32" s="137"/>
      <c r="E32" s="137"/>
      <c r="F32" s="137"/>
      <c r="G32" s="137"/>
      <c r="H32" s="344"/>
      <c r="I32" s="1227"/>
      <c r="M32" s="63"/>
      <c r="N32" s="63"/>
      <c r="O32" s="63"/>
      <c r="P32" s="63"/>
      <c r="Q32" s="598"/>
      <c r="R32" s="598"/>
      <c r="Z32" s="211"/>
      <c r="AB32" s="419"/>
      <c r="AC32" s="286"/>
      <c r="AD32" s="286"/>
      <c r="AE32" s="302"/>
      <c r="AF32" s="199"/>
      <c r="AG32" s="199"/>
      <c r="AH32" s="199"/>
      <c r="AI32" s="199"/>
      <c r="AJ32" s="199"/>
      <c r="AK32" s="199"/>
      <c r="AL32" s="199"/>
      <c r="AM32" s="1406"/>
      <c r="AN32" s="1406"/>
      <c r="AO32" s="1406"/>
      <c r="AP32" s="1406"/>
      <c r="AQ32" s="1406"/>
      <c r="AR32" s="1406"/>
      <c r="AS32" s="199"/>
      <c r="AT32" s="1406"/>
      <c r="AU32" s="1406"/>
      <c r="AV32" s="1406"/>
      <c r="AW32" s="1406"/>
      <c r="AX32" s="1406"/>
      <c r="AY32" s="1406"/>
      <c r="AZ32" s="199"/>
      <c r="BA32" s="199"/>
      <c r="BB32" s="199"/>
      <c r="BC32" s="199"/>
      <c r="BD32" s="199"/>
      <c r="BE32" s="199"/>
      <c r="BF32" s="199"/>
      <c r="BG32" s="199"/>
      <c r="BH32" s="199"/>
      <c r="BI32" s="199"/>
      <c r="BJ32" s="199"/>
      <c r="BK32" s="199"/>
      <c r="BL32" s="199"/>
      <c r="BM32" s="199"/>
      <c r="BN32" s="199"/>
      <c r="BO32" s="199"/>
    </row>
    <row r="33" spans="1:74" ht="15" customHeight="1" x14ac:dyDescent="0.3">
      <c r="B33" s="191"/>
      <c r="C33" s="191"/>
      <c r="D33" s="191"/>
      <c r="E33" s="137"/>
      <c r="F33" s="137"/>
      <c r="G33" s="137"/>
      <c r="H33" s="344"/>
      <c r="I33" s="1227"/>
      <c r="J33" s="619"/>
      <c r="M33" s="1393" t="s">
        <v>920</v>
      </c>
      <c r="N33" s="471"/>
      <c r="O33" s="1393" t="s">
        <v>919</v>
      </c>
      <c r="P33" s="610"/>
      <c r="Q33" s="1393" t="s">
        <v>921</v>
      </c>
      <c r="R33" s="610"/>
      <c r="S33" s="1393" t="s">
        <v>922</v>
      </c>
      <c r="T33" s="610"/>
      <c r="U33" s="1393" t="s">
        <v>923</v>
      </c>
      <c r="V33" s="610"/>
      <c r="W33" s="1393" t="s">
        <v>1038</v>
      </c>
      <c r="Y33" s="1393" t="s">
        <v>637</v>
      </c>
      <c r="Z33" s="211"/>
      <c r="AB33" s="419"/>
      <c r="AC33" s="286" t="s">
        <v>850</v>
      </c>
      <c r="AD33" s="433"/>
      <c r="AE33" s="434"/>
      <c r="AF33" s="434"/>
      <c r="AG33" s="199"/>
      <c r="AH33" s="199"/>
      <c r="AI33" s="199"/>
      <c r="AJ33" s="199"/>
      <c r="AK33" s="199"/>
      <c r="AL33" s="199"/>
      <c r="AM33" s="1406"/>
      <c r="AN33" s="1406"/>
      <c r="AO33" s="1406"/>
      <c r="AP33" s="1406"/>
      <c r="AQ33" s="1406"/>
      <c r="AR33" s="1406"/>
      <c r="AS33" s="199"/>
      <c r="AT33" s="1406"/>
      <c r="AU33" s="1406"/>
      <c r="AV33" s="1406"/>
      <c r="AW33" s="1406"/>
      <c r="AX33" s="1406"/>
      <c r="AY33" s="1406"/>
      <c r="AZ33" s="199"/>
      <c r="BA33" s="199"/>
      <c r="BB33" s="199"/>
      <c r="BC33" s="199"/>
      <c r="BD33" s="199"/>
      <c r="BE33" s="199"/>
      <c r="BF33" s="199"/>
      <c r="BG33" s="199"/>
      <c r="BH33" s="199"/>
      <c r="BI33" s="199"/>
      <c r="BJ33" s="199"/>
      <c r="BK33" s="199"/>
      <c r="BL33" s="199"/>
      <c r="BM33" s="199"/>
      <c r="BN33" s="199"/>
      <c r="BO33" s="199"/>
      <c r="BV33" s="418"/>
    </row>
    <row r="34" spans="1:74" ht="5.15" customHeight="1" x14ac:dyDescent="0.3">
      <c r="B34" s="191"/>
      <c r="C34" s="191"/>
      <c r="D34" s="191"/>
      <c r="E34" s="191"/>
      <c r="F34" s="191"/>
      <c r="G34" s="191"/>
      <c r="H34" s="344"/>
      <c r="I34" s="1227"/>
      <c r="M34" s="1393"/>
      <c r="N34" s="471"/>
      <c r="O34" s="1393"/>
      <c r="P34" s="610"/>
      <c r="Q34" s="1393"/>
      <c r="R34" s="610"/>
      <c r="S34" s="1393"/>
      <c r="T34" s="610"/>
      <c r="U34" s="1393"/>
      <c r="V34" s="610"/>
      <c r="W34" s="1393"/>
      <c r="X34" s="591"/>
      <c r="Y34" s="1393"/>
      <c r="Z34" s="211"/>
      <c r="AB34" s="419"/>
      <c r="AC34" s="433"/>
      <c r="AD34" s="433"/>
      <c r="AE34" s="434"/>
      <c r="AF34" s="433"/>
      <c r="AG34" s="199"/>
      <c r="AH34" s="199"/>
      <c r="AI34" s="199"/>
      <c r="AJ34" s="199"/>
      <c r="AK34" s="199"/>
      <c r="AL34" s="199"/>
      <c r="AM34" s="1406"/>
      <c r="AN34" s="1406"/>
      <c r="AO34" s="1406"/>
      <c r="AP34" s="1406"/>
      <c r="AQ34" s="1406"/>
      <c r="AR34" s="1406"/>
      <c r="AS34" s="199"/>
      <c r="AT34" s="1406"/>
      <c r="AU34" s="1406"/>
      <c r="AV34" s="1406"/>
      <c r="AW34" s="1406"/>
      <c r="AX34" s="1406"/>
      <c r="AY34" s="1406"/>
      <c r="AZ34" s="199"/>
      <c r="BA34" s="199"/>
      <c r="BB34" s="199"/>
      <c r="BC34" s="199"/>
      <c r="BD34" s="199"/>
      <c r="BE34" s="199"/>
      <c r="BF34" s="199"/>
      <c r="BG34" s="199"/>
      <c r="BH34" s="199"/>
      <c r="BI34" s="199"/>
      <c r="BJ34" s="199"/>
      <c r="BK34" s="199"/>
      <c r="BL34" s="199"/>
      <c r="BM34" s="199"/>
      <c r="BN34" s="199"/>
      <c r="BO34" s="199"/>
    </row>
    <row r="35" spans="1:74" ht="15" customHeight="1" x14ac:dyDescent="0.3">
      <c r="B35" s="191"/>
      <c r="C35" s="191"/>
      <c r="D35" s="191"/>
      <c r="E35" s="191"/>
      <c r="F35" s="191"/>
      <c r="G35" s="191"/>
      <c r="H35" s="344"/>
      <c r="I35" s="1227"/>
      <c r="J35" s="64"/>
      <c r="M35" s="1393"/>
      <c r="N35" s="471"/>
      <c r="O35" s="1393"/>
      <c r="P35" s="610"/>
      <c r="Q35" s="1393"/>
      <c r="R35" s="610"/>
      <c r="S35" s="1393"/>
      <c r="T35" s="610"/>
      <c r="U35" s="1393"/>
      <c r="V35" s="610"/>
      <c r="W35" s="1393"/>
      <c r="X35" s="215"/>
      <c r="Y35" s="1393"/>
      <c r="Z35" s="211"/>
      <c r="AB35" s="419"/>
      <c r="AC35" s="419"/>
      <c r="AD35" s="419"/>
      <c r="AE35" s="419"/>
      <c r="AF35" s="419"/>
      <c r="AG35" s="419"/>
      <c r="AH35" s="419"/>
      <c r="AI35" s="199"/>
      <c r="AJ35" s="199"/>
      <c r="AK35" s="199"/>
      <c r="AL35" s="199"/>
      <c r="AM35" s="1406"/>
      <c r="AN35" s="1406"/>
      <c r="AO35" s="1406"/>
      <c r="AP35" s="1406"/>
      <c r="AQ35" s="1406"/>
      <c r="AR35" s="1406"/>
      <c r="AS35" s="199"/>
      <c r="AT35" s="1406"/>
      <c r="AU35" s="1406"/>
      <c r="AV35" s="1406"/>
      <c r="AW35" s="1406"/>
      <c r="AX35" s="1406"/>
      <c r="AY35" s="1406"/>
      <c r="AZ35" s="199"/>
      <c r="BA35" s="199"/>
      <c r="BB35" s="199"/>
      <c r="BC35" s="199"/>
      <c r="BD35" s="199"/>
      <c r="BE35" s="199"/>
      <c r="BF35" s="199"/>
      <c r="BG35" s="199"/>
      <c r="BH35" s="199"/>
      <c r="BI35" s="199"/>
      <c r="BJ35" s="199"/>
      <c r="BK35" s="199"/>
      <c r="BL35" s="199"/>
      <c r="BM35" s="199"/>
      <c r="BN35" s="199"/>
      <c r="BO35" s="199"/>
      <c r="BV35" s="418"/>
    </row>
    <row r="36" spans="1:74" ht="5.15" customHeight="1" x14ac:dyDescent="0.3">
      <c r="B36" s="191"/>
      <c r="C36" s="191"/>
      <c r="D36" s="191"/>
      <c r="E36" s="191"/>
      <c r="F36" s="191"/>
      <c r="G36" s="191"/>
      <c r="H36" s="344"/>
      <c r="I36" s="1227"/>
      <c r="J36" s="64"/>
      <c r="M36" s="592"/>
      <c r="N36" s="592"/>
      <c r="O36" s="592"/>
      <c r="P36" s="592"/>
      <c r="Q36" s="597"/>
      <c r="R36" s="597"/>
      <c r="U36" s="214"/>
      <c r="V36" s="214"/>
      <c r="W36" s="215"/>
      <c r="X36" s="215"/>
      <c r="Y36" s="215"/>
      <c r="Z36" s="211"/>
      <c r="AB36" s="419"/>
      <c r="AC36" s="419"/>
      <c r="AD36" s="419"/>
      <c r="AE36" s="419"/>
      <c r="AF36" s="419"/>
      <c r="AG36" s="419"/>
      <c r="AH36" s="419"/>
      <c r="AI36" s="199"/>
      <c r="AJ36" s="199"/>
      <c r="AK36" s="199"/>
      <c r="AL36" s="199"/>
      <c r="AM36" s="1406"/>
      <c r="AN36" s="1406"/>
      <c r="AO36" s="1406"/>
      <c r="AP36" s="1406"/>
      <c r="AQ36" s="1406"/>
      <c r="AR36" s="1406"/>
      <c r="AS36" s="199"/>
      <c r="AT36" s="1406"/>
      <c r="AU36" s="1406"/>
      <c r="AV36" s="1406"/>
      <c r="AW36" s="1406"/>
      <c r="AX36" s="1406"/>
      <c r="AY36" s="1406"/>
      <c r="AZ36" s="199"/>
      <c r="BA36" s="199"/>
      <c r="BB36" s="199"/>
      <c r="BC36" s="199"/>
      <c r="BD36" s="199"/>
      <c r="BE36" s="199"/>
      <c r="BF36" s="199"/>
      <c r="BG36" s="199"/>
      <c r="BH36" s="199"/>
      <c r="BI36" s="199"/>
      <c r="BJ36" s="199"/>
      <c r="BK36" s="199"/>
      <c r="BL36" s="199"/>
      <c r="BM36" s="199"/>
      <c r="BN36" s="199"/>
      <c r="BO36" s="199"/>
      <c r="BV36" s="418"/>
    </row>
    <row r="37" spans="1:74" ht="15" customHeight="1" x14ac:dyDescent="0.25">
      <c r="B37" s="147"/>
      <c r="C37" s="147"/>
      <c r="D37" s="147"/>
      <c r="E37" s="147"/>
      <c r="F37" s="147"/>
      <c r="G37" s="147"/>
      <c r="H37" s="121"/>
      <c r="I37" s="1227"/>
      <c r="J37" s="1437" t="str">
        <f>IF(_BAM_or_Space&lt;&gt;1,"Building Area Not Used","9.5 Building Area ")</f>
        <v>Building Area Not Used</v>
      </c>
      <c r="K37" s="1437"/>
      <c r="L37" s="592"/>
      <c r="M37" s="751" t="str">
        <f>IF(_BAM_or_Space&lt;&gt;1,"",ROUND(_BAM_Allowance,0))</f>
        <v/>
      </c>
      <c r="N37" s="756"/>
      <c r="O37" s="751" t="str">
        <f>IF(_BAM_or_Space&lt;&gt;1,"",_BAM_Installed_Watts)</f>
        <v/>
      </c>
      <c r="P37" s="757"/>
      <c r="Q37" s="964" t="str">
        <f>IF(_BAM_or_Space&lt;&gt;1,"",IF(O37=0,"Not Used",IF(O37&gt;M37,"Not Compliant","Compliant")))</f>
        <v/>
      </c>
      <c r="R37" s="752"/>
      <c r="S37" s="752" t="str">
        <f>IF(_BAM_or_Space&lt;&gt;1,"",_Luminaire_Exit_Compliant)</f>
        <v/>
      </c>
      <c r="T37" s="752"/>
      <c r="U37" s="964" t="str">
        <f>IF(_BAM_or_Space&lt;&gt;1,"",IF(O37=0,"Not Used",IF(O37=0,"Not Used",'Building Area Method'!AQ15)))</f>
        <v/>
      </c>
      <c r="V37" s="758"/>
      <c r="W37" s="752" t="str">
        <f>IF(_BAM_or_Space&lt;&gt;1,"",IF(J25&lt;&gt;"Yes","Compliant","Not Compliant"))</f>
        <v/>
      </c>
      <c r="X37" s="759"/>
      <c r="Y37" s="752" t="str">
        <f>IF(_BAM_or_Space&lt;&gt;1,"",IF(AND(Q37&lt;&gt;"Not Compliant",S37="Compliant",U37&lt;&gt;"Not Compliant",W37&lt;&gt;"Not Compliant"),"Compliant","Not Compliant"))</f>
        <v/>
      </c>
      <c r="Z37" s="211"/>
      <c r="AB37" s="419"/>
      <c r="AC37" s="419"/>
      <c r="AD37" s="419"/>
      <c r="AE37" s="419"/>
      <c r="AF37" s="419"/>
      <c r="AG37" s="419"/>
      <c r="AH37" s="199"/>
      <c r="AI37" s="199"/>
      <c r="AJ37" s="199"/>
      <c r="AK37" s="199"/>
      <c r="AL37" s="199"/>
      <c r="AM37" s="1406"/>
      <c r="AN37" s="1406"/>
      <c r="AO37" s="1406"/>
      <c r="AP37" s="1406"/>
      <c r="AQ37" s="1406"/>
      <c r="AR37" s="1406"/>
      <c r="AS37" s="199"/>
      <c r="AT37" s="1406"/>
      <c r="AU37" s="1406"/>
      <c r="AV37" s="1406"/>
      <c r="AW37" s="1406"/>
      <c r="AX37" s="1406"/>
      <c r="AY37" s="1406"/>
      <c r="AZ37" s="199"/>
      <c r="BA37" s="199"/>
      <c r="BB37" s="199"/>
      <c r="BC37" s="199"/>
      <c r="BD37" s="199"/>
      <c r="BE37" s="199"/>
      <c r="BF37" s="199"/>
      <c r="BG37" s="199"/>
      <c r="BH37" s="199"/>
      <c r="BI37" s="199"/>
      <c r="BJ37" s="199"/>
      <c r="BK37" s="199"/>
      <c r="BL37" s="199"/>
      <c r="BM37" s="199"/>
      <c r="BN37" s="199"/>
      <c r="BO37" s="199"/>
    </row>
    <row r="38" spans="1:74" ht="5.15" customHeight="1" x14ac:dyDescent="0.25">
      <c r="B38" s="147"/>
      <c r="C38" s="147"/>
      <c r="D38" s="147"/>
      <c r="E38" s="147"/>
      <c r="F38" s="147"/>
      <c r="G38" s="147"/>
      <c r="H38" s="99"/>
      <c r="I38" s="1227"/>
      <c r="J38" s="1228"/>
      <c r="K38" s="638"/>
      <c r="M38" s="592"/>
      <c r="N38" s="592"/>
      <c r="O38" s="592"/>
      <c r="P38" s="592"/>
      <c r="Q38" s="597"/>
      <c r="R38" s="597"/>
      <c r="U38" s="214"/>
      <c r="V38" s="214"/>
      <c r="W38" s="215"/>
      <c r="X38" s="215"/>
      <c r="Y38" s="215"/>
      <c r="Z38" s="211"/>
      <c r="AB38" s="303"/>
      <c r="AC38" s="303"/>
      <c r="AD38" s="303"/>
      <c r="AE38" s="303"/>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row>
    <row r="39" spans="1:74" ht="15" customHeight="1" x14ac:dyDescent="0.25">
      <c r="B39" s="147"/>
      <c r="C39" s="147"/>
      <c r="D39" s="147"/>
      <c r="E39" s="147"/>
      <c r="F39" s="147"/>
      <c r="G39" s="147"/>
      <c r="H39" s="99"/>
      <c r="I39" s="1227"/>
      <c r="J39" s="1437" t="str">
        <f>IF(_BAM_or_Space&lt;&gt;2,"Space by Space Not Used","9.6 Space by Space (SpxSp)")</f>
        <v>9.6 Space by Space (SpxSp)</v>
      </c>
      <c r="K39" s="1437"/>
      <c r="L39" s="592"/>
      <c r="M39" s="749">
        <f ca="1">IF(_BAM_or_Space&lt;&gt;2,"",ROUND('SpxSp Compliance Details'!G13+M45,0))</f>
        <v>0</v>
      </c>
      <c r="N39" s="750"/>
      <c r="O39" s="751">
        <f>IF(_BAM_or_Space&lt;&gt;2,"",'SpxSp Compliance Details'!H13)</f>
        <v>0</v>
      </c>
      <c r="P39" s="750"/>
      <c r="Q39" s="964" t="str">
        <f>IF(_BAM_or_Space&lt;&gt;2,"",IF(O39=0,"Not Used",IF(O39&gt;M39,"Not Compliant","Compliant")))</f>
        <v>Not Used</v>
      </c>
      <c r="R39" s="597"/>
      <c r="S39" s="1417" t="str">
        <f>IF(_BAM_or_Space&lt;&gt;2,"",_Luminaire_Exit_Compliant)</f>
        <v>Compliant</v>
      </c>
      <c r="T39" s="43"/>
      <c r="U39" s="754" t="str">
        <f>IF(_BAM_or_Space&lt;&gt;2,"",IF(O39=0,"Not Used",_Space_by_Space_Controls_Compliant))</f>
        <v>Not Used</v>
      </c>
      <c r="V39" s="214"/>
      <c r="W39" s="1446" t="str">
        <f>IF(OR(_BAM_or_Space&lt;&gt;2,_Step2_AlterationsYesNo="No"),"",IF('SpxSp Compliance Details'!BK16&gt;0,"Not Compliant","Compliant"))</f>
        <v>Compliant</v>
      </c>
      <c r="X39" s="215"/>
      <c r="Y39" s="1417" t="str">
        <f>IF(_BAM_or_Space&lt;&gt;2,"",IF(AND(Q39&lt;&gt;"Not Compliant",Q41&lt;&gt;"Not Compliant",Q43&lt;&gt;"Not Compliant",S39&lt;&gt;"Not Compliant",U39&lt;&gt;"Not Compliant",U41&lt;&gt;"Not Compliant",U43&lt;&gt;"Not Compliant",W39&lt;&gt;"Not Complaint"),"Compliant","Not Compliant"))</f>
        <v>Compliant</v>
      </c>
      <c r="Z39" s="211"/>
      <c r="AB39" s="303"/>
      <c r="AC39" s="303"/>
      <c r="AD39" s="303"/>
      <c r="AE39" s="303"/>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row>
    <row r="40" spans="1:74" ht="5.15" customHeight="1" x14ac:dyDescent="0.3">
      <c r="B40" s="147"/>
      <c r="C40" s="147"/>
      <c r="D40" s="147"/>
      <c r="E40" s="147"/>
      <c r="F40" s="147"/>
      <c r="G40" s="147"/>
      <c r="H40" s="99"/>
      <c r="I40" s="1227"/>
      <c r="J40" s="64"/>
      <c r="K40" s="638"/>
      <c r="M40" s="750"/>
      <c r="N40" s="750"/>
      <c r="O40" s="750"/>
      <c r="P40" s="750"/>
      <c r="Q40" s="753"/>
      <c r="R40" s="597"/>
      <c r="S40" s="1395"/>
      <c r="T40" s="43"/>
      <c r="U40" s="755"/>
      <c r="V40" s="214"/>
      <c r="W40" s="1447"/>
      <c r="X40" s="215"/>
      <c r="Y40" s="1395"/>
      <c r="Z40" s="211"/>
      <c r="AB40" s="303"/>
      <c r="AC40" s="303"/>
      <c r="AD40" s="303"/>
      <c r="AE40" s="303"/>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row>
    <row r="41" spans="1:74" ht="15" customHeight="1" x14ac:dyDescent="0.25">
      <c r="B41" s="147"/>
      <c r="C41" s="147"/>
      <c r="D41" s="147"/>
      <c r="E41" s="147"/>
      <c r="F41" s="147"/>
      <c r="G41" s="147"/>
      <c r="H41" s="99"/>
      <c r="I41" s="1227"/>
      <c r="K41" s="1224" t="str">
        <f>IF(_BAM_or_Space&lt;&gt;2,"9.62a Decorative Not Used","9.6.2a Decorative Lighting")</f>
        <v>9.6.2a Decorative Lighting</v>
      </c>
      <c r="M41" s="749">
        <f>IF(_BAM_or_Space&lt;&gt;2,"",'SpxSp (step-a)'!R18)</f>
        <v>0</v>
      </c>
      <c r="N41" s="750"/>
      <c r="O41" s="751">
        <f>IF(_BAM_or_Space&lt;&gt;2,"",_Space_by_Space_Installed_Decorative_Wattage)</f>
        <v>0</v>
      </c>
      <c r="P41" s="750"/>
      <c r="Q41" s="964" t="str">
        <f>IF(_BAM_or_Space&lt;&gt;2,"",IF(O41=0,"Not Used",_Space_by_Space_Decorative_Wattage_Compliant))</f>
        <v>Not Used</v>
      </c>
      <c r="R41" s="597"/>
      <c r="S41" s="1395"/>
      <c r="T41" s="43"/>
      <c r="U41" s="964" t="str">
        <f>IF(_BAM_or_Space&lt;&gt;2,"",IF(O41=0,"Not Used",'SpxSp (step-c)'!P14))</f>
        <v>Not Used</v>
      </c>
      <c r="V41" s="214"/>
      <c r="W41" s="1447"/>
      <c r="X41" s="215"/>
      <c r="Y41" s="1395"/>
      <c r="Z41" s="211"/>
      <c r="AB41" s="303"/>
      <c r="AC41" s="303"/>
      <c r="AD41" s="303"/>
      <c r="AE41" s="303"/>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row>
    <row r="42" spans="1:74" ht="5.15" customHeight="1" x14ac:dyDescent="0.25">
      <c r="B42" s="147"/>
      <c r="C42" s="147"/>
      <c r="D42" s="147"/>
      <c r="E42" s="147"/>
      <c r="F42" s="147"/>
      <c r="G42" s="147"/>
      <c r="H42" s="99"/>
      <c r="I42" s="1227"/>
      <c r="K42" s="1228"/>
      <c r="M42" s="750"/>
      <c r="N42" s="750"/>
      <c r="O42" s="750"/>
      <c r="P42" s="750"/>
      <c r="Q42" s="753"/>
      <c r="R42" s="597"/>
      <c r="S42" s="1395"/>
      <c r="T42" s="43"/>
      <c r="U42" s="755"/>
      <c r="V42" s="214"/>
      <c r="W42" s="1447"/>
      <c r="X42" s="215"/>
      <c r="Y42" s="1395"/>
      <c r="Z42" s="211"/>
      <c r="AB42" s="303"/>
      <c r="AC42" s="303"/>
      <c r="AD42" s="303"/>
      <c r="AE42" s="303"/>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row>
    <row r="43" spans="1:74" ht="15" customHeight="1" x14ac:dyDescent="0.25">
      <c r="B43" s="191"/>
      <c r="C43" s="191"/>
      <c r="D43" s="191"/>
      <c r="E43" s="191"/>
      <c r="F43" s="191"/>
      <c r="G43" s="191"/>
      <c r="I43" s="1227"/>
      <c r="K43" s="1224" t="str">
        <f>IF(_BAM_or_Space&lt;&gt;2,"9.62b Retail Not Used","9.6.2b Retail Lighting")</f>
        <v>9.6.2b Retail Lighting</v>
      </c>
      <c r="M43" s="749">
        <f>IF(_BAM_or_Space&lt;&gt;2,"",_Space_by_Space_Allowed_Base_Wattage)</f>
        <v>0</v>
      </c>
      <c r="N43" s="750"/>
      <c r="O43" s="751">
        <f>IF(_BAM_or_Space&lt;&gt;2,"",_Space_by_Space_Installed_Retail_Wattage)</f>
        <v>0</v>
      </c>
      <c r="P43" s="750"/>
      <c r="Q43" s="964" t="str">
        <f>IF(_BAM_or_Space&lt;&gt;2,"",IF(O43=0,"Not Used",IF(O43&gt;M43,"Not Compliant","Compliant")))</f>
        <v>Not Used</v>
      </c>
      <c r="R43" s="597"/>
      <c r="S43" s="1395"/>
      <c r="T43" s="43"/>
      <c r="U43" s="964" t="str">
        <f>IF(_BAM_or_Space&lt;&gt;2,"",IF(O43=0,"Not Used",'SpxSp (step-d)'!S14))</f>
        <v>Not Used</v>
      </c>
      <c r="V43" s="214"/>
      <c r="W43" s="1447"/>
      <c r="X43" s="215"/>
      <c r="Y43" s="1395"/>
      <c r="Z43" s="211"/>
      <c r="AB43" s="303"/>
      <c r="AC43" s="303"/>
      <c r="AD43" s="303"/>
      <c r="AE43" s="303"/>
      <c r="AF43" s="199"/>
      <c r="AG43" s="199"/>
      <c r="AH43" s="199"/>
      <c r="AI43" s="199"/>
      <c r="AJ43" s="199"/>
      <c r="AK43" s="199"/>
      <c r="AL43" s="199"/>
      <c r="AM43" s="1405"/>
      <c r="AN43" s="1405"/>
      <c r="AO43" s="1405"/>
      <c r="AP43" s="1405"/>
      <c r="AQ43" s="1405"/>
      <c r="AR43" s="199"/>
      <c r="AS43" s="199"/>
      <c r="AT43" s="1403"/>
      <c r="AU43" s="1403"/>
      <c r="AV43" s="1403"/>
      <c r="AW43" s="1403"/>
      <c r="AX43" s="1403"/>
      <c r="AY43" s="1403"/>
      <c r="AZ43" s="199"/>
      <c r="BA43" s="199"/>
      <c r="BB43" s="199"/>
      <c r="BC43" s="199"/>
      <c r="BD43" s="199"/>
      <c r="BE43" s="199"/>
      <c r="BF43" s="199"/>
      <c r="BG43" s="199"/>
      <c r="BH43" s="199"/>
      <c r="BI43" s="199"/>
      <c r="BJ43" s="199"/>
      <c r="BK43" s="199"/>
      <c r="BL43" s="199"/>
      <c r="BM43" s="199"/>
      <c r="BN43" s="199"/>
      <c r="BO43" s="199"/>
    </row>
    <row r="44" spans="1:74" ht="5.15" customHeight="1" x14ac:dyDescent="0.25">
      <c r="B44" s="191"/>
      <c r="C44" s="191"/>
      <c r="D44" s="191"/>
      <c r="E44" s="191"/>
      <c r="F44" s="191"/>
      <c r="G44" s="191"/>
      <c r="I44" s="1227"/>
      <c r="K44" s="1228"/>
      <c r="M44" s="750"/>
      <c r="N44" s="750"/>
      <c r="O44" s="750"/>
      <c r="P44" s="750"/>
      <c r="Q44" s="753"/>
      <c r="R44" s="597"/>
      <c r="S44" s="1395"/>
      <c r="T44" s="43"/>
      <c r="U44" s="755"/>
      <c r="V44" s="214"/>
      <c r="W44" s="1447"/>
      <c r="X44" s="215"/>
      <c r="Y44" s="1395"/>
      <c r="Z44" s="211"/>
      <c r="AB44" s="303"/>
      <c r="AC44" s="303"/>
      <c r="AD44" s="303"/>
      <c r="AE44" s="303"/>
      <c r="AF44" s="199"/>
      <c r="AG44" s="199"/>
      <c r="AH44" s="199"/>
      <c r="AI44" s="199"/>
      <c r="AJ44" s="199"/>
      <c r="AK44" s="199"/>
      <c r="AL44" s="199"/>
      <c r="AM44" s="1405"/>
      <c r="AN44" s="1405"/>
      <c r="AO44" s="1405"/>
      <c r="AP44" s="1405"/>
      <c r="AQ44" s="1405"/>
      <c r="AR44" s="199"/>
      <c r="AS44" s="199"/>
      <c r="AT44" s="1403"/>
      <c r="AU44" s="1403"/>
      <c r="AV44" s="1403"/>
      <c r="AW44" s="1403"/>
      <c r="AX44" s="1403"/>
      <c r="AY44" s="1403"/>
      <c r="AZ44" s="199"/>
      <c r="BA44" s="199"/>
      <c r="BB44" s="199"/>
      <c r="BC44" s="199"/>
      <c r="BD44" s="199"/>
      <c r="BE44" s="199"/>
      <c r="BF44" s="199"/>
      <c r="BG44" s="199"/>
      <c r="BH44" s="199"/>
      <c r="BI44" s="199"/>
      <c r="BJ44" s="199"/>
      <c r="BK44" s="199"/>
      <c r="BL44" s="199"/>
      <c r="BM44" s="199"/>
      <c r="BN44" s="199"/>
      <c r="BO44" s="199"/>
    </row>
    <row r="45" spans="1:74" ht="15" customHeight="1" x14ac:dyDescent="0.25">
      <c r="B45" s="101"/>
      <c r="C45" s="101"/>
      <c r="D45" s="101"/>
      <c r="E45" s="101"/>
      <c r="F45" s="101"/>
      <c r="G45" s="101"/>
      <c r="I45" s="1227"/>
      <c r="K45" s="1224" t="str">
        <f>IF(_BAM_or_Space&lt;&gt;2,"Space by Space Not Used","9.6.3 Nonmandatory Controls")</f>
        <v>9.6.3 Nonmandatory Controls</v>
      </c>
      <c r="M45" s="749">
        <f ca="1">IF(_BAM_or_Space&lt;&gt;2,"",ROUND('SpxSp (step-a)'!W18,0))</f>
        <v>0</v>
      </c>
      <c r="R45" s="597"/>
      <c r="S45" s="1396"/>
      <c r="T45" s="43"/>
      <c r="V45" s="214"/>
      <c r="W45" s="1448"/>
      <c r="X45" s="215"/>
      <c r="Y45" s="1396"/>
      <c r="Z45" s="211"/>
      <c r="AB45" s="303"/>
      <c r="AC45" s="303"/>
      <c r="AD45" s="303"/>
      <c r="AE45" s="303"/>
      <c r="AF45" s="199"/>
      <c r="AG45" s="199"/>
      <c r="AH45" s="199"/>
      <c r="AI45" s="199"/>
      <c r="AJ45" s="199"/>
      <c r="AK45" s="199"/>
      <c r="AL45" s="199"/>
      <c r="AM45" s="1405"/>
      <c r="AN45" s="1405"/>
      <c r="AO45" s="1405"/>
      <c r="AP45" s="1405"/>
      <c r="AQ45" s="1405"/>
      <c r="AR45" s="199"/>
      <c r="AS45" s="199"/>
      <c r="AT45" s="1403"/>
      <c r="AU45" s="1403"/>
      <c r="AV45" s="1403"/>
      <c r="AW45" s="1403"/>
      <c r="AX45" s="1403"/>
      <c r="AY45" s="1403"/>
      <c r="AZ45" s="199"/>
      <c r="BA45" s="199"/>
      <c r="BB45" s="199"/>
      <c r="BC45" s="199"/>
      <c r="BD45" s="199"/>
      <c r="BE45" s="199"/>
      <c r="BF45" s="199"/>
      <c r="BG45" s="199"/>
      <c r="BH45" s="199"/>
      <c r="BI45" s="199"/>
      <c r="BJ45" s="199"/>
      <c r="BK45" s="199"/>
      <c r="BL45" s="199"/>
      <c r="BM45" s="199"/>
      <c r="BN45" s="199"/>
      <c r="BO45" s="199"/>
    </row>
    <row r="46" spans="1:74" ht="5.15" customHeight="1" x14ac:dyDescent="0.3">
      <c r="B46" s="101"/>
      <c r="C46" s="101"/>
      <c r="D46" s="101"/>
      <c r="E46" s="101"/>
      <c r="F46" s="101"/>
      <c r="G46" s="101"/>
      <c r="I46" s="1227"/>
      <c r="J46" s="64"/>
      <c r="M46" s="592"/>
      <c r="N46" s="592"/>
      <c r="O46" s="592"/>
      <c r="P46" s="592"/>
      <c r="Q46" s="597"/>
      <c r="R46" s="597"/>
      <c r="U46" s="214"/>
      <c r="V46" s="214"/>
      <c r="W46" s="215"/>
      <c r="X46" s="215"/>
      <c r="Y46" s="215"/>
      <c r="Z46" s="211"/>
      <c r="AB46" s="303"/>
      <c r="AC46" s="303"/>
      <c r="AD46" s="303"/>
      <c r="AE46" s="303"/>
      <c r="AF46" s="199"/>
      <c r="AG46" s="199"/>
      <c r="AH46" s="199"/>
      <c r="AI46" s="199"/>
      <c r="AJ46" s="199"/>
      <c r="AK46" s="199"/>
      <c r="AL46" s="199"/>
      <c r="AM46" s="1405"/>
      <c r="AN46" s="1405"/>
      <c r="AO46" s="1405"/>
      <c r="AP46" s="1405"/>
      <c r="AQ46" s="1405"/>
      <c r="AR46" s="199"/>
      <c r="AS46" s="199"/>
      <c r="AT46" s="1403"/>
      <c r="AU46" s="1403"/>
      <c r="AV46" s="1403"/>
      <c r="AW46" s="1403"/>
      <c r="AX46" s="1403"/>
      <c r="AY46" s="1403"/>
      <c r="AZ46" s="199"/>
      <c r="BA46" s="199"/>
      <c r="BB46" s="199"/>
      <c r="BC46" s="199"/>
      <c r="BD46" s="199"/>
      <c r="BE46" s="199"/>
      <c r="BF46" s="199"/>
      <c r="BG46" s="199"/>
      <c r="BH46" s="199"/>
      <c r="BI46" s="199"/>
      <c r="BJ46" s="199"/>
      <c r="BK46" s="199"/>
      <c r="BL46" s="199"/>
      <c r="BM46" s="199"/>
      <c r="BN46" s="199"/>
      <c r="BO46" s="199"/>
    </row>
    <row r="47" spans="1:74" ht="15" customHeight="1" x14ac:dyDescent="0.3">
      <c r="B47" s="62"/>
      <c r="I47" s="1227"/>
      <c r="N47" s="592"/>
      <c r="O47" s="592"/>
      <c r="P47" s="592"/>
      <c r="Q47" s="597"/>
      <c r="R47" s="597"/>
      <c r="U47" s="214"/>
      <c r="V47" s="214"/>
      <c r="W47" s="215"/>
      <c r="X47" s="215"/>
      <c r="Y47" s="215"/>
      <c r="Z47" s="211"/>
      <c r="AB47" s="303"/>
      <c r="AC47" s="303"/>
      <c r="AD47" s="303"/>
      <c r="AE47" s="303"/>
      <c r="AF47" s="199"/>
      <c r="AG47" s="588"/>
      <c r="AH47" s="589"/>
      <c r="AI47" s="199"/>
      <c r="AJ47" s="590"/>
      <c r="AK47" s="590"/>
      <c r="AL47" s="199"/>
      <c r="AM47" s="1405"/>
      <c r="AN47" s="1405"/>
      <c r="AO47" s="1405"/>
      <c r="AP47" s="1405"/>
      <c r="AQ47" s="1405"/>
      <c r="AR47" s="199"/>
      <c r="AS47" s="199"/>
      <c r="AT47" s="1403"/>
      <c r="AU47" s="1403"/>
      <c r="AV47" s="1403"/>
      <c r="AW47" s="1403"/>
      <c r="AX47" s="1403"/>
      <c r="AY47" s="1403"/>
      <c r="AZ47" s="199"/>
      <c r="BA47" s="199"/>
      <c r="BB47" s="199"/>
      <c r="BC47" s="199"/>
      <c r="BD47" s="199"/>
      <c r="BE47" s="199"/>
      <c r="BF47" s="199"/>
      <c r="BG47" s="199"/>
      <c r="BH47" s="199"/>
      <c r="BI47" s="199"/>
      <c r="BJ47" s="199"/>
      <c r="BK47" s="199"/>
      <c r="BL47" s="199"/>
      <c r="BM47" s="199"/>
      <c r="BN47" s="199"/>
      <c r="BO47" s="199"/>
    </row>
    <row r="48" spans="1:74" ht="5.15" customHeight="1" x14ac:dyDescent="0.3">
      <c r="B48" s="62"/>
      <c r="I48" s="1227"/>
      <c r="J48" s="64"/>
      <c r="M48" s="592"/>
      <c r="N48" s="592"/>
      <c r="O48" s="592"/>
      <c r="P48" s="592"/>
      <c r="Q48" s="597"/>
      <c r="R48" s="597"/>
      <c r="U48" s="214"/>
      <c r="V48" s="214"/>
      <c r="W48" s="215"/>
      <c r="X48" s="215"/>
      <c r="Y48" s="215"/>
      <c r="Z48" s="211"/>
      <c r="AB48" s="303"/>
      <c r="AC48" s="303"/>
      <c r="AD48" s="303"/>
      <c r="AE48" s="303"/>
      <c r="AF48" s="199"/>
      <c r="AG48" s="588"/>
      <c r="AH48" s="589"/>
      <c r="AI48" s="199"/>
      <c r="AJ48" s="590"/>
      <c r="AK48" s="590"/>
      <c r="AL48" s="199"/>
      <c r="AM48" s="524"/>
      <c r="AN48" s="524"/>
      <c r="AO48" s="524"/>
      <c r="AP48" s="524"/>
      <c r="AQ48" s="524"/>
      <c r="AR48" s="199"/>
      <c r="AS48" s="199"/>
      <c r="AT48" s="1403"/>
      <c r="AU48" s="1403"/>
      <c r="AV48" s="1403"/>
      <c r="AW48" s="1403"/>
      <c r="AX48" s="1403"/>
      <c r="AY48" s="1403"/>
      <c r="AZ48" s="199"/>
      <c r="BA48" s="199"/>
      <c r="BB48" s="199"/>
      <c r="BC48" s="199"/>
      <c r="BD48" s="199"/>
      <c r="BE48" s="199"/>
      <c r="BF48" s="199"/>
      <c r="BG48" s="199"/>
      <c r="BH48" s="199"/>
      <c r="BI48" s="199"/>
      <c r="BJ48" s="199"/>
      <c r="BK48" s="199"/>
      <c r="BL48" s="199"/>
      <c r="BM48" s="199"/>
      <c r="BN48" s="199"/>
      <c r="BO48" s="199"/>
    </row>
    <row r="49" spans="2:67" ht="15" customHeight="1" x14ac:dyDescent="0.3">
      <c r="H49" s="63"/>
      <c r="I49" s="1227"/>
      <c r="J49" s="64"/>
      <c r="M49" s="592"/>
      <c r="N49" s="592"/>
      <c r="O49" s="592"/>
      <c r="P49" s="592"/>
      <c r="Q49" s="597"/>
      <c r="R49" s="597"/>
      <c r="U49" s="214"/>
      <c r="V49" s="214"/>
      <c r="W49" s="215"/>
      <c r="X49" s="215"/>
      <c r="Y49" s="215"/>
      <c r="Z49" s="211"/>
      <c r="AB49" s="303"/>
      <c r="AC49" s="303"/>
      <c r="AD49" s="303"/>
      <c r="AE49" s="303"/>
      <c r="AF49" s="199"/>
      <c r="AG49" s="588"/>
      <c r="AH49" s="589"/>
      <c r="AI49" s="199"/>
      <c r="AJ49" s="590"/>
      <c r="AK49" s="590"/>
      <c r="AL49" s="199"/>
      <c r="AM49" s="602"/>
      <c r="AN49" s="602"/>
      <c r="AO49" s="602"/>
      <c r="AP49" s="602"/>
      <c r="AQ49" s="602"/>
      <c r="AR49" s="199"/>
      <c r="AS49" s="199"/>
      <c r="AT49" s="1403"/>
      <c r="AU49" s="1403"/>
      <c r="AV49" s="1403"/>
      <c r="AW49" s="1403"/>
      <c r="AX49" s="1403"/>
      <c r="AY49" s="1403"/>
      <c r="AZ49" s="199"/>
      <c r="BA49" s="199"/>
      <c r="BB49" s="199"/>
      <c r="BC49" s="199"/>
      <c r="BD49" s="199"/>
      <c r="BE49" s="199"/>
      <c r="BF49" s="199"/>
      <c r="BG49" s="199"/>
      <c r="BH49" s="199"/>
      <c r="BI49" s="199"/>
      <c r="BJ49" s="199"/>
      <c r="BK49" s="199"/>
      <c r="BL49" s="199"/>
      <c r="BM49" s="199"/>
      <c r="BN49" s="199"/>
      <c r="BO49" s="199"/>
    </row>
    <row r="50" spans="2:67" ht="5.15" customHeight="1" x14ac:dyDescent="0.3">
      <c r="B50" s="62"/>
      <c r="H50" s="63"/>
      <c r="I50" s="1229"/>
      <c r="J50" s="64"/>
      <c r="M50" s="592"/>
      <c r="N50" s="592"/>
      <c r="O50" s="592"/>
      <c r="P50" s="592"/>
      <c r="Q50" s="597"/>
      <c r="R50" s="597"/>
      <c r="U50" s="214"/>
      <c r="V50" s="214"/>
      <c r="W50" s="215"/>
      <c r="X50" s="215"/>
      <c r="Y50" s="215"/>
      <c r="Z50" s="63"/>
      <c r="AB50" s="303"/>
      <c r="AC50" s="303"/>
      <c r="AD50" s="303"/>
      <c r="AE50" s="303"/>
      <c r="AF50" s="199"/>
      <c r="AG50" s="588"/>
      <c r="AH50" s="589"/>
      <c r="AI50" s="199"/>
      <c r="AJ50" s="590"/>
      <c r="AK50" s="590"/>
      <c r="AL50" s="199"/>
      <c r="AM50" s="602"/>
      <c r="AN50" s="602"/>
      <c r="AO50" s="602"/>
      <c r="AP50" s="602"/>
      <c r="AQ50" s="602"/>
      <c r="AR50" s="199"/>
      <c r="AS50" s="199"/>
      <c r="AT50" s="1403"/>
      <c r="AU50" s="1403"/>
      <c r="AV50" s="1403"/>
      <c r="AW50" s="1403"/>
      <c r="AX50" s="1403"/>
      <c r="AY50" s="1403"/>
      <c r="AZ50" s="199"/>
      <c r="BA50" s="199"/>
      <c r="BB50" s="199"/>
      <c r="BC50" s="199"/>
      <c r="BD50" s="199"/>
      <c r="BE50" s="199"/>
      <c r="BF50" s="199"/>
      <c r="BG50" s="199"/>
      <c r="BH50" s="199"/>
      <c r="BI50" s="199"/>
      <c r="BJ50" s="199"/>
      <c r="BK50" s="199"/>
      <c r="BL50" s="199"/>
      <c r="BM50" s="199"/>
      <c r="BN50" s="199"/>
      <c r="BO50" s="199"/>
    </row>
    <row r="51" spans="2:67" ht="15" customHeight="1" x14ac:dyDescent="0.3">
      <c r="B51" s="62"/>
      <c r="I51" s="1398" t="s">
        <v>935</v>
      </c>
      <c r="J51" s="1399"/>
      <c r="K51" s="412"/>
      <c r="L51" s="412"/>
      <c r="M51" s="412"/>
      <c r="N51" s="412"/>
      <c r="O51" s="412"/>
      <c r="P51" s="412"/>
      <c r="Q51" s="412"/>
      <c r="R51" s="412"/>
      <c r="S51" s="412"/>
      <c r="T51" s="412"/>
      <c r="U51" s="412"/>
      <c r="V51" s="412"/>
      <c r="W51" s="412"/>
      <c r="X51" s="412"/>
      <c r="Y51" s="412"/>
      <c r="Z51" s="414"/>
      <c r="AB51" s="303"/>
      <c r="AC51" s="303"/>
      <c r="AD51" s="303"/>
      <c r="AE51" s="303"/>
      <c r="AF51" s="199"/>
      <c r="AG51" s="588"/>
      <c r="AH51" s="589"/>
      <c r="AI51" s="199"/>
      <c r="AJ51" s="590"/>
      <c r="AK51" s="590"/>
      <c r="AL51" s="199"/>
      <c r="AM51" s="602"/>
      <c r="AN51" s="602"/>
      <c r="AO51" s="602"/>
      <c r="AP51" s="602"/>
      <c r="AQ51" s="602"/>
      <c r="AR51" s="199"/>
      <c r="AS51" s="199"/>
      <c r="AT51" s="1403"/>
      <c r="AU51" s="1403"/>
      <c r="AV51" s="1403"/>
      <c r="AW51" s="1403"/>
      <c r="AX51" s="1403"/>
      <c r="AY51" s="1403"/>
      <c r="AZ51" s="199"/>
      <c r="BA51" s="199"/>
      <c r="BB51" s="199"/>
      <c r="BC51" s="199"/>
      <c r="BD51" s="199"/>
      <c r="BE51" s="199"/>
      <c r="BF51" s="199"/>
      <c r="BG51" s="199"/>
      <c r="BH51" s="199"/>
      <c r="BI51" s="199"/>
      <c r="BJ51" s="199"/>
      <c r="BK51" s="199"/>
      <c r="BL51" s="199"/>
      <c r="BM51" s="199"/>
      <c r="BN51" s="199"/>
      <c r="BO51" s="199"/>
    </row>
    <row r="52" spans="2:67" ht="5.15" customHeight="1" x14ac:dyDescent="0.3">
      <c r="B52" s="62"/>
      <c r="I52" s="1400"/>
      <c r="J52" s="1401"/>
      <c r="K52" s="448"/>
      <c r="M52" s="592"/>
      <c r="N52" s="592"/>
      <c r="O52" s="592"/>
      <c r="P52" s="592"/>
      <c r="Q52" s="597"/>
      <c r="R52" s="597"/>
      <c r="U52" s="214"/>
      <c r="V52" s="214"/>
      <c r="W52" s="215"/>
      <c r="X52" s="215"/>
      <c r="Y52" s="215"/>
      <c r="Z52" s="211"/>
      <c r="AB52" s="303"/>
      <c r="AC52" s="303"/>
      <c r="AD52" s="303"/>
      <c r="AE52" s="303"/>
      <c r="AF52" s="199"/>
      <c r="AG52" s="588"/>
      <c r="AH52" s="589"/>
      <c r="AI52" s="199"/>
      <c r="AJ52" s="590"/>
      <c r="AK52" s="590"/>
      <c r="AL52" s="199"/>
      <c r="AM52" s="602"/>
      <c r="AN52" s="602"/>
      <c r="AO52" s="602"/>
      <c r="AP52" s="602"/>
      <c r="AQ52" s="602"/>
      <c r="AR52" s="199"/>
      <c r="AS52" s="199"/>
      <c r="AT52" s="1403"/>
      <c r="AU52" s="1403"/>
      <c r="AV52" s="1403"/>
      <c r="AW52" s="1403"/>
      <c r="AX52" s="1403"/>
      <c r="AY52" s="1403"/>
      <c r="AZ52" s="199"/>
      <c r="BA52" s="199"/>
      <c r="BB52" s="199"/>
      <c r="BC52" s="199"/>
      <c r="BD52" s="199"/>
      <c r="BE52" s="199"/>
      <c r="BF52" s="199"/>
      <c r="BG52" s="199"/>
      <c r="BH52" s="199"/>
      <c r="BI52" s="199"/>
      <c r="BJ52" s="199"/>
      <c r="BK52" s="199"/>
      <c r="BL52" s="199"/>
      <c r="BM52" s="199"/>
      <c r="BN52" s="199"/>
      <c r="BO52" s="199"/>
    </row>
    <row r="53" spans="2:67" ht="15" customHeight="1" x14ac:dyDescent="0.3">
      <c r="I53" s="1227"/>
      <c r="J53" s="64"/>
      <c r="M53" s="592"/>
      <c r="N53" s="592"/>
      <c r="O53" s="592"/>
      <c r="P53" s="592"/>
      <c r="Q53" s="597"/>
      <c r="R53" s="597"/>
      <c r="U53" s="214"/>
      <c r="V53" s="214"/>
      <c r="W53" s="215"/>
      <c r="X53" s="215"/>
      <c r="Y53" s="215"/>
      <c r="Z53" s="211"/>
      <c r="AB53" s="303"/>
      <c r="AC53" s="303"/>
      <c r="AD53" s="303"/>
      <c r="AE53" s="303"/>
      <c r="AF53" s="199"/>
      <c r="AG53" s="588"/>
      <c r="AH53" s="589"/>
      <c r="AI53" s="199"/>
      <c r="AJ53" s="590"/>
      <c r="AK53" s="590"/>
      <c r="AL53" s="199"/>
      <c r="AM53" s="602"/>
      <c r="AN53" s="602"/>
      <c r="AO53" s="602"/>
      <c r="AP53" s="602"/>
      <c r="AQ53" s="602"/>
      <c r="AR53" s="199"/>
      <c r="AS53" s="199"/>
      <c r="AT53" s="1403"/>
      <c r="AU53" s="1403"/>
      <c r="AV53" s="1403"/>
      <c r="AW53" s="1403"/>
      <c r="AX53" s="1403"/>
      <c r="AY53" s="1403"/>
      <c r="AZ53" s="199"/>
      <c r="BA53" s="199"/>
      <c r="BB53" s="199"/>
      <c r="BC53" s="199"/>
      <c r="BD53" s="199"/>
      <c r="BE53" s="199"/>
      <c r="BF53" s="199"/>
      <c r="BG53" s="199"/>
      <c r="BH53" s="199"/>
      <c r="BI53" s="199"/>
      <c r="BJ53" s="199"/>
      <c r="BK53" s="199"/>
      <c r="BL53" s="199"/>
      <c r="BM53" s="199"/>
      <c r="BN53" s="199"/>
      <c r="BO53" s="199"/>
    </row>
    <row r="54" spans="2:67" ht="5.15" customHeight="1" x14ac:dyDescent="0.3">
      <c r="B54" s="62"/>
      <c r="I54" s="1227"/>
      <c r="J54" s="64"/>
      <c r="M54" s="592"/>
      <c r="N54" s="592"/>
      <c r="O54" s="592"/>
      <c r="P54" s="592"/>
      <c r="Q54" s="597"/>
      <c r="R54" s="597"/>
      <c r="U54" s="214"/>
      <c r="V54" s="214"/>
      <c r="W54" s="215"/>
      <c r="X54" s="215"/>
      <c r="Y54" s="215"/>
      <c r="Z54" s="211"/>
      <c r="AB54" s="303"/>
      <c r="AC54" s="303"/>
      <c r="AD54" s="303"/>
      <c r="AE54" s="303"/>
      <c r="AF54" s="199"/>
      <c r="AG54" s="588"/>
      <c r="AH54" s="589"/>
      <c r="AI54" s="199"/>
      <c r="AJ54" s="590"/>
      <c r="AK54" s="590"/>
      <c r="AL54" s="199"/>
      <c r="AM54" s="602"/>
      <c r="AN54" s="602"/>
      <c r="AO54" s="602"/>
      <c r="AP54" s="602"/>
      <c r="AQ54" s="602"/>
      <c r="AR54" s="199"/>
      <c r="AS54" s="199"/>
      <c r="AT54" s="1403"/>
      <c r="AU54" s="1403"/>
      <c r="AV54" s="1403"/>
      <c r="AW54" s="1403"/>
      <c r="AX54" s="1403"/>
      <c r="AY54" s="1403"/>
      <c r="AZ54" s="199"/>
      <c r="BA54" s="199"/>
      <c r="BB54" s="199"/>
      <c r="BC54" s="199"/>
      <c r="BD54" s="199"/>
      <c r="BE54" s="199"/>
      <c r="BF54" s="199"/>
      <c r="BG54" s="199"/>
      <c r="BH54" s="199"/>
      <c r="BI54" s="199"/>
      <c r="BJ54" s="199"/>
      <c r="BK54" s="199"/>
      <c r="BL54" s="199"/>
      <c r="BM54" s="199"/>
      <c r="BN54" s="199"/>
      <c r="BO54" s="199"/>
    </row>
    <row r="55" spans="2:67" ht="15" customHeight="1" x14ac:dyDescent="0.3">
      <c r="B55" s="62"/>
      <c r="I55" s="1227"/>
      <c r="J55" s="64"/>
      <c r="M55" s="1393" t="s">
        <v>920</v>
      </c>
      <c r="N55" s="471"/>
      <c r="O55" s="1393" t="s">
        <v>1131</v>
      </c>
      <c r="P55" s="621"/>
      <c r="Q55" s="1393" t="s">
        <v>919</v>
      </c>
      <c r="R55" s="597"/>
      <c r="S55" s="1393" t="s">
        <v>921</v>
      </c>
      <c r="U55" s="1393" t="s">
        <v>923</v>
      </c>
      <c r="V55" s="214"/>
      <c r="W55" s="1393" t="s">
        <v>1038</v>
      </c>
      <c r="X55" s="215"/>
      <c r="Y55" s="1393" t="s">
        <v>637</v>
      </c>
      <c r="Z55" s="211"/>
      <c r="AB55" s="303"/>
      <c r="AC55" s="303"/>
      <c r="AD55" s="303"/>
      <c r="AE55" s="303"/>
      <c r="AF55" s="199"/>
      <c r="AG55" s="588"/>
      <c r="AH55" s="589"/>
      <c r="AI55" s="199"/>
      <c r="AJ55" s="590"/>
      <c r="AK55" s="590"/>
      <c r="AL55" s="199"/>
      <c r="AM55" s="602"/>
      <c r="AN55" s="602"/>
      <c r="AO55" s="602"/>
      <c r="AP55" s="602"/>
      <c r="AQ55" s="602"/>
      <c r="AR55" s="199"/>
      <c r="AS55" s="199"/>
      <c r="AT55" s="1403"/>
      <c r="AU55" s="1403"/>
      <c r="AV55" s="1403"/>
      <c r="AW55" s="1403"/>
      <c r="AX55" s="1403"/>
      <c r="AY55" s="1403"/>
      <c r="AZ55" s="199"/>
      <c r="BA55" s="199"/>
      <c r="BB55" s="199"/>
      <c r="BC55" s="199"/>
      <c r="BD55" s="199"/>
      <c r="BE55" s="199"/>
      <c r="BF55" s="199"/>
      <c r="BG55" s="199"/>
      <c r="BH55" s="199"/>
      <c r="BI55" s="199"/>
      <c r="BJ55" s="199"/>
      <c r="BK55" s="199"/>
      <c r="BL55" s="199"/>
      <c r="BM55" s="199"/>
      <c r="BN55" s="199"/>
      <c r="BO55" s="199"/>
    </row>
    <row r="56" spans="2:67" ht="5.15" customHeight="1" x14ac:dyDescent="0.3">
      <c r="B56" s="62"/>
      <c r="I56" s="1227"/>
      <c r="J56" s="64"/>
      <c r="M56" s="1393"/>
      <c r="N56" s="471"/>
      <c r="O56" s="1393"/>
      <c r="P56" s="621"/>
      <c r="Q56" s="1393"/>
      <c r="R56" s="597"/>
      <c r="S56" s="1393"/>
      <c r="U56" s="1393"/>
      <c r="V56" s="214"/>
      <c r="W56" s="1393"/>
      <c r="X56" s="215"/>
      <c r="Y56" s="1393"/>
      <c r="Z56" s="211"/>
      <c r="AB56" s="303"/>
      <c r="AC56" s="303"/>
      <c r="AD56" s="303"/>
      <c r="AE56" s="303"/>
      <c r="AF56" s="199"/>
      <c r="AG56" s="588"/>
      <c r="AH56" s="589"/>
      <c r="AI56" s="199"/>
      <c r="AJ56" s="590"/>
      <c r="AK56" s="590"/>
      <c r="AL56" s="199"/>
      <c r="AM56" s="602"/>
      <c r="AN56" s="602"/>
      <c r="AO56" s="602"/>
      <c r="AP56" s="602"/>
      <c r="AQ56" s="602"/>
      <c r="AR56" s="199"/>
      <c r="AS56" s="199"/>
      <c r="AT56" s="1403"/>
      <c r="AU56" s="1403"/>
      <c r="AV56" s="1403"/>
      <c r="AW56" s="1403"/>
      <c r="AX56" s="1403"/>
      <c r="AY56" s="1403"/>
      <c r="AZ56" s="199"/>
      <c r="BA56" s="199"/>
      <c r="BB56" s="199"/>
      <c r="BC56" s="199"/>
      <c r="BD56" s="199"/>
      <c r="BE56" s="199"/>
      <c r="BF56" s="199"/>
      <c r="BG56" s="199"/>
      <c r="BH56" s="199"/>
      <c r="BI56" s="199"/>
      <c r="BJ56" s="199"/>
      <c r="BK56" s="199"/>
      <c r="BL56" s="199"/>
      <c r="BM56" s="199"/>
      <c r="BN56" s="199"/>
      <c r="BO56" s="199"/>
    </row>
    <row r="57" spans="2:67" ht="15" customHeight="1" x14ac:dyDescent="0.3">
      <c r="B57" s="62"/>
      <c r="I57" s="1227"/>
      <c r="J57" s="64"/>
      <c r="M57" s="1393"/>
      <c r="N57" s="471"/>
      <c r="O57" s="1393"/>
      <c r="P57" s="621"/>
      <c r="Q57" s="1393"/>
      <c r="R57" s="597"/>
      <c r="S57" s="1393"/>
      <c r="U57" s="1393"/>
      <c r="V57" s="214"/>
      <c r="W57" s="1393"/>
      <c r="X57" s="215"/>
      <c r="Y57" s="1393"/>
      <c r="Z57" s="211"/>
      <c r="AB57" s="303"/>
      <c r="AC57" s="303"/>
      <c r="AD57" s="303"/>
      <c r="AE57" s="303"/>
      <c r="AF57" s="199"/>
      <c r="AG57" s="588"/>
      <c r="AH57" s="589"/>
      <c r="AI57" s="199"/>
      <c r="AJ57" s="590"/>
      <c r="AK57" s="590"/>
      <c r="AL57" s="199"/>
      <c r="AM57" s="604"/>
      <c r="AN57" s="604"/>
      <c r="AO57" s="604"/>
      <c r="AP57" s="604"/>
      <c r="AQ57" s="604"/>
      <c r="AR57" s="199"/>
      <c r="AS57" s="199"/>
      <c r="AT57" s="1403"/>
      <c r="AU57" s="1403"/>
      <c r="AV57" s="1403"/>
      <c r="AW57" s="1403"/>
      <c r="AX57" s="1403"/>
      <c r="AY57" s="1403"/>
      <c r="AZ57" s="199"/>
      <c r="BA57" s="199"/>
      <c r="BB57" s="199"/>
      <c r="BC57" s="199"/>
      <c r="BD57" s="199"/>
      <c r="BE57" s="199"/>
      <c r="BF57" s="199"/>
      <c r="BG57" s="199"/>
      <c r="BH57" s="199"/>
      <c r="BI57" s="199"/>
      <c r="BJ57" s="199"/>
      <c r="BK57" s="199"/>
      <c r="BL57" s="199"/>
      <c r="BM57" s="199"/>
      <c r="BN57" s="199"/>
      <c r="BO57" s="199"/>
    </row>
    <row r="58" spans="2:67" ht="5.15" customHeight="1" x14ac:dyDescent="0.3">
      <c r="B58" s="62"/>
      <c r="I58" s="1227"/>
      <c r="J58" s="64"/>
      <c r="M58" s="592"/>
      <c r="N58" s="592"/>
      <c r="O58" s="592"/>
      <c r="P58" s="592"/>
      <c r="Q58" s="597"/>
      <c r="R58" s="597"/>
      <c r="U58" s="214"/>
      <c r="V58" s="214"/>
      <c r="W58" s="215"/>
      <c r="X58" s="215"/>
      <c r="Y58" s="215"/>
      <c r="Z58" s="211"/>
      <c r="AB58" s="303"/>
      <c r="AC58" s="303"/>
      <c r="AD58" s="303"/>
      <c r="AE58" s="303"/>
      <c r="AF58" s="199"/>
      <c r="AG58" s="588"/>
      <c r="AH58" s="589"/>
      <c r="AI58" s="199"/>
      <c r="AJ58" s="590"/>
      <c r="AK58" s="590"/>
      <c r="AL58" s="199"/>
      <c r="AM58" s="620"/>
      <c r="AN58" s="620"/>
      <c r="AO58" s="620"/>
      <c r="AP58" s="620"/>
      <c r="AQ58" s="620"/>
      <c r="AR58" s="199"/>
      <c r="AS58" s="199"/>
      <c r="AT58" s="1403"/>
      <c r="AU58" s="1403"/>
      <c r="AV58" s="1403"/>
      <c r="AW58" s="1403"/>
      <c r="AX58" s="1403"/>
      <c r="AY58" s="1403"/>
      <c r="AZ58" s="199"/>
      <c r="BA58" s="199"/>
      <c r="BB58" s="199"/>
      <c r="BC58" s="199"/>
      <c r="BD58" s="199"/>
      <c r="BE58" s="199"/>
      <c r="BF58" s="199"/>
      <c r="BG58" s="199"/>
      <c r="BH58" s="199"/>
      <c r="BI58" s="199"/>
      <c r="BJ58" s="199"/>
      <c r="BK58" s="199"/>
      <c r="BL58" s="199"/>
      <c r="BM58" s="199"/>
      <c r="BN58" s="199"/>
      <c r="BO58" s="199"/>
    </row>
    <row r="59" spans="2:67" ht="15" customHeight="1" x14ac:dyDescent="0.3">
      <c r="I59" s="1227"/>
      <c r="J59" s="64"/>
      <c r="K59" s="639" t="s">
        <v>936</v>
      </c>
      <c r="M59" s="618">
        <f>_Exterior_Base_Allowance</f>
        <v>0</v>
      </c>
      <c r="N59" s="592"/>
      <c r="P59" s="592"/>
      <c r="Q59" s="597"/>
      <c r="R59" s="597"/>
      <c r="U59" s="214"/>
      <c r="V59" s="214"/>
      <c r="X59" s="215"/>
      <c r="Y59" s="1417" t="str">
        <f>IF(AND(Q61=0,Q63=0),"Not Used",IF(AND(S61&lt;&gt;"Not Compliant",S63&lt;&gt;"Not Compliant",U61&lt;&gt;"Not Compliant",U63&lt;&gt;"Not Compliant",W61&lt;&gt;"Not Compliant",W63&lt;&gt;"Not Compliant"),"Compliant","Not Compliant"))</f>
        <v>Not Used</v>
      </c>
      <c r="Z59" s="211"/>
      <c r="AB59" s="303"/>
      <c r="AC59" s="303"/>
      <c r="AD59" s="303"/>
      <c r="AE59" s="303"/>
      <c r="AF59" s="199"/>
      <c r="AG59" s="588"/>
      <c r="AH59" s="589"/>
      <c r="AI59" s="199"/>
      <c r="AJ59" s="590"/>
      <c r="AK59" s="590"/>
      <c r="AL59" s="199"/>
      <c r="AM59" s="620"/>
      <c r="AN59" s="620"/>
      <c r="AO59" s="620"/>
      <c r="AP59" s="620"/>
      <c r="AQ59" s="620"/>
      <c r="AR59" s="199"/>
      <c r="AS59" s="199"/>
      <c r="AT59" s="1403"/>
      <c r="AU59" s="1403"/>
      <c r="AV59" s="1403"/>
      <c r="AW59" s="1403"/>
      <c r="AX59" s="1403"/>
      <c r="AY59" s="1403"/>
      <c r="AZ59" s="199"/>
      <c r="BA59" s="199"/>
      <c r="BB59" s="199"/>
      <c r="BC59" s="199"/>
      <c r="BD59" s="199"/>
      <c r="BE59" s="199"/>
      <c r="BF59" s="199"/>
      <c r="BG59" s="199"/>
      <c r="BH59" s="199"/>
      <c r="BI59" s="199"/>
      <c r="BJ59" s="199"/>
      <c r="BK59" s="199"/>
      <c r="BL59" s="199"/>
      <c r="BM59" s="199"/>
      <c r="BN59" s="199"/>
      <c r="BO59" s="199"/>
    </row>
    <row r="60" spans="2:67" ht="5.15" customHeight="1" x14ac:dyDescent="0.3">
      <c r="B60" s="62"/>
      <c r="H60" s="63"/>
      <c r="I60" s="1227"/>
      <c r="J60" s="64"/>
      <c r="M60" s="592"/>
      <c r="N60" s="592"/>
      <c r="O60" s="592"/>
      <c r="P60" s="592"/>
      <c r="Q60" s="597"/>
      <c r="R60" s="597"/>
      <c r="U60" s="214"/>
      <c r="V60" s="214"/>
      <c r="W60" s="952"/>
      <c r="X60" s="215"/>
      <c r="Y60" s="1395"/>
      <c r="Z60" s="211"/>
      <c r="AA60" s="63"/>
      <c r="AB60" s="303"/>
      <c r="AC60" s="303"/>
      <c r="AD60" s="303"/>
      <c r="AE60" s="303"/>
      <c r="AF60" s="199"/>
      <c r="AG60" s="588"/>
      <c r="AH60" s="589"/>
      <c r="AI60" s="199"/>
      <c r="AJ60" s="590"/>
      <c r="AK60" s="590"/>
      <c r="AL60" s="199"/>
      <c r="AM60" s="620"/>
      <c r="AN60" s="620"/>
      <c r="AO60" s="620"/>
      <c r="AP60" s="620"/>
      <c r="AQ60" s="620"/>
      <c r="AR60" s="199"/>
      <c r="AS60" s="199"/>
      <c r="AT60" s="1403"/>
      <c r="AU60" s="1403"/>
      <c r="AV60" s="1403"/>
      <c r="AW60" s="1403"/>
      <c r="AX60" s="1403"/>
      <c r="AY60" s="1403"/>
      <c r="AZ60" s="199"/>
      <c r="BA60" s="199"/>
      <c r="BB60" s="199"/>
      <c r="BC60" s="199"/>
      <c r="BD60" s="199"/>
      <c r="BE60" s="199"/>
      <c r="BF60" s="199"/>
      <c r="BG60" s="199"/>
      <c r="BH60" s="199"/>
      <c r="BI60" s="199"/>
      <c r="BJ60" s="199"/>
      <c r="BK60" s="199"/>
      <c r="BL60" s="199"/>
      <c r="BM60" s="199"/>
      <c r="BN60" s="199"/>
      <c r="BO60" s="199"/>
    </row>
    <row r="61" spans="2:67" ht="15" customHeight="1" x14ac:dyDescent="0.3">
      <c r="B61" s="62"/>
      <c r="I61" s="1227"/>
      <c r="J61" s="64"/>
      <c r="K61" s="639" t="s">
        <v>937</v>
      </c>
      <c r="M61" s="618">
        <f>_Exterior_Tradable_Watts_Allowed</f>
        <v>0</v>
      </c>
      <c r="N61" s="592"/>
      <c r="O61" s="618">
        <f>'Ext Tradable'!M11</f>
        <v>0</v>
      </c>
      <c r="P61" s="592"/>
      <c r="Q61" s="618">
        <f>_Exterior_Tradable_Watts</f>
        <v>0</v>
      </c>
      <c r="R61" s="597"/>
      <c r="S61" s="962" t="str">
        <f>IF(Q61=0,"Not Used",'Ext Tradable'!M7)</f>
        <v>Not Used</v>
      </c>
      <c r="U61" s="617" t="str">
        <f>IF(Q61=0,"Not Used",_Exterior_Tradable_Compliant)</f>
        <v>Not Used</v>
      </c>
      <c r="V61" s="214"/>
      <c r="W61" s="963" t="str">
        <f>IF(Q61=0,"Not Used",IF(OR(_BAM_or_Space&lt;&gt;2,_Step2_AlterationsYesNo="No"),"",ExteriorTradableData!AN6))</f>
        <v>Not Used</v>
      </c>
      <c r="X61" s="215"/>
      <c r="Y61" s="1395"/>
      <c r="Z61" s="211"/>
      <c r="AB61" s="303"/>
      <c r="AC61" s="303"/>
      <c r="AD61" s="303"/>
      <c r="AE61" s="303"/>
      <c r="AF61" s="199"/>
      <c r="AG61" s="588"/>
      <c r="AH61" s="589"/>
      <c r="AI61" s="199"/>
      <c r="AJ61" s="590"/>
      <c r="AK61" s="590"/>
      <c r="AL61" s="199"/>
      <c r="AM61" s="620"/>
      <c r="AN61" s="620"/>
      <c r="AO61" s="620"/>
      <c r="AP61" s="620"/>
      <c r="AQ61" s="620"/>
      <c r="AR61" s="199"/>
      <c r="AS61" s="199"/>
      <c r="AT61" s="1403"/>
      <c r="AU61" s="1403"/>
      <c r="AV61" s="1403"/>
      <c r="AW61" s="1403"/>
      <c r="AX61" s="1403"/>
      <c r="AY61" s="1403"/>
      <c r="AZ61" s="199"/>
      <c r="BA61" s="199"/>
      <c r="BB61" s="199"/>
      <c r="BC61" s="199"/>
      <c r="BD61" s="199"/>
      <c r="BE61" s="199"/>
      <c r="BF61" s="199"/>
      <c r="BG61" s="199"/>
      <c r="BH61" s="199"/>
      <c r="BI61" s="199"/>
      <c r="BJ61" s="199"/>
      <c r="BK61" s="199"/>
      <c r="BL61" s="199"/>
      <c r="BM61" s="199"/>
      <c r="BN61" s="199"/>
      <c r="BO61" s="199"/>
    </row>
    <row r="62" spans="2:67" ht="5.15" customHeight="1" x14ac:dyDescent="0.3">
      <c r="B62" s="62"/>
      <c r="I62" s="1227"/>
      <c r="J62" s="64"/>
      <c r="K62" s="639"/>
      <c r="M62" s="592"/>
      <c r="N62" s="592"/>
      <c r="P62" s="592"/>
      <c r="Q62" s="592"/>
      <c r="R62" s="597"/>
      <c r="S62" s="597"/>
      <c r="U62" s="214"/>
      <c r="V62" s="214"/>
      <c r="W62" s="952"/>
      <c r="X62" s="215"/>
      <c r="Y62" s="1395"/>
      <c r="Z62" s="211"/>
      <c r="AB62" s="303"/>
      <c r="AC62" s="303"/>
      <c r="AD62" s="303"/>
      <c r="AE62" s="303"/>
      <c r="AF62" s="199"/>
      <c r="AG62" s="588"/>
      <c r="AH62" s="589"/>
      <c r="AI62" s="199"/>
      <c r="AJ62" s="590"/>
      <c r="AK62" s="590"/>
      <c r="AL62" s="199"/>
      <c r="AM62" s="620"/>
      <c r="AN62" s="620"/>
      <c r="AO62" s="620"/>
      <c r="AP62" s="620"/>
      <c r="AQ62" s="620"/>
      <c r="AR62" s="199"/>
      <c r="AS62" s="199"/>
      <c r="AT62" s="1403"/>
      <c r="AU62" s="1403"/>
      <c r="AV62" s="1403"/>
      <c r="AW62" s="1403"/>
      <c r="AX62" s="1403"/>
      <c r="AY62" s="1403"/>
      <c r="AZ62" s="199"/>
      <c r="BA62" s="199"/>
      <c r="BB62" s="199"/>
      <c r="BC62" s="199"/>
      <c r="BD62" s="199"/>
      <c r="BE62" s="199"/>
      <c r="BF62" s="199"/>
      <c r="BG62" s="199"/>
      <c r="BH62" s="199"/>
      <c r="BI62" s="199"/>
      <c r="BJ62" s="199"/>
      <c r="BK62" s="199"/>
      <c r="BL62" s="199"/>
      <c r="BM62" s="199"/>
      <c r="BN62" s="199"/>
      <c r="BO62" s="199"/>
    </row>
    <row r="63" spans="2:67" ht="15" customHeight="1" x14ac:dyDescent="0.3">
      <c r="B63" s="1425" t="s">
        <v>858</v>
      </c>
      <c r="C63" s="1425"/>
      <c r="D63" s="1425"/>
      <c r="I63" s="1227"/>
      <c r="J63" s="64"/>
      <c r="K63" s="639" t="s">
        <v>938</v>
      </c>
      <c r="M63" s="618">
        <f>_Exterior_NonTradable_Watts_Allowed</f>
        <v>0</v>
      </c>
      <c r="N63" s="592"/>
      <c r="O63" s="618">
        <f>ExteriorNontradableData!U5</f>
        <v>0</v>
      </c>
      <c r="P63" s="592"/>
      <c r="Q63" s="618">
        <f>ExteriorNontradableData!R6</f>
        <v>0</v>
      </c>
      <c r="R63" s="597"/>
      <c r="S63" s="962" t="str">
        <f>IF(Q63=0,"Not Used",'Ext Nontradable'!S7)</f>
        <v>Not Used</v>
      </c>
      <c r="U63" s="617" t="str">
        <f>IF(Q63=0,"Not Used",_Exterior_Tradable_Compliant)</f>
        <v>Not Used</v>
      </c>
      <c r="V63" s="214"/>
      <c r="W63" s="963" t="str">
        <f>IF(Q63=0,"Not Used",IF(OR(_BAM_or_Space&lt;&gt;2,_Step2_AlterationsYesNo="No"),"",ExteriorNontradableData!AO6))</f>
        <v>Not Used</v>
      </c>
      <c r="X63" s="215"/>
      <c r="Y63" s="1396"/>
      <c r="Z63" s="211"/>
      <c r="AB63" s="303"/>
      <c r="AC63" s="303"/>
      <c r="AD63" s="303"/>
      <c r="AE63" s="303"/>
      <c r="AF63" s="199"/>
      <c r="AG63" s="588"/>
      <c r="AH63" s="589"/>
      <c r="AI63" s="199"/>
      <c r="AJ63" s="590"/>
      <c r="AK63" s="590"/>
      <c r="AL63" s="199"/>
      <c r="AM63" s="620"/>
      <c r="AN63" s="620"/>
      <c r="AO63" s="620"/>
      <c r="AP63" s="620"/>
      <c r="AQ63" s="620"/>
      <c r="AR63" s="199"/>
      <c r="AS63" s="199"/>
      <c r="AT63" s="1403"/>
      <c r="AU63" s="1403"/>
      <c r="AV63" s="1403"/>
      <c r="AW63" s="1403"/>
      <c r="AX63" s="1403"/>
      <c r="AY63" s="1403"/>
      <c r="AZ63" s="199"/>
      <c r="BA63" s="199"/>
      <c r="BB63" s="199"/>
      <c r="BC63" s="199"/>
      <c r="BD63" s="199"/>
      <c r="BE63" s="199"/>
      <c r="BF63" s="199"/>
      <c r="BG63" s="199"/>
      <c r="BH63" s="199"/>
      <c r="BI63" s="199"/>
      <c r="BJ63" s="199"/>
      <c r="BK63" s="199"/>
      <c r="BL63" s="199"/>
      <c r="BM63" s="199"/>
      <c r="BN63" s="199"/>
      <c r="BO63" s="199"/>
    </row>
    <row r="64" spans="2:67" ht="5.15" customHeight="1" x14ac:dyDescent="0.3">
      <c r="B64" s="62"/>
      <c r="I64" s="1227"/>
      <c r="J64" s="64"/>
      <c r="M64" s="592"/>
      <c r="N64" s="592"/>
      <c r="O64" s="592"/>
      <c r="P64" s="592"/>
      <c r="Q64" s="597"/>
      <c r="R64" s="597"/>
      <c r="U64" s="214"/>
      <c r="V64" s="214"/>
      <c r="X64" s="215"/>
      <c r="Y64" s="215"/>
      <c r="Z64" s="211"/>
      <c r="AB64" s="303"/>
      <c r="AC64" s="303"/>
      <c r="AD64" s="303"/>
      <c r="AE64" s="303"/>
      <c r="AF64" s="199"/>
      <c r="AG64" s="588"/>
      <c r="AH64" s="589"/>
      <c r="AI64" s="199"/>
      <c r="AJ64" s="590"/>
      <c r="AK64" s="590"/>
      <c r="AL64" s="199"/>
      <c r="AM64" s="620"/>
      <c r="AN64" s="620"/>
      <c r="AO64" s="620"/>
      <c r="AP64" s="620"/>
      <c r="AQ64" s="620"/>
      <c r="AR64" s="199"/>
      <c r="AS64" s="199"/>
      <c r="AT64" s="1403"/>
      <c r="AU64" s="1403"/>
      <c r="AV64" s="1403"/>
      <c r="AW64" s="1403"/>
      <c r="AX64" s="1403"/>
      <c r="AY64" s="1403"/>
      <c r="AZ64" s="199"/>
      <c r="BA64" s="199"/>
      <c r="BB64" s="199"/>
      <c r="BC64" s="199"/>
      <c r="BD64" s="199"/>
      <c r="BE64" s="199"/>
      <c r="BF64" s="199"/>
      <c r="BG64" s="199"/>
      <c r="BH64" s="199"/>
      <c r="BI64" s="199"/>
      <c r="BJ64" s="199"/>
      <c r="BK64" s="199"/>
      <c r="BL64" s="199"/>
      <c r="BM64" s="199"/>
      <c r="BN64" s="199"/>
      <c r="BO64" s="199"/>
    </row>
    <row r="65" spans="2:67" ht="15" customHeight="1" x14ac:dyDescent="0.3">
      <c r="B65" s="62"/>
      <c r="I65" s="1227"/>
      <c r="J65" s="64"/>
      <c r="M65" s="592"/>
      <c r="N65" s="592"/>
      <c r="O65" s="592"/>
      <c r="P65" s="592"/>
      <c r="Q65" s="597"/>
      <c r="R65" s="597"/>
      <c r="U65" s="214"/>
      <c r="V65" s="214"/>
      <c r="W65" s="952"/>
      <c r="X65" s="215"/>
      <c r="Y65" s="215"/>
      <c r="Z65" s="211"/>
      <c r="AB65" s="303"/>
      <c r="AC65" s="303"/>
      <c r="AD65" s="303"/>
      <c r="AE65" s="303"/>
      <c r="AF65" s="199"/>
      <c r="AG65" s="588"/>
      <c r="AH65" s="589"/>
      <c r="AI65" s="199"/>
      <c r="AJ65" s="590"/>
      <c r="AK65" s="590"/>
      <c r="AL65" s="199"/>
      <c r="AM65" s="620"/>
      <c r="AN65" s="620"/>
      <c r="AO65" s="620"/>
      <c r="AP65" s="620"/>
      <c r="AQ65" s="620"/>
      <c r="AR65" s="199"/>
      <c r="AS65" s="199"/>
      <c r="AT65" s="1403"/>
      <c r="AU65" s="1403"/>
      <c r="AV65" s="1403"/>
      <c r="AW65" s="1403"/>
      <c r="AX65" s="1403"/>
      <c r="AY65" s="1403"/>
      <c r="AZ65" s="199"/>
      <c r="BA65" s="199"/>
      <c r="BB65" s="199"/>
      <c r="BC65" s="199"/>
      <c r="BD65" s="199"/>
      <c r="BE65" s="199"/>
      <c r="BF65" s="199"/>
      <c r="BG65" s="199"/>
      <c r="BH65" s="199"/>
      <c r="BI65" s="199"/>
      <c r="BJ65" s="199"/>
      <c r="BK65" s="199"/>
      <c r="BL65" s="199"/>
      <c r="BM65" s="199"/>
      <c r="BN65" s="199"/>
      <c r="BO65" s="199"/>
    </row>
    <row r="66" spans="2:67" ht="5.15" customHeight="1" x14ac:dyDescent="0.3">
      <c r="B66" s="62"/>
      <c r="I66" s="1227"/>
      <c r="J66" s="64"/>
      <c r="M66" s="592"/>
      <c r="N66" s="592"/>
      <c r="O66" s="592"/>
      <c r="P66" s="592"/>
      <c r="Q66" s="597"/>
      <c r="R66" s="597"/>
      <c r="U66" s="214"/>
      <c r="V66" s="214"/>
      <c r="W66" s="215"/>
      <c r="X66" s="215"/>
      <c r="Y66" s="215"/>
      <c r="Z66" s="211"/>
      <c r="AB66" s="303"/>
      <c r="AC66" s="303"/>
      <c r="AD66" s="303"/>
      <c r="AE66" s="303"/>
      <c r="AF66" s="199"/>
      <c r="AG66" s="588"/>
      <c r="AH66" s="589"/>
      <c r="AI66" s="199"/>
      <c r="AJ66" s="590"/>
      <c r="AK66" s="590"/>
      <c r="AL66" s="199"/>
      <c r="AM66" s="620"/>
      <c r="AN66" s="620"/>
      <c r="AO66" s="620"/>
      <c r="AP66" s="620"/>
      <c r="AQ66" s="620"/>
      <c r="AR66" s="199"/>
      <c r="AS66" s="199"/>
      <c r="AT66" s="1403"/>
      <c r="AU66" s="1403"/>
      <c r="AV66" s="1403"/>
      <c r="AW66" s="1403"/>
      <c r="AX66" s="1403"/>
      <c r="AY66" s="1403"/>
      <c r="AZ66" s="199"/>
      <c r="BA66" s="199"/>
      <c r="BB66" s="199"/>
      <c r="BC66" s="199"/>
      <c r="BD66" s="199"/>
      <c r="BE66" s="199"/>
      <c r="BF66" s="199"/>
      <c r="BG66" s="199"/>
      <c r="BH66" s="199"/>
      <c r="BI66" s="199"/>
      <c r="BJ66" s="199"/>
      <c r="BK66" s="199"/>
      <c r="BL66" s="199"/>
      <c r="BM66" s="199"/>
      <c r="BN66" s="199"/>
      <c r="BO66" s="199"/>
    </row>
    <row r="67" spans="2:67" ht="15" customHeight="1" x14ac:dyDescent="0.3">
      <c r="B67" s="62"/>
      <c r="I67" s="1227"/>
      <c r="J67" s="64"/>
      <c r="K67" s="988" t="s">
        <v>208</v>
      </c>
      <c r="M67" s="1418" t="e">
        <f>VLOOKUP('Ext Area Schedule'!K7,'9.4.3 Tables'!$B$4:$H$8,3,FALSE)</f>
        <v>#N/A</v>
      </c>
      <c r="N67" s="1418"/>
      <c r="O67" s="1418"/>
      <c r="P67" s="1418"/>
      <c r="Q67" s="1418"/>
      <c r="R67" s="1418"/>
      <c r="S67" s="1418"/>
      <c r="T67" s="1418"/>
      <c r="U67" s="1418"/>
      <c r="V67" s="1418"/>
      <c r="W67" s="1418"/>
      <c r="X67" s="1418"/>
      <c r="Y67" s="1418"/>
      <c r="Z67" s="211"/>
      <c r="AB67" s="303"/>
      <c r="AC67" s="303"/>
      <c r="AD67" s="303"/>
      <c r="AE67" s="303"/>
      <c r="AF67" s="199"/>
      <c r="AG67" s="588"/>
      <c r="AH67" s="589"/>
      <c r="AI67" s="199"/>
      <c r="AJ67" s="590"/>
      <c r="AK67" s="590"/>
      <c r="AL67" s="199"/>
      <c r="AM67" s="620"/>
      <c r="AN67" s="620"/>
      <c r="AO67" s="620"/>
      <c r="AP67" s="620"/>
      <c r="AQ67" s="620"/>
      <c r="AR67" s="199"/>
      <c r="AS67" s="199"/>
      <c r="AT67" s="1403"/>
      <c r="AU67" s="1403"/>
      <c r="AV67" s="1403"/>
      <c r="AW67" s="1403"/>
      <c r="AX67" s="1403"/>
      <c r="AY67" s="1403"/>
      <c r="AZ67" s="199"/>
      <c r="BA67" s="199"/>
      <c r="BB67" s="199"/>
      <c r="BC67" s="199"/>
      <c r="BD67" s="199"/>
      <c r="BE67" s="199"/>
      <c r="BF67" s="199"/>
      <c r="BG67" s="199"/>
      <c r="BH67" s="199"/>
      <c r="BI67" s="199"/>
      <c r="BJ67" s="199"/>
      <c r="BK67" s="199"/>
      <c r="BL67" s="199"/>
      <c r="BM67" s="199"/>
      <c r="BN67" s="199"/>
      <c r="BO67" s="199"/>
    </row>
    <row r="68" spans="2:67" ht="5.15" customHeight="1" x14ac:dyDescent="0.3">
      <c r="B68" s="62"/>
      <c r="I68" s="1227"/>
      <c r="J68" s="64"/>
      <c r="M68" s="1418"/>
      <c r="N68" s="1418"/>
      <c r="O68" s="1418"/>
      <c r="P68" s="1418"/>
      <c r="Q68" s="1418"/>
      <c r="R68" s="1418"/>
      <c r="S68" s="1418"/>
      <c r="T68" s="1418"/>
      <c r="U68" s="1418"/>
      <c r="V68" s="1418"/>
      <c r="W68" s="1418"/>
      <c r="X68" s="1418"/>
      <c r="Y68" s="1418"/>
      <c r="Z68" s="211"/>
      <c r="AB68" s="303"/>
      <c r="AC68" s="303"/>
      <c r="AD68" s="303"/>
      <c r="AE68" s="303"/>
      <c r="AF68" s="199"/>
      <c r="AG68" s="588"/>
      <c r="AH68" s="589"/>
      <c r="AI68" s="199"/>
      <c r="AJ68" s="590"/>
      <c r="AK68" s="590"/>
      <c r="AL68" s="199"/>
      <c r="AM68" s="620"/>
      <c r="AN68" s="620"/>
      <c r="AO68" s="620"/>
      <c r="AP68" s="620"/>
      <c r="AQ68" s="620"/>
      <c r="AR68" s="199"/>
      <c r="AS68" s="199"/>
      <c r="AT68" s="1403"/>
      <c r="AU68" s="1403"/>
      <c r="AV68" s="1403"/>
      <c r="AW68" s="1403"/>
      <c r="AX68" s="1403"/>
      <c r="AY68" s="1403"/>
      <c r="AZ68" s="199"/>
      <c r="BA68" s="199"/>
      <c r="BB68" s="199"/>
      <c r="BC68" s="199"/>
      <c r="BD68" s="199"/>
      <c r="BE68" s="199"/>
      <c r="BF68" s="199"/>
      <c r="BG68" s="199"/>
      <c r="BH68" s="199"/>
      <c r="BI68" s="199"/>
      <c r="BJ68" s="199"/>
      <c r="BK68" s="199"/>
      <c r="BL68" s="199"/>
      <c r="BM68" s="199"/>
      <c r="BN68" s="199"/>
      <c r="BO68" s="199"/>
    </row>
    <row r="69" spans="2:67" ht="15" customHeight="1" x14ac:dyDescent="0.3">
      <c r="B69" s="62"/>
      <c r="I69" s="1227"/>
      <c r="M69" s="1418"/>
      <c r="N69" s="1418"/>
      <c r="O69" s="1418"/>
      <c r="P69" s="1418"/>
      <c r="Q69" s="1418"/>
      <c r="R69" s="1418"/>
      <c r="S69" s="1418"/>
      <c r="T69" s="1418"/>
      <c r="U69" s="1418"/>
      <c r="V69" s="1418"/>
      <c r="W69" s="1418"/>
      <c r="X69" s="1418"/>
      <c r="Y69" s="1418"/>
      <c r="Z69" s="211"/>
      <c r="AB69" s="303"/>
      <c r="AC69" s="303"/>
      <c r="AD69" s="303"/>
      <c r="AE69" s="303"/>
      <c r="AF69" s="199"/>
      <c r="AG69" s="588"/>
      <c r="AH69" s="589"/>
      <c r="AI69" s="199"/>
      <c r="AJ69" s="590"/>
      <c r="AK69" s="590"/>
      <c r="AL69" s="199"/>
      <c r="AM69" s="620"/>
      <c r="AN69" s="620"/>
      <c r="AO69" s="620"/>
      <c r="AP69" s="620"/>
      <c r="AQ69" s="620"/>
      <c r="AR69" s="199"/>
      <c r="AS69" s="199"/>
      <c r="AT69" s="1403"/>
      <c r="AU69" s="1403"/>
      <c r="AV69" s="1403"/>
      <c r="AW69" s="1403"/>
      <c r="AX69" s="1403"/>
      <c r="AY69" s="1403"/>
      <c r="AZ69" s="199"/>
      <c r="BA69" s="199"/>
      <c r="BB69" s="199"/>
      <c r="BC69" s="199"/>
      <c r="BD69" s="199"/>
      <c r="BE69" s="199"/>
      <c r="BF69" s="199"/>
      <c r="BG69" s="199"/>
      <c r="BH69" s="199"/>
      <c r="BI69" s="199"/>
      <c r="BJ69" s="199"/>
      <c r="BK69" s="199"/>
      <c r="BL69" s="199"/>
      <c r="BM69" s="199"/>
      <c r="BN69" s="199"/>
      <c r="BO69" s="199"/>
    </row>
    <row r="70" spans="2:67" ht="5.15" customHeight="1" x14ac:dyDescent="0.3">
      <c r="B70" s="62"/>
      <c r="I70" s="1227"/>
      <c r="M70" s="1418"/>
      <c r="N70" s="1418"/>
      <c r="O70" s="1418"/>
      <c r="P70" s="1418"/>
      <c r="Q70" s="1418"/>
      <c r="R70" s="1418"/>
      <c r="S70" s="1418"/>
      <c r="T70" s="1418"/>
      <c r="U70" s="1418"/>
      <c r="V70" s="1418"/>
      <c r="W70" s="1418"/>
      <c r="X70" s="1418"/>
      <c r="Y70" s="1418"/>
      <c r="Z70" s="211"/>
      <c r="AB70" s="303"/>
      <c r="AC70" s="303"/>
      <c r="AD70" s="303"/>
      <c r="AE70" s="303"/>
      <c r="AF70" s="199"/>
      <c r="AG70" s="588"/>
      <c r="AH70" s="589"/>
      <c r="AI70" s="199"/>
      <c r="AJ70" s="590"/>
      <c r="AK70" s="590"/>
      <c r="AL70" s="199"/>
      <c r="AM70" s="620"/>
      <c r="AN70" s="620"/>
      <c r="AO70" s="620"/>
      <c r="AP70" s="620"/>
      <c r="AQ70" s="620"/>
      <c r="AR70" s="199"/>
      <c r="AS70" s="199"/>
      <c r="AT70" s="1403"/>
      <c r="AU70" s="1403"/>
      <c r="AV70" s="1403"/>
      <c r="AW70" s="1403"/>
      <c r="AX70" s="1403"/>
      <c r="AY70" s="1403"/>
      <c r="AZ70" s="199"/>
      <c r="BA70" s="199"/>
      <c r="BB70" s="199"/>
      <c r="BC70" s="199"/>
      <c r="BD70" s="199"/>
      <c r="BE70" s="199"/>
      <c r="BF70" s="199"/>
      <c r="BG70" s="199"/>
      <c r="BH70" s="199"/>
      <c r="BI70" s="199"/>
      <c r="BJ70" s="199"/>
      <c r="BK70" s="199"/>
      <c r="BL70" s="199"/>
      <c r="BM70" s="199"/>
      <c r="BN70" s="199"/>
      <c r="BO70" s="199"/>
    </row>
    <row r="71" spans="2:67" ht="15" customHeight="1" x14ac:dyDescent="0.3">
      <c r="B71" s="62"/>
      <c r="I71" s="1227"/>
      <c r="M71" s="1418"/>
      <c r="N71" s="1418"/>
      <c r="O71" s="1418"/>
      <c r="P71" s="1418"/>
      <c r="Q71" s="1418"/>
      <c r="R71" s="1418"/>
      <c r="S71" s="1418"/>
      <c r="T71" s="1418"/>
      <c r="U71" s="1418"/>
      <c r="V71" s="1418"/>
      <c r="W71" s="1418"/>
      <c r="X71" s="1418"/>
      <c r="Y71" s="1418"/>
      <c r="Z71" s="211"/>
      <c r="AB71" s="303"/>
      <c r="AC71" s="303"/>
      <c r="AD71" s="303"/>
      <c r="AE71" s="303"/>
      <c r="AF71" s="199"/>
      <c r="AG71" s="588"/>
      <c r="AH71" s="589"/>
      <c r="AI71" s="199"/>
      <c r="AJ71" s="590"/>
      <c r="AK71" s="590"/>
      <c r="AL71" s="199"/>
      <c r="AM71" s="620"/>
      <c r="AN71" s="620"/>
      <c r="AO71" s="620"/>
      <c r="AP71" s="620"/>
      <c r="AQ71" s="620"/>
      <c r="AR71" s="199"/>
      <c r="AS71" s="199"/>
      <c r="AT71" s="1403"/>
      <c r="AU71" s="1403"/>
      <c r="AV71" s="1403"/>
      <c r="AW71" s="1403"/>
      <c r="AX71" s="1403"/>
      <c r="AY71" s="1403"/>
      <c r="AZ71" s="199"/>
      <c r="BA71" s="199"/>
      <c r="BB71" s="199"/>
      <c r="BC71" s="199"/>
      <c r="BD71" s="199"/>
      <c r="BE71" s="199"/>
      <c r="BF71" s="199"/>
      <c r="BG71" s="199"/>
      <c r="BH71" s="199"/>
      <c r="BI71" s="199"/>
      <c r="BJ71" s="199"/>
      <c r="BK71" s="199"/>
      <c r="BL71" s="199"/>
      <c r="BM71" s="199"/>
      <c r="BN71" s="199"/>
      <c r="BO71" s="199"/>
    </row>
    <row r="72" spans="2:67" ht="5.15" customHeight="1" x14ac:dyDescent="0.3">
      <c r="B72" s="62"/>
      <c r="I72" s="63"/>
      <c r="O72" s="46"/>
      <c r="P72" s="46"/>
      <c r="Q72" s="229"/>
      <c r="R72" s="229"/>
      <c r="U72" s="121"/>
      <c r="V72" s="121"/>
      <c r="W72" s="121"/>
      <c r="X72" s="121"/>
      <c r="Y72" s="123"/>
      <c r="Z72" s="63"/>
      <c r="AB72" s="303"/>
      <c r="AC72" s="303"/>
      <c r="AD72" s="303"/>
      <c r="AE72" s="303"/>
      <c r="AF72" s="199"/>
      <c r="AG72" s="588"/>
      <c r="AH72" s="589"/>
      <c r="AI72" s="199"/>
      <c r="AJ72" s="590"/>
      <c r="AK72" s="590"/>
      <c r="AL72" s="199"/>
      <c r="AM72" s="620"/>
      <c r="AN72" s="620"/>
      <c r="AO72" s="620"/>
      <c r="AP72" s="620"/>
      <c r="AQ72" s="620"/>
      <c r="AR72" s="199"/>
      <c r="AS72" s="199"/>
      <c r="AT72" s="1403"/>
      <c r="AU72" s="1403"/>
      <c r="AV72" s="1403"/>
      <c r="AW72" s="1403"/>
      <c r="AX72" s="1403"/>
      <c r="AY72" s="1403"/>
      <c r="AZ72" s="199"/>
      <c r="BA72" s="199"/>
      <c r="BB72" s="199"/>
      <c r="BC72" s="199"/>
      <c r="BD72" s="199"/>
      <c r="BE72" s="199"/>
      <c r="BF72" s="199"/>
      <c r="BG72" s="199"/>
      <c r="BH72" s="199"/>
      <c r="BI72" s="199"/>
      <c r="BJ72" s="199"/>
      <c r="BK72" s="199"/>
      <c r="BL72" s="199"/>
      <c r="BM72" s="199"/>
      <c r="BN72" s="199"/>
      <c r="BO72" s="199"/>
    </row>
    <row r="73" spans="2:67" ht="15" customHeight="1" x14ac:dyDescent="0.3">
      <c r="B73" s="62"/>
      <c r="G73" s="1434"/>
      <c r="I73" s="1398" t="s">
        <v>1292</v>
      </c>
      <c r="J73" s="1399"/>
      <c r="K73" s="1399"/>
      <c r="L73" s="1399"/>
      <c r="M73" s="1399"/>
      <c r="N73" s="412"/>
      <c r="O73" s="412"/>
      <c r="P73" s="412"/>
      <c r="Q73" s="412"/>
      <c r="R73" s="412"/>
      <c r="S73" s="412"/>
      <c r="T73" s="412"/>
      <c r="U73" s="412"/>
      <c r="V73" s="412"/>
      <c r="W73" s="412"/>
      <c r="X73" s="412"/>
      <c r="Y73" s="412"/>
      <c r="Z73" s="414"/>
      <c r="AB73" s="303"/>
      <c r="AC73" s="303"/>
      <c r="AD73" s="303"/>
      <c r="AE73" s="303"/>
      <c r="AF73" s="199"/>
      <c r="AG73" s="588"/>
      <c r="AH73" s="589"/>
      <c r="AI73" s="199"/>
      <c r="AJ73" s="590"/>
      <c r="AK73" s="590"/>
      <c r="AL73" s="199"/>
      <c r="AM73" s="1122"/>
      <c r="AN73" s="1122"/>
      <c r="AO73" s="1122"/>
      <c r="AP73" s="1122"/>
      <c r="AQ73" s="1122"/>
      <c r="AR73" s="199"/>
      <c r="AS73" s="199"/>
      <c r="AT73" s="1403"/>
      <c r="AU73" s="1403"/>
      <c r="AV73" s="1403"/>
      <c r="AW73" s="1403"/>
      <c r="AX73" s="1403"/>
      <c r="AY73" s="1403"/>
      <c r="AZ73" s="199"/>
      <c r="BA73" s="199"/>
      <c r="BB73" s="199"/>
      <c r="BC73" s="199"/>
      <c r="BD73" s="199"/>
      <c r="BE73" s="199"/>
      <c r="BF73" s="199"/>
      <c r="BG73" s="199"/>
      <c r="BH73" s="199"/>
      <c r="BI73" s="199"/>
      <c r="BJ73" s="199"/>
      <c r="BK73" s="199"/>
      <c r="BL73" s="199"/>
      <c r="BM73" s="199"/>
      <c r="BN73" s="199"/>
      <c r="BO73" s="199"/>
    </row>
    <row r="74" spans="2:67" ht="5.15" customHeight="1" x14ac:dyDescent="0.3">
      <c r="B74" s="62"/>
      <c r="G74" s="1434"/>
      <c r="I74" s="1400"/>
      <c r="J74" s="1401"/>
      <c r="K74" s="1401"/>
      <c r="L74" s="1401"/>
      <c r="M74" s="1401"/>
      <c r="N74" s="592"/>
      <c r="O74" s="592"/>
      <c r="P74" s="592"/>
      <c r="Q74" s="597"/>
      <c r="R74" s="597"/>
      <c r="U74" s="214"/>
      <c r="V74" s="214"/>
      <c r="W74" s="215"/>
      <c r="X74" s="215"/>
      <c r="Y74" s="215"/>
      <c r="Z74" s="211"/>
      <c r="AB74" s="303"/>
      <c r="AC74" s="303"/>
      <c r="AD74" s="303"/>
      <c r="AE74" s="303"/>
      <c r="AF74" s="199"/>
      <c r="AG74" s="588"/>
      <c r="AH74" s="589"/>
      <c r="AI74" s="199"/>
      <c r="AJ74" s="590"/>
      <c r="AK74" s="590"/>
      <c r="AL74" s="199"/>
      <c r="AM74" s="1122"/>
      <c r="AN74" s="1122"/>
      <c r="AO74" s="1122"/>
      <c r="AP74" s="1122"/>
      <c r="AQ74" s="1122"/>
      <c r="AR74" s="199"/>
      <c r="AS74" s="199"/>
      <c r="AT74" s="1403"/>
      <c r="AU74" s="1403"/>
      <c r="AV74" s="1403"/>
      <c r="AW74" s="1403"/>
      <c r="AX74" s="1403"/>
      <c r="AY74" s="1403"/>
      <c r="AZ74" s="199"/>
      <c r="BA74" s="199"/>
      <c r="BB74" s="199"/>
      <c r="BC74" s="199"/>
      <c r="BD74" s="199"/>
      <c r="BE74" s="199"/>
      <c r="BF74" s="199"/>
      <c r="BG74" s="199"/>
      <c r="BH74" s="199"/>
      <c r="BI74" s="199"/>
      <c r="BJ74" s="199"/>
      <c r="BK74" s="199"/>
      <c r="BL74" s="199"/>
      <c r="BM74" s="199"/>
      <c r="BN74" s="199"/>
      <c r="BO74" s="199"/>
    </row>
    <row r="75" spans="2:67" ht="15" customHeight="1" x14ac:dyDescent="0.3">
      <c r="B75" s="62"/>
      <c r="G75" s="1434"/>
      <c r="I75" s="1215"/>
      <c r="J75" s="1138"/>
      <c r="K75" s="1138"/>
      <c r="L75" s="1138"/>
      <c r="M75" s="1138"/>
      <c r="N75" s="592"/>
      <c r="O75" s="592"/>
      <c r="P75" s="592"/>
      <c r="Q75" s="597"/>
      <c r="R75" s="597"/>
      <c r="U75" s="214"/>
      <c r="V75" s="214"/>
      <c r="W75" s="215"/>
      <c r="X75" s="215"/>
      <c r="Y75" s="215"/>
      <c r="Z75" s="211"/>
      <c r="AB75" s="303"/>
      <c r="AC75" s="303"/>
      <c r="AD75" s="303"/>
      <c r="AE75" s="303"/>
      <c r="AF75" s="199"/>
      <c r="AG75" s="588"/>
      <c r="AH75" s="589"/>
      <c r="AI75" s="199"/>
      <c r="AJ75" s="590"/>
      <c r="AK75" s="590"/>
      <c r="AL75" s="199"/>
      <c r="AM75" s="1133"/>
      <c r="AN75" s="1133"/>
      <c r="AO75" s="1133"/>
      <c r="AP75" s="1133"/>
      <c r="AQ75" s="1133"/>
      <c r="AR75" s="199"/>
      <c r="AS75" s="199"/>
      <c r="AT75" s="1403"/>
      <c r="AU75" s="1403"/>
      <c r="AV75" s="1403"/>
      <c r="AW75" s="1403"/>
      <c r="AX75" s="1403"/>
      <c r="AY75" s="1403"/>
      <c r="AZ75" s="199"/>
      <c r="BA75" s="199"/>
      <c r="BB75" s="199"/>
      <c r="BC75" s="199"/>
      <c r="BD75" s="199"/>
      <c r="BE75" s="199"/>
      <c r="BF75" s="199"/>
      <c r="BG75" s="199"/>
      <c r="BH75" s="199"/>
      <c r="BI75" s="199"/>
      <c r="BJ75" s="199"/>
      <c r="BK75" s="199"/>
      <c r="BL75" s="199"/>
      <c r="BM75" s="199"/>
      <c r="BN75" s="199"/>
      <c r="BO75" s="199"/>
    </row>
    <row r="76" spans="2:67" ht="5.15" customHeight="1" x14ac:dyDescent="0.3">
      <c r="B76" s="62"/>
      <c r="G76" s="1434"/>
      <c r="I76" s="1215"/>
      <c r="J76" s="1138"/>
      <c r="K76" s="1138"/>
      <c r="L76" s="1138"/>
      <c r="M76" s="1138"/>
      <c r="N76" s="592"/>
      <c r="O76" s="592"/>
      <c r="P76" s="592"/>
      <c r="Q76" s="597"/>
      <c r="R76" s="597"/>
      <c r="U76" s="214"/>
      <c r="V76" s="214"/>
      <c r="W76" s="215"/>
      <c r="X76" s="215"/>
      <c r="Y76" s="215"/>
      <c r="Z76" s="211"/>
      <c r="AB76" s="303"/>
      <c r="AC76" s="303"/>
      <c r="AD76" s="303"/>
      <c r="AE76" s="303"/>
      <c r="AF76" s="199"/>
      <c r="AG76" s="588"/>
      <c r="AH76" s="589"/>
      <c r="AI76" s="199"/>
      <c r="AJ76" s="590"/>
      <c r="AK76" s="590"/>
      <c r="AL76" s="199"/>
      <c r="AM76" s="1133"/>
      <c r="AN76" s="1133"/>
      <c r="AO76" s="1133"/>
      <c r="AP76" s="1133"/>
      <c r="AQ76" s="1133"/>
      <c r="AR76" s="199"/>
      <c r="AS76" s="199"/>
      <c r="AT76" s="1403"/>
      <c r="AU76" s="1403"/>
      <c r="AV76" s="1403"/>
      <c r="AW76" s="1403"/>
      <c r="AX76" s="1403"/>
      <c r="AY76" s="1403"/>
      <c r="AZ76" s="199"/>
      <c r="BA76" s="199"/>
      <c r="BB76" s="199"/>
      <c r="BC76" s="199"/>
      <c r="BD76" s="199"/>
      <c r="BE76" s="199"/>
      <c r="BF76" s="199"/>
      <c r="BG76" s="199"/>
      <c r="BH76" s="199"/>
      <c r="BI76" s="199"/>
      <c r="BJ76" s="199"/>
      <c r="BK76" s="199"/>
      <c r="BL76" s="199"/>
      <c r="BM76" s="199"/>
      <c r="BN76" s="199"/>
      <c r="BO76" s="199"/>
    </row>
    <row r="77" spans="2:67" ht="15" customHeight="1" x14ac:dyDescent="0.3">
      <c r="B77" s="62"/>
      <c r="G77" s="1434"/>
      <c r="I77" s="1230"/>
      <c r="J77" s="64"/>
      <c r="M77" s="592"/>
      <c r="N77" s="592"/>
      <c r="O77" s="1393" t="s">
        <v>920</v>
      </c>
      <c r="P77" s="592"/>
      <c r="Q77" s="1393" t="s">
        <v>919</v>
      </c>
      <c r="R77" s="597"/>
      <c r="S77" s="1393" t="s">
        <v>921</v>
      </c>
      <c r="U77" s="1393" t="s">
        <v>923</v>
      </c>
      <c r="V77" s="214"/>
      <c r="W77" s="1393" t="s">
        <v>1317</v>
      </c>
      <c r="X77" s="215"/>
      <c r="Y77" s="1393" t="s">
        <v>637</v>
      </c>
      <c r="Z77" s="211"/>
      <c r="AB77" s="303"/>
      <c r="AC77" s="303"/>
      <c r="AD77" s="303"/>
      <c r="AE77" s="303"/>
      <c r="AF77" s="199"/>
      <c r="AG77" s="588"/>
      <c r="AH77" s="589"/>
      <c r="AI77" s="199"/>
      <c r="AJ77" s="590"/>
      <c r="AK77" s="590"/>
      <c r="AL77" s="199"/>
      <c r="AM77" s="1122"/>
      <c r="AN77" s="1122"/>
      <c r="AO77" s="1122"/>
      <c r="AP77" s="1122"/>
      <c r="AQ77" s="1122"/>
      <c r="AR77" s="199"/>
      <c r="AS77" s="199"/>
      <c r="AT77" s="1403"/>
      <c r="AU77" s="1403"/>
      <c r="AV77" s="1403"/>
      <c r="AW77" s="1403"/>
      <c r="AX77" s="1403"/>
      <c r="AY77" s="1403"/>
      <c r="AZ77" s="199"/>
      <c r="BA77" s="199"/>
      <c r="BB77" s="199"/>
      <c r="BC77" s="199"/>
      <c r="BD77" s="199"/>
      <c r="BE77" s="199"/>
      <c r="BF77" s="199"/>
      <c r="BG77" s="199"/>
      <c r="BH77" s="199"/>
      <c r="BI77" s="199"/>
      <c r="BJ77" s="199"/>
      <c r="BK77" s="199"/>
      <c r="BL77" s="199"/>
      <c r="BM77" s="199"/>
      <c r="BN77" s="199"/>
      <c r="BO77" s="199"/>
    </row>
    <row r="78" spans="2:67" ht="5.15" customHeight="1" x14ac:dyDescent="0.3">
      <c r="B78" s="62"/>
      <c r="G78" s="1434"/>
      <c r="I78" s="210"/>
      <c r="O78" s="1393"/>
      <c r="P78" s="1125"/>
      <c r="Q78" s="1393"/>
      <c r="R78" s="229"/>
      <c r="S78" s="1393"/>
      <c r="U78" s="1393"/>
      <c r="V78" s="121"/>
      <c r="W78" s="1393"/>
      <c r="X78" s="215"/>
      <c r="Y78" s="1393"/>
      <c r="Z78" s="211"/>
      <c r="AB78" s="303"/>
      <c r="AC78" s="303"/>
      <c r="AD78" s="303"/>
      <c r="AE78" s="303"/>
      <c r="AF78" s="199"/>
      <c r="AG78" s="588"/>
      <c r="AH78" s="589"/>
      <c r="AI78" s="199"/>
      <c r="AJ78" s="590"/>
      <c r="AK78" s="590"/>
      <c r="AL78" s="199"/>
      <c r="AM78" s="1122"/>
      <c r="AN78" s="1122"/>
      <c r="AO78" s="1122"/>
      <c r="AP78" s="1122"/>
      <c r="AQ78" s="1122"/>
      <c r="AR78" s="199"/>
      <c r="AS78" s="199"/>
      <c r="AT78" s="1403"/>
      <c r="AU78" s="1403"/>
      <c r="AV78" s="1403"/>
      <c r="AW78" s="1403"/>
      <c r="AX78" s="1403"/>
      <c r="AY78" s="1403"/>
      <c r="AZ78" s="199"/>
      <c r="BA78" s="199"/>
      <c r="BB78" s="199"/>
      <c r="BC78" s="199"/>
      <c r="BD78" s="199"/>
      <c r="BE78" s="199"/>
      <c r="BF78" s="199"/>
      <c r="BG78" s="199"/>
      <c r="BH78" s="199"/>
      <c r="BI78" s="199"/>
      <c r="BJ78" s="199"/>
      <c r="BK78" s="199"/>
      <c r="BL78" s="199"/>
      <c r="BM78" s="199"/>
      <c r="BN78" s="199"/>
      <c r="BO78" s="199"/>
    </row>
    <row r="79" spans="2:67" ht="15" customHeight="1" x14ac:dyDescent="0.3">
      <c r="B79" s="62"/>
      <c r="G79" s="1434"/>
      <c r="I79" s="210"/>
      <c r="J79" s="1189" t="s">
        <v>1279</v>
      </c>
      <c r="K79" s="1212">
        <f>'9.3 Int Simplified'!L7</f>
        <v>0</v>
      </c>
      <c r="O79" s="1393"/>
      <c r="P79" s="1125"/>
      <c r="Q79" s="1393"/>
      <c r="R79" s="229"/>
      <c r="S79" s="1393"/>
      <c r="U79" s="1393"/>
      <c r="V79" s="121"/>
      <c r="W79" s="1393"/>
      <c r="X79" s="215"/>
      <c r="Y79" s="1393"/>
      <c r="Z79" s="211"/>
      <c r="AB79" s="303"/>
      <c r="AC79" s="303"/>
      <c r="AD79" s="303"/>
      <c r="AE79" s="303"/>
      <c r="AF79" s="199"/>
      <c r="AG79" s="588"/>
      <c r="AH79" s="589"/>
      <c r="AI79" s="199"/>
      <c r="AJ79" s="590"/>
      <c r="AK79" s="590"/>
      <c r="AL79" s="199"/>
      <c r="AM79" s="1122"/>
      <c r="AN79" s="1122"/>
      <c r="AO79" s="1122"/>
      <c r="AP79" s="1122"/>
      <c r="AQ79" s="1122"/>
      <c r="AR79" s="199"/>
      <c r="AS79" s="199"/>
      <c r="AT79" s="1403"/>
      <c r="AU79" s="1403"/>
      <c r="AV79" s="1403"/>
      <c r="AW79" s="1403"/>
      <c r="AX79" s="1403"/>
      <c r="AY79" s="1403"/>
      <c r="AZ79" s="199"/>
      <c r="BA79" s="199"/>
      <c r="BB79" s="199"/>
      <c r="BC79" s="199"/>
      <c r="BD79" s="199"/>
      <c r="BE79" s="199"/>
      <c r="BF79" s="199"/>
      <c r="BG79" s="199"/>
      <c r="BH79" s="199"/>
      <c r="BI79" s="199"/>
      <c r="BJ79" s="199"/>
      <c r="BK79" s="199"/>
      <c r="BL79" s="199"/>
      <c r="BM79" s="199"/>
      <c r="BN79" s="199"/>
      <c r="BO79" s="199"/>
    </row>
    <row r="80" spans="2:67" ht="5.15" customHeight="1" x14ac:dyDescent="0.3">
      <c r="B80" s="62"/>
      <c r="G80" s="1434"/>
      <c r="I80" s="210"/>
      <c r="J80" s="43"/>
      <c r="K80" s="1213"/>
      <c r="O80" s="1125"/>
      <c r="P80" s="1125"/>
      <c r="Q80" s="229"/>
      <c r="R80" s="229"/>
      <c r="U80" s="121"/>
      <c r="V80" s="121"/>
      <c r="W80" s="1166"/>
      <c r="X80" s="1176"/>
      <c r="Y80" s="123"/>
      <c r="Z80" s="211"/>
      <c r="AB80" s="303"/>
      <c r="AC80" s="303"/>
      <c r="AD80" s="303"/>
      <c r="AE80" s="303"/>
      <c r="AF80" s="199"/>
      <c r="AG80" s="588"/>
      <c r="AH80" s="589"/>
      <c r="AI80" s="199"/>
      <c r="AJ80" s="590"/>
      <c r="AK80" s="590"/>
      <c r="AL80" s="199"/>
      <c r="AM80" s="1122"/>
      <c r="AN80" s="1122"/>
      <c r="AO80" s="1122"/>
      <c r="AP80" s="1122"/>
      <c r="AQ80" s="1122"/>
      <c r="AR80" s="199"/>
      <c r="AS80" s="199"/>
      <c r="AT80" s="1403"/>
      <c r="AU80" s="1403"/>
      <c r="AV80" s="1403"/>
      <c r="AW80" s="1403"/>
      <c r="AX80" s="1403"/>
      <c r="AY80" s="1403"/>
      <c r="AZ80" s="199"/>
      <c r="BA80" s="199"/>
      <c r="BB80" s="199"/>
      <c r="BC80" s="199"/>
      <c r="BD80" s="199"/>
      <c r="BE80" s="199"/>
      <c r="BF80" s="199"/>
      <c r="BG80" s="199"/>
      <c r="BH80" s="199"/>
      <c r="BI80" s="199"/>
      <c r="BJ80" s="199"/>
      <c r="BK80" s="199"/>
      <c r="BL80" s="199"/>
      <c r="BM80" s="199"/>
      <c r="BN80" s="199"/>
      <c r="BO80" s="199"/>
    </row>
    <row r="81" spans="2:67" ht="15" customHeight="1" x14ac:dyDescent="0.3">
      <c r="B81" s="62"/>
      <c r="G81" s="1434"/>
      <c r="I81" s="210"/>
      <c r="J81" s="1189" t="s">
        <v>1285</v>
      </c>
      <c r="K81" s="1212">
        <f>'9.3 Int Simplified'!L9</f>
        <v>0</v>
      </c>
      <c r="M81" s="1189" t="s">
        <v>1309</v>
      </c>
      <c r="O81" s="749" t="e">
        <f>IF(OR(Compliance_Version_Year&lt;2019,_Step2_AlterationsYesNo="Yes"),"",'9.3 Int Simplified'!L9*'9.3 Int Simplified'!M9)</f>
        <v>#VALUE!</v>
      </c>
      <c r="P81" s="1191"/>
      <c r="Q81" s="749">
        <f ca="1">IF(OR(Compliance_Version_Year&lt;2019,_Step2_AlterationsYesNo="Yes"),"",'9.3 Int Simplified'!N9)</f>
        <v>0</v>
      </c>
      <c r="R81" s="229"/>
      <c r="U81" s="121"/>
      <c r="V81" s="121"/>
      <c r="Y81" s="1397" t="e">
        <f ca="1">IF(Compliance_Version_Year&lt;2019,"Not Applicable",IF(AND(_Step2_AlterationsYesNo="Yes",U85&lt;&gt;"Not Compliant",W85&lt;&gt;"Not Compliant"),"Compliant",IF(AND(_Step2_AlterationsYesNo&lt;&gt;"Yes",S85&lt;&gt;"Not Compliant",U85&lt;&gt;"Not Compliant"),"Compliant","Not Compliant")))</f>
        <v>#VALUE!</v>
      </c>
      <c r="Z81" s="211"/>
      <c r="AB81" s="303"/>
      <c r="AC81" s="303"/>
      <c r="AD81" s="303"/>
      <c r="AE81" s="303"/>
      <c r="AF81" s="199"/>
      <c r="AG81" s="588"/>
      <c r="AH81" s="589"/>
      <c r="AI81" s="199"/>
      <c r="AJ81" s="590"/>
      <c r="AK81" s="590"/>
      <c r="AL81" s="199"/>
      <c r="AM81" s="1122"/>
      <c r="AN81" s="1122"/>
      <c r="AO81" s="1122"/>
      <c r="AP81" s="1122"/>
      <c r="AQ81" s="1122"/>
      <c r="AR81" s="199"/>
      <c r="AS81" s="199"/>
      <c r="AT81" s="1403"/>
      <c r="AU81" s="1403"/>
      <c r="AV81" s="1403"/>
      <c r="AW81" s="1403"/>
      <c r="AX81" s="1403"/>
      <c r="AY81" s="1403"/>
      <c r="AZ81" s="199"/>
      <c r="BA81" s="199"/>
      <c r="BB81" s="199"/>
      <c r="BC81" s="199"/>
      <c r="BD81" s="199"/>
      <c r="BE81" s="199"/>
      <c r="BF81" s="199"/>
      <c r="BG81" s="199"/>
      <c r="BH81" s="199"/>
      <c r="BI81" s="199"/>
      <c r="BJ81" s="199"/>
      <c r="BK81" s="199"/>
      <c r="BL81" s="199"/>
      <c r="BM81" s="199"/>
      <c r="BN81" s="199"/>
      <c r="BO81" s="199"/>
    </row>
    <row r="82" spans="2:67" ht="5.15" customHeight="1" x14ac:dyDescent="0.3">
      <c r="B82" s="62"/>
      <c r="G82" s="1434"/>
      <c r="I82" s="210"/>
      <c r="J82" s="43"/>
      <c r="K82" s="1213"/>
      <c r="M82" s="1189"/>
      <c r="O82" s="1191"/>
      <c r="P82" s="1191"/>
      <c r="Q82" s="1192"/>
      <c r="R82" s="229"/>
      <c r="U82" s="121"/>
      <c r="V82" s="121"/>
      <c r="W82" s="121"/>
      <c r="X82" s="121"/>
      <c r="Y82" s="1397"/>
      <c r="Z82" s="211"/>
      <c r="AB82" s="303"/>
      <c r="AC82" s="303"/>
      <c r="AD82" s="303"/>
      <c r="AE82" s="303"/>
      <c r="AF82" s="199"/>
      <c r="AG82" s="588"/>
      <c r="AH82" s="589"/>
      <c r="AI82" s="199"/>
      <c r="AJ82" s="590"/>
      <c r="AK82" s="590"/>
      <c r="AL82" s="199"/>
      <c r="AM82" s="1122"/>
      <c r="AN82" s="1122"/>
      <c r="AO82" s="1122"/>
      <c r="AP82" s="1122"/>
      <c r="AQ82" s="1122"/>
      <c r="AR82" s="199"/>
      <c r="AS82" s="199"/>
      <c r="AT82" s="1403"/>
      <c r="AU82" s="1403"/>
      <c r="AV82" s="1403"/>
      <c r="AW82" s="1403"/>
      <c r="AX82" s="1403"/>
      <c r="AY82" s="1403"/>
      <c r="AZ82" s="199"/>
      <c r="BA82" s="199"/>
      <c r="BB82" s="199"/>
      <c r="BC82" s="199"/>
      <c r="BD82" s="199"/>
      <c r="BE82" s="199"/>
      <c r="BF82" s="199"/>
      <c r="BG82" s="199"/>
      <c r="BH82" s="199"/>
      <c r="BI82" s="199"/>
      <c r="BJ82" s="199"/>
      <c r="BK82" s="199"/>
      <c r="BL82" s="199"/>
      <c r="BM82" s="199"/>
      <c r="BN82" s="199"/>
      <c r="BO82" s="199"/>
    </row>
    <row r="83" spans="2:67" ht="15" customHeight="1" x14ac:dyDescent="0.3">
      <c r="B83" s="62"/>
      <c r="G83" s="1434"/>
      <c r="I83" s="210"/>
      <c r="J83" s="1189" t="s">
        <v>1286</v>
      </c>
      <c r="K83" s="1212">
        <f>'9.3 Int Simplified'!L11</f>
        <v>0</v>
      </c>
      <c r="M83" s="1189" t="s">
        <v>1310</v>
      </c>
      <c r="O83" s="749" t="e">
        <f>IF(OR(Compliance_Version_Year&lt;2019,_Step2_AlterationsYesNo="Yes"),"",'9.3 Int Simplified'!L11*'9.3 Int Simplified'!M11)</f>
        <v>#VALUE!</v>
      </c>
      <c r="P83" s="1191"/>
      <c r="Q83" s="749">
        <f ca="1">IF(OR(Compliance_Version_Year&lt;2019,_Step2_AlterationsYesNo="Yes"),"",'9.3 Int Simplified'!N11)</f>
        <v>0</v>
      </c>
      <c r="R83" s="229"/>
      <c r="U83" s="121"/>
      <c r="V83" s="121"/>
      <c r="W83" s="121"/>
      <c r="X83" s="121"/>
      <c r="Y83" s="1397"/>
      <c r="Z83" s="211"/>
      <c r="AB83" s="303"/>
      <c r="AC83" s="303"/>
      <c r="AD83" s="303"/>
      <c r="AE83" s="303"/>
      <c r="AF83" s="199"/>
      <c r="AG83" s="588"/>
      <c r="AH83" s="589"/>
      <c r="AI83" s="199"/>
      <c r="AJ83" s="590"/>
      <c r="AK83" s="590"/>
      <c r="AL83" s="199"/>
      <c r="AM83" s="1122"/>
      <c r="AN83" s="1122"/>
      <c r="AO83" s="1122"/>
      <c r="AP83" s="1122"/>
      <c r="AQ83" s="1122"/>
      <c r="AR83" s="199"/>
      <c r="AS83" s="199"/>
      <c r="AT83" s="1403"/>
      <c r="AU83" s="1403"/>
      <c r="AV83" s="1403"/>
      <c r="AW83" s="1403"/>
      <c r="AX83" s="1403"/>
      <c r="AY83" s="1403"/>
      <c r="AZ83" s="199"/>
      <c r="BA83" s="199"/>
      <c r="BB83" s="199"/>
      <c r="BC83" s="199"/>
      <c r="BD83" s="199"/>
      <c r="BE83" s="199"/>
      <c r="BF83" s="199"/>
      <c r="BG83" s="199"/>
      <c r="BH83" s="199"/>
      <c r="BI83" s="199"/>
      <c r="BJ83" s="199"/>
      <c r="BK83" s="199"/>
      <c r="BL83" s="199"/>
      <c r="BM83" s="199"/>
      <c r="BN83" s="199"/>
      <c r="BO83" s="199"/>
    </row>
    <row r="84" spans="2:67" ht="5.15" customHeight="1" x14ac:dyDescent="0.3">
      <c r="B84" s="62"/>
      <c r="G84" s="1434"/>
      <c r="I84" s="210"/>
      <c r="O84" s="1125"/>
      <c r="P84" s="1125"/>
      <c r="Q84" s="229"/>
      <c r="R84" s="229"/>
      <c r="U84" s="121"/>
      <c r="V84" s="121"/>
      <c r="W84" s="121"/>
      <c r="X84" s="121"/>
      <c r="Y84" s="1397"/>
      <c r="Z84" s="211"/>
      <c r="AB84" s="303"/>
      <c r="AC84" s="303"/>
      <c r="AD84" s="303"/>
      <c r="AE84" s="303"/>
      <c r="AF84" s="199"/>
      <c r="AG84" s="588"/>
      <c r="AH84" s="589"/>
      <c r="AI84" s="199"/>
      <c r="AJ84" s="590"/>
      <c r="AK84" s="590"/>
      <c r="AL84" s="199"/>
      <c r="AM84" s="1122"/>
      <c r="AN84" s="1122"/>
      <c r="AO84" s="1122"/>
      <c r="AP84" s="1122"/>
      <c r="AQ84" s="1122"/>
      <c r="AR84" s="199"/>
      <c r="AS84" s="199"/>
      <c r="AT84" s="1403"/>
      <c r="AU84" s="1403"/>
      <c r="AV84" s="1403"/>
      <c r="AW84" s="1403"/>
      <c r="AX84" s="1403"/>
      <c r="AY84" s="1403"/>
      <c r="AZ84" s="199"/>
      <c r="BA84" s="199"/>
      <c r="BB84" s="199"/>
      <c r="BC84" s="199"/>
      <c r="BD84" s="199"/>
      <c r="BE84" s="199"/>
      <c r="BF84" s="199"/>
      <c r="BG84" s="199"/>
      <c r="BH84" s="199"/>
      <c r="BI84" s="199"/>
      <c r="BJ84" s="199"/>
      <c r="BK84" s="199"/>
      <c r="BL84" s="199"/>
      <c r="BM84" s="199"/>
      <c r="BN84" s="199"/>
      <c r="BO84" s="199"/>
    </row>
    <row r="85" spans="2:67" ht="15" customHeight="1" x14ac:dyDescent="0.3">
      <c r="B85" s="62"/>
      <c r="G85" s="1434"/>
      <c r="I85" s="210"/>
      <c r="M85" s="1189" t="s">
        <v>1293</v>
      </c>
      <c r="O85" s="749" t="e">
        <f>IF(OR(Compliance_Version_Year&lt;2019,_Step2_AlterationsYesNo="Yes"),"",O81+O83)</f>
        <v>#VALUE!</v>
      </c>
      <c r="P85" s="1146"/>
      <c r="Q85" s="749">
        <f ca="1">IF(OR(Compliance_Version_Year&lt;2019,_Step2_AlterationsYesNo="Yes"),"",Q81+Q83)</f>
        <v>0</v>
      </c>
      <c r="R85" s="229"/>
      <c r="S85" s="964" t="e">
        <f ca="1">IF(OR(Compliance_Version_Year&lt;2019,_Step2_AlterationsYesNo="Yes"),"",IF(Q85&lt;=O85,"Compliant","Not Compliant"))</f>
        <v>#VALUE!</v>
      </c>
      <c r="U85" s="964" t="str">
        <f>IF(Compliance_Version_Year&lt;2019,"",'9.3 Int Simplified'!_BAM_Controls_Compliant)</f>
        <v>Compliant</v>
      </c>
      <c r="V85" s="121"/>
      <c r="W85" s="964" t="str">
        <f>'9.3 Int Simplified'!Q15</f>
        <v/>
      </c>
      <c r="X85" s="121"/>
      <c r="Y85" s="1397"/>
      <c r="Z85" s="211"/>
      <c r="AB85" s="303"/>
      <c r="AC85" s="303"/>
      <c r="AD85" s="303"/>
      <c r="AE85" s="303"/>
      <c r="AF85" s="199"/>
      <c r="AG85" s="588"/>
      <c r="AH85" s="589"/>
      <c r="AI85" s="199"/>
      <c r="AJ85" s="590"/>
      <c r="AK85" s="590"/>
      <c r="AL85" s="199"/>
      <c r="AM85" s="1133"/>
      <c r="AN85" s="1133"/>
      <c r="AO85" s="1133"/>
      <c r="AP85" s="1133"/>
      <c r="AQ85" s="1133"/>
      <c r="AR85" s="199"/>
      <c r="AS85" s="199"/>
      <c r="AT85" s="1403"/>
      <c r="AU85" s="1403"/>
      <c r="AV85" s="1403"/>
      <c r="AW85" s="1403"/>
      <c r="AX85" s="1403"/>
      <c r="AY85" s="1403"/>
      <c r="AZ85" s="199"/>
      <c r="BA85" s="199"/>
      <c r="BB85" s="199"/>
      <c r="BC85" s="199"/>
      <c r="BD85" s="199"/>
      <c r="BE85" s="199"/>
      <c r="BF85" s="199"/>
      <c r="BG85" s="199"/>
      <c r="BH85" s="199"/>
      <c r="BI85" s="199"/>
      <c r="BJ85" s="199"/>
      <c r="BK85" s="199"/>
      <c r="BL85" s="199"/>
      <c r="BM85" s="199"/>
      <c r="BN85" s="199"/>
      <c r="BO85" s="199"/>
    </row>
    <row r="86" spans="2:67" ht="5.15" customHeight="1" x14ac:dyDescent="0.3">
      <c r="B86" s="62"/>
      <c r="G86" s="1434"/>
      <c r="I86" s="210"/>
      <c r="O86" s="1146"/>
      <c r="P86" s="1146"/>
      <c r="Q86" s="229"/>
      <c r="R86" s="229"/>
      <c r="U86" s="121"/>
      <c r="V86" s="121"/>
      <c r="W86" s="121"/>
      <c r="X86" s="121"/>
      <c r="Y86" s="123"/>
      <c r="Z86" s="211"/>
      <c r="AB86" s="303"/>
      <c r="AC86" s="303"/>
      <c r="AD86" s="303"/>
      <c r="AE86" s="303"/>
      <c r="AF86" s="199"/>
      <c r="AG86" s="588"/>
      <c r="AH86" s="589"/>
      <c r="AI86" s="199"/>
      <c r="AJ86" s="590"/>
      <c r="AK86" s="590"/>
      <c r="AL86" s="199"/>
      <c r="AM86" s="1133"/>
      <c r="AN86" s="1133"/>
      <c r="AO86" s="1133"/>
      <c r="AP86" s="1133"/>
      <c r="AQ86" s="1133"/>
      <c r="AR86" s="199"/>
      <c r="AS86" s="199"/>
      <c r="AT86" s="1403"/>
      <c r="AU86" s="1403"/>
      <c r="AV86" s="1403"/>
      <c r="AW86" s="1403"/>
      <c r="AX86" s="1403"/>
      <c r="AY86" s="1403"/>
      <c r="AZ86" s="199"/>
      <c r="BA86" s="199"/>
      <c r="BB86" s="199"/>
      <c r="BC86" s="199"/>
      <c r="BD86" s="199"/>
      <c r="BE86" s="199"/>
      <c r="BF86" s="199"/>
      <c r="BG86" s="199"/>
      <c r="BH86" s="199"/>
      <c r="BI86" s="199"/>
      <c r="BJ86" s="199"/>
      <c r="BK86" s="199"/>
      <c r="BL86" s="199"/>
      <c r="BM86" s="199"/>
      <c r="BN86" s="199"/>
      <c r="BO86" s="199"/>
    </row>
    <row r="87" spans="2:67" ht="15" customHeight="1" x14ac:dyDescent="0.3">
      <c r="B87" s="62"/>
      <c r="G87" s="1434"/>
      <c r="I87" s="210"/>
      <c r="O87" s="1146"/>
      <c r="P87" s="1146"/>
      <c r="Q87" s="229"/>
      <c r="R87" s="229"/>
      <c r="U87" s="121"/>
      <c r="V87" s="121"/>
      <c r="W87" s="121"/>
      <c r="X87" s="121"/>
      <c r="Y87" s="123"/>
      <c r="Z87" s="211"/>
      <c r="AB87" s="303"/>
      <c r="AC87" s="303"/>
      <c r="AD87" s="303"/>
      <c r="AE87" s="303"/>
      <c r="AF87" s="199"/>
      <c r="AG87" s="588"/>
      <c r="AH87" s="589"/>
      <c r="AI87" s="199"/>
      <c r="AJ87" s="590"/>
      <c r="AK87" s="590"/>
      <c r="AL87" s="199"/>
      <c r="AM87" s="1133"/>
      <c r="AN87" s="1133"/>
      <c r="AO87" s="1133"/>
      <c r="AP87" s="1133"/>
      <c r="AQ87" s="1133"/>
      <c r="AR87" s="199"/>
      <c r="AS87" s="199"/>
      <c r="AT87" s="1403"/>
      <c r="AU87" s="1403"/>
      <c r="AV87" s="1403"/>
      <c r="AW87" s="1403"/>
      <c r="AX87" s="1403"/>
      <c r="AY87" s="1403"/>
      <c r="AZ87" s="199"/>
      <c r="BA87" s="199"/>
      <c r="BB87" s="199"/>
      <c r="BC87" s="199"/>
      <c r="BD87" s="199"/>
      <c r="BE87" s="199"/>
      <c r="BF87" s="199"/>
      <c r="BG87" s="199"/>
      <c r="BH87" s="199"/>
      <c r="BI87" s="199"/>
      <c r="BJ87" s="199"/>
      <c r="BK87" s="199"/>
      <c r="BL87" s="199"/>
      <c r="BM87" s="199"/>
      <c r="BN87" s="199"/>
      <c r="BO87" s="199"/>
    </row>
    <row r="88" spans="2:67" ht="5.15" customHeight="1" x14ac:dyDescent="0.3">
      <c r="B88" s="62"/>
      <c r="G88" s="1434"/>
      <c r="I88" s="210"/>
      <c r="O88" s="1146"/>
      <c r="P88" s="1146"/>
      <c r="Q88" s="229"/>
      <c r="R88" s="229"/>
      <c r="U88" s="121"/>
      <c r="V88" s="121"/>
      <c r="W88" s="121"/>
      <c r="X88" s="121"/>
      <c r="Y88" s="123"/>
      <c r="Z88" s="211"/>
      <c r="AB88" s="303"/>
      <c r="AC88" s="303"/>
      <c r="AD88" s="303"/>
      <c r="AE88" s="303"/>
      <c r="AF88" s="199"/>
      <c r="AG88" s="588"/>
      <c r="AH88" s="589"/>
      <c r="AI88" s="199"/>
      <c r="AJ88" s="590"/>
      <c r="AK88" s="590"/>
      <c r="AL88" s="199"/>
      <c r="AM88" s="1133"/>
      <c r="AN88" s="1133"/>
      <c r="AO88" s="1133"/>
      <c r="AP88" s="1133"/>
      <c r="AQ88" s="1133"/>
      <c r="AR88" s="199"/>
      <c r="AS88" s="199"/>
      <c r="AT88" s="1403"/>
      <c r="AU88" s="1403"/>
      <c r="AV88" s="1403"/>
      <c r="AW88" s="1403"/>
      <c r="AX88" s="1403"/>
      <c r="AY88" s="1403"/>
      <c r="AZ88" s="199"/>
      <c r="BA88" s="199"/>
      <c r="BB88" s="199"/>
      <c r="BC88" s="199"/>
      <c r="BD88" s="199"/>
      <c r="BE88" s="199"/>
      <c r="BF88" s="199"/>
      <c r="BG88" s="199"/>
      <c r="BH88" s="199"/>
      <c r="BI88" s="199"/>
      <c r="BJ88" s="199"/>
      <c r="BK88" s="199"/>
      <c r="BL88" s="199"/>
      <c r="BM88" s="199"/>
      <c r="BN88" s="199"/>
      <c r="BO88" s="199"/>
    </row>
    <row r="89" spans="2:67" ht="15" customHeight="1" x14ac:dyDescent="0.3">
      <c r="B89" s="62"/>
      <c r="G89" s="1434"/>
      <c r="I89" s="1217"/>
      <c r="O89" s="1146"/>
      <c r="P89" s="1146"/>
      <c r="Q89" s="229"/>
      <c r="R89" s="229"/>
      <c r="U89" s="121"/>
      <c r="V89" s="121"/>
      <c r="W89" s="121"/>
      <c r="X89" s="121"/>
      <c r="Y89" s="123"/>
      <c r="Z89" s="211"/>
      <c r="AB89" s="303"/>
      <c r="AC89" s="303"/>
      <c r="AD89" s="303"/>
      <c r="AE89" s="303"/>
      <c r="AF89" s="199"/>
      <c r="AG89" s="588"/>
      <c r="AH89" s="589"/>
      <c r="AI89" s="199"/>
      <c r="AJ89" s="590"/>
      <c r="AK89" s="590"/>
      <c r="AL89" s="199"/>
      <c r="AM89" s="1133"/>
      <c r="AN89" s="1133"/>
      <c r="AO89" s="1133"/>
      <c r="AP89" s="1133"/>
      <c r="AQ89" s="1133"/>
      <c r="AR89" s="199"/>
      <c r="AS89" s="199"/>
      <c r="AT89" s="1403"/>
      <c r="AU89" s="1403"/>
      <c r="AV89" s="1403"/>
      <c r="AW89" s="1403"/>
      <c r="AX89" s="1403"/>
      <c r="AY89" s="1403"/>
      <c r="AZ89" s="199"/>
      <c r="BA89" s="199"/>
      <c r="BB89" s="199"/>
      <c r="BC89" s="199"/>
      <c r="BD89" s="199"/>
      <c r="BE89" s="199"/>
      <c r="BF89" s="199"/>
      <c r="BG89" s="199"/>
      <c r="BH89" s="199"/>
      <c r="BI89" s="199"/>
      <c r="BJ89" s="199"/>
      <c r="BK89" s="199"/>
      <c r="BL89" s="199"/>
      <c r="BM89" s="199"/>
      <c r="BN89" s="199"/>
      <c r="BO89" s="199"/>
    </row>
    <row r="90" spans="2:67" ht="5.15" customHeight="1" x14ac:dyDescent="0.3">
      <c r="B90" s="62"/>
      <c r="G90" s="1434"/>
      <c r="I90" s="210"/>
      <c r="O90" s="1146"/>
      <c r="P90" s="1146"/>
      <c r="Q90" s="229"/>
      <c r="R90" s="229"/>
      <c r="U90" s="121"/>
      <c r="V90" s="121"/>
      <c r="W90" s="121"/>
      <c r="X90" s="121"/>
      <c r="Y90" s="123"/>
      <c r="Z90" s="211"/>
      <c r="AB90" s="303"/>
      <c r="AC90" s="303"/>
      <c r="AD90" s="303"/>
      <c r="AE90" s="303"/>
      <c r="AF90" s="199"/>
      <c r="AG90" s="588"/>
      <c r="AH90" s="589"/>
      <c r="AI90" s="199"/>
      <c r="AJ90" s="590"/>
      <c r="AK90" s="590"/>
      <c r="AL90" s="199"/>
      <c r="AM90" s="1133"/>
      <c r="AN90" s="1133"/>
      <c r="AO90" s="1133"/>
      <c r="AP90" s="1133"/>
      <c r="AQ90" s="1133"/>
      <c r="AR90" s="199"/>
      <c r="AS90" s="199"/>
      <c r="AT90" s="1403"/>
      <c r="AU90" s="1403"/>
      <c r="AV90" s="1403"/>
      <c r="AW90" s="1403"/>
      <c r="AX90" s="1403"/>
      <c r="AY90" s="1403"/>
      <c r="AZ90" s="199"/>
      <c r="BA90" s="199"/>
      <c r="BB90" s="199"/>
      <c r="BC90" s="199"/>
      <c r="BD90" s="199"/>
      <c r="BE90" s="199"/>
      <c r="BF90" s="199"/>
      <c r="BG90" s="199"/>
      <c r="BH90" s="199"/>
      <c r="BI90" s="199"/>
      <c r="BJ90" s="199"/>
      <c r="BK90" s="199"/>
      <c r="BL90" s="199"/>
      <c r="BM90" s="199"/>
      <c r="BN90" s="199"/>
      <c r="BO90" s="199"/>
    </row>
    <row r="91" spans="2:67" ht="15" customHeight="1" x14ac:dyDescent="0.3">
      <c r="B91" s="62"/>
      <c r="G91" s="1434"/>
      <c r="I91" s="210"/>
      <c r="J91" s="1189" t="s">
        <v>208</v>
      </c>
      <c r="K91" s="1212">
        <f>'9.3 Ext Simplified'!J11</f>
        <v>0</v>
      </c>
      <c r="O91" s="1393" t="s">
        <v>920</v>
      </c>
      <c r="P91" s="592"/>
      <c r="Q91" s="1393" t="s">
        <v>919</v>
      </c>
      <c r="R91" s="597"/>
      <c r="S91" s="1393" t="s">
        <v>921</v>
      </c>
      <c r="U91" s="1393" t="s">
        <v>923</v>
      </c>
      <c r="V91" s="214"/>
      <c r="W91" s="1393" t="s">
        <v>1317</v>
      </c>
      <c r="X91" s="215"/>
      <c r="Y91" s="1393" t="s">
        <v>637</v>
      </c>
      <c r="Z91" s="211"/>
      <c r="AB91" s="303"/>
      <c r="AC91" s="303"/>
      <c r="AD91" s="303"/>
      <c r="AE91" s="303"/>
      <c r="AF91" s="199"/>
      <c r="AG91" s="588"/>
      <c r="AH91" s="589"/>
      <c r="AI91" s="199"/>
      <c r="AJ91" s="590"/>
      <c r="AK91" s="590"/>
      <c r="AL91" s="199"/>
      <c r="AM91" s="1133"/>
      <c r="AN91" s="1133"/>
      <c r="AO91" s="1133"/>
      <c r="AP91" s="1133"/>
      <c r="AQ91" s="1133"/>
      <c r="AR91" s="199"/>
      <c r="AS91" s="199"/>
      <c r="AT91" s="1403"/>
      <c r="AU91" s="1403"/>
      <c r="AV91" s="1403"/>
      <c r="AW91" s="1403"/>
      <c r="AX91" s="1403"/>
      <c r="AY91" s="1403"/>
      <c r="AZ91" s="199"/>
      <c r="BA91" s="199"/>
      <c r="BB91" s="199"/>
      <c r="BC91" s="199"/>
      <c r="BD91" s="199"/>
      <c r="BE91" s="199"/>
      <c r="BF91" s="199"/>
      <c r="BG91" s="199"/>
      <c r="BH91" s="199"/>
      <c r="BI91" s="199"/>
      <c r="BJ91" s="199"/>
      <c r="BK91" s="199"/>
      <c r="BL91" s="199"/>
      <c r="BM91" s="199"/>
      <c r="BN91" s="199"/>
      <c r="BO91" s="199"/>
    </row>
    <row r="92" spans="2:67" ht="5.15" customHeight="1" x14ac:dyDescent="0.3">
      <c r="B92" s="62"/>
      <c r="G92" s="1434"/>
      <c r="I92" s="210"/>
      <c r="O92" s="1393"/>
      <c r="P92" s="1146"/>
      <c r="Q92" s="1393"/>
      <c r="R92" s="229"/>
      <c r="S92" s="1393"/>
      <c r="U92" s="1393"/>
      <c r="V92" s="121"/>
      <c r="W92" s="1393"/>
      <c r="X92" s="215"/>
      <c r="Y92" s="1393"/>
      <c r="Z92" s="211"/>
      <c r="AB92" s="303"/>
      <c r="AC92" s="303"/>
      <c r="AD92" s="303"/>
      <c r="AE92" s="303"/>
      <c r="AF92" s="199"/>
      <c r="AG92" s="588"/>
      <c r="AH92" s="589"/>
      <c r="AI92" s="199"/>
      <c r="AJ92" s="590"/>
      <c r="AK92" s="590"/>
      <c r="AL92" s="199"/>
      <c r="AM92" s="1133"/>
      <c r="AN92" s="1133"/>
      <c r="AO92" s="1133"/>
      <c r="AP92" s="1133"/>
      <c r="AQ92" s="1133"/>
      <c r="AR92" s="199"/>
      <c r="AS92" s="199"/>
      <c r="AT92" s="1403"/>
      <c r="AU92" s="1403"/>
      <c r="AV92" s="1403"/>
      <c r="AW92" s="1403"/>
      <c r="AX92" s="1403"/>
      <c r="AY92" s="1403"/>
      <c r="AZ92" s="199"/>
      <c r="BA92" s="199"/>
      <c r="BB92" s="199"/>
      <c r="BC92" s="199"/>
      <c r="BD92" s="199"/>
      <c r="BE92" s="199"/>
      <c r="BF92" s="199"/>
      <c r="BG92" s="199"/>
      <c r="BH92" s="199"/>
      <c r="BI92" s="199"/>
      <c r="BJ92" s="199"/>
      <c r="BK92" s="199"/>
      <c r="BL92" s="199"/>
      <c r="BM92" s="199"/>
      <c r="BN92" s="199"/>
      <c r="BO92" s="199"/>
    </row>
    <row r="93" spans="2:67" ht="15" customHeight="1" x14ac:dyDescent="0.3">
      <c r="B93" s="62"/>
      <c r="G93" s="1434"/>
      <c r="I93" s="210"/>
      <c r="K93" s="1216" t="s">
        <v>843</v>
      </c>
      <c r="M93" s="1216" t="s">
        <v>1303</v>
      </c>
      <c r="O93" s="1393"/>
      <c r="P93" s="1146"/>
      <c r="Q93" s="1393"/>
      <c r="R93" s="229"/>
      <c r="S93" s="1393"/>
      <c r="U93" s="1393"/>
      <c r="V93" s="121"/>
      <c r="W93" s="1393"/>
      <c r="X93" s="215"/>
      <c r="Y93" s="1393"/>
      <c r="Z93" s="211"/>
      <c r="AB93" s="303"/>
      <c r="AC93" s="303"/>
      <c r="AD93" s="303"/>
      <c r="AE93" s="303"/>
      <c r="AF93" s="199"/>
      <c r="AG93" s="588"/>
      <c r="AH93" s="589"/>
      <c r="AI93" s="199"/>
      <c r="AJ93" s="590"/>
      <c r="AK93" s="590"/>
      <c r="AL93" s="199"/>
      <c r="AM93" s="1133"/>
      <c r="AN93" s="1133"/>
      <c r="AO93" s="1133"/>
      <c r="AP93" s="1133"/>
      <c r="AQ93" s="1133"/>
      <c r="AR93" s="199"/>
      <c r="AS93" s="199"/>
      <c r="AT93" s="1403"/>
      <c r="AU93" s="1403"/>
      <c r="AV93" s="1403"/>
      <c r="AW93" s="1403"/>
      <c r="AX93" s="1403"/>
      <c r="AY93" s="1403"/>
      <c r="AZ93" s="199"/>
      <c r="BA93" s="199"/>
      <c r="BB93" s="199"/>
      <c r="BC93" s="199"/>
      <c r="BD93" s="199"/>
      <c r="BE93" s="199"/>
      <c r="BF93" s="199"/>
      <c r="BG93" s="199"/>
      <c r="BH93" s="199"/>
      <c r="BI93" s="199"/>
      <c r="BJ93" s="199"/>
      <c r="BK93" s="199"/>
      <c r="BL93" s="199"/>
      <c r="BM93" s="199"/>
      <c r="BN93" s="199"/>
      <c r="BO93" s="199"/>
    </row>
    <row r="94" spans="2:67" ht="5.15" customHeight="1" x14ac:dyDescent="0.3">
      <c r="B94" s="62"/>
      <c r="G94" s="1434"/>
      <c r="I94" s="210"/>
      <c r="M94" s="639"/>
      <c r="O94" s="1146"/>
      <c r="P94" s="1146"/>
      <c r="Q94" s="229"/>
      <c r="R94" s="229"/>
      <c r="U94" s="121"/>
      <c r="V94" s="121"/>
      <c r="W94" s="121"/>
      <c r="X94" s="121"/>
      <c r="Y94" s="123"/>
      <c r="Z94" s="211"/>
      <c r="AB94" s="303"/>
      <c r="AC94" s="303"/>
      <c r="AD94" s="303"/>
      <c r="AE94" s="303"/>
      <c r="AF94" s="199"/>
      <c r="AG94" s="588"/>
      <c r="AH94" s="589"/>
      <c r="AI94" s="199"/>
      <c r="AJ94" s="590"/>
      <c r="AK94" s="590"/>
      <c r="AL94" s="199"/>
      <c r="AM94" s="1133"/>
      <c r="AN94" s="1133"/>
      <c r="AO94" s="1133"/>
      <c r="AP94" s="1133"/>
      <c r="AQ94" s="1133"/>
      <c r="AR94" s="199"/>
      <c r="AS94" s="199"/>
      <c r="AT94" s="1403"/>
      <c r="AU94" s="1403"/>
      <c r="AV94" s="1403"/>
      <c r="AW94" s="1403"/>
      <c r="AX94" s="1403"/>
      <c r="AY94" s="1403"/>
      <c r="AZ94" s="199"/>
      <c r="BA94" s="199"/>
      <c r="BB94" s="199"/>
      <c r="BC94" s="199"/>
      <c r="BD94" s="199"/>
      <c r="BE94" s="199"/>
      <c r="BF94" s="199"/>
      <c r="BG94" s="199"/>
      <c r="BH94" s="199"/>
      <c r="BI94" s="199"/>
      <c r="BJ94" s="199"/>
      <c r="BK94" s="199"/>
      <c r="BL94" s="199"/>
      <c r="BM94" s="199"/>
      <c r="BN94" s="199"/>
      <c r="BO94" s="199"/>
    </row>
    <row r="95" spans="2:67" ht="15" customHeight="1" x14ac:dyDescent="0.3">
      <c r="B95" s="62"/>
      <c r="G95" s="1434"/>
      <c r="I95" s="210"/>
      <c r="J95" s="1189" t="str">
        <f>'9.3 Ext Simplified'!K13</f>
        <v xml:space="preserve"> Base Allowance</v>
      </c>
      <c r="K95" s="749">
        <f>IF(OR(Compliance_Version_Year&lt;2019,_Step2_AlterationsYesNo="Yes"),"",'9.3 Ext Simplified'!J13)</f>
        <v>0</v>
      </c>
      <c r="M95" s="1214" t="str">
        <f ca="1">IF(OR(Compliance_Version_Year&lt;2019,_Step2_AlterationsYesNo="Yes"),"",IF(M97+M99&gt;K95,"ERROR",""))</f>
        <v/>
      </c>
      <c r="R95" s="229"/>
      <c r="U95" s="121"/>
      <c r="V95" s="121"/>
      <c r="W95" s="121"/>
      <c r="X95" s="121"/>
      <c r="Y95" s="123"/>
      <c r="Z95" s="211"/>
      <c r="AB95" s="303"/>
      <c r="AC95" s="303"/>
      <c r="AD95" s="303"/>
      <c r="AE95" s="303"/>
      <c r="AF95" s="199"/>
      <c r="AG95" s="588"/>
      <c r="AH95" s="589"/>
      <c r="AI95" s="199"/>
      <c r="AJ95" s="590"/>
      <c r="AK95" s="590"/>
      <c r="AL95" s="199"/>
      <c r="AM95" s="1133"/>
      <c r="AN95" s="1133"/>
      <c r="AO95" s="1133"/>
      <c r="AP95" s="1133"/>
      <c r="AQ95" s="1133"/>
      <c r="AR95" s="199"/>
      <c r="AS95" s="199"/>
      <c r="AT95" s="1403"/>
      <c r="AU95" s="1403"/>
      <c r="AV95" s="1403"/>
      <c r="AW95" s="1403"/>
      <c r="AX95" s="1403"/>
      <c r="AY95" s="1403"/>
      <c r="AZ95" s="199"/>
      <c r="BA95" s="199"/>
      <c r="BB95" s="199"/>
      <c r="BC95" s="199"/>
      <c r="BD95" s="199"/>
      <c r="BE95" s="199"/>
      <c r="BF95" s="199"/>
      <c r="BG95" s="199"/>
      <c r="BH95" s="199"/>
      <c r="BI95" s="199"/>
      <c r="BJ95" s="199"/>
      <c r="BK95" s="199"/>
      <c r="BL95" s="199"/>
      <c r="BM95" s="199"/>
      <c r="BN95" s="199"/>
      <c r="BO95" s="199"/>
    </row>
    <row r="96" spans="2:67" ht="5.15" customHeight="1" x14ac:dyDescent="0.3">
      <c r="B96" s="62"/>
      <c r="G96" s="1434"/>
      <c r="I96" s="210"/>
      <c r="K96" s="1189"/>
      <c r="O96" s="1146"/>
      <c r="P96" s="1146"/>
      <c r="Q96" s="229"/>
      <c r="R96" s="229"/>
      <c r="U96" s="121"/>
      <c r="V96" s="121"/>
      <c r="W96" s="121"/>
      <c r="X96" s="121"/>
      <c r="Y96" s="123"/>
      <c r="Z96" s="211"/>
      <c r="AB96" s="303"/>
      <c r="AC96" s="303"/>
      <c r="AD96" s="303"/>
      <c r="AE96" s="303"/>
      <c r="AF96" s="199"/>
      <c r="AG96" s="588"/>
      <c r="AH96" s="589"/>
      <c r="AI96" s="199"/>
      <c r="AJ96" s="590"/>
      <c r="AK96" s="590"/>
      <c r="AL96" s="199"/>
      <c r="AM96" s="1133"/>
      <c r="AN96" s="1133"/>
      <c r="AO96" s="1133"/>
      <c r="AP96" s="1133"/>
      <c r="AQ96" s="1133"/>
      <c r="AR96" s="199"/>
      <c r="AS96" s="199"/>
      <c r="AT96" s="1403"/>
      <c r="AU96" s="1403"/>
      <c r="AV96" s="1403"/>
      <c r="AW96" s="1403"/>
      <c r="AX96" s="1403"/>
      <c r="AY96" s="1403"/>
      <c r="AZ96" s="199"/>
      <c r="BA96" s="199"/>
      <c r="BB96" s="199"/>
      <c r="BC96" s="199"/>
      <c r="BD96" s="199"/>
      <c r="BE96" s="199"/>
      <c r="BF96" s="199"/>
      <c r="BG96" s="199"/>
      <c r="BH96" s="199"/>
      <c r="BI96" s="199"/>
      <c r="BJ96" s="199"/>
      <c r="BK96" s="199"/>
      <c r="BL96" s="199"/>
      <c r="BM96" s="199"/>
      <c r="BN96" s="199"/>
      <c r="BO96" s="199"/>
    </row>
    <row r="97" spans="1:67" ht="15" customHeight="1" x14ac:dyDescent="0.3">
      <c r="B97" s="62"/>
      <c r="G97" s="1434"/>
      <c r="I97" s="210"/>
      <c r="J97" s="1189" t="str">
        <f>'9.3 Ext Simplified'!L11</f>
        <v>Exterior</v>
      </c>
      <c r="K97" s="749">
        <f ca="1">IF(OR(Compliance_Version_Year&lt;2019,_Step2_AlterationsYesNo="Yes"),"",'9.3 Ext Simplified'!M11)</f>
        <v>0</v>
      </c>
      <c r="M97" s="749">
        <f ca="1">IF(OR(Compliance_Version_Year&lt;2019,_Step2_AlterationsYesNo="Yes"),"",'9.3 Ext Simplified'!O11)</f>
        <v>0</v>
      </c>
      <c r="O97" s="749">
        <f ca="1">IFERROR(IF(M$95="ERROR",0,K97+M97),"")</f>
        <v>0</v>
      </c>
      <c r="P97" s="1146"/>
      <c r="Q97" s="749">
        <f ca="1">IF(OR(Compliance_Version_Year&lt;2019,_Step2_AlterationsYesNo="Yes"),"",'9.3 Ext Simplified'!N11)</f>
        <v>0</v>
      </c>
      <c r="R97" s="229"/>
      <c r="S97" s="964" t="str">
        <f ca="1">IF(OR(Compliance_Version_Year&lt;2019,_Step2_AlterationsYesNo="Yes"),"",'9.3 Ext Simplified'!Q11)</f>
        <v>Not Compliant</v>
      </c>
      <c r="U97" s="1394" t="str">
        <f>IF(Compliance_Version_Year&lt;2019,"",'9.3 Ext Simplified'!_BAM_Controls_Compliant)</f>
        <v>Compliant</v>
      </c>
      <c r="V97" s="121"/>
      <c r="W97" s="1394" t="str">
        <f>'9.3 Ext Simplified'!S15</f>
        <v/>
      </c>
      <c r="X97" s="121"/>
      <c r="Y97" s="1394" t="str">
        <f ca="1">IF(Compliance_Version_Year&lt;2019,"Not Applicable",IF(AND(_Step2_AlterationsYesNo="Yes",U97&lt;&gt;"Not Compliant",W97&lt;&gt;"Not Compliant"),"Compliant",IF(AND(_Step2_AlterationsYesNo&lt;&gt;"Yes",S97&lt;&gt;"Not Compliant",S99&lt;&gt;"Not Compliant",U97&lt;&gt;"Not Compliant"),"Compliant","Not Compliant")))</f>
        <v>Not Compliant</v>
      </c>
      <c r="Z97" s="211"/>
      <c r="AB97" s="303"/>
      <c r="AC97" s="303"/>
      <c r="AD97" s="303"/>
      <c r="AE97" s="303"/>
      <c r="AF97" s="199"/>
      <c r="AG97" s="588"/>
      <c r="AH97" s="589"/>
      <c r="AI97" s="199"/>
      <c r="AJ97" s="590"/>
      <c r="AK97" s="590"/>
      <c r="AL97" s="199"/>
      <c r="AM97" s="1133"/>
      <c r="AN97" s="1133"/>
      <c r="AO97" s="1133"/>
      <c r="AP97" s="1133"/>
      <c r="AQ97" s="1133"/>
      <c r="AR97" s="199"/>
      <c r="AS97" s="199"/>
      <c r="AT97" s="1403"/>
      <c r="AU97" s="1403"/>
      <c r="AV97" s="1403"/>
      <c r="AW97" s="1403"/>
      <c r="AX97" s="1403"/>
      <c r="AY97" s="1403"/>
      <c r="AZ97" s="199"/>
      <c r="BA97" s="199"/>
      <c r="BB97" s="199"/>
      <c r="BC97" s="199"/>
      <c r="BD97" s="199"/>
      <c r="BE97" s="199"/>
      <c r="BF97" s="199"/>
      <c r="BG97" s="199"/>
      <c r="BH97" s="199"/>
      <c r="BI97" s="199"/>
      <c r="BJ97" s="199"/>
      <c r="BK97" s="199"/>
      <c r="BL97" s="199"/>
      <c r="BM97" s="199"/>
      <c r="BN97" s="199"/>
      <c r="BO97" s="199"/>
    </row>
    <row r="98" spans="1:67" ht="5.15" customHeight="1" x14ac:dyDescent="0.3">
      <c r="B98" s="62"/>
      <c r="G98" s="1434"/>
      <c r="I98" s="210"/>
      <c r="K98" s="1146"/>
      <c r="P98" s="1146"/>
      <c r="Q98" s="229"/>
      <c r="R98" s="229"/>
      <c r="U98" s="1395"/>
      <c r="V98" s="121"/>
      <c r="W98" s="1395"/>
      <c r="X98" s="121"/>
      <c r="Y98" s="1395"/>
      <c r="Z98" s="211"/>
      <c r="AB98" s="303"/>
      <c r="AC98" s="303"/>
      <c r="AD98" s="303"/>
      <c r="AE98" s="303"/>
      <c r="AF98" s="199"/>
      <c r="AG98" s="588"/>
      <c r="AH98" s="589"/>
      <c r="AI98" s="199"/>
      <c r="AJ98" s="590"/>
      <c r="AK98" s="590"/>
      <c r="AL98" s="199"/>
      <c r="AM98" s="1133"/>
      <c r="AN98" s="1133"/>
      <c r="AO98" s="1133"/>
      <c r="AP98" s="1133"/>
      <c r="AQ98" s="1133"/>
      <c r="AR98" s="199"/>
      <c r="AS98" s="199"/>
      <c r="AT98" s="1403"/>
      <c r="AU98" s="1403"/>
      <c r="AV98" s="1403"/>
      <c r="AW98" s="1403"/>
      <c r="AX98" s="1403"/>
      <c r="AY98" s="1403"/>
      <c r="AZ98" s="199"/>
      <c r="BA98" s="199"/>
      <c r="BB98" s="199"/>
      <c r="BC98" s="199"/>
      <c r="BD98" s="199"/>
      <c r="BE98" s="199"/>
      <c r="BF98" s="199"/>
      <c r="BG98" s="199"/>
      <c r="BH98" s="199"/>
      <c r="BI98" s="199"/>
      <c r="BJ98" s="199"/>
      <c r="BK98" s="199"/>
      <c r="BL98" s="199"/>
      <c r="BM98" s="199"/>
      <c r="BN98" s="199"/>
      <c r="BO98" s="199"/>
    </row>
    <row r="99" spans="1:67" ht="15" customHeight="1" x14ac:dyDescent="0.3">
      <c r="B99" s="62"/>
      <c r="G99" s="1434"/>
      <c r="I99" s="210"/>
      <c r="J99" s="1189" t="str">
        <f>'9.3 Ext Simplified'!L13</f>
        <v>Façade</v>
      </c>
      <c r="K99" s="749">
        <f ca="1">IF(OR(Compliance_Version_Year&lt;2019,_Step2_AlterationsYesNo="Yes"),"",'9.3 Ext Simplified'!M13)</f>
        <v>0</v>
      </c>
      <c r="M99" s="749">
        <f ca="1">IF(OR(Compliance_Version_Year&lt;2019,_Step2_AlterationsYesNo="Yes"),"",'9.3 Ext Simplified'!O13)</f>
        <v>0</v>
      </c>
      <c r="O99" s="749">
        <f ca="1">IFERROR(IF(M$95="ERROR",0,K99+M99),"")</f>
        <v>0</v>
      </c>
      <c r="P99" s="1146"/>
      <c r="Q99" s="749">
        <f ca="1">IF(OR(Compliance_Version_Year&lt;2019,_Step2_AlterationsYesNo="Yes"),"",'9.3 Ext Simplified'!N13)</f>
        <v>0</v>
      </c>
      <c r="R99" s="229"/>
      <c r="S99" s="964" t="str">
        <f ca="1">IF(OR(Compliance_Version_Year&lt;2019,_Step2_AlterationsYesNo="Yes"),"",'9.3 Ext Simplified'!Q13)</f>
        <v>Not Compliant</v>
      </c>
      <c r="U99" s="1396"/>
      <c r="V99" s="121"/>
      <c r="W99" s="1396"/>
      <c r="X99" s="121"/>
      <c r="Y99" s="1396"/>
      <c r="Z99" s="211"/>
      <c r="AB99" s="303"/>
      <c r="AC99" s="303"/>
      <c r="AD99" s="303"/>
      <c r="AE99" s="303"/>
      <c r="AF99" s="199"/>
      <c r="AG99" s="588"/>
      <c r="AH99" s="589"/>
      <c r="AI99" s="199"/>
      <c r="AJ99" s="590"/>
      <c r="AK99" s="590"/>
      <c r="AL99" s="199"/>
      <c r="AM99" s="1133"/>
      <c r="AN99" s="1133"/>
      <c r="AO99" s="1133"/>
      <c r="AP99" s="1133"/>
      <c r="AQ99" s="1133"/>
      <c r="AR99" s="199"/>
      <c r="AS99" s="199"/>
      <c r="AT99" s="1403"/>
      <c r="AU99" s="1403"/>
      <c r="AV99" s="1403"/>
      <c r="AW99" s="1403"/>
      <c r="AX99" s="1403"/>
      <c r="AY99" s="1403"/>
      <c r="AZ99" s="199"/>
      <c r="BA99" s="199"/>
      <c r="BB99" s="199"/>
      <c r="BC99" s="199"/>
      <c r="BD99" s="199"/>
      <c r="BE99" s="199"/>
      <c r="BF99" s="199"/>
      <c r="BG99" s="199"/>
      <c r="BH99" s="199"/>
      <c r="BI99" s="199"/>
      <c r="BJ99" s="199"/>
      <c r="BK99" s="199"/>
      <c r="BL99" s="199"/>
      <c r="BM99" s="199"/>
      <c r="BN99" s="199"/>
      <c r="BO99" s="199"/>
    </row>
    <row r="100" spans="1:67" ht="5.15" customHeight="1" x14ac:dyDescent="0.3">
      <c r="B100" s="62"/>
      <c r="G100" s="1434"/>
      <c r="I100" s="210"/>
      <c r="O100" s="1146"/>
      <c r="P100" s="1146"/>
      <c r="Q100" s="229"/>
      <c r="R100" s="229"/>
      <c r="U100" s="121"/>
      <c r="V100" s="121"/>
      <c r="W100" s="121"/>
      <c r="X100" s="121"/>
      <c r="Y100" s="123"/>
      <c r="Z100" s="211"/>
      <c r="AB100" s="303"/>
      <c r="AC100" s="303"/>
      <c r="AD100" s="303"/>
      <c r="AE100" s="303"/>
      <c r="AF100" s="199"/>
      <c r="AG100" s="588"/>
      <c r="AH100" s="589"/>
      <c r="AI100" s="199"/>
      <c r="AJ100" s="590"/>
      <c r="AK100" s="590"/>
      <c r="AL100" s="199"/>
      <c r="AM100" s="1133"/>
      <c r="AN100" s="1133"/>
      <c r="AO100" s="1133"/>
      <c r="AP100" s="1133"/>
      <c r="AQ100" s="1133"/>
      <c r="AR100" s="199"/>
      <c r="AS100" s="199"/>
      <c r="AT100" s="1403"/>
      <c r="AU100" s="1403"/>
      <c r="AV100" s="1403"/>
      <c r="AW100" s="1403"/>
      <c r="AX100" s="1403"/>
      <c r="AY100" s="1403"/>
      <c r="AZ100" s="199"/>
      <c r="BA100" s="199"/>
      <c r="BB100" s="199"/>
      <c r="BC100" s="199"/>
      <c r="BD100" s="199"/>
      <c r="BE100" s="199"/>
      <c r="BF100" s="199"/>
      <c r="BG100" s="199"/>
      <c r="BH100" s="199"/>
      <c r="BI100" s="199"/>
      <c r="BJ100" s="199"/>
      <c r="BK100" s="199"/>
      <c r="BL100" s="199"/>
      <c r="BM100" s="199"/>
      <c r="BN100" s="199"/>
      <c r="BO100" s="199"/>
    </row>
    <row r="101" spans="1:67" ht="15" customHeight="1" x14ac:dyDescent="0.3">
      <c r="B101" s="62"/>
      <c r="G101" s="1434"/>
      <c r="I101" s="210"/>
      <c r="O101" s="1125"/>
      <c r="P101" s="1125"/>
      <c r="Q101" s="229"/>
      <c r="R101" s="229"/>
      <c r="U101" s="121"/>
      <c r="V101" s="121"/>
      <c r="W101" s="121"/>
      <c r="X101" s="121"/>
      <c r="Y101" s="123"/>
      <c r="Z101" s="211"/>
      <c r="AB101" s="303"/>
      <c r="AC101" s="303"/>
      <c r="AD101" s="303"/>
      <c r="AE101" s="303"/>
      <c r="AF101" s="199"/>
      <c r="AG101" s="588"/>
      <c r="AH101" s="589"/>
      <c r="AI101" s="199"/>
      <c r="AJ101" s="590"/>
      <c r="AK101" s="590"/>
      <c r="AL101" s="199"/>
      <c r="AM101" s="1122"/>
      <c r="AN101" s="1122"/>
      <c r="AO101" s="1122"/>
      <c r="AP101" s="1122"/>
      <c r="AQ101" s="1122"/>
      <c r="AR101" s="199"/>
      <c r="AS101" s="199"/>
      <c r="AT101" s="1403"/>
      <c r="AU101" s="1403"/>
      <c r="AV101" s="1403"/>
      <c r="AW101" s="1403"/>
      <c r="AX101" s="1403"/>
      <c r="AY101" s="1403"/>
      <c r="AZ101" s="199"/>
      <c r="BA101" s="199"/>
      <c r="BB101" s="199"/>
      <c r="BC101" s="199"/>
      <c r="BD101" s="199"/>
      <c r="BE101" s="199"/>
      <c r="BF101" s="199"/>
      <c r="BG101" s="199"/>
      <c r="BH101" s="199"/>
      <c r="BI101" s="199"/>
      <c r="BJ101" s="199"/>
      <c r="BK101" s="199"/>
      <c r="BL101" s="199"/>
      <c r="BM101" s="199"/>
      <c r="BN101" s="199"/>
      <c r="BO101" s="199"/>
    </row>
    <row r="102" spans="1:67" ht="5.15" customHeight="1" x14ac:dyDescent="0.3">
      <c r="B102" s="62"/>
      <c r="I102" s="63"/>
      <c r="O102" s="1125"/>
      <c r="P102" s="1125"/>
      <c r="Q102" s="229"/>
      <c r="R102" s="229"/>
      <c r="U102" s="121"/>
      <c r="V102" s="121"/>
      <c r="W102" s="121"/>
      <c r="X102" s="121"/>
      <c r="Y102" s="123"/>
      <c r="Z102" s="63"/>
      <c r="AB102" s="303"/>
      <c r="AC102" s="303"/>
      <c r="AD102" s="303"/>
      <c r="AE102" s="303"/>
      <c r="AF102" s="199"/>
      <c r="AG102" s="588"/>
      <c r="AH102" s="589"/>
      <c r="AI102" s="199"/>
      <c r="AJ102" s="590"/>
      <c r="AK102" s="590"/>
      <c r="AL102" s="199"/>
      <c r="AM102" s="1122"/>
      <c r="AN102" s="1122"/>
      <c r="AO102" s="1122"/>
      <c r="AP102" s="1122"/>
      <c r="AQ102" s="1122"/>
      <c r="AR102" s="199"/>
      <c r="AS102" s="199"/>
      <c r="AT102" s="1403"/>
      <c r="AU102" s="1403"/>
      <c r="AV102" s="1403"/>
      <c r="AW102" s="1403"/>
      <c r="AX102" s="1403"/>
      <c r="AY102" s="1403"/>
      <c r="AZ102" s="199"/>
      <c r="BA102" s="199"/>
      <c r="BB102" s="199"/>
      <c r="BC102" s="199"/>
      <c r="BD102" s="199"/>
      <c r="BE102" s="199"/>
      <c r="BF102" s="199"/>
      <c r="BG102" s="199"/>
      <c r="BH102" s="199"/>
      <c r="BI102" s="199"/>
      <c r="BJ102" s="199"/>
      <c r="BK102" s="199"/>
      <c r="BL102" s="199"/>
      <c r="BM102" s="199"/>
      <c r="BN102" s="199"/>
      <c r="BO102" s="199"/>
    </row>
    <row r="103" spans="1:67" ht="15" customHeight="1" x14ac:dyDescent="0.3">
      <c r="B103" s="62"/>
      <c r="I103" s="1398" t="s">
        <v>939</v>
      </c>
      <c r="J103" s="1399"/>
      <c r="K103" s="1399"/>
      <c r="L103" s="1399"/>
      <c r="M103" s="1399"/>
      <c r="N103" s="412"/>
      <c r="O103" s="412"/>
      <c r="P103" s="412"/>
      <c r="Q103" s="412"/>
      <c r="R103" s="412"/>
      <c r="S103" s="412"/>
      <c r="T103" s="412"/>
      <c r="U103" s="412"/>
      <c r="V103" s="412"/>
      <c r="W103" s="412"/>
      <c r="X103" s="412"/>
      <c r="Y103" s="412"/>
      <c r="Z103" s="414"/>
      <c r="AB103" s="303"/>
      <c r="AC103" s="303"/>
      <c r="AD103" s="303"/>
      <c r="AE103" s="303"/>
      <c r="AF103" s="199"/>
      <c r="AG103" s="588"/>
      <c r="AH103" s="589"/>
      <c r="AI103" s="199"/>
      <c r="AJ103" s="590"/>
      <c r="AK103" s="590"/>
      <c r="AL103" s="199"/>
      <c r="AM103" s="620"/>
      <c r="AN103" s="620"/>
      <c r="AO103" s="620"/>
      <c r="AP103" s="620"/>
      <c r="AQ103" s="620"/>
      <c r="AR103" s="199"/>
      <c r="AS103" s="199"/>
      <c r="AT103" s="1403"/>
      <c r="AU103" s="1403"/>
      <c r="AV103" s="1403"/>
      <c r="AW103" s="1403"/>
      <c r="AX103" s="1403"/>
      <c r="AY103" s="1403"/>
      <c r="AZ103" s="199"/>
      <c r="BA103" s="199"/>
      <c r="BB103" s="199"/>
      <c r="BC103" s="199"/>
      <c r="BD103" s="199"/>
      <c r="BE103" s="199"/>
      <c r="BF103" s="199"/>
      <c r="BG103" s="199"/>
      <c r="BH103" s="199"/>
      <c r="BI103" s="199"/>
      <c r="BJ103" s="199"/>
      <c r="BK103" s="199"/>
      <c r="BL103" s="199"/>
      <c r="BM103" s="199"/>
      <c r="BN103" s="199"/>
      <c r="BO103" s="199"/>
    </row>
    <row r="104" spans="1:67" ht="5.15" customHeight="1" x14ac:dyDescent="0.3">
      <c r="B104" s="62"/>
      <c r="I104" s="1400"/>
      <c r="J104" s="1401"/>
      <c r="K104" s="1401"/>
      <c r="L104" s="1401"/>
      <c r="M104" s="1401"/>
      <c r="N104" s="592"/>
      <c r="O104" s="592"/>
      <c r="P104" s="592"/>
      <c r="Q104" s="597"/>
      <c r="R104" s="597"/>
      <c r="U104" s="214"/>
      <c r="V104" s="214"/>
      <c r="W104" s="215"/>
      <c r="X104" s="215"/>
      <c r="Y104" s="215"/>
      <c r="Z104" s="211"/>
      <c r="AB104" s="303"/>
      <c r="AC104" s="303"/>
      <c r="AD104" s="303"/>
      <c r="AE104" s="303"/>
      <c r="AF104" s="199"/>
      <c r="AG104" s="588"/>
      <c r="AH104" s="589"/>
      <c r="AI104" s="199"/>
      <c r="AJ104" s="590"/>
      <c r="AK104" s="590"/>
      <c r="AL104" s="199"/>
      <c r="AM104" s="620"/>
      <c r="AN104" s="620"/>
      <c r="AO104" s="620"/>
      <c r="AP104" s="620"/>
      <c r="AQ104" s="620"/>
      <c r="AR104" s="199"/>
      <c r="AS104" s="199"/>
      <c r="AT104" s="1403"/>
      <c r="AU104" s="1403"/>
      <c r="AV104" s="1403"/>
      <c r="AW104" s="1403"/>
      <c r="AX104" s="1403"/>
      <c r="AY104" s="1403"/>
      <c r="AZ104" s="199"/>
      <c r="BA104" s="199"/>
      <c r="BB104" s="199"/>
      <c r="BC104" s="199"/>
      <c r="BD104" s="199"/>
      <c r="BE104" s="199"/>
      <c r="BF104" s="199"/>
      <c r="BG104" s="199"/>
      <c r="BH104" s="199"/>
      <c r="BI104" s="199"/>
      <c r="BJ104" s="199"/>
      <c r="BK104" s="199"/>
      <c r="BL104" s="199"/>
      <c r="BM104" s="199"/>
      <c r="BN104" s="199"/>
      <c r="BO104" s="199"/>
    </row>
    <row r="105" spans="1:67" ht="15" customHeight="1" x14ac:dyDescent="0.3">
      <c r="B105" s="62"/>
      <c r="I105" s="210"/>
      <c r="J105" s="64"/>
      <c r="M105" s="592"/>
      <c r="N105" s="592"/>
      <c r="O105" s="592"/>
      <c r="P105" s="592"/>
      <c r="Q105" s="597"/>
      <c r="R105" s="597"/>
      <c r="U105" s="214"/>
      <c r="V105" s="214"/>
      <c r="W105" s="215"/>
      <c r="X105" s="215"/>
      <c r="Z105" s="211"/>
      <c r="AB105" s="303"/>
      <c r="AC105" s="303"/>
      <c r="AD105" s="303"/>
      <c r="AE105" s="303"/>
      <c r="AF105" s="199"/>
      <c r="AG105" s="588"/>
      <c r="AH105" s="589"/>
      <c r="AI105" s="199"/>
      <c r="AJ105" s="590"/>
      <c r="AK105" s="590"/>
      <c r="AL105" s="199"/>
      <c r="AM105" s="620"/>
      <c r="AN105" s="620"/>
      <c r="AO105" s="620"/>
      <c r="AP105" s="620"/>
      <c r="AQ105" s="620"/>
      <c r="AR105" s="199"/>
      <c r="AS105" s="199"/>
      <c r="AT105" s="1403"/>
      <c r="AU105" s="1403"/>
      <c r="AV105" s="1403"/>
      <c r="AW105" s="1403"/>
      <c r="AX105" s="1403"/>
      <c r="AY105" s="1403"/>
      <c r="AZ105" s="199"/>
      <c r="BA105" s="199"/>
      <c r="BB105" s="199"/>
      <c r="BC105" s="199"/>
      <c r="BD105" s="199"/>
      <c r="BE105" s="199"/>
      <c r="BF105" s="199"/>
      <c r="BG105" s="199"/>
      <c r="BH105" s="199"/>
      <c r="BI105" s="199"/>
      <c r="BJ105" s="199"/>
      <c r="BK105" s="199"/>
      <c r="BL105" s="199"/>
      <c r="BM105" s="199"/>
      <c r="BN105" s="199"/>
      <c r="BO105" s="199"/>
    </row>
    <row r="106" spans="1:67" ht="5.15" customHeight="1" thickBot="1" x14ac:dyDescent="0.35">
      <c r="B106" s="62"/>
      <c r="I106" s="210"/>
      <c r="J106" s="73"/>
      <c r="K106" s="73"/>
      <c r="L106" s="73"/>
      <c r="M106" s="73"/>
      <c r="N106" s="73"/>
      <c r="O106" s="196"/>
      <c r="P106" s="196"/>
      <c r="Q106" s="447"/>
      <c r="R106" s="447"/>
      <c r="S106" s="73"/>
      <c r="T106" s="73"/>
      <c r="Z106" s="211"/>
      <c r="AB106" s="303"/>
      <c r="AC106" s="303"/>
      <c r="AD106" s="303"/>
      <c r="AE106" s="303"/>
      <c r="AF106" s="199"/>
      <c r="AG106" s="588"/>
      <c r="AH106" s="589"/>
      <c r="AI106" s="199"/>
      <c r="AJ106" s="590"/>
      <c r="AK106" s="590"/>
      <c r="AL106" s="199"/>
      <c r="AM106" s="620"/>
      <c r="AN106" s="620"/>
      <c r="AO106" s="620"/>
      <c r="AP106" s="620"/>
      <c r="AQ106" s="620"/>
      <c r="AR106" s="199"/>
      <c r="AS106" s="199"/>
      <c r="AT106" s="1403"/>
      <c r="AU106" s="1403"/>
      <c r="AV106" s="1403"/>
      <c r="AW106" s="1403"/>
      <c r="AX106" s="1403"/>
      <c r="AY106" s="1403"/>
      <c r="AZ106" s="199"/>
      <c r="BA106" s="199"/>
      <c r="BB106" s="199"/>
      <c r="BC106" s="199"/>
      <c r="BD106" s="199"/>
      <c r="BE106" s="199"/>
      <c r="BF106" s="199"/>
      <c r="BG106" s="199"/>
      <c r="BH106" s="199"/>
      <c r="BI106" s="199"/>
      <c r="BJ106" s="199"/>
      <c r="BK106" s="199"/>
      <c r="BL106" s="199"/>
      <c r="BM106" s="199"/>
      <c r="BN106" s="199"/>
      <c r="BO106" s="199"/>
    </row>
    <row r="107" spans="1:67" ht="15" customHeight="1" thickBot="1" x14ac:dyDescent="0.35">
      <c r="B107" s="62"/>
      <c r="I107" s="210"/>
      <c r="J107" s="73"/>
      <c r="K107" s="73"/>
      <c r="L107" s="73"/>
      <c r="M107" s="596" t="s">
        <v>895</v>
      </c>
      <c r="N107" s="73"/>
      <c r="O107" s="293" t="s">
        <v>15</v>
      </c>
      <c r="P107" s="196"/>
      <c r="Q107" s="447"/>
      <c r="R107" s="447"/>
      <c r="S107" s="73"/>
      <c r="T107" s="73"/>
      <c r="W107" s="596" t="s">
        <v>896</v>
      </c>
      <c r="Y107" s="293" t="s">
        <v>15</v>
      </c>
      <c r="Z107" s="211"/>
      <c r="AB107" s="303"/>
      <c r="AC107" s="303"/>
      <c r="AD107" s="303"/>
      <c r="AE107" s="303"/>
      <c r="AF107" s="199"/>
      <c r="AG107" s="588"/>
      <c r="AH107" s="589"/>
      <c r="AI107" s="199"/>
      <c r="AJ107" s="590"/>
      <c r="AK107" s="590"/>
      <c r="AL107" s="199"/>
      <c r="AM107" s="620"/>
      <c r="AN107" s="620"/>
      <c r="AO107" s="620"/>
      <c r="AP107" s="620"/>
      <c r="AQ107" s="620"/>
      <c r="AR107" s="199"/>
      <c r="AS107" s="199"/>
      <c r="AT107" s="1403"/>
      <c r="AU107" s="1403"/>
      <c r="AV107" s="1403"/>
      <c r="AW107" s="1403"/>
      <c r="AX107" s="1403"/>
      <c r="AY107" s="1403"/>
      <c r="AZ107" s="199"/>
      <c r="BA107" s="199"/>
      <c r="BB107" s="199"/>
      <c r="BC107" s="199"/>
      <c r="BD107" s="199"/>
      <c r="BE107" s="199"/>
      <c r="BF107" s="199"/>
      <c r="BG107" s="199"/>
      <c r="BH107" s="199"/>
      <c r="BI107" s="199"/>
      <c r="BJ107" s="199"/>
      <c r="BK107" s="199"/>
      <c r="BL107" s="199"/>
      <c r="BM107" s="199"/>
      <c r="BN107" s="199"/>
      <c r="BO107" s="199"/>
    </row>
    <row r="108" spans="1:67" ht="5.15" customHeight="1" x14ac:dyDescent="0.3">
      <c r="B108" s="62"/>
      <c r="I108" s="210"/>
      <c r="J108" s="73"/>
      <c r="K108" s="73"/>
      <c r="L108" s="73"/>
      <c r="M108" s="73"/>
      <c r="N108" s="73"/>
      <c r="O108" s="196"/>
      <c r="P108" s="196"/>
      <c r="Q108" s="447"/>
      <c r="R108" s="447"/>
      <c r="S108" s="73"/>
      <c r="T108" s="73"/>
      <c r="U108" s="121"/>
      <c r="V108" s="121"/>
      <c r="W108" s="121"/>
      <c r="X108" s="121"/>
      <c r="Y108" s="123"/>
      <c r="Z108" s="211"/>
      <c r="AB108" s="303"/>
      <c r="AC108" s="303"/>
      <c r="AD108" s="303"/>
      <c r="AE108" s="303"/>
      <c r="AF108" s="199"/>
      <c r="AG108" s="588"/>
      <c r="AH108" s="589"/>
      <c r="AI108" s="199"/>
      <c r="AJ108" s="590"/>
      <c r="AK108" s="590"/>
      <c r="AL108" s="199"/>
      <c r="AM108" s="620"/>
      <c r="AN108" s="620"/>
      <c r="AO108" s="620"/>
      <c r="AP108" s="620"/>
      <c r="AQ108" s="620"/>
      <c r="AR108" s="199"/>
      <c r="AS108" s="199"/>
      <c r="AT108" s="1403"/>
      <c r="AU108" s="1403"/>
      <c r="AV108" s="1403"/>
      <c r="AW108" s="1403"/>
      <c r="AX108" s="1403"/>
      <c r="AY108" s="1403"/>
      <c r="AZ108" s="199"/>
      <c r="BA108" s="199"/>
      <c r="BB108" s="199"/>
      <c r="BC108" s="199"/>
      <c r="BD108" s="199"/>
      <c r="BE108" s="199"/>
      <c r="BF108" s="199"/>
      <c r="BG108" s="199"/>
      <c r="BH108" s="199"/>
      <c r="BI108" s="199"/>
      <c r="BJ108" s="199"/>
      <c r="BK108" s="199"/>
      <c r="BL108" s="199"/>
      <c r="BM108" s="199"/>
      <c r="BN108" s="199"/>
      <c r="BO108" s="199"/>
    </row>
    <row r="109" spans="1:67" ht="15" customHeight="1" x14ac:dyDescent="0.3">
      <c r="B109" s="62"/>
      <c r="I109" s="210"/>
      <c r="J109" s="1408"/>
      <c r="K109" s="1408"/>
      <c r="L109" s="1408"/>
      <c r="M109" s="1408"/>
      <c r="N109" s="1408"/>
      <c r="O109" s="196"/>
      <c r="P109" s="196"/>
      <c r="Q109" s="447"/>
      <c r="R109" s="447"/>
      <c r="S109" s="73"/>
      <c r="T109" s="73"/>
      <c r="U109" s="121"/>
      <c r="V109" s="121"/>
      <c r="W109" s="121"/>
      <c r="X109" s="121"/>
      <c r="Y109" s="123"/>
      <c r="Z109" s="211"/>
      <c r="AB109" s="303"/>
      <c r="AC109" s="303"/>
      <c r="AD109" s="303"/>
      <c r="AE109" s="303"/>
      <c r="AF109" s="199"/>
      <c r="AG109" s="588"/>
      <c r="AH109" s="589"/>
      <c r="AI109" s="199"/>
      <c r="AJ109" s="590"/>
      <c r="AK109" s="590"/>
      <c r="AL109" s="199"/>
      <c r="AM109" s="620"/>
      <c r="AN109" s="620"/>
      <c r="AO109" s="620"/>
      <c r="AP109" s="620"/>
      <c r="AQ109" s="620"/>
      <c r="AR109" s="199"/>
      <c r="AS109" s="199"/>
      <c r="AT109" s="1403"/>
      <c r="AU109" s="1403"/>
      <c r="AV109" s="1403"/>
      <c r="AW109" s="1403"/>
      <c r="AX109" s="1403"/>
      <c r="AY109" s="1403"/>
      <c r="AZ109" s="199"/>
      <c r="BA109" s="199"/>
      <c r="BB109" s="199"/>
      <c r="BC109" s="199"/>
      <c r="BD109" s="199"/>
      <c r="BE109" s="199"/>
      <c r="BF109" s="199"/>
      <c r="BG109" s="199"/>
      <c r="BH109" s="199"/>
      <c r="BI109" s="199"/>
      <c r="BJ109" s="199"/>
      <c r="BK109" s="199"/>
      <c r="BL109" s="199"/>
      <c r="BM109" s="199"/>
      <c r="BN109" s="199"/>
      <c r="BO109" s="199"/>
    </row>
    <row r="110" spans="1:67" ht="5.15" customHeight="1" x14ac:dyDescent="0.3">
      <c r="B110" s="62"/>
      <c r="I110" s="210"/>
      <c r="J110" s="73"/>
      <c r="K110" s="73"/>
      <c r="L110" s="73"/>
      <c r="M110" s="73"/>
      <c r="N110" s="73"/>
      <c r="O110" s="196"/>
      <c r="P110" s="196"/>
      <c r="Q110" s="447"/>
      <c r="R110" s="447"/>
      <c r="S110" s="73"/>
      <c r="T110" s="73"/>
      <c r="U110" s="121"/>
      <c r="V110" s="121"/>
      <c r="W110" s="121"/>
      <c r="X110" s="121"/>
      <c r="Y110" s="123"/>
      <c r="Z110" s="211"/>
      <c r="AB110" s="303"/>
      <c r="AC110" s="303"/>
      <c r="AD110" s="303"/>
      <c r="AE110" s="303"/>
      <c r="AF110" s="199"/>
      <c r="AG110" s="588"/>
      <c r="AH110" s="589"/>
      <c r="AI110" s="199"/>
      <c r="AJ110" s="590"/>
      <c r="AK110" s="590"/>
      <c r="AL110" s="199"/>
      <c r="AM110" s="620"/>
      <c r="AN110" s="620"/>
      <c r="AO110" s="620"/>
      <c r="AP110" s="620"/>
      <c r="AQ110" s="620"/>
      <c r="AR110" s="199"/>
      <c r="AS110" s="199"/>
      <c r="AT110" s="1403"/>
      <c r="AU110" s="1403"/>
      <c r="AV110" s="1403"/>
      <c r="AW110" s="1403"/>
      <c r="AX110" s="1403"/>
      <c r="AY110" s="1403"/>
      <c r="AZ110" s="199"/>
      <c r="BA110" s="199"/>
      <c r="BB110" s="199"/>
      <c r="BC110" s="199"/>
      <c r="BD110" s="199"/>
      <c r="BE110" s="199"/>
      <c r="BF110" s="199"/>
      <c r="BG110" s="199"/>
      <c r="BH110" s="199"/>
      <c r="BI110" s="199"/>
      <c r="BJ110" s="199"/>
      <c r="BK110" s="199"/>
      <c r="BL110" s="199"/>
      <c r="BM110" s="199"/>
      <c r="BN110" s="199"/>
      <c r="BO110" s="199"/>
    </row>
    <row r="111" spans="1:67" s="199" customFormat="1" ht="15" customHeight="1" x14ac:dyDescent="0.25">
      <c r="A111" s="118"/>
      <c r="B111" s="118"/>
      <c r="C111" s="118"/>
      <c r="D111" s="118"/>
      <c r="E111" s="118"/>
      <c r="F111" s="118"/>
      <c r="G111" s="118"/>
      <c r="H111" s="443"/>
      <c r="I111" s="210"/>
      <c r="J111" s="73"/>
      <c r="K111" s="73"/>
      <c r="L111" s="73"/>
      <c r="M111" s="73"/>
      <c r="N111" s="73"/>
      <c r="O111" s="73"/>
      <c r="P111" s="73"/>
      <c r="Q111" s="73"/>
      <c r="R111" s="447"/>
      <c r="S111" s="73"/>
      <c r="T111" s="73"/>
      <c r="U111" s="121"/>
      <c r="V111" s="121"/>
      <c r="W111" s="121"/>
      <c r="X111" s="121"/>
      <c r="Y111" s="123"/>
      <c r="Z111" s="211"/>
      <c r="AA111" s="63"/>
    </row>
    <row r="112" spans="1:67" s="199" customFormat="1" ht="15" customHeight="1" x14ac:dyDescent="0.25">
      <c r="A112" s="118"/>
      <c r="B112" s="118"/>
      <c r="C112" s="118"/>
      <c r="D112" s="118"/>
      <c r="E112" s="118"/>
      <c r="F112" s="118"/>
      <c r="G112" s="118"/>
      <c r="H112" s="443"/>
      <c r="I112" s="210"/>
      <c r="J112" s="73"/>
      <c r="K112" s="73"/>
      <c r="L112" s="73"/>
      <c r="M112" s="187"/>
      <c r="N112" s="187"/>
      <c r="O112" s="186"/>
      <c r="P112" s="196"/>
      <c r="Q112" s="447"/>
      <c r="R112" s="447"/>
      <c r="S112" s="73"/>
      <c r="T112" s="73"/>
      <c r="U112" s="121"/>
      <c r="V112" s="121"/>
      <c r="W112" s="121"/>
      <c r="X112" s="121"/>
      <c r="Y112" s="123"/>
      <c r="Z112" s="211"/>
      <c r="AA112" s="63"/>
    </row>
    <row r="113" spans="1:235" s="118" customFormat="1" ht="15" customHeight="1" x14ac:dyDescent="0.3">
      <c r="H113" s="465"/>
      <c r="I113" s="446"/>
      <c r="J113" s="73"/>
      <c r="K113" s="73"/>
      <c r="N113" s="596"/>
      <c r="P113" s="196"/>
      <c r="Q113" s="447"/>
      <c r="R113" s="447"/>
      <c r="S113" s="73"/>
      <c r="T113" s="73"/>
      <c r="U113" s="121"/>
      <c r="V113" s="121"/>
      <c r="W113" s="121"/>
      <c r="X113" s="121"/>
      <c r="Y113" s="123"/>
      <c r="Z113" s="73"/>
      <c r="AA113" s="63"/>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99"/>
      <c r="CC113" s="199"/>
      <c r="CD113" s="199"/>
      <c r="CE113" s="199"/>
      <c r="CF113" s="199"/>
      <c r="CG113" s="199"/>
      <c r="CH113" s="199"/>
      <c r="CI113" s="199"/>
      <c r="CJ113" s="199"/>
      <c r="CK113" s="199"/>
      <c r="CL113" s="199"/>
      <c r="CM113" s="199"/>
      <c r="CN113" s="199"/>
      <c r="CO113" s="199"/>
      <c r="CP113" s="199"/>
      <c r="CQ113" s="199"/>
      <c r="CR113" s="199"/>
      <c r="CS113" s="199"/>
      <c r="CT113" s="199"/>
      <c r="CU113" s="199"/>
      <c r="CV113" s="199"/>
      <c r="CW113" s="199"/>
      <c r="CX113" s="199"/>
      <c r="CY113" s="199"/>
      <c r="CZ113" s="199"/>
      <c r="DA113" s="199"/>
      <c r="DB113" s="199"/>
      <c r="DC113" s="199"/>
      <c r="DD113" s="199"/>
      <c r="DE113" s="199"/>
      <c r="DF113" s="199"/>
      <c r="DG113" s="199"/>
      <c r="DH113" s="199"/>
      <c r="DI113" s="199"/>
      <c r="DJ113" s="199"/>
      <c r="DK113" s="199"/>
      <c r="DL113" s="199"/>
      <c r="DM113" s="199"/>
      <c r="DN113" s="199"/>
      <c r="DO113" s="199"/>
      <c r="DP113" s="199"/>
      <c r="DQ113" s="199"/>
      <c r="DR113" s="199"/>
      <c r="DS113" s="199"/>
      <c r="DT113" s="199"/>
      <c r="DU113" s="199"/>
      <c r="DV113" s="199"/>
      <c r="DW113" s="199"/>
      <c r="DX113" s="199"/>
      <c r="DY113" s="199"/>
      <c r="DZ113" s="199"/>
      <c r="EA113" s="199"/>
      <c r="EB113" s="199"/>
      <c r="EC113" s="199"/>
      <c r="ED113" s="199"/>
      <c r="EE113" s="199"/>
      <c r="EF113" s="199"/>
      <c r="EG113" s="199"/>
      <c r="EH113" s="199"/>
      <c r="EI113" s="199"/>
      <c r="EJ113" s="199"/>
      <c r="EK113" s="199"/>
      <c r="EL113" s="199"/>
      <c r="EM113" s="199"/>
      <c r="EN113" s="199"/>
      <c r="EO113" s="199"/>
      <c r="EP113" s="199"/>
      <c r="EQ113" s="199"/>
      <c r="ER113" s="199"/>
      <c r="ES113" s="199"/>
      <c r="ET113" s="199"/>
      <c r="EU113" s="199"/>
      <c r="EV113" s="199"/>
      <c r="EW113" s="199"/>
      <c r="EX113" s="199"/>
      <c r="EY113" s="199"/>
      <c r="EZ113" s="199"/>
      <c r="FA113" s="199"/>
      <c r="FB113" s="199"/>
      <c r="FC113" s="199"/>
      <c r="FD113" s="199"/>
      <c r="FE113" s="199"/>
      <c r="FF113" s="199"/>
      <c r="FG113" s="199"/>
      <c r="FH113" s="199"/>
      <c r="FI113" s="199"/>
      <c r="FJ113" s="199"/>
      <c r="FK113" s="199"/>
      <c r="FL113" s="199"/>
      <c r="FM113" s="199"/>
      <c r="FN113" s="199"/>
      <c r="FO113" s="199"/>
      <c r="FP113" s="199"/>
      <c r="FQ113" s="199"/>
      <c r="FR113" s="199"/>
      <c r="FS113" s="199"/>
      <c r="FT113" s="199"/>
      <c r="FU113" s="199"/>
      <c r="FV113" s="199"/>
      <c r="FW113" s="199"/>
      <c r="FX113" s="199"/>
      <c r="FY113" s="199"/>
      <c r="FZ113" s="199"/>
      <c r="GA113" s="199"/>
      <c r="GB113" s="199"/>
      <c r="GC113" s="199"/>
      <c r="GD113" s="199"/>
      <c r="GE113" s="199"/>
      <c r="GF113" s="199"/>
      <c r="GG113" s="199"/>
      <c r="GH113" s="199"/>
      <c r="GI113" s="199"/>
      <c r="GJ113" s="199"/>
      <c r="GK113" s="199"/>
      <c r="GL113" s="199"/>
      <c r="GM113" s="199"/>
      <c r="GN113" s="199"/>
      <c r="GO113" s="199"/>
      <c r="GP113" s="199"/>
      <c r="GQ113" s="199"/>
      <c r="GR113" s="199"/>
      <c r="GS113" s="199"/>
      <c r="GT113" s="199"/>
      <c r="GU113" s="199"/>
      <c r="GV113" s="199"/>
      <c r="GW113" s="199"/>
      <c r="GX113" s="199"/>
      <c r="GY113" s="199"/>
      <c r="GZ113" s="199"/>
      <c r="HA113" s="199"/>
      <c r="HB113" s="199"/>
      <c r="HC113" s="199"/>
      <c r="HD113" s="199"/>
      <c r="HE113" s="199"/>
      <c r="HF113" s="199"/>
      <c r="HG113" s="199"/>
      <c r="HH113" s="199"/>
      <c r="HI113" s="199"/>
      <c r="HJ113" s="199"/>
      <c r="HK113" s="199"/>
      <c r="HL113" s="199"/>
      <c r="HM113" s="199"/>
      <c r="HN113" s="199"/>
      <c r="HO113" s="199"/>
      <c r="HP113" s="199"/>
      <c r="HQ113" s="199"/>
      <c r="HR113" s="199"/>
      <c r="HS113" s="199"/>
      <c r="HT113" s="199"/>
      <c r="HU113" s="199"/>
      <c r="HV113" s="199"/>
      <c r="HW113" s="199"/>
      <c r="HX113" s="199"/>
      <c r="HY113" s="199"/>
      <c r="HZ113" s="199"/>
    </row>
    <row r="114" spans="1:235" s="118" customFormat="1" ht="15" customHeight="1" x14ac:dyDescent="0.3">
      <c r="H114" s="465"/>
      <c r="I114" s="446"/>
      <c r="J114" s="73"/>
      <c r="K114" s="73"/>
      <c r="L114" s="73"/>
      <c r="M114" s="73"/>
      <c r="N114" s="73"/>
      <c r="O114" s="196"/>
      <c r="P114" s="196"/>
      <c r="Q114" s="447"/>
      <c r="R114" s="447"/>
      <c r="S114" s="73"/>
      <c r="T114" s="73"/>
      <c r="U114" s="121"/>
      <c r="V114" s="121"/>
      <c r="W114" s="121"/>
      <c r="X114" s="121"/>
      <c r="Y114" s="123"/>
      <c r="Z114" s="73"/>
      <c r="AA114" s="63"/>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c r="CE114" s="199"/>
      <c r="CF114" s="199"/>
      <c r="CG114" s="199"/>
      <c r="CH114" s="199"/>
      <c r="CI114" s="199"/>
      <c r="CJ114" s="199"/>
      <c r="CK114" s="199"/>
      <c r="CL114" s="199"/>
      <c r="CM114" s="199"/>
      <c r="CN114" s="199"/>
      <c r="CO114" s="199"/>
      <c r="CP114" s="199"/>
      <c r="CQ114" s="199"/>
      <c r="CR114" s="199"/>
      <c r="CS114" s="199"/>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99"/>
      <c r="DQ114" s="199"/>
      <c r="DR114" s="199"/>
      <c r="DS114" s="199"/>
      <c r="DT114" s="199"/>
      <c r="DU114" s="199"/>
      <c r="DV114" s="199"/>
      <c r="DW114" s="199"/>
      <c r="DX114" s="199"/>
      <c r="DY114" s="199"/>
      <c r="DZ114" s="199"/>
      <c r="EA114" s="199"/>
      <c r="EB114" s="199"/>
      <c r="EC114" s="199"/>
      <c r="ED114" s="199"/>
      <c r="EE114" s="199"/>
      <c r="EF114" s="199"/>
      <c r="EG114" s="199"/>
      <c r="EH114" s="199"/>
      <c r="EI114" s="199"/>
      <c r="EJ114" s="199"/>
      <c r="EK114" s="199"/>
      <c r="EL114" s="199"/>
      <c r="EM114" s="199"/>
      <c r="EN114" s="199"/>
      <c r="EO114" s="199"/>
      <c r="EP114" s="199"/>
      <c r="EQ114" s="199"/>
      <c r="ER114" s="199"/>
      <c r="ES114" s="199"/>
      <c r="ET114" s="199"/>
      <c r="EU114" s="199"/>
      <c r="EV114" s="199"/>
      <c r="EW114" s="199"/>
      <c r="EX114" s="199"/>
      <c r="EY114" s="199"/>
      <c r="EZ114" s="199"/>
      <c r="FA114" s="199"/>
      <c r="FB114" s="199"/>
      <c r="FC114" s="199"/>
      <c r="FD114" s="199"/>
      <c r="FE114" s="199"/>
      <c r="FF114" s="199"/>
      <c r="FG114" s="199"/>
      <c r="FH114" s="199"/>
      <c r="FI114" s="199"/>
      <c r="FJ114" s="199"/>
      <c r="FK114" s="199"/>
      <c r="FL114" s="199"/>
      <c r="FM114" s="199"/>
      <c r="FN114" s="199"/>
      <c r="FO114" s="199"/>
      <c r="FP114" s="199"/>
      <c r="FQ114" s="199"/>
      <c r="FR114" s="199"/>
      <c r="FS114" s="199"/>
      <c r="FT114" s="199"/>
      <c r="FU114" s="199"/>
      <c r="FV114" s="199"/>
      <c r="FW114" s="199"/>
      <c r="FX114" s="199"/>
      <c r="FY114" s="199"/>
      <c r="FZ114" s="199"/>
      <c r="GA114" s="199"/>
      <c r="GB114" s="199"/>
      <c r="GC114" s="199"/>
      <c r="GD114" s="199"/>
      <c r="GE114" s="199"/>
      <c r="GF114" s="199"/>
      <c r="GG114" s="199"/>
      <c r="GH114" s="199"/>
      <c r="GI114" s="199"/>
      <c r="GJ114" s="199"/>
      <c r="GK114" s="199"/>
      <c r="GL114" s="199"/>
      <c r="GM114" s="199"/>
      <c r="GN114" s="199"/>
      <c r="GO114" s="199"/>
      <c r="GP114" s="199"/>
      <c r="GQ114" s="199"/>
      <c r="GR114" s="199"/>
      <c r="GS114" s="199"/>
      <c r="GT114" s="199"/>
      <c r="GU114" s="199"/>
      <c r="GV114" s="199"/>
      <c r="GW114" s="199"/>
      <c r="GX114" s="199"/>
      <c r="GY114" s="199"/>
      <c r="GZ114" s="199"/>
      <c r="HA114" s="199"/>
      <c r="HB114" s="199"/>
      <c r="HC114" s="199"/>
      <c r="HD114" s="199"/>
      <c r="HE114" s="199"/>
      <c r="HF114" s="199"/>
      <c r="HG114" s="199"/>
      <c r="HH114" s="199"/>
      <c r="HI114" s="199"/>
      <c r="HJ114" s="199"/>
      <c r="HK114" s="199"/>
      <c r="HL114" s="199"/>
      <c r="HM114" s="199"/>
      <c r="HN114" s="199"/>
      <c r="HO114" s="199"/>
      <c r="HP114" s="199"/>
      <c r="HQ114" s="199"/>
      <c r="HR114" s="199"/>
      <c r="HS114" s="199"/>
      <c r="HT114" s="199"/>
      <c r="HU114" s="199"/>
      <c r="HV114" s="199"/>
      <c r="HW114" s="199"/>
      <c r="HX114" s="199"/>
      <c r="HY114" s="199"/>
      <c r="HZ114" s="199"/>
    </row>
    <row r="115" spans="1:235" s="118" customFormat="1" ht="15" customHeight="1" x14ac:dyDescent="0.3">
      <c r="H115" s="465"/>
      <c r="I115" s="446"/>
      <c r="J115" s="73"/>
      <c r="K115" s="73"/>
      <c r="L115" s="73"/>
      <c r="M115" s="73"/>
      <c r="N115" s="73"/>
      <c r="O115" s="196"/>
      <c r="P115" s="196"/>
      <c r="Q115" s="447"/>
      <c r="R115" s="447"/>
      <c r="S115" s="73"/>
      <c r="T115" s="73"/>
      <c r="U115" s="121"/>
      <c r="V115" s="121"/>
      <c r="W115" s="121"/>
      <c r="X115" s="121"/>
      <c r="Y115" s="123"/>
      <c r="Z115" s="73"/>
      <c r="AA115" s="63"/>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199"/>
      <c r="BZ115" s="199"/>
      <c r="CA115" s="199"/>
      <c r="CB115" s="199"/>
      <c r="CC115" s="199"/>
      <c r="CD115" s="199"/>
      <c r="CE115" s="199"/>
      <c r="CF115" s="199"/>
      <c r="CG115" s="199"/>
      <c r="CH115" s="199"/>
      <c r="CI115" s="199"/>
      <c r="CJ115" s="199"/>
      <c r="CK115" s="199"/>
      <c r="CL115" s="199"/>
      <c r="CM115" s="199"/>
      <c r="CN115" s="199"/>
      <c r="CO115" s="199"/>
      <c r="CP115" s="199"/>
      <c r="CQ115" s="199"/>
      <c r="CR115" s="199"/>
      <c r="CS115" s="199"/>
      <c r="CT115" s="199"/>
      <c r="CU115" s="199"/>
      <c r="CV115" s="199"/>
      <c r="CW115" s="199"/>
      <c r="CX115" s="199"/>
      <c r="CY115" s="199"/>
      <c r="CZ115" s="199"/>
      <c r="DA115" s="199"/>
      <c r="DB115" s="199"/>
      <c r="DC115" s="199"/>
      <c r="DD115" s="199"/>
      <c r="DE115" s="199"/>
      <c r="DF115" s="199"/>
      <c r="DG115" s="199"/>
      <c r="DH115" s="199"/>
      <c r="DI115" s="199"/>
      <c r="DJ115" s="199"/>
      <c r="DK115" s="199"/>
      <c r="DL115" s="199"/>
      <c r="DM115" s="199"/>
      <c r="DN115" s="199"/>
      <c r="DO115" s="199"/>
      <c r="DP115" s="199"/>
      <c r="DQ115" s="199"/>
      <c r="DR115" s="199"/>
      <c r="DS115" s="199"/>
      <c r="DT115" s="199"/>
      <c r="DU115" s="199"/>
      <c r="DV115" s="199"/>
      <c r="DW115" s="199"/>
      <c r="DX115" s="199"/>
      <c r="DY115" s="199"/>
      <c r="DZ115" s="199"/>
      <c r="EA115" s="199"/>
      <c r="EB115" s="199"/>
      <c r="EC115" s="199"/>
      <c r="ED115" s="199"/>
      <c r="EE115" s="199"/>
      <c r="EF115" s="199"/>
      <c r="EG115" s="199"/>
      <c r="EH115" s="199"/>
      <c r="EI115" s="199"/>
      <c r="EJ115" s="199"/>
      <c r="EK115" s="199"/>
      <c r="EL115" s="199"/>
      <c r="EM115" s="199"/>
      <c r="EN115" s="199"/>
      <c r="EO115" s="199"/>
      <c r="EP115" s="199"/>
      <c r="EQ115" s="199"/>
      <c r="ER115" s="199"/>
      <c r="ES115" s="199"/>
      <c r="ET115" s="199"/>
      <c r="EU115" s="199"/>
      <c r="EV115" s="199"/>
      <c r="EW115" s="199"/>
      <c r="EX115" s="199"/>
      <c r="EY115" s="199"/>
      <c r="EZ115" s="199"/>
      <c r="FA115" s="199"/>
      <c r="FB115" s="199"/>
      <c r="FC115" s="199"/>
      <c r="FD115" s="199"/>
      <c r="FE115" s="199"/>
      <c r="FF115" s="199"/>
      <c r="FG115" s="199"/>
      <c r="FH115" s="199"/>
      <c r="FI115" s="199"/>
      <c r="FJ115" s="199"/>
      <c r="FK115" s="199"/>
      <c r="FL115" s="199"/>
      <c r="FM115" s="199"/>
      <c r="FN115" s="199"/>
      <c r="FO115" s="199"/>
      <c r="FP115" s="199"/>
      <c r="FQ115" s="199"/>
      <c r="FR115" s="199"/>
      <c r="FS115" s="199"/>
      <c r="FT115" s="199"/>
      <c r="FU115" s="199"/>
      <c r="FV115" s="199"/>
      <c r="FW115" s="199"/>
      <c r="FX115" s="199"/>
      <c r="FY115" s="199"/>
      <c r="FZ115" s="199"/>
      <c r="GA115" s="199"/>
      <c r="GB115" s="199"/>
      <c r="GC115" s="199"/>
      <c r="GD115" s="199"/>
      <c r="GE115" s="199"/>
      <c r="GF115" s="199"/>
      <c r="GG115" s="199"/>
      <c r="GH115" s="199"/>
      <c r="GI115" s="199"/>
      <c r="GJ115" s="199"/>
      <c r="GK115" s="199"/>
      <c r="GL115" s="199"/>
      <c r="GM115" s="199"/>
      <c r="GN115" s="199"/>
      <c r="GO115" s="199"/>
      <c r="GP115" s="199"/>
      <c r="GQ115" s="199"/>
      <c r="GR115" s="199"/>
      <c r="GS115" s="199"/>
      <c r="GT115" s="199"/>
      <c r="GU115" s="199"/>
      <c r="GV115" s="199"/>
      <c r="GW115" s="199"/>
      <c r="GX115" s="199"/>
      <c r="GY115" s="199"/>
      <c r="GZ115" s="199"/>
      <c r="HA115" s="199"/>
      <c r="HB115" s="199"/>
      <c r="HC115" s="199"/>
      <c r="HD115" s="199"/>
      <c r="HE115" s="199"/>
      <c r="HF115" s="199"/>
      <c r="HG115" s="199"/>
      <c r="HH115" s="199"/>
      <c r="HI115" s="199"/>
      <c r="HJ115" s="199"/>
      <c r="HK115" s="199"/>
      <c r="HL115" s="199"/>
      <c r="HM115" s="199"/>
      <c r="HN115" s="199"/>
      <c r="HO115" s="199"/>
      <c r="HP115" s="199"/>
      <c r="HQ115" s="199"/>
      <c r="HR115" s="199"/>
      <c r="HS115" s="199"/>
      <c r="HT115" s="199"/>
      <c r="HU115" s="199"/>
      <c r="HV115" s="199"/>
      <c r="HW115" s="199"/>
      <c r="HX115" s="199"/>
      <c r="HY115" s="199"/>
      <c r="HZ115" s="199"/>
    </row>
    <row r="116" spans="1:235" s="118" customFormat="1" ht="15" customHeight="1" x14ac:dyDescent="0.3">
      <c r="H116" s="465"/>
      <c r="I116" s="446"/>
      <c r="J116" s="73"/>
      <c r="K116" s="73"/>
      <c r="L116" s="73"/>
      <c r="M116" s="73"/>
      <c r="N116" s="73"/>
      <c r="O116" s="196"/>
      <c r="P116" s="196"/>
      <c r="Q116" s="447"/>
      <c r="R116" s="447"/>
      <c r="S116" s="73"/>
      <c r="T116" s="73"/>
      <c r="U116" s="121"/>
      <c r="V116" s="121"/>
      <c r="W116" s="121"/>
      <c r="X116" s="121"/>
      <c r="Y116" s="123"/>
      <c r="Z116" s="73"/>
      <c r="AA116" s="63"/>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199"/>
      <c r="CF116" s="199"/>
      <c r="CG116" s="199"/>
      <c r="CH116" s="199"/>
      <c r="CI116" s="199"/>
      <c r="CJ116" s="199"/>
      <c r="CK116" s="199"/>
      <c r="CL116" s="199"/>
      <c r="CM116" s="199"/>
      <c r="CN116" s="199"/>
      <c r="CO116" s="199"/>
      <c r="CP116" s="199"/>
      <c r="CQ116" s="199"/>
      <c r="CR116" s="199"/>
      <c r="CS116" s="199"/>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99"/>
      <c r="DQ116" s="199"/>
      <c r="DR116" s="199"/>
      <c r="DS116" s="199"/>
      <c r="DT116" s="199"/>
      <c r="DU116" s="199"/>
      <c r="DV116" s="199"/>
      <c r="DW116" s="199"/>
      <c r="DX116" s="199"/>
      <c r="DY116" s="199"/>
      <c r="DZ116" s="199"/>
      <c r="EA116" s="199"/>
      <c r="EB116" s="199"/>
      <c r="EC116" s="199"/>
      <c r="ED116" s="199"/>
      <c r="EE116" s="199"/>
      <c r="EF116" s="199"/>
      <c r="EG116" s="199"/>
      <c r="EH116" s="199"/>
      <c r="EI116" s="199"/>
      <c r="EJ116" s="199"/>
      <c r="EK116" s="199"/>
      <c r="EL116" s="199"/>
      <c r="EM116" s="199"/>
      <c r="EN116" s="199"/>
      <c r="EO116" s="199"/>
      <c r="EP116" s="199"/>
      <c r="EQ116" s="199"/>
      <c r="ER116" s="199"/>
      <c r="ES116" s="199"/>
      <c r="ET116" s="199"/>
      <c r="EU116" s="199"/>
      <c r="EV116" s="199"/>
      <c r="EW116" s="199"/>
      <c r="EX116" s="199"/>
      <c r="EY116" s="199"/>
      <c r="EZ116" s="199"/>
      <c r="FA116" s="199"/>
      <c r="FB116" s="199"/>
      <c r="FC116" s="199"/>
      <c r="FD116" s="199"/>
      <c r="FE116" s="199"/>
      <c r="FF116" s="199"/>
      <c r="FG116" s="199"/>
      <c r="FH116" s="199"/>
      <c r="FI116" s="199"/>
      <c r="FJ116" s="199"/>
      <c r="FK116" s="199"/>
      <c r="FL116" s="199"/>
      <c r="FM116" s="199"/>
      <c r="FN116" s="199"/>
      <c r="FO116" s="199"/>
      <c r="FP116" s="199"/>
      <c r="FQ116" s="199"/>
      <c r="FR116" s="199"/>
      <c r="FS116" s="199"/>
      <c r="FT116" s="199"/>
      <c r="FU116" s="199"/>
      <c r="FV116" s="199"/>
      <c r="FW116" s="199"/>
      <c r="FX116" s="199"/>
      <c r="FY116" s="199"/>
      <c r="FZ116" s="199"/>
      <c r="GA116" s="199"/>
      <c r="GB116" s="199"/>
      <c r="GC116" s="199"/>
      <c r="GD116" s="199"/>
      <c r="GE116" s="199"/>
      <c r="GF116" s="199"/>
      <c r="GG116" s="199"/>
      <c r="GH116" s="199"/>
      <c r="GI116" s="199"/>
      <c r="GJ116" s="199"/>
      <c r="GK116" s="199"/>
      <c r="GL116" s="199"/>
      <c r="GM116" s="199"/>
      <c r="GN116" s="199"/>
      <c r="GO116" s="199"/>
      <c r="GP116" s="199"/>
      <c r="GQ116" s="199"/>
      <c r="GR116" s="199"/>
      <c r="GS116" s="199"/>
      <c r="GT116" s="199"/>
      <c r="GU116" s="199"/>
      <c r="GV116" s="199"/>
      <c r="GW116" s="199"/>
      <c r="GX116" s="199"/>
      <c r="GY116" s="199"/>
      <c r="GZ116" s="199"/>
      <c r="HA116" s="199"/>
      <c r="HB116" s="199"/>
      <c r="HC116" s="199"/>
      <c r="HD116" s="199"/>
      <c r="HE116" s="199"/>
      <c r="HF116" s="199"/>
      <c r="HG116" s="199"/>
      <c r="HH116" s="199"/>
      <c r="HI116" s="199"/>
      <c r="HJ116" s="199"/>
      <c r="HK116" s="199"/>
      <c r="HL116" s="199"/>
      <c r="HM116" s="199"/>
      <c r="HN116" s="199"/>
      <c r="HO116" s="199"/>
      <c r="HP116" s="199"/>
      <c r="HQ116" s="199"/>
      <c r="HR116" s="199"/>
      <c r="HS116" s="199"/>
      <c r="HT116" s="199"/>
      <c r="HU116" s="199"/>
      <c r="HV116" s="199"/>
      <c r="HW116" s="199"/>
      <c r="HX116" s="199"/>
      <c r="HY116" s="199"/>
      <c r="HZ116" s="199"/>
      <c r="IA116" s="199"/>
    </row>
    <row r="117" spans="1:235" s="118" customFormat="1" ht="15" customHeight="1" x14ac:dyDescent="0.25">
      <c r="H117" s="465"/>
      <c r="I117" s="63"/>
      <c r="J117" s="42"/>
      <c r="K117" s="42"/>
      <c r="L117" s="42"/>
      <c r="M117" s="42"/>
      <c r="N117" s="42"/>
      <c r="O117" s="46"/>
      <c r="P117" s="46"/>
      <c r="Q117" s="229"/>
      <c r="R117" s="229"/>
      <c r="S117" s="42"/>
      <c r="T117" s="42"/>
      <c r="U117" s="121"/>
      <c r="V117" s="121"/>
      <c r="W117" s="121"/>
      <c r="X117" s="121"/>
      <c r="Y117" s="123"/>
      <c r="Z117" s="63"/>
      <c r="AA117" s="73"/>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199"/>
      <c r="BH117" s="199"/>
      <c r="BI117" s="199"/>
      <c r="BJ117" s="199"/>
      <c r="BK117" s="199"/>
      <c r="BL117" s="199"/>
      <c r="BM117" s="199"/>
      <c r="BN117" s="199"/>
      <c r="BO117" s="199"/>
      <c r="BP117" s="199"/>
      <c r="BQ117" s="199"/>
      <c r="BR117" s="199"/>
      <c r="BS117" s="199"/>
      <c r="BT117" s="199"/>
      <c r="BU117" s="199"/>
      <c r="BV117" s="199"/>
      <c r="BW117" s="199"/>
      <c r="BX117" s="199"/>
      <c r="BY117" s="199"/>
      <c r="BZ117" s="199"/>
      <c r="CA117" s="199"/>
      <c r="CB117" s="199"/>
      <c r="CC117" s="199"/>
      <c r="CD117" s="199"/>
      <c r="CE117" s="199"/>
      <c r="CF117" s="199"/>
      <c r="CG117" s="199"/>
      <c r="CH117" s="199"/>
      <c r="CI117" s="199"/>
      <c r="CJ117" s="199"/>
      <c r="CK117" s="199"/>
      <c r="CL117" s="199"/>
      <c r="CM117" s="199"/>
      <c r="CN117" s="199"/>
      <c r="CO117" s="199"/>
      <c r="CP117" s="199"/>
      <c r="CQ117" s="199"/>
      <c r="CR117" s="199"/>
      <c r="CS117" s="199"/>
      <c r="CT117" s="199"/>
      <c r="CU117" s="199"/>
      <c r="CV117" s="199"/>
      <c r="CW117" s="199"/>
      <c r="CX117" s="199"/>
      <c r="CY117" s="199"/>
      <c r="CZ117" s="199"/>
      <c r="DA117" s="199"/>
      <c r="DB117" s="199"/>
      <c r="DC117" s="199"/>
      <c r="DD117" s="199"/>
      <c r="DE117" s="199"/>
      <c r="DF117" s="199"/>
      <c r="DG117" s="199"/>
      <c r="DH117" s="199"/>
      <c r="DI117" s="199"/>
      <c r="DJ117" s="199"/>
      <c r="DK117" s="199"/>
      <c r="DL117" s="199"/>
      <c r="DM117" s="199"/>
      <c r="DN117" s="199"/>
      <c r="DO117" s="199"/>
      <c r="DP117" s="199"/>
      <c r="DQ117" s="199"/>
      <c r="DR117" s="199"/>
      <c r="DS117" s="199"/>
      <c r="DT117" s="199"/>
      <c r="DU117" s="199"/>
      <c r="DV117" s="199"/>
      <c r="DW117" s="199"/>
      <c r="DX117" s="199"/>
      <c r="DY117" s="199"/>
      <c r="DZ117" s="199"/>
      <c r="EA117" s="199"/>
      <c r="EB117" s="199"/>
      <c r="EC117" s="199"/>
      <c r="ED117" s="199"/>
      <c r="EE117" s="199"/>
      <c r="EF117" s="199"/>
      <c r="EG117" s="199"/>
      <c r="EH117" s="199"/>
      <c r="EI117" s="199"/>
      <c r="EJ117" s="199"/>
      <c r="EK117" s="199"/>
      <c r="EL117" s="199"/>
      <c r="EM117" s="199"/>
      <c r="EN117" s="199"/>
      <c r="EO117" s="199"/>
      <c r="EP117" s="199"/>
      <c r="EQ117" s="199"/>
      <c r="ER117" s="199"/>
      <c r="ES117" s="199"/>
      <c r="ET117" s="199"/>
      <c r="EU117" s="199"/>
      <c r="EV117" s="199"/>
      <c r="EW117" s="199"/>
      <c r="EX117" s="199"/>
      <c r="EY117" s="199"/>
      <c r="EZ117" s="199"/>
      <c r="FA117" s="199"/>
      <c r="FB117" s="199"/>
      <c r="FC117" s="199"/>
      <c r="FD117" s="199"/>
      <c r="FE117" s="199"/>
      <c r="FF117" s="199"/>
      <c r="FG117" s="199"/>
      <c r="FH117" s="199"/>
      <c r="FI117" s="199"/>
      <c r="FJ117" s="199"/>
      <c r="FK117" s="199"/>
      <c r="FL117" s="199"/>
      <c r="FM117" s="199"/>
      <c r="FN117" s="199"/>
      <c r="FO117" s="199"/>
      <c r="FP117" s="199"/>
      <c r="FQ117" s="199"/>
      <c r="FR117" s="199"/>
      <c r="FS117" s="199"/>
      <c r="FT117" s="199"/>
      <c r="FU117" s="199"/>
      <c r="FV117" s="199"/>
      <c r="FW117" s="199"/>
      <c r="FX117" s="199"/>
      <c r="FY117" s="199"/>
      <c r="FZ117" s="199"/>
      <c r="GA117" s="199"/>
      <c r="GB117" s="199"/>
      <c r="GC117" s="199"/>
      <c r="GD117" s="199"/>
      <c r="GE117" s="199"/>
      <c r="GF117" s="199"/>
      <c r="GG117" s="199"/>
      <c r="GH117" s="199"/>
      <c r="GI117" s="199"/>
      <c r="GJ117" s="199"/>
      <c r="GK117" s="199"/>
      <c r="GL117" s="199"/>
      <c r="GM117" s="199"/>
      <c r="GN117" s="199"/>
      <c r="GO117" s="199"/>
      <c r="GP117" s="199"/>
      <c r="GQ117" s="199"/>
      <c r="GR117" s="199"/>
      <c r="GS117" s="199"/>
      <c r="GT117" s="199"/>
      <c r="GU117" s="199"/>
      <c r="GV117" s="199"/>
      <c r="GW117" s="199"/>
      <c r="GX117" s="199"/>
      <c r="GY117" s="199"/>
      <c r="GZ117" s="199"/>
      <c r="HA117" s="199"/>
      <c r="HB117" s="199"/>
      <c r="HC117" s="199"/>
      <c r="HD117" s="199"/>
      <c r="HE117" s="199"/>
      <c r="HF117" s="199"/>
      <c r="HG117" s="199"/>
      <c r="HH117" s="199"/>
      <c r="HI117" s="199"/>
      <c r="HJ117" s="199"/>
      <c r="HK117" s="199"/>
      <c r="HL117" s="199"/>
      <c r="HM117" s="199"/>
      <c r="HN117" s="199"/>
      <c r="HO117" s="199"/>
      <c r="HP117" s="199"/>
      <c r="HQ117" s="199"/>
      <c r="HR117" s="199"/>
      <c r="HS117" s="199"/>
      <c r="HT117" s="199"/>
      <c r="HU117" s="199"/>
      <c r="HV117" s="199"/>
      <c r="HW117" s="199"/>
      <c r="HX117" s="199"/>
      <c r="HY117" s="199"/>
      <c r="HZ117" s="199"/>
      <c r="IA117" s="199"/>
    </row>
    <row r="118" spans="1:235" s="118" customFormat="1" ht="15" customHeight="1" x14ac:dyDescent="0.25">
      <c r="H118" s="605"/>
      <c r="I118" s="63"/>
      <c r="J118" s="42"/>
      <c r="K118" s="42"/>
      <c r="L118" s="42"/>
      <c r="M118" s="42"/>
      <c r="N118" s="42"/>
      <c r="O118" s="46"/>
      <c r="P118" s="46"/>
      <c r="Q118" s="229"/>
      <c r="R118" s="229"/>
      <c r="S118" s="42"/>
      <c r="T118" s="42"/>
      <c r="U118" s="121"/>
      <c r="V118" s="121"/>
      <c r="W118" s="121"/>
      <c r="X118" s="121"/>
      <c r="Y118" s="123"/>
      <c r="Z118" s="63"/>
      <c r="AA118" s="73"/>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c r="CE118" s="199"/>
      <c r="CF118" s="199"/>
      <c r="CG118" s="199"/>
      <c r="CH118" s="199"/>
      <c r="CI118" s="199"/>
      <c r="CJ118" s="199"/>
      <c r="CK118" s="199"/>
      <c r="CL118" s="199"/>
      <c r="CM118" s="199"/>
      <c r="CN118" s="199"/>
      <c r="CO118" s="199"/>
      <c r="CP118" s="199"/>
      <c r="CQ118" s="199"/>
      <c r="CR118" s="199"/>
      <c r="CS118" s="199"/>
      <c r="CT118" s="199"/>
      <c r="CU118" s="199"/>
      <c r="CV118" s="199"/>
      <c r="CW118" s="199"/>
      <c r="CX118" s="199"/>
      <c r="CY118" s="199"/>
      <c r="CZ118" s="199"/>
      <c r="DA118" s="199"/>
      <c r="DB118" s="199"/>
      <c r="DC118" s="199"/>
      <c r="DD118" s="199"/>
      <c r="DE118" s="199"/>
      <c r="DF118" s="199"/>
      <c r="DG118" s="199"/>
      <c r="DH118" s="199"/>
      <c r="DI118" s="199"/>
      <c r="DJ118" s="199"/>
      <c r="DK118" s="199"/>
      <c r="DL118" s="199"/>
      <c r="DM118" s="199"/>
      <c r="DN118" s="199"/>
      <c r="DO118" s="199"/>
      <c r="DP118" s="199"/>
      <c r="DQ118" s="199"/>
      <c r="DR118" s="199"/>
      <c r="DS118" s="199"/>
      <c r="DT118" s="199"/>
      <c r="DU118" s="199"/>
      <c r="DV118" s="199"/>
      <c r="DW118" s="199"/>
      <c r="DX118" s="199"/>
      <c r="DY118" s="199"/>
      <c r="DZ118" s="199"/>
      <c r="EA118" s="199"/>
      <c r="EB118" s="199"/>
      <c r="EC118" s="199"/>
      <c r="ED118" s="199"/>
      <c r="EE118" s="199"/>
      <c r="EF118" s="199"/>
      <c r="EG118" s="199"/>
      <c r="EH118" s="199"/>
      <c r="EI118" s="199"/>
      <c r="EJ118" s="199"/>
      <c r="EK118" s="199"/>
      <c r="EL118" s="199"/>
      <c r="EM118" s="199"/>
      <c r="EN118" s="199"/>
      <c r="EO118" s="199"/>
      <c r="EP118" s="199"/>
      <c r="EQ118" s="199"/>
      <c r="ER118" s="199"/>
      <c r="ES118" s="199"/>
      <c r="ET118" s="199"/>
      <c r="EU118" s="199"/>
      <c r="EV118" s="199"/>
      <c r="EW118" s="199"/>
      <c r="EX118" s="199"/>
      <c r="EY118" s="199"/>
      <c r="EZ118" s="199"/>
      <c r="FA118" s="199"/>
      <c r="FB118" s="199"/>
      <c r="FC118" s="199"/>
      <c r="FD118" s="199"/>
      <c r="FE118" s="199"/>
      <c r="FF118" s="199"/>
      <c r="FG118" s="199"/>
      <c r="FH118" s="199"/>
      <c r="FI118" s="199"/>
      <c r="FJ118" s="199"/>
      <c r="FK118" s="199"/>
      <c r="FL118" s="199"/>
      <c r="FM118" s="199"/>
      <c r="FN118" s="199"/>
      <c r="FO118" s="199"/>
      <c r="FP118" s="199"/>
      <c r="FQ118" s="199"/>
      <c r="FR118" s="199"/>
      <c r="FS118" s="199"/>
      <c r="FT118" s="199"/>
      <c r="FU118" s="199"/>
      <c r="FV118" s="199"/>
      <c r="FW118" s="199"/>
      <c r="FX118" s="199"/>
      <c r="FY118" s="199"/>
      <c r="FZ118" s="199"/>
      <c r="GA118" s="199"/>
      <c r="GB118" s="199"/>
      <c r="GC118" s="199"/>
      <c r="GD118" s="199"/>
      <c r="GE118" s="199"/>
      <c r="GF118" s="199"/>
      <c r="GG118" s="199"/>
      <c r="GH118" s="199"/>
      <c r="GI118" s="199"/>
      <c r="GJ118" s="199"/>
      <c r="GK118" s="199"/>
      <c r="GL118" s="199"/>
      <c r="GM118" s="199"/>
      <c r="GN118" s="199"/>
      <c r="GO118" s="199"/>
      <c r="GP118" s="199"/>
      <c r="GQ118" s="199"/>
      <c r="GR118" s="199"/>
      <c r="GS118" s="199"/>
      <c r="GT118" s="199"/>
      <c r="GU118" s="199"/>
      <c r="GV118" s="199"/>
      <c r="GW118" s="199"/>
      <c r="GX118" s="199"/>
      <c r="GY118" s="199"/>
      <c r="GZ118" s="199"/>
      <c r="HA118" s="199"/>
      <c r="HB118" s="199"/>
      <c r="HC118" s="199"/>
      <c r="HD118" s="199"/>
      <c r="HE118" s="199"/>
      <c r="HF118" s="199"/>
      <c r="HG118" s="199"/>
      <c r="HH118" s="199"/>
      <c r="HI118" s="199"/>
      <c r="HJ118" s="199"/>
      <c r="HK118" s="199"/>
      <c r="HL118" s="199"/>
      <c r="HM118" s="199"/>
      <c r="HN118" s="199"/>
      <c r="HO118" s="199"/>
      <c r="HP118" s="199"/>
      <c r="HQ118" s="199"/>
      <c r="HR118" s="199"/>
      <c r="HS118" s="199"/>
      <c r="HT118" s="199"/>
      <c r="HU118" s="199"/>
      <c r="HV118" s="199"/>
      <c r="HW118" s="199"/>
      <c r="HX118" s="199"/>
      <c r="HY118" s="199"/>
      <c r="HZ118" s="199"/>
      <c r="IA118" s="199"/>
    </row>
    <row r="119" spans="1:235" s="118" customFormat="1" ht="15" customHeight="1" x14ac:dyDescent="0.25">
      <c r="H119" s="605"/>
      <c r="I119" s="63"/>
      <c r="J119" s="42"/>
      <c r="K119" s="42"/>
      <c r="L119" s="42"/>
      <c r="M119" s="42"/>
      <c r="N119" s="42"/>
      <c r="O119" s="46"/>
      <c r="P119" s="46"/>
      <c r="Q119" s="229"/>
      <c r="R119" s="229"/>
      <c r="S119" s="42"/>
      <c r="T119" s="42"/>
      <c r="U119" s="121"/>
      <c r="V119" s="121"/>
      <c r="W119" s="121"/>
      <c r="X119" s="121"/>
      <c r="Y119" s="123"/>
      <c r="Z119" s="63"/>
      <c r="AA119" s="73"/>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c r="CE119" s="199"/>
      <c r="CF119" s="199"/>
      <c r="CG119" s="199"/>
      <c r="CH119" s="199"/>
      <c r="CI119" s="199"/>
      <c r="CJ119" s="199"/>
      <c r="CK119" s="199"/>
      <c r="CL119" s="199"/>
      <c r="CM119" s="199"/>
      <c r="CN119" s="199"/>
      <c r="CO119" s="199"/>
      <c r="CP119" s="199"/>
      <c r="CQ119" s="199"/>
      <c r="CR119" s="199"/>
      <c r="CS119" s="199"/>
      <c r="CT119" s="199"/>
      <c r="CU119" s="199"/>
      <c r="CV119" s="199"/>
      <c r="CW119" s="199"/>
      <c r="CX119" s="199"/>
      <c r="CY119" s="199"/>
      <c r="CZ119" s="199"/>
      <c r="DA119" s="199"/>
      <c r="DB119" s="199"/>
      <c r="DC119" s="199"/>
      <c r="DD119" s="199"/>
      <c r="DE119" s="199"/>
      <c r="DF119" s="199"/>
      <c r="DG119" s="199"/>
      <c r="DH119" s="199"/>
      <c r="DI119" s="199"/>
      <c r="DJ119" s="199"/>
      <c r="DK119" s="199"/>
      <c r="DL119" s="199"/>
      <c r="DM119" s="199"/>
      <c r="DN119" s="199"/>
      <c r="DO119" s="199"/>
      <c r="DP119" s="199"/>
      <c r="DQ119" s="199"/>
      <c r="DR119" s="199"/>
      <c r="DS119" s="199"/>
      <c r="DT119" s="199"/>
      <c r="DU119" s="199"/>
      <c r="DV119" s="199"/>
      <c r="DW119" s="199"/>
      <c r="DX119" s="199"/>
      <c r="DY119" s="199"/>
      <c r="DZ119" s="199"/>
      <c r="EA119" s="199"/>
      <c r="EB119" s="199"/>
      <c r="EC119" s="199"/>
      <c r="ED119" s="199"/>
      <c r="EE119" s="199"/>
      <c r="EF119" s="199"/>
      <c r="EG119" s="199"/>
      <c r="EH119" s="199"/>
      <c r="EI119" s="199"/>
      <c r="EJ119" s="199"/>
      <c r="EK119" s="199"/>
      <c r="EL119" s="199"/>
      <c r="EM119" s="199"/>
      <c r="EN119" s="199"/>
      <c r="EO119" s="199"/>
      <c r="EP119" s="199"/>
      <c r="EQ119" s="199"/>
      <c r="ER119" s="199"/>
      <c r="ES119" s="199"/>
      <c r="ET119" s="199"/>
      <c r="EU119" s="199"/>
      <c r="EV119" s="199"/>
      <c r="EW119" s="199"/>
      <c r="EX119" s="199"/>
      <c r="EY119" s="199"/>
      <c r="EZ119" s="199"/>
      <c r="FA119" s="199"/>
      <c r="FB119" s="199"/>
      <c r="FC119" s="199"/>
      <c r="FD119" s="199"/>
      <c r="FE119" s="199"/>
      <c r="FF119" s="199"/>
      <c r="FG119" s="199"/>
      <c r="FH119" s="199"/>
      <c r="FI119" s="199"/>
      <c r="FJ119" s="199"/>
      <c r="FK119" s="199"/>
      <c r="FL119" s="199"/>
      <c r="FM119" s="199"/>
      <c r="FN119" s="199"/>
      <c r="FO119" s="199"/>
      <c r="FP119" s="199"/>
      <c r="FQ119" s="199"/>
      <c r="FR119" s="199"/>
      <c r="FS119" s="199"/>
      <c r="FT119" s="199"/>
      <c r="FU119" s="199"/>
      <c r="FV119" s="199"/>
      <c r="FW119" s="199"/>
      <c r="FX119" s="199"/>
      <c r="FY119" s="199"/>
      <c r="FZ119" s="199"/>
      <c r="GA119" s="199"/>
      <c r="GB119" s="199"/>
      <c r="GC119" s="199"/>
      <c r="GD119" s="199"/>
      <c r="GE119" s="199"/>
      <c r="GF119" s="199"/>
      <c r="GG119" s="199"/>
      <c r="GH119" s="199"/>
      <c r="GI119" s="199"/>
      <c r="GJ119" s="199"/>
      <c r="GK119" s="199"/>
      <c r="GL119" s="199"/>
      <c r="GM119" s="199"/>
      <c r="GN119" s="199"/>
      <c r="GO119" s="199"/>
      <c r="GP119" s="199"/>
      <c r="GQ119" s="199"/>
      <c r="GR119" s="199"/>
      <c r="GS119" s="199"/>
      <c r="GT119" s="199"/>
      <c r="GU119" s="199"/>
      <c r="GV119" s="199"/>
      <c r="GW119" s="199"/>
      <c r="GX119" s="199"/>
      <c r="GY119" s="199"/>
      <c r="GZ119" s="199"/>
      <c r="HA119" s="199"/>
      <c r="HB119" s="199"/>
      <c r="HC119" s="199"/>
      <c r="HD119" s="199"/>
      <c r="HE119" s="199"/>
      <c r="HF119" s="199"/>
      <c r="HG119" s="199"/>
      <c r="HH119" s="199"/>
      <c r="HI119" s="199"/>
      <c r="HJ119" s="199"/>
      <c r="HK119" s="199"/>
      <c r="HL119" s="199"/>
      <c r="HM119" s="199"/>
      <c r="HN119" s="199"/>
      <c r="HO119" s="199"/>
      <c r="HP119" s="199"/>
      <c r="HQ119" s="199"/>
      <c r="HR119" s="199"/>
      <c r="HS119" s="199"/>
      <c r="HT119" s="199"/>
      <c r="HU119" s="199"/>
      <c r="HV119" s="199"/>
      <c r="HW119" s="199"/>
      <c r="HX119" s="199"/>
      <c r="HY119" s="199"/>
      <c r="HZ119" s="199"/>
      <c r="IA119" s="199"/>
    </row>
    <row r="120" spans="1:235" s="118" customFormat="1" ht="15" customHeight="1" x14ac:dyDescent="0.25">
      <c r="H120" s="605"/>
      <c r="I120" s="63"/>
      <c r="J120" s="42"/>
      <c r="K120" s="42"/>
      <c r="L120" s="42"/>
      <c r="M120" s="42"/>
      <c r="N120" s="42"/>
      <c r="O120" s="46"/>
      <c r="P120" s="46"/>
      <c r="Q120" s="229"/>
      <c r="R120" s="229"/>
      <c r="S120" s="42"/>
      <c r="T120" s="42"/>
      <c r="U120" s="121"/>
      <c r="V120" s="121"/>
      <c r="W120" s="121"/>
      <c r="X120" s="121"/>
      <c r="Y120" s="123"/>
      <c r="Z120" s="63"/>
      <c r="AA120" s="73"/>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c r="CE120" s="199"/>
      <c r="CF120" s="199"/>
      <c r="CG120" s="199"/>
      <c r="CH120" s="199"/>
      <c r="CI120" s="199"/>
      <c r="CJ120" s="199"/>
      <c r="CK120" s="199"/>
      <c r="CL120" s="199"/>
      <c r="CM120" s="199"/>
      <c r="CN120" s="199"/>
      <c r="CO120" s="199"/>
      <c r="CP120" s="199"/>
      <c r="CQ120" s="199"/>
      <c r="CR120" s="199"/>
      <c r="CS120" s="199"/>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199"/>
      <c r="DO120" s="199"/>
      <c r="DP120" s="199"/>
      <c r="DQ120" s="199"/>
      <c r="DR120" s="199"/>
      <c r="DS120" s="199"/>
      <c r="DT120" s="199"/>
      <c r="DU120" s="199"/>
      <c r="DV120" s="199"/>
      <c r="DW120" s="199"/>
      <c r="DX120" s="199"/>
      <c r="DY120" s="199"/>
      <c r="DZ120" s="199"/>
      <c r="EA120" s="199"/>
      <c r="EB120" s="199"/>
      <c r="EC120" s="199"/>
      <c r="ED120" s="199"/>
      <c r="EE120" s="199"/>
      <c r="EF120" s="199"/>
      <c r="EG120" s="199"/>
      <c r="EH120" s="199"/>
      <c r="EI120" s="199"/>
      <c r="EJ120" s="199"/>
      <c r="EK120" s="199"/>
      <c r="EL120" s="199"/>
      <c r="EM120" s="199"/>
      <c r="EN120" s="199"/>
      <c r="EO120" s="199"/>
      <c r="EP120" s="199"/>
      <c r="EQ120" s="199"/>
      <c r="ER120" s="199"/>
      <c r="ES120" s="199"/>
      <c r="ET120" s="199"/>
      <c r="EU120" s="199"/>
      <c r="EV120" s="199"/>
      <c r="EW120" s="199"/>
      <c r="EX120" s="199"/>
      <c r="EY120" s="199"/>
      <c r="EZ120" s="199"/>
      <c r="FA120" s="199"/>
      <c r="FB120" s="199"/>
      <c r="FC120" s="199"/>
      <c r="FD120" s="199"/>
      <c r="FE120" s="199"/>
      <c r="FF120" s="199"/>
      <c r="FG120" s="199"/>
      <c r="FH120" s="199"/>
      <c r="FI120" s="199"/>
      <c r="FJ120" s="199"/>
      <c r="FK120" s="199"/>
      <c r="FL120" s="199"/>
      <c r="FM120" s="199"/>
      <c r="FN120" s="199"/>
      <c r="FO120" s="199"/>
      <c r="FP120" s="199"/>
      <c r="FQ120" s="199"/>
      <c r="FR120" s="199"/>
      <c r="FS120" s="199"/>
      <c r="FT120" s="199"/>
      <c r="FU120" s="199"/>
      <c r="FV120" s="199"/>
      <c r="FW120" s="199"/>
      <c r="FX120" s="199"/>
      <c r="FY120" s="199"/>
      <c r="FZ120" s="199"/>
      <c r="GA120" s="199"/>
      <c r="GB120" s="199"/>
      <c r="GC120" s="199"/>
      <c r="GD120" s="199"/>
      <c r="GE120" s="199"/>
      <c r="GF120" s="199"/>
      <c r="GG120" s="199"/>
      <c r="GH120" s="199"/>
      <c r="GI120" s="199"/>
      <c r="GJ120" s="199"/>
      <c r="GK120" s="199"/>
      <c r="GL120" s="199"/>
      <c r="GM120" s="199"/>
      <c r="GN120" s="199"/>
      <c r="GO120" s="199"/>
      <c r="GP120" s="199"/>
      <c r="GQ120" s="199"/>
      <c r="GR120" s="199"/>
      <c r="GS120" s="199"/>
      <c r="GT120" s="199"/>
      <c r="GU120" s="199"/>
      <c r="GV120" s="199"/>
      <c r="GW120" s="199"/>
      <c r="GX120" s="199"/>
      <c r="GY120" s="199"/>
      <c r="GZ120" s="199"/>
      <c r="HA120" s="199"/>
      <c r="HB120" s="199"/>
      <c r="HC120" s="199"/>
      <c r="HD120" s="199"/>
      <c r="HE120" s="199"/>
      <c r="HF120" s="199"/>
      <c r="HG120" s="199"/>
      <c r="HH120" s="199"/>
      <c r="HI120" s="199"/>
      <c r="HJ120" s="199"/>
      <c r="HK120" s="199"/>
      <c r="HL120" s="199"/>
      <c r="HM120" s="199"/>
      <c r="HN120" s="199"/>
      <c r="HO120" s="199"/>
      <c r="HP120" s="199"/>
      <c r="HQ120" s="199"/>
      <c r="HR120" s="199"/>
      <c r="HS120" s="199"/>
      <c r="HT120" s="199"/>
      <c r="HU120" s="199"/>
      <c r="HV120" s="199"/>
      <c r="HW120" s="199"/>
      <c r="HX120" s="199"/>
      <c r="HY120" s="199"/>
      <c r="HZ120" s="199"/>
      <c r="IA120" s="199"/>
    </row>
    <row r="121" spans="1:235" s="118" customFormat="1" ht="15" customHeight="1" x14ac:dyDescent="0.25">
      <c r="H121" s="605"/>
      <c r="I121" s="63"/>
      <c r="J121" s="42"/>
      <c r="K121" s="42"/>
      <c r="L121" s="42"/>
      <c r="M121" s="42"/>
      <c r="N121" s="42"/>
      <c r="O121" s="46"/>
      <c r="P121" s="46"/>
      <c r="Q121" s="229"/>
      <c r="R121" s="229"/>
      <c r="S121" s="42"/>
      <c r="T121" s="42"/>
      <c r="U121" s="121"/>
      <c r="V121" s="121"/>
      <c r="W121" s="121"/>
      <c r="X121" s="121"/>
      <c r="Y121" s="123"/>
      <c r="Z121" s="63"/>
      <c r="AA121" s="73"/>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M121" s="199"/>
      <c r="CN121" s="199"/>
      <c r="CO121" s="199"/>
      <c r="CP121" s="199"/>
      <c r="CQ121" s="199"/>
      <c r="CR121" s="199"/>
      <c r="CS121" s="199"/>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199"/>
      <c r="DS121" s="199"/>
      <c r="DT121" s="199"/>
      <c r="DU121" s="199"/>
      <c r="DV121" s="199"/>
      <c r="DW121" s="199"/>
      <c r="DX121" s="199"/>
      <c r="DY121" s="199"/>
      <c r="DZ121" s="199"/>
      <c r="EA121" s="199"/>
      <c r="EB121" s="199"/>
      <c r="EC121" s="199"/>
      <c r="ED121" s="199"/>
      <c r="EE121" s="199"/>
      <c r="EF121" s="199"/>
      <c r="EG121" s="199"/>
      <c r="EH121" s="199"/>
      <c r="EI121" s="199"/>
      <c r="EJ121" s="199"/>
      <c r="EK121" s="199"/>
      <c r="EL121" s="199"/>
      <c r="EM121" s="199"/>
      <c r="EN121" s="199"/>
      <c r="EO121" s="199"/>
      <c r="EP121" s="199"/>
      <c r="EQ121" s="199"/>
      <c r="ER121" s="199"/>
      <c r="ES121" s="199"/>
      <c r="ET121" s="199"/>
      <c r="EU121" s="199"/>
      <c r="EV121" s="199"/>
      <c r="EW121" s="199"/>
      <c r="EX121" s="199"/>
      <c r="EY121" s="199"/>
      <c r="EZ121" s="199"/>
      <c r="FA121" s="199"/>
      <c r="FB121" s="199"/>
      <c r="FC121" s="199"/>
      <c r="FD121" s="199"/>
      <c r="FE121" s="199"/>
      <c r="FF121" s="199"/>
      <c r="FG121" s="199"/>
      <c r="FH121" s="199"/>
      <c r="FI121" s="199"/>
      <c r="FJ121" s="199"/>
      <c r="FK121" s="199"/>
      <c r="FL121" s="199"/>
      <c r="FM121" s="199"/>
      <c r="FN121" s="199"/>
      <c r="FO121" s="199"/>
      <c r="FP121" s="199"/>
      <c r="FQ121" s="199"/>
      <c r="FR121" s="199"/>
      <c r="FS121" s="199"/>
      <c r="FT121" s="199"/>
      <c r="FU121" s="199"/>
      <c r="FV121" s="199"/>
      <c r="FW121" s="199"/>
      <c r="FX121" s="199"/>
      <c r="FY121" s="199"/>
      <c r="FZ121" s="199"/>
      <c r="GA121" s="199"/>
      <c r="GB121" s="199"/>
      <c r="GC121" s="199"/>
      <c r="GD121" s="199"/>
      <c r="GE121" s="199"/>
      <c r="GF121" s="199"/>
      <c r="GG121" s="199"/>
      <c r="GH121" s="199"/>
      <c r="GI121" s="199"/>
      <c r="GJ121" s="199"/>
      <c r="GK121" s="199"/>
      <c r="GL121" s="199"/>
      <c r="GM121" s="199"/>
      <c r="GN121" s="199"/>
      <c r="GO121" s="199"/>
      <c r="GP121" s="199"/>
      <c r="GQ121" s="199"/>
      <c r="GR121" s="199"/>
      <c r="GS121" s="199"/>
      <c r="GT121" s="199"/>
      <c r="GU121" s="199"/>
      <c r="GV121" s="199"/>
      <c r="GW121" s="199"/>
      <c r="GX121" s="199"/>
      <c r="GY121" s="199"/>
      <c r="GZ121" s="199"/>
      <c r="HA121" s="199"/>
      <c r="HB121" s="199"/>
      <c r="HC121" s="199"/>
      <c r="HD121" s="199"/>
      <c r="HE121" s="199"/>
      <c r="HF121" s="199"/>
      <c r="HG121" s="199"/>
      <c r="HH121" s="199"/>
      <c r="HI121" s="199"/>
      <c r="HJ121" s="199"/>
      <c r="HK121" s="199"/>
      <c r="HL121" s="199"/>
      <c r="HM121" s="199"/>
      <c r="HN121" s="199"/>
      <c r="HO121" s="199"/>
      <c r="HP121" s="199"/>
      <c r="HQ121" s="199"/>
      <c r="HR121" s="199"/>
      <c r="HS121" s="199"/>
      <c r="HT121" s="199"/>
      <c r="HU121" s="199"/>
      <c r="HV121" s="199"/>
      <c r="HW121" s="199"/>
      <c r="HX121" s="199"/>
      <c r="HY121" s="199"/>
      <c r="HZ121" s="199"/>
      <c r="IA121" s="199"/>
    </row>
    <row r="122" spans="1:235" s="118" customFormat="1" ht="15" customHeight="1" x14ac:dyDescent="0.25">
      <c r="H122" s="605"/>
      <c r="I122" s="63"/>
      <c r="J122" s="42"/>
      <c r="K122" s="42"/>
      <c r="L122" s="42"/>
      <c r="M122" s="42"/>
      <c r="N122" s="42"/>
      <c r="O122" s="46"/>
      <c r="P122" s="46"/>
      <c r="Q122" s="229"/>
      <c r="R122" s="229"/>
      <c r="S122" s="42"/>
      <c r="T122" s="42"/>
      <c r="U122" s="121"/>
      <c r="V122" s="121"/>
      <c r="W122" s="121"/>
      <c r="X122" s="121"/>
      <c r="Y122" s="123"/>
      <c r="Z122" s="63"/>
      <c r="AA122" s="73"/>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c r="DT122" s="199"/>
      <c r="DU122" s="199"/>
      <c r="DV122" s="199"/>
      <c r="DW122" s="199"/>
      <c r="DX122" s="199"/>
      <c r="DY122" s="199"/>
      <c r="DZ122" s="199"/>
      <c r="EA122" s="199"/>
      <c r="EB122" s="199"/>
      <c r="EC122" s="199"/>
      <c r="ED122" s="199"/>
      <c r="EE122" s="199"/>
      <c r="EF122" s="199"/>
      <c r="EG122" s="199"/>
      <c r="EH122" s="199"/>
      <c r="EI122" s="199"/>
      <c r="EJ122" s="199"/>
      <c r="EK122" s="199"/>
      <c r="EL122" s="199"/>
      <c r="EM122" s="199"/>
      <c r="EN122" s="199"/>
      <c r="EO122" s="199"/>
      <c r="EP122" s="199"/>
      <c r="EQ122" s="199"/>
      <c r="ER122" s="199"/>
      <c r="ES122" s="199"/>
      <c r="ET122" s="199"/>
      <c r="EU122" s="199"/>
      <c r="EV122" s="199"/>
      <c r="EW122" s="199"/>
      <c r="EX122" s="199"/>
      <c r="EY122" s="199"/>
      <c r="EZ122" s="199"/>
      <c r="FA122" s="199"/>
      <c r="FB122" s="199"/>
      <c r="FC122" s="199"/>
      <c r="FD122" s="199"/>
      <c r="FE122" s="199"/>
      <c r="FF122" s="199"/>
      <c r="FG122" s="199"/>
      <c r="FH122" s="199"/>
      <c r="FI122" s="199"/>
      <c r="FJ122" s="199"/>
      <c r="FK122" s="199"/>
      <c r="FL122" s="199"/>
      <c r="FM122" s="199"/>
      <c r="FN122" s="199"/>
      <c r="FO122" s="199"/>
      <c r="FP122" s="199"/>
      <c r="FQ122" s="199"/>
      <c r="FR122" s="199"/>
      <c r="FS122" s="199"/>
      <c r="FT122" s="199"/>
      <c r="FU122" s="199"/>
      <c r="FV122" s="199"/>
      <c r="FW122" s="199"/>
      <c r="FX122" s="199"/>
      <c r="FY122" s="199"/>
      <c r="FZ122" s="199"/>
      <c r="GA122" s="199"/>
      <c r="GB122" s="199"/>
      <c r="GC122" s="199"/>
      <c r="GD122" s="199"/>
      <c r="GE122" s="199"/>
      <c r="GF122" s="199"/>
      <c r="GG122" s="199"/>
      <c r="GH122" s="199"/>
      <c r="GI122" s="199"/>
      <c r="GJ122" s="199"/>
      <c r="GK122" s="199"/>
      <c r="GL122" s="199"/>
      <c r="GM122" s="199"/>
      <c r="GN122" s="199"/>
      <c r="GO122" s="199"/>
      <c r="GP122" s="199"/>
      <c r="GQ122" s="199"/>
      <c r="GR122" s="199"/>
      <c r="GS122" s="199"/>
      <c r="GT122" s="199"/>
      <c r="GU122" s="199"/>
      <c r="GV122" s="199"/>
      <c r="GW122" s="199"/>
      <c r="GX122" s="199"/>
      <c r="GY122" s="199"/>
      <c r="GZ122" s="199"/>
      <c r="HA122" s="199"/>
      <c r="HB122" s="199"/>
      <c r="HC122" s="199"/>
      <c r="HD122" s="199"/>
      <c r="HE122" s="199"/>
      <c r="HF122" s="199"/>
      <c r="HG122" s="199"/>
      <c r="HH122" s="199"/>
      <c r="HI122" s="199"/>
      <c r="HJ122" s="199"/>
      <c r="HK122" s="199"/>
      <c r="HL122" s="199"/>
      <c r="HM122" s="199"/>
      <c r="HN122" s="199"/>
      <c r="HO122" s="199"/>
      <c r="HP122" s="199"/>
      <c r="HQ122" s="199"/>
      <c r="HR122" s="199"/>
      <c r="HS122" s="199"/>
      <c r="HT122" s="199"/>
      <c r="HU122" s="199"/>
      <c r="HV122" s="199"/>
      <c r="HW122" s="199"/>
      <c r="HX122" s="199"/>
      <c r="HY122" s="199"/>
      <c r="HZ122" s="199"/>
      <c r="IA122" s="199"/>
    </row>
    <row r="123" spans="1:235" s="118" customFormat="1" ht="15" customHeight="1" x14ac:dyDescent="0.25">
      <c r="H123" s="605"/>
      <c r="I123" s="63"/>
      <c r="J123" s="42"/>
      <c r="K123" s="42"/>
      <c r="L123" s="42"/>
      <c r="M123" s="42"/>
      <c r="N123" s="42"/>
      <c r="O123" s="46"/>
      <c r="P123" s="46"/>
      <c r="Q123" s="229"/>
      <c r="R123" s="229"/>
      <c r="S123" s="42"/>
      <c r="T123" s="42"/>
      <c r="U123" s="121"/>
      <c r="V123" s="121"/>
      <c r="W123" s="121"/>
      <c r="X123" s="121"/>
      <c r="Y123" s="123"/>
      <c r="Z123" s="63"/>
      <c r="AA123" s="73"/>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c r="CE123" s="199"/>
      <c r="CF123" s="199"/>
      <c r="CG123" s="199"/>
      <c r="CH123" s="199"/>
      <c r="CI123" s="199"/>
      <c r="CJ123" s="199"/>
      <c r="CK123" s="199"/>
      <c r="CL123" s="199"/>
      <c r="CM123" s="199"/>
      <c r="CN123" s="199"/>
      <c r="CO123" s="199"/>
      <c r="CP123" s="199"/>
      <c r="CQ123" s="199"/>
      <c r="CR123" s="199"/>
      <c r="CS123" s="199"/>
      <c r="CT123" s="199"/>
      <c r="CU123" s="199"/>
      <c r="CV123" s="199"/>
      <c r="CW123" s="199"/>
      <c r="CX123" s="199"/>
      <c r="CY123" s="199"/>
      <c r="CZ123" s="199"/>
      <c r="DA123" s="199"/>
      <c r="DB123" s="199"/>
      <c r="DC123" s="199"/>
      <c r="DD123" s="199"/>
      <c r="DE123" s="199"/>
      <c r="DF123" s="199"/>
      <c r="DG123" s="199"/>
      <c r="DH123" s="199"/>
      <c r="DI123" s="199"/>
      <c r="DJ123" s="199"/>
      <c r="DK123" s="199"/>
      <c r="DL123" s="199"/>
      <c r="DM123" s="199"/>
      <c r="DN123" s="199"/>
      <c r="DO123" s="199"/>
      <c r="DP123" s="199"/>
      <c r="DQ123" s="199"/>
      <c r="DR123" s="199"/>
      <c r="DS123" s="199"/>
      <c r="DT123" s="199"/>
      <c r="DU123" s="199"/>
      <c r="DV123" s="199"/>
      <c r="DW123" s="199"/>
      <c r="DX123" s="199"/>
      <c r="DY123" s="199"/>
      <c r="DZ123" s="199"/>
      <c r="EA123" s="199"/>
      <c r="EB123" s="199"/>
      <c r="EC123" s="199"/>
      <c r="ED123" s="199"/>
      <c r="EE123" s="199"/>
      <c r="EF123" s="199"/>
      <c r="EG123" s="199"/>
      <c r="EH123" s="199"/>
      <c r="EI123" s="199"/>
      <c r="EJ123" s="199"/>
      <c r="EK123" s="199"/>
      <c r="EL123" s="199"/>
      <c r="EM123" s="199"/>
      <c r="EN123" s="199"/>
      <c r="EO123" s="199"/>
      <c r="EP123" s="199"/>
      <c r="EQ123" s="199"/>
      <c r="ER123" s="199"/>
      <c r="ES123" s="199"/>
      <c r="ET123" s="199"/>
      <c r="EU123" s="199"/>
      <c r="EV123" s="199"/>
      <c r="EW123" s="199"/>
      <c r="EX123" s="199"/>
      <c r="EY123" s="199"/>
      <c r="EZ123" s="199"/>
      <c r="FA123" s="199"/>
      <c r="FB123" s="199"/>
      <c r="FC123" s="199"/>
      <c r="FD123" s="199"/>
      <c r="FE123" s="199"/>
      <c r="FF123" s="199"/>
      <c r="FG123" s="199"/>
      <c r="FH123" s="199"/>
      <c r="FI123" s="199"/>
      <c r="FJ123" s="199"/>
      <c r="FK123" s="199"/>
      <c r="FL123" s="199"/>
      <c r="FM123" s="199"/>
      <c r="FN123" s="199"/>
      <c r="FO123" s="199"/>
      <c r="FP123" s="199"/>
      <c r="FQ123" s="199"/>
      <c r="FR123" s="199"/>
      <c r="FS123" s="199"/>
      <c r="FT123" s="199"/>
      <c r="FU123" s="199"/>
      <c r="FV123" s="199"/>
      <c r="FW123" s="199"/>
      <c r="FX123" s="199"/>
      <c r="FY123" s="199"/>
      <c r="FZ123" s="199"/>
      <c r="GA123" s="199"/>
      <c r="GB123" s="199"/>
      <c r="GC123" s="199"/>
      <c r="GD123" s="199"/>
      <c r="GE123" s="199"/>
      <c r="GF123" s="199"/>
      <c r="GG123" s="199"/>
      <c r="GH123" s="199"/>
      <c r="GI123" s="199"/>
      <c r="GJ123" s="199"/>
      <c r="GK123" s="199"/>
      <c r="GL123" s="199"/>
      <c r="GM123" s="199"/>
      <c r="GN123" s="199"/>
      <c r="GO123" s="199"/>
      <c r="GP123" s="199"/>
      <c r="GQ123" s="199"/>
      <c r="GR123" s="199"/>
      <c r="GS123" s="199"/>
      <c r="GT123" s="199"/>
      <c r="GU123" s="199"/>
      <c r="GV123" s="199"/>
      <c r="GW123" s="199"/>
      <c r="GX123" s="199"/>
      <c r="GY123" s="199"/>
      <c r="GZ123" s="199"/>
      <c r="HA123" s="199"/>
      <c r="HB123" s="199"/>
      <c r="HC123" s="199"/>
      <c r="HD123" s="199"/>
      <c r="HE123" s="199"/>
      <c r="HF123" s="199"/>
      <c r="HG123" s="199"/>
      <c r="HH123" s="199"/>
      <c r="HI123" s="199"/>
      <c r="HJ123" s="199"/>
      <c r="HK123" s="199"/>
      <c r="HL123" s="199"/>
      <c r="HM123" s="199"/>
      <c r="HN123" s="199"/>
      <c r="HO123" s="199"/>
      <c r="HP123" s="199"/>
      <c r="HQ123" s="199"/>
      <c r="HR123" s="199"/>
      <c r="HS123" s="199"/>
      <c r="HT123" s="199"/>
      <c r="HU123" s="199"/>
      <c r="HV123" s="199"/>
      <c r="HW123" s="199"/>
      <c r="HX123" s="199"/>
      <c r="HY123" s="199"/>
      <c r="HZ123" s="199"/>
      <c r="IA123" s="199"/>
    </row>
    <row r="124" spans="1:235" s="118" customFormat="1" ht="15" customHeight="1" x14ac:dyDescent="0.25">
      <c r="H124" s="605"/>
      <c r="I124" s="63"/>
      <c r="J124" s="42"/>
      <c r="K124" s="42"/>
      <c r="L124" s="42"/>
      <c r="M124" s="42"/>
      <c r="N124" s="42"/>
      <c r="O124" s="46"/>
      <c r="P124" s="46"/>
      <c r="Q124" s="229"/>
      <c r="R124" s="229"/>
      <c r="S124" s="42"/>
      <c r="T124" s="42"/>
      <c r="U124" s="121"/>
      <c r="V124" s="121"/>
      <c r="W124" s="121"/>
      <c r="X124" s="121"/>
      <c r="Y124" s="123"/>
      <c r="Z124" s="63"/>
      <c r="AA124" s="73"/>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199"/>
      <c r="CM124" s="199"/>
      <c r="CN124" s="199"/>
      <c r="CO124" s="199"/>
      <c r="CP124" s="199"/>
      <c r="CQ124" s="199"/>
      <c r="CR124" s="199"/>
      <c r="CS124" s="199"/>
      <c r="CT124" s="199"/>
      <c r="CU124" s="199"/>
      <c r="CV124" s="199"/>
      <c r="CW124" s="199"/>
      <c r="CX124" s="199"/>
      <c r="CY124" s="199"/>
      <c r="CZ124" s="199"/>
      <c r="DA124" s="199"/>
      <c r="DB124" s="199"/>
      <c r="DC124" s="199"/>
      <c r="DD124" s="199"/>
      <c r="DE124" s="199"/>
      <c r="DF124" s="199"/>
      <c r="DG124" s="199"/>
      <c r="DH124" s="199"/>
      <c r="DI124" s="199"/>
      <c r="DJ124" s="199"/>
      <c r="DK124" s="199"/>
      <c r="DL124" s="199"/>
      <c r="DM124" s="199"/>
      <c r="DN124" s="199"/>
      <c r="DO124" s="199"/>
      <c r="DP124" s="199"/>
      <c r="DQ124" s="199"/>
      <c r="DR124" s="199"/>
      <c r="DS124" s="199"/>
      <c r="DT124" s="199"/>
      <c r="DU124" s="199"/>
      <c r="DV124" s="199"/>
      <c r="DW124" s="199"/>
      <c r="DX124" s="199"/>
      <c r="DY124" s="199"/>
      <c r="DZ124" s="199"/>
      <c r="EA124" s="199"/>
      <c r="EB124" s="199"/>
      <c r="EC124" s="199"/>
      <c r="ED124" s="199"/>
      <c r="EE124" s="199"/>
      <c r="EF124" s="199"/>
      <c r="EG124" s="199"/>
      <c r="EH124" s="199"/>
      <c r="EI124" s="199"/>
      <c r="EJ124" s="199"/>
      <c r="EK124" s="199"/>
      <c r="EL124" s="199"/>
      <c r="EM124" s="199"/>
      <c r="EN124" s="199"/>
      <c r="EO124" s="199"/>
      <c r="EP124" s="199"/>
      <c r="EQ124" s="199"/>
      <c r="ER124" s="199"/>
      <c r="ES124" s="199"/>
      <c r="ET124" s="199"/>
      <c r="EU124" s="199"/>
      <c r="EV124" s="199"/>
      <c r="EW124" s="199"/>
      <c r="EX124" s="199"/>
      <c r="EY124" s="199"/>
      <c r="EZ124" s="199"/>
      <c r="FA124" s="199"/>
      <c r="FB124" s="199"/>
      <c r="FC124" s="199"/>
      <c r="FD124" s="199"/>
      <c r="FE124" s="199"/>
      <c r="FF124" s="199"/>
      <c r="FG124" s="199"/>
      <c r="FH124" s="199"/>
      <c r="FI124" s="199"/>
      <c r="FJ124" s="199"/>
      <c r="FK124" s="199"/>
      <c r="FL124" s="199"/>
      <c r="FM124" s="199"/>
      <c r="FN124" s="199"/>
      <c r="FO124" s="199"/>
      <c r="FP124" s="199"/>
      <c r="FQ124" s="199"/>
      <c r="FR124" s="199"/>
      <c r="FS124" s="199"/>
      <c r="FT124" s="199"/>
      <c r="FU124" s="199"/>
      <c r="FV124" s="199"/>
      <c r="FW124" s="199"/>
      <c r="FX124" s="199"/>
      <c r="FY124" s="199"/>
      <c r="FZ124" s="199"/>
      <c r="GA124" s="199"/>
      <c r="GB124" s="199"/>
      <c r="GC124" s="199"/>
      <c r="GD124" s="199"/>
      <c r="GE124" s="199"/>
      <c r="GF124" s="199"/>
      <c r="GG124" s="199"/>
      <c r="GH124" s="199"/>
      <c r="GI124" s="199"/>
      <c r="GJ124" s="199"/>
      <c r="GK124" s="199"/>
      <c r="GL124" s="199"/>
      <c r="GM124" s="199"/>
      <c r="GN124" s="199"/>
      <c r="GO124" s="199"/>
      <c r="GP124" s="199"/>
      <c r="GQ124" s="199"/>
      <c r="GR124" s="199"/>
      <c r="GS124" s="199"/>
      <c r="GT124" s="199"/>
      <c r="GU124" s="199"/>
      <c r="GV124" s="199"/>
      <c r="GW124" s="199"/>
      <c r="GX124" s="199"/>
      <c r="GY124" s="199"/>
      <c r="GZ124" s="199"/>
      <c r="HA124" s="199"/>
      <c r="HB124" s="199"/>
      <c r="HC124" s="199"/>
      <c r="HD124" s="199"/>
      <c r="HE124" s="199"/>
      <c r="HF124" s="199"/>
      <c r="HG124" s="199"/>
      <c r="HH124" s="199"/>
      <c r="HI124" s="199"/>
      <c r="HJ124" s="199"/>
      <c r="HK124" s="199"/>
      <c r="HL124" s="199"/>
      <c r="HM124" s="199"/>
      <c r="HN124" s="199"/>
      <c r="HO124" s="199"/>
      <c r="HP124" s="199"/>
      <c r="HQ124" s="199"/>
      <c r="HR124" s="199"/>
      <c r="HS124" s="199"/>
      <c r="HT124" s="199"/>
      <c r="HU124" s="199"/>
      <c r="HV124" s="199"/>
      <c r="HW124" s="199"/>
      <c r="HX124" s="199"/>
      <c r="HY124" s="199"/>
      <c r="HZ124" s="199"/>
      <c r="IA124" s="199"/>
    </row>
    <row r="125" spans="1:235" s="118" customFormat="1" ht="15" customHeight="1" x14ac:dyDescent="0.25">
      <c r="H125" s="605"/>
      <c r="I125" s="63"/>
      <c r="J125" s="42"/>
      <c r="K125" s="42"/>
      <c r="L125" s="42"/>
      <c r="M125" s="42"/>
      <c r="N125" s="42"/>
      <c r="O125" s="46"/>
      <c r="P125" s="46"/>
      <c r="Q125" s="229"/>
      <c r="R125" s="229"/>
      <c r="S125" s="42"/>
      <c r="T125" s="42"/>
      <c r="U125" s="121"/>
      <c r="V125" s="121"/>
      <c r="W125" s="121"/>
      <c r="X125" s="121"/>
      <c r="Y125" s="123"/>
      <c r="Z125" s="63"/>
      <c r="AA125" s="73"/>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199"/>
      <c r="CF125" s="199"/>
      <c r="CG125" s="199"/>
      <c r="CH125" s="199"/>
      <c r="CI125" s="199"/>
      <c r="CJ125" s="199"/>
      <c r="CK125" s="199"/>
      <c r="CL125" s="199"/>
      <c r="CM125" s="199"/>
      <c r="CN125" s="199"/>
      <c r="CO125" s="199"/>
      <c r="CP125" s="199"/>
      <c r="CQ125" s="199"/>
      <c r="CR125" s="199"/>
      <c r="CS125" s="199"/>
      <c r="CT125" s="199"/>
      <c r="CU125" s="199"/>
      <c r="CV125" s="199"/>
      <c r="CW125" s="199"/>
      <c r="CX125" s="199"/>
      <c r="CY125" s="199"/>
      <c r="CZ125" s="199"/>
      <c r="DA125" s="199"/>
      <c r="DB125" s="199"/>
      <c r="DC125" s="199"/>
      <c r="DD125" s="199"/>
      <c r="DE125" s="199"/>
      <c r="DF125" s="199"/>
      <c r="DG125" s="199"/>
      <c r="DH125" s="199"/>
      <c r="DI125" s="199"/>
      <c r="DJ125" s="199"/>
      <c r="DK125" s="199"/>
      <c r="DL125" s="199"/>
      <c r="DM125" s="199"/>
      <c r="DN125" s="199"/>
      <c r="DO125" s="199"/>
      <c r="DP125" s="199"/>
      <c r="DQ125" s="199"/>
      <c r="DR125" s="199"/>
      <c r="DS125" s="199"/>
      <c r="DT125" s="199"/>
      <c r="DU125" s="199"/>
      <c r="DV125" s="199"/>
      <c r="DW125" s="199"/>
      <c r="DX125" s="199"/>
      <c r="DY125" s="199"/>
      <c r="DZ125" s="199"/>
      <c r="EA125" s="199"/>
      <c r="EB125" s="199"/>
      <c r="EC125" s="199"/>
      <c r="ED125" s="199"/>
      <c r="EE125" s="199"/>
      <c r="EF125" s="199"/>
      <c r="EG125" s="199"/>
      <c r="EH125" s="199"/>
      <c r="EI125" s="199"/>
      <c r="EJ125" s="199"/>
      <c r="EK125" s="199"/>
      <c r="EL125" s="199"/>
      <c r="EM125" s="199"/>
      <c r="EN125" s="199"/>
      <c r="EO125" s="199"/>
      <c r="EP125" s="199"/>
      <c r="EQ125" s="199"/>
      <c r="ER125" s="199"/>
      <c r="ES125" s="199"/>
      <c r="ET125" s="199"/>
      <c r="EU125" s="199"/>
      <c r="EV125" s="199"/>
      <c r="EW125" s="199"/>
      <c r="EX125" s="199"/>
      <c r="EY125" s="199"/>
      <c r="EZ125" s="199"/>
      <c r="FA125" s="199"/>
      <c r="FB125" s="199"/>
      <c r="FC125" s="199"/>
      <c r="FD125" s="199"/>
      <c r="FE125" s="199"/>
      <c r="FF125" s="199"/>
      <c r="FG125" s="199"/>
      <c r="FH125" s="199"/>
      <c r="FI125" s="199"/>
      <c r="FJ125" s="199"/>
      <c r="FK125" s="199"/>
      <c r="FL125" s="199"/>
      <c r="FM125" s="199"/>
      <c r="FN125" s="199"/>
      <c r="FO125" s="199"/>
      <c r="FP125" s="199"/>
      <c r="FQ125" s="199"/>
      <c r="FR125" s="199"/>
      <c r="FS125" s="199"/>
      <c r="FT125" s="199"/>
      <c r="FU125" s="199"/>
      <c r="FV125" s="199"/>
      <c r="FW125" s="199"/>
      <c r="FX125" s="199"/>
      <c r="FY125" s="199"/>
      <c r="FZ125" s="199"/>
      <c r="GA125" s="199"/>
      <c r="GB125" s="199"/>
      <c r="GC125" s="199"/>
      <c r="GD125" s="199"/>
      <c r="GE125" s="199"/>
      <c r="GF125" s="199"/>
      <c r="GG125" s="199"/>
      <c r="GH125" s="199"/>
      <c r="GI125" s="199"/>
      <c r="GJ125" s="199"/>
      <c r="GK125" s="199"/>
      <c r="GL125" s="199"/>
      <c r="GM125" s="199"/>
      <c r="GN125" s="199"/>
      <c r="GO125" s="199"/>
      <c r="GP125" s="199"/>
      <c r="GQ125" s="199"/>
      <c r="GR125" s="199"/>
      <c r="GS125" s="199"/>
      <c r="GT125" s="199"/>
      <c r="GU125" s="199"/>
      <c r="GV125" s="199"/>
      <c r="GW125" s="199"/>
      <c r="GX125" s="199"/>
      <c r="GY125" s="199"/>
      <c r="GZ125" s="199"/>
      <c r="HA125" s="199"/>
      <c r="HB125" s="199"/>
      <c r="HC125" s="199"/>
      <c r="HD125" s="199"/>
      <c r="HE125" s="199"/>
      <c r="HF125" s="199"/>
      <c r="HG125" s="199"/>
      <c r="HH125" s="199"/>
      <c r="HI125" s="199"/>
      <c r="HJ125" s="199"/>
      <c r="HK125" s="199"/>
      <c r="HL125" s="199"/>
      <c r="HM125" s="199"/>
      <c r="HN125" s="199"/>
      <c r="HO125" s="199"/>
      <c r="HP125" s="199"/>
      <c r="HQ125" s="199"/>
      <c r="HR125" s="199"/>
      <c r="HS125" s="199"/>
      <c r="HT125" s="199"/>
      <c r="HU125" s="199"/>
      <c r="HV125" s="199"/>
      <c r="HW125" s="199"/>
      <c r="HX125" s="199"/>
      <c r="HY125" s="199"/>
      <c r="HZ125" s="199"/>
      <c r="IA125" s="199"/>
    </row>
    <row r="126" spans="1:235" s="118" customFormat="1" ht="15" customHeight="1" x14ac:dyDescent="0.25">
      <c r="H126" s="605"/>
      <c r="I126" s="63"/>
      <c r="J126" s="42"/>
      <c r="K126" s="42"/>
      <c r="L126" s="42"/>
      <c r="M126" s="42"/>
      <c r="N126" s="42"/>
      <c r="O126" s="46"/>
      <c r="P126" s="46"/>
      <c r="Q126" s="229"/>
      <c r="R126" s="229"/>
      <c r="S126" s="42"/>
      <c r="T126" s="42"/>
      <c r="U126" s="121"/>
      <c r="V126" s="121"/>
      <c r="W126" s="121"/>
      <c r="X126" s="121"/>
      <c r="Y126" s="123"/>
      <c r="Z126" s="63"/>
      <c r="AA126" s="73"/>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199"/>
      <c r="CF126" s="199"/>
      <c r="CG126" s="199"/>
      <c r="CH126" s="199"/>
      <c r="CI126" s="199"/>
      <c r="CJ126" s="199"/>
      <c r="CK126" s="199"/>
      <c r="CL126" s="199"/>
      <c r="CM126" s="199"/>
      <c r="CN126" s="199"/>
      <c r="CO126" s="199"/>
      <c r="CP126" s="199"/>
      <c r="CQ126" s="199"/>
      <c r="CR126" s="199"/>
      <c r="CS126" s="199"/>
      <c r="CT126" s="199"/>
      <c r="CU126" s="199"/>
      <c r="CV126" s="199"/>
      <c r="CW126" s="199"/>
      <c r="CX126" s="199"/>
      <c r="CY126" s="199"/>
      <c r="CZ126" s="199"/>
      <c r="DA126" s="199"/>
      <c r="DB126" s="199"/>
      <c r="DC126" s="199"/>
      <c r="DD126" s="199"/>
      <c r="DE126" s="199"/>
      <c r="DF126" s="199"/>
      <c r="DG126" s="199"/>
      <c r="DH126" s="199"/>
      <c r="DI126" s="199"/>
      <c r="DJ126" s="199"/>
      <c r="DK126" s="199"/>
      <c r="DL126" s="199"/>
      <c r="DM126" s="199"/>
      <c r="DN126" s="199"/>
      <c r="DO126" s="199"/>
      <c r="DP126" s="199"/>
      <c r="DQ126" s="199"/>
      <c r="DR126" s="199"/>
      <c r="DS126" s="199"/>
      <c r="DT126" s="199"/>
      <c r="DU126" s="199"/>
      <c r="DV126" s="199"/>
      <c r="DW126" s="199"/>
      <c r="DX126" s="199"/>
      <c r="DY126" s="199"/>
      <c r="DZ126" s="199"/>
      <c r="EA126" s="199"/>
      <c r="EB126" s="199"/>
      <c r="EC126" s="199"/>
      <c r="ED126" s="199"/>
      <c r="EE126" s="199"/>
      <c r="EF126" s="199"/>
      <c r="EG126" s="199"/>
      <c r="EH126" s="199"/>
      <c r="EI126" s="199"/>
      <c r="EJ126" s="199"/>
      <c r="EK126" s="199"/>
      <c r="EL126" s="199"/>
      <c r="EM126" s="199"/>
      <c r="EN126" s="199"/>
      <c r="EO126" s="199"/>
      <c r="EP126" s="199"/>
      <c r="EQ126" s="199"/>
      <c r="ER126" s="199"/>
      <c r="ES126" s="199"/>
      <c r="ET126" s="199"/>
      <c r="EU126" s="199"/>
      <c r="EV126" s="199"/>
      <c r="EW126" s="199"/>
      <c r="EX126" s="199"/>
      <c r="EY126" s="199"/>
      <c r="EZ126" s="199"/>
      <c r="FA126" s="199"/>
      <c r="FB126" s="199"/>
      <c r="FC126" s="199"/>
      <c r="FD126" s="199"/>
      <c r="FE126" s="199"/>
      <c r="FF126" s="199"/>
      <c r="FG126" s="199"/>
      <c r="FH126" s="199"/>
      <c r="FI126" s="199"/>
      <c r="FJ126" s="199"/>
      <c r="FK126" s="199"/>
      <c r="FL126" s="199"/>
      <c r="FM126" s="199"/>
      <c r="FN126" s="199"/>
      <c r="FO126" s="199"/>
      <c r="FP126" s="199"/>
      <c r="FQ126" s="199"/>
      <c r="FR126" s="199"/>
      <c r="FS126" s="199"/>
      <c r="FT126" s="199"/>
      <c r="FU126" s="199"/>
      <c r="FV126" s="199"/>
      <c r="FW126" s="199"/>
      <c r="FX126" s="199"/>
      <c r="FY126" s="199"/>
      <c r="FZ126" s="199"/>
      <c r="GA126" s="199"/>
      <c r="GB126" s="199"/>
      <c r="GC126" s="199"/>
      <c r="GD126" s="199"/>
      <c r="GE126" s="199"/>
      <c r="GF126" s="199"/>
      <c r="GG126" s="199"/>
      <c r="GH126" s="199"/>
      <c r="GI126" s="199"/>
      <c r="GJ126" s="199"/>
      <c r="GK126" s="199"/>
      <c r="GL126" s="199"/>
      <c r="GM126" s="199"/>
      <c r="GN126" s="199"/>
      <c r="GO126" s="199"/>
      <c r="GP126" s="199"/>
      <c r="GQ126" s="199"/>
      <c r="GR126" s="199"/>
      <c r="GS126" s="199"/>
      <c r="GT126" s="199"/>
      <c r="GU126" s="199"/>
      <c r="GV126" s="199"/>
      <c r="GW126" s="199"/>
      <c r="GX126" s="199"/>
      <c r="GY126" s="199"/>
      <c r="GZ126" s="199"/>
      <c r="HA126" s="199"/>
      <c r="HB126" s="199"/>
      <c r="HC126" s="199"/>
      <c r="HD126" s="199"/>
      <c r="HE126" s="199"/>
      <c r="HF126" s="199"/>
      <c r="HG126" s="199"/>
      <c r="HH126" s="199"/>
      <c r="HI126" s="199"/>
      <c r="HJ126" s="199"/>
      <c r="HK126" s="199"/>
      <c r="HL126" s="199"/>
      <c r="HM126" s="199"/>
      <c r="HN126" s="199"/>
      <c r="HO126" s="199"/>
      <c r="HP126" s="199"/>
      <c r="HQ126" s="199"/>
      <c r="HR126" s="199"/>
      <c r="HS126" s="199"/>
      <c r="HT126" s="199"/>
      <c r="HU126" s="199"/>
      <c r="HV126" s="199"/>
      <c r="HW126" s="199"/>
      <c r="HX126" s="199"/>
      <c r="HY126" s="199"/>
      <c r="HZ126" s="199"/>
      <c r="IA126" s="199"/>
    </row>
    <row r="127" spans="1:235" s="199" customFormat="1" ht="15" customHeight="1" x14ac:dyDescent="0.25">
      <c r="A127" s="118"/>
      <c r="B127" s="118"/>
      <c r="C127" s="118"/>
      <c r="D127" s="118"/>
      <c r="E127" s="118"/>
      <c r="F127" s="118"/>
      <c r="G127" s="118"/>
      <c r="H127" s="605"/>
      <c r="I127" s="63"/>
      <c r="J127" s="42"/>
      <c r="K127" s="42"/>
      <c r="L127" s="42"/>
      <c r="M127" s="42"/>
      <c r="N127" s="42"/>
      <c r="O127" s="46"/>
      <c r="P127" s="46"/>
      <c r="Q127" s="229"/>
      <c r="R127" s="229"/>
      <c r="S127" s="42"/>
      <c r="T127" s="42"/>
      <c r="U127" s="121"/>
      <c r="V127" s="121"/>
      <c r="W127" s="121"/>
      <c r="X127" s="121"/>
      <c r="Y127" s="123"/>
      <c r="Z127" s="63"/>
      <c r="AA127" s="73"/>
    </row>
    <row r="128" spans="1:235" s="199" customFormat="1" ht="15" customHeight="1" x14ac:dyDescent="0.25">
      <c r="J128" s="206"/>
      <c r="K128" s="206"/>
      <c r="L128" s="206"/>
      <c r="M128" s="206"/>
      <c r="N128" s="206"/>
      <c r="O128" s="206"/>
      <c r="P128" s="206"/>
      <c r="Q128" s="206"/>
      <c r="R128" s="206"/>
      <c r="S128" s="206"/>
      <c r="T128" s="206"/>
      <c r="U128" s="206"/>
      <c r="V128" s="206"/>
      <c r="W128" s="206"/>
      <c r="X128" s="206"/>
      <c r="Y128" s="206"/>
    </row>
    <row r="129" spans="9:29" s="199" customFormat="1" ht="15" customHeight="1" x14ac:dyDescent="0.25">
      <c r="J129" s="206"/>
      <c r="K129" s="206"/>
      <c r="L129" s="206"/>
      <c r="M129" s="206"/>
      <c r="N129" s="206"/>
      <c r="O129" s="206"/>
      <c r="P129" s="206"/>
      <c r="Q129" s="206"/>
      <c r="R129" s="206"/>
      <c r="S129" s="206"/>
      <c r="T129" s="206"/>
      <c r="U129" s="206"/>
      <c r="V129" s="206"/>
      <c r="W129" s="206"/>
      <c r="X129" s="206"/>
      <c r="Y129" s="206"/>
    </row>
    <row r="130" spans="9:29" s="199" customFormat="1" ht="15" customHeight="1" x14ac:dyDescent="0.25">
      <c r="J130" s="206"/>
      <c r="K130" s="206"/>
      <c r="L130" s="206"/>
      <c r="M130" s="206"/>
      <c r="N130" s="206"/>
      <c r="O130" s="206"/>
      <c r="P130" s="206"/>
      <c r="Q130" s="206"/>
      <c r="R130" s="206"/>
      <c r="S130" s="206"/>
      <c r="T130" s="206"/>
      <c r="U130" s="206"/>
      <c r="V130" s="206"/>
      <c r="W130" s="206"/>
      <c r="X130" s="206"/>
      <c r="Y130" s="206"/>
    </row>
    <row r="131" spans="9:29" s="199" customFormat="1" ht="15" customHeight="1" x14ac:dyDescent="0.25">
      <c r="J131" s="206"/>
      <c r="K131" s="206"/>
      <c r="L131" s="206"/>
      <c r="M131" s="206"/>
      <c r="N131" s="206"/>
      <c r="O131" s="206"/>
      <c r="P131" s="206"/>
      <c r="Q131" s="206"/>
      <c r="R131" s="206"/>
      <c r="S131" s="206"/>
      <c r="T131" s="206"/>
      <c r="U131" s="206"/>
      <c r="V131" s="206"/>
      <c r="W131" s="206"/>
      <c r="X131" s="206"/>
      <c r="Y131" s="206"/>
    </row>
    <row r="132" spans="9:29" s="199" customFormat="1" ht="15" customHeight="1" x14ac:dyDescent="0.25">
      <c r="J132" s="206"/>
      <c r="K132" s="206"/>
      <c r="L132" s="206"/>
      <c r="M132" s="206"/>
      <c r="N132" s="206"/>
      <c r="O132" s="206"/>
      <c r="P132" s="206"/>
      <c r="Q132" s="206"/>
      <c r="R132" s="206"/>
      <c r="S132" s="206"/>
      <c r="T132" s="206"/>
      <c r="U132" s="206"/>
      <c r="V132" s="206"/>
      <c r="W132" s="206"/>
      <c r="X132" s="206"/>
      <c r="Y132" s="206"/>
    </row>
    <row r="133" spans="9:29" s="199" customFormat="1" ht="15" customHeight="1" x14ac:dyDescent="0.3">
      <c r="I133" s="1402" t="e">
        <f>#REF!</f>
        <v>#REF!</v>
      </c>
      <c r="J133" s="1402"/>
      <c r="K133" s="1402"/>
      <c r="L133" s="1402" t="e">
        <f>#REF!</f>
        <v>#REF!</v>
      </c>
      <c r="M133" s="1402"/>
      <c r="N133" s="1402"/>
      <c r="O133" s="1402"/>
      <c r="P133" s="1402"/>
      <c r="Q133" s="1402"/>
      <c r="R133" s="1402"/>
      <c r="S133" s="649" t="e">
        <f>#REF!</f>
        <v>#REF!</v>
      </c>
      <c r="T133" s="648"/>
      <c r="U133" s="649" t="e">
        <f>#REF!</f>
        <v>#REF!</v>
      </c>
      <c r="V133" s="648"/>
      <c r="W133" s="649" t="e">
        <f>#REF!</f>
        <v>#REF!</v>
      </c>
      <c r="X133" s="648"/>
      <c r="Y133" s="649" t="e">
        <f>#REF!</f>
        <v>#REF!</v>
      </c>
      <c r="Z133" s="648" t="s">
        <v>851</v>
      </c>
      <c r="AA133" s="650"/>
    </row>
    <row r="134" spans="9:29" s="199" customFormat="1" ht="50.15" customHeight="1" x14ac:dyDescent="0.25">
      <c r="I134" s="1386" t="e">
        <f>#REF!</f>
        <v>#REF!</v>
      </c>
      <c r="J134" s="1386"/>
      <c r="K134" s="1386"/>
      <c r="L134" s="1386" t="e">
        <f>#REF!</f>
        <v>#REF!</v>
      </c>
      <c r="M134" s="1386"/>
      <c r="N134" s="1386"/>
      <c r="O134" s="1386"/>
      <c r="P134" s="1386"/>
      <c r="Q134" s="1386"/>
      <c r="R134" s="1386"/>
      <c r="S134" s="1390" t="e">
        <f>#REF!</f>
        <v>#REF!</v>
      </c>
      <c r="T134" s="1391"/>
      <c r="U134" s="651" t="e">
        <f>#REF!</f>
        <v>#REF!</v>
      </c>
      <c r="V134" s="1390" t="e">
        <f>#REF!</f>
        <v>#REF!</v>
      </c>
      <c r="W134" s="1392"/>
      <c r="X134" s="1391"/>
      <c r="Y134" s="651" t="e">
        <f>#REF!</f>
        <v>#REF!</v>
      </c>
      <c r="Z134" s="1385" t="e">
        <f>#REF!</f>
        <v>#REF!</v>
      </c>
      <c r="AA134" s="1385"/>
      <c r="AC134" s="647"/>
    </row>
    <row r="135" spans="9:29" s="199" customFormat="1" ht="50.15" customHeight="1" x14ac:dyDescent="0.25">
      <c r="I135" s="1386" t="e">
        <f>#REF!</f>
        <v>#REF!</v>
      </c>
      <c r="J135" s="1386"/>
      <c r="K135" s="1386"/>
      <c r="L135" s="1387" t="e">
        <f>#REF!</f>
        <v>#REF!</v>
      </c>
      <c r="M135" s="1388"/>
      <c r="N135" s="1388"/>
      <c r="O135" s="1388"/>
      <c r="P135" s="1388"/>
      <c r="Q135" s="1388"/>
      <c r="R135" s="1389"/>
      <c r="S135" s="1390" t="e">
        <f>#REF!</f>
        <v>#REF!</v>
      </c>
      <c r="T135" s="1391"/>
      <c r="U135" s="651" t="e">
        <f>#REF!</f>
        <v>#REF!</v>
      </c>
      <c r="V135" s="1390" t="e">
        <f>#REF!</f>
        <v>#REF!</v>
      </c>
      <c r="W135" s="1392"/>
      <c r="X135" s="1391"/>
      <c r="Y135" s="651" t="e">
        <f>#REF!</f>
        <v>#REF!</v>
      </c>
      <c r="Z135" s="1385" t="e">
        <f>#REF!</f>
        <v>#REF!</v>
      </c>
      <c r="AA135" s="1385"/>
      <c r="AC135" s="647"/>
    </row>
    <row r="136" spans="9:29" s="199" customFormat="1" ht="50.15" customHeight="1" x14ac:dyDescent="0.25">
      <c r="I136" s="1386" t="e">
        <f>#REF!</f>
        <v>#REF!</v>
      </c>
      <c r="J136" s="1386"/>
      <c r="K136" s="1386"/>
      <c r="L136" s="1387" t="e">
        <f>#REF!</f>
        <v>#REF!</v>
      </c>
      <c r="M136" s="1388"/>
      <c r="N136" s="1388"/>
      <c r="O136" s="1388"/>
      <c r="P136" s="1388"/>
      <c r="Q136" s="1388"/>
      <c r="R136" s="1389"/>
      <c r="S136" s="1390" t="e">
        <f>#REF!</f>
        <v>#REF!</v>
      </c>
      <c r="T136" s="1391"/>
      <c r="U136" s="651" t="e">
        <f>#REF!</f>
        <v>#REF!</v>
      </c>
      <c r="V136" s="1390" t="e">
        <f>#REF!</f>
        <v>#REF!</v>
      </c>
      <c r="W136" s="1392"/>
      <c r="X136" s="1391"/>
      <c r="Y136" s="651" t="e">
        <f>#REF!</f>
        <v>#REF!</v>
      </c>
      <c r="Z136" s="1385" t="e">
        <f>#REF!</f>
        <v>#REF!</v>
      </c>
      <c r="AA136" s="1385"/>
      <c r="AC136" s="647"/>
    </row>
    <row r="137" spans="9:29" s="199" customFormat="1" ht="50.15" customHeight="1" x14ac:dyDescent="0.25">
      <c r="I137" s="1386" t="e">
        <f>#REF!</f>
        <v>#REF!</v>
      </c>
      <c r="J137" s="1386"/>
      <c r="K137" s="1386"/>
      <c r="L137" s="1387" t="e">
        <f>#REF!</f>
        <v>#REF!</v>
      </c>
      <c r="M137" s="1388"/>
      <c r="N137" s="1388"/>
      <c r="O137" s="1388"/>
      <c r="P137" s="1388"/>
      <c r="Q137" s="1388"/>
      <c r="R137" s="1389"/>
      <c r="S137" s="1390" t="e">
        <f>#REF!</f>
        <v>#REF!</v>
      </c>
      <c r="T137" s="1391"/>
      <c r="U137" s="651" t="e">
        <f>#REF!</f>
        <v>#REF!</v>
      </c>
      <c r="V137" s="1390" t="e">
        <f>#REF!</f>
        <v>#REF!</v>
      </c>
      <c r="W137" s="1392"/>
      <c r="X137" s="1391"/>
      <c r="Y137" s="651" t="e">
        <f>#REF!</f>
        <v>#REF!</v>
      </c>
      <c r="Z137" s="1385" t="e">
        <f>#REF!</f>
        <v>#REF!</v>
      </c>
      <c r="AA137" s="1385"/>
      <c r="AC137" s="647"/>
    </row>
    <row r="138" spans="9:29" s="199" customFormat="1" ht="50.15" customHeight="1" x14ac:dyDescent="0.25">
      <c r="I138" s="1386" t="e">
        <f>#REF!</f>
        <v>#REF!</v>
      </c>
      <c r="J138" s="1386"/>
      <c r="K138" s="1386"/>
      <c r="L138" s="1387" t="e">
        <f>#REF!</f>
        <v>#REF!</v>
      </c>
      <c r="M138" s="1388"/>
      <c r="N138" s="1388"/>
      <c r="O138" s="1388"/>
      <c r="P138" s="1388"/>
      <c r="Q138" s="1388"/>
      <c r="R138" s="1389"/>
      <c r="S138" s="1390" t="e">
        <f>#REF!</f>
        <v>#REF!</v>
      </c>
      <c r="T138" s="1391"/>
      <c r="U138" s="651" t="e">
        <f>#REF!</f>
        <v>#REF!</v>
      </c>
      <c r="V138" s="1390" t="e">
        <f>#REF!</f>
        <v>#REF!</v>
      </c>
      <c r="W138" s="1392"/>
      <c r="X138" s="1391"/>
      <c r="Y138" s="651" t="e">
        <f>#REF!</f>
        <v>#REF!</v>
      </c>
      <c r="Z138" s="1385" t="e">
        <f>#REF!</f>
        <v>#REF!</v>
      </c>
      <c r="AA138" s="1385"/>
      <c r="AC138" s="647"/>
    </row>
    <row r="139" spans="9:29" s="199" customFormat="1" ht="50.15" customHeight="1" x14ac:dyDescent="0.25">
      <c r="I139" s="1386" t="e">
        <f>#REF!</f>
        <v>#REF!</v>
      </c>
      <c r="J139" s="1386"/>
      <c r="K139" s="1386"/>
      <c r="L139" s="1387" t="e">
        <f>#REF!</f>
        <v>#REF!</v>
      </c>
      <c r="M139" s="1388"/>
      <c r="N139" s="1388"/>
      <c r="O139" s="1388"/>
      <c r="P139" s="1388"/>
      <c r="Q139" s="1388"/>
      <c r="R139" s="1389"/>
      <c r="S139" s="1390" t="e">
        <f>#REF!</f>
        <v>#REF!</v>
      </c>
      <c r="T139" s="1391"/>
      <c r="U139" s="651" t="e">
        <f>#REF!</f>
        <v>#REF!</v>
      </c>
      <c r="V139" s="1390" t="e">
        <f>#REF!</f>
        <v>#REF!</v>
      </c>
      <c r="W139" s="1392"/>
      <c r="X139" s="1391"/>
      <c r="Y139" s="651" t="e">
        <f>#REF!</f>
        <v>#REF!</v>
      </c>
      <c r="Z139" s="1385" t="e">
        <f>#REF!</f>
        <v>#REF!</v>
      </c>
      <c r="AA139" s="1385"/>
      <c r="AC139" s="647"/>
    </row>
    <row r="140" spans="9:29" s="199" customFormat="1" ht="50.15" customHeight="1" x14ac:dyDescent="0.25">
      <c r="I140" s="1386" t="e">
        <f>#REF!</f>
        <v>#REF!</v>
      </c>
      <c r="J140" s="1386"/>
      <c r="K140" s="1386"/>
      <c r="L140" s="1387" t="e">
        <f>#REF!</f>
        <v>#REF!</v>
      </c>
      <c r="M140" s="1388"/>
      <c r="N140" s="1388"/>
      <c r="O140" s="1388"/>
      <c r="P140" s="1388"/>
      <c r="Q140" s="1388"/>
      <c r="R140" s="1389"/>
      <c r="S140" s="1390" t="e">
        <f>#REF!</f>
        <v>#REF!</v>
      </c>
      <c r="T140" s="1391"/>
      <c r="U140" s="651" t="e">
        <f>#REF!</f>
        <v>#REF!</v>
      </c>
      <c r="V140" s="1390" t="e">
        <f>#REF!</f>
        <v>#REF!</v>
      </c>
      <c r="W140" s="1392"/>
      <c r="X140" s="1391"/>
      <c r="Y140" s="651" t="e">
        <f>#REF!</f>
        <v>#REF!</v>
      </c>
      <c r="Z140" s="1385" t="e">
        <f>#REF!</f>
        <v>#REF!</v>
      </c>
      <c r="AA140" s="1385"/>
      <c r="AC140" s="647"/>
    </row>
    <row r="141" spans="9:29" s="199" customFormat="1" ht="50.15" customHeight="1" x14ac:dyDescent="0.25">
      <c r="I141" s="1386" t="e">
        <f>#REF!</f>
        <v>#REF!</v>
      </c>
      <c r="J141" s="1386"/>
      <c r="K141" s="1386"/>
      <c r="L141" s="1387" t="e">
        <f>#REF!</f>
        <v>#REF!</v>
      </c>
      <c r="M141" s="1388"/>
      <c r="N141" s="1388"/>
      <c r="O141" s="1388"/>
      <c r="P141" s="1388"/>
      <c r="Q141" s="1388"/>
      <c r="R141" s="1389"/>
      <c r="S141" s="1390" t="e">
        <f>#REF!</f>
        <v>#REF!</v>
      </c>
      <c r="T141" s="1391"/>
      <c r="U141" s="651" t="e">
        <f>#REF!</f>
        <v>#REF!</v>
      </c>
      <c r="V141" s="1390" t="e">
        <f>#REF!</f>
        <v>#REF!</v>
      </c>
      <c r="W141" s="1392"/>
      <c r="X141" s="1391"/>
      <c r="Y141" s="651" t="e">
        <f>#REF!</f>
        <v>#REF!</v>
      </c>
      <c r="Z141" s="1385" t="e">
        <f>#REF!</f>
        <v>#REF!</v>
      </c>
      <c r="AA141" s="1385"/>
      <c r="AC141" s="647"/>
    </row>
    <row r="142" spans="9:29" s="199" customFormat="1" ht="50.15" customHeight="1" x14ac:dyDescent="0.25">
      <c r="I142" s="1386" t="e">
        <f>#REF!</f>
        <v>#REF!</v>
      </c>
      <c r="J142" s="1386"/>
      <c r="K142" s="1386"/>
      <c r="L142" s="1387" t="e">
        <f>#REF!</f>
        <v>#REF!</v>
      </c>
      <c r="M142" s="1388"/>
      <c r="N142" s="1388"/>
      <c r="O142" s="1388"/>
      <c r="P142" s="1388"/>
      <c r="Q142" s="1388"/>
      <c r="R142" s="1389"/>
      <c r="S142" s="1390" t="e">
        <f>#REF!</f>
        <v>#REF!</v>
      </c>
      <c r="T142" s="1391"/>
      <c r="U142" s="651" t="e">
        <f>#REF!</f>
        <v>#REF!</v>
      </c>
      <c r="V142" s="1390" t="e">
        <f>#REF!</f>
        <v>#REF!</v>
      </c>
      <c r="W142" s="1392"/>
      <c r="X142" s="1391"/>
      <c r="Y142" s="651" t="e">
        <f>#REF!</f>
        <v>#REF!</v>
      </c>
      <c r="Z142" s="1385" t="e">
        <f>#REF!</f>
        <v>#REF!</v>
      </c>
      <c r="AA142" s="1385"/>
      <c r="AC142" s="647"/>
    </row>
    <row r="143" spans="9:29" s="199" customFormat="1" ht="50.15" customHeight="1" x14ac:dyDescent="0.25">
      <c r="I143" s="1386" t="e">
        <f>#REF!</f>
        <v>#REF!</v>
      </c>
      <c r="J143" s="1386"/>
      <c r="K143" s="1386"/>
      <c r="L143" s="1387" t="e">
        <f>#REF!</f>
        <v>#REF!</v>
      </c>
      <c r="M143" s="1388"/>
      <c r="N143" s="1388"/>
      <c r="O143" s="1388"/>
      <c r="P143" s="1388"/>
      <c r="Q143" s="1388"/>
      <c r="R143" s="1389"/>
      <c r="S143" s="1390" t="e">
        <f>#REF!</f>
        <v>#REF!</v>
      </c>
      <c r="T143" s="1391"/>
      <c r="U143" s="651" t="e">
        <f>#REF!</f>
        <v>#REF!</v>
      </c>
      <c r="V143" s="1390" t="e">
        <f>#REF!</f>
        <v>#REF!</v>
      </c>
      <c r="W143" s="1392"/>
      <c r="X143" s="1391"/>
      <c r="Y143" s="651" t="e">
        <f>#REF!</f>
        <v>#REF!</v>
      </c>
      <c r="Z143" s="1385" t="e">
        <f>#REF!</f>
        <v>#REF!</v>
      </c>
      <c r="AA143" s="1385"/>
    </row>
    <row r="144" spans="9:29" s="199" customFormat="1" ht="50.15" customHeight="1" x14ac:dyDescent="0.25">
      <c r="I144" s="1386" t="e">
        <f>#REF!</f>
        <v>#REF!</v>
      </c>
      <c r="J144" s="1386"/>
      <c r="K144" s="1386"/>
      <c r="L144" s="1387" t="e">
        <f>#REF!</f>
        <v>#REF!</v>
      </c>
      <c r="M144" s="1388"/>
      <c r="N144" s="1388"/>
      <c r="O144" s="1388"/>
      <c r="P144" s="1388"/>
      <c r="Q144" s="1388"/>
      <c r="R144" s="1389"/>
      <c r="S144" s="1390" t="e">
        <f>#REF!</f>
        <v>#REF!</v>
      </c>
      <c r="T144" s="1391"/>
      <c r="U144" s="651" t="e">
        <f>#REF!</f>
        <v>#REF!</v>
      </c>
      <c r="V144" s="1390" t="e">
        <f>#REF!</f>
        <v>#REF!</v>
      </c>
      <c r="W144" s="1392"/>
      <c r="X144" s="1391"/>
      <c r="Y144" s="651" t="e">
        <f>#REF!</f>
        <v>#REF!</v>
      </c>
      <c r="Z144" s="1385" t="e">
        <f>#REF!</f>
        <v>#REF!</v>
      </c>
      <c r="AA144" s="1385"/>
    </row>
    <row r="145" spans="1:36" s="199" customFormat="1" ht="50.15" customHeight="1" x14ac:dyDescent="0.25">
      <c r="I145" s="1386" t="e">
        <f>#REF!</f>
        <v>#REF!</v>
      </c>
      <c r="J145" s="1386"/>
      <c r="K145" s="1386"/>
      <c r="L145" s="1387" t="e">
        <f>#REF!</f>
        <v>#REF!</v>
      </c>
      <c r="M145" s="1388"/>
      <c r="N145" s="1388"/>
      <c r="O145" s="1388"/>
      <c r="P145" s="1388"/>
      <c r="Q145" s="1388"/>
      <c r="R145" s="1389"/>
      <c r="S145" s="1390" t="e">
        <f>#REF!</f>
        <v>#REF!</v>
      </c>
      <c r="T145" s="1391"/>
      <c r="U145" s="651" t="e">
        <f>#REF!</f>
        <v>#REF!</v>
      </c>
      <c r="V145" s="1390" t="e">
        <f>#REF!</f>
        <v>#REF!</v>
      </c>
      <c r="W145" s="1392"/>
      <c r="X145" s="1391"/>
      <c r="Y145" s="651" t="e">
        <f>#REF!</f>
        <v>#REF!</v>
      </c>
      <c r="Z145" s="1385" t="e">
        <f>#REF!</f>
        <v>#REF!</v>
      </c>
      <c r="AA145" s="1385"/>
    </row>
    <row r="146" spans="1:36" s="199" customFormat="1" ht="50.15" customHeight="1" x14ac:dyDescent="0.25">
      <c r="I146" s="1386" t="e">
        <f>#REF!</f>
        <v>#REF!</v>
      </c>
      <c r="J146" s="1386"/>
      <c r="K146" s="1386"/>
      <c r="L146" s="1387" t="e">
        <f>#REF!</f>
        <v>#REF!</v>
      </c>
      <c r="M146" s="1388"/>
      <c r="N146" s="1388"/>
      <c r="O146" s="1388"/>
      <c r="P146" s="1388"/>
      <c r="Q146" s="1388"/>
      <c r="R146" s="1389"/>
      <c r="S146" s="1390" t="e">
        <f>#REF!</f>
        <v>#REF!</v>
      </c>
      <c r="T146" s="1391"/>
      <c r="U146" s="651" t="e">
        <f>#REF!</f>
        <v>#REF!</v>
      </c>
      <c r="V146" s="1390" t="e">
        <f>#REF!</f>
        <v>#REF!</v>
      </c>
      <c r="W146" s="1392"/>
      <c r="X146" s="1391"/>
      <c r="Y146" s="651" t="e">
        <f>#REF!</f>
        <v>#REF!</v>
      </c>
      <c r="Z146" s="1385" t="e">
        <f>#REF!</f>
        <v>#REF!</v>
      </c>
      <c r="AA146" s="1385"/>
    </row>
    <row r="147" spans="1:36" s="199" customFormat="1" ht="50.15" customHeight="1" x14ac:dyDescent="0.25">
      <c r="I147" s="1386" t="e">
        <f>#REF!</f>
        <v>#REF!</v>
      </c>
      <c r="J147" s="1386"/>
      <c r="K147" s="1386"/>
      <c r="L147" s="1387" t="e">
        <f>#REF!</f>
        <v>#REF!</v>
      </c>
      <c r="M147" s="1388"/>
      <c r="N147" s="1388"/>
      <c r="O147" s="1388"/>
      <c r="P147" s="1388"/>
      <c r="Q147" s="1388"/>
      <c r="R147" s="1389"/>
      <c r="S147" s="1390" t="e">
        <f>#REF!</f>
        <v>#REF!</v>
      </c>
      <c r="T147" s="1391"/>
      <c r="U147" s="651" t="e">
        <f>#REF!</f>
        <v>#REF!</v>
      </c>
      <c r="V147" s="1390" t="e">
        <f>#REF!</f>
        <v>#REF!</v>
      </c>
      <c r="W147" s="1392"/>
      <c r="X147" s="1391"/>
      <c r="Y147" s="651" t="e">
        <f>#REF!</f>
        <v>#REF!</v>
      </c>
      <c r="Z147" s="1385" t="e">
        <f>#REF!</f>
        <v>#REF!</v>
      </c>
      <c r="AA147" s="1385"/>
    </row>
    <row r="148" spans="1:36" s="199" customFormat="1" ht="15" customHeight="1" x14ac:dyDescent="0.25">
      <c r="J148" s="206"/>
      <c r="K148" s="206"/>
      <c r="L148" s="206"/>
      <c r="M148" s="206"/>
      <c r="N148" s="206"/>
      <c r="O148" s="206"/>
      <c r="P148" s="206"/>
      <c r="Q148" s="206"/>
      <c r="R148" s="206"/>
      <c r="S148" s="206"/>
      <c r="T148" s="206"/>
      <c r="U148" s="206"/>
      <c r="V148" s="206"/>
      <c r="W148" s="206"/>
      <c r="X148" s="206"/>
      <c r="Y148" s="206"/>
      <c r="AB148" s="140"/>
      <c r="AC148" s="140"/>
    </row>
    <row r="149" spans="1:36" s="199" customFormat="1" ht="15" customHeight="1" x14ac:dyDescent="0.25">
      <c r="J149" s="206"/>
      <c r="K149" s="207"/>
      <c r="L149" s="207"/>
      <c r="M149" s="206"/>
      <c r="N149" s="206"/>
      <c r="O149" s="206"/>
      <c r="P149" s="206"/>
      <c r="Q149" s="206"/>
      <c r="R149" s="206"/>
      <c r="S149" s="313"/>
      <c r="T149" s="599"/>
      <c r="U149" s="206"/>
      <c r="V149" s="206"/>
      <c r="W149" s="206"/>
      <c r="X149" s="206"/>
      <c r="Y149" s="206"/>
      <c r="AB149" s="140"/>
      <c r="AC149" s="140"/>
    </row>
    <row r="150" spans="1:36" s="199" customFormat="1" ht="15" customHeight="1" x14ac:dyDescent="0.25">
      <c r="J150" s="206"/>
      <c r="K150" s="1419"/>
      <c r="L150" s="1419"/>
      <c r="M150" s="1419"/>
      <c r="N150" s="1419"/>
      <c r="O150" s="1419"/>
      <c r="P150" s="599"/>
      <c r="Q150" s="206"/>
      <c r="R150" s="206"/>
      <c r="S150" s="206"/>
      <c r="T150" s="206"/>
      <c r="U150" s="206"/>
      <c r="V150" s="206"/>
      <c r="W150" s="206"/>
      <c r="X150" s="206"/>
      <c r="Y150" s="206"/>
    </row>
    <row r="151" spans="1:36" s="206" customFormat="1" x14ac:dyDescent="0.25">
      <c r="A151" s="199"/>
      <c r="B151" s="199"/>
      <c r="C151" s="199"/>
      <c r="D151" s="199"/>
      <c r="E151" s="199"/>
      <c r="F151" s="199"/>
      <c r="G151" s="199"/>
      <c r="H151" s="199"/>
      <c r="I151" s="199"/>
      <c r="K151" s="1419"/>
      <c r="L151" s="1419"/>
      <c r="M151" s="1419"/>
      <c r="N151" s="1419"/>
      <c r="O151" s="1419"/>
      <c r="P151" s="1419"/>
      <c r="Q151" s="1419"/>
      <c r="R151" s="599"/>
      <c r="S151" s="313"/>
      <c r="T151" s="599"/>
      <c r="Y151" s="199"/>
      <c r="AA151" s="199"/>
      <c r="AB151" s="199"/>
      <c r="AC151" s="199"/>
    </row>
    <row r="152" spans="1:36" s="206" customFormat="1" x14ac:dyDescent="0.25">
      <c r="A152" s="199"/>
      <c r="B152" s="199"/>
      <c r="C152" s="199"/>
      <c r="D152" s="199"/>
      <c r="E152" s="199"/>
      <c r="F152" s="199"/>
      <c r="G152" s="199"/>
      <c r="H152" s="199"/>
      <c r="I152" s="199"/>
      <c r="K152" s="1419"/>
      <c r="L152" s="1419"/>
      <c r="M152" s="1419"/>
      <c r="N152" s="1419"/>
      <c r="O152" s="1419"/>
      <c r="P152" s="1419"/>
      <c r="Q152" s="1419"/>
      <c r="R152" s="599"/>
      <c r="Y152" s="199"/>
      <c r="AA152" s="199"/>
      <c r="AB152" s="199"/>
      <c r="AC152" s="199"/>
    </row>
    <row r="153" spans="1:36" s="206" customFormat="1" x14ac:dyDescent="0.25">
      <c r="A153" s="199"/>
      <c r="B153" s="199"/>
      <c r="C153" s="199"/>
      <c r="D153" s="199"/>
      <c r="E153" s="199"/>
      <c r="F153" s="199"/>
      <c r="G153" s="199"/>
      <c r="H153" s="199"/>
      <c r="I153" s="199"/>
      <c r="K153" s="313"/>
      <c r="L153" s="606"/>
      <c r="M153" s="313"/>
      <c r="N153" s="599"/>
      <c r="O153" s="313"/>
      <c r="P153" s="599"/>
      <c r="Q153" s="313"/>
      <c r="R153" s="599"/>
      <c r="Y153" s="199"/>
      <c r="AA153" s="199"/>
      <c r="AB153" s="199"/>
      <c r="AC153" s="199"/>
    </row>
    <row r="154" spans="1:36" s="199" customFormat="1" x14ac:dyDescent="0.25">
      <c r="J154" s="206"/>
      <c r="K154" s="1419"/>
      <c r="L154" s="1419"/>
      <c r="M154" s="1419"/>
      <c r="N154" s="1419"/>
      <c r="O154" s="1419"/>
      <c r="P154" s="1419"/>
      <c r="Q154" s="1419"/>
      <c r="R154" s="599"/>
      <c r="S154" s="206"/>
      <c r="T154" s="206"/>
      <c r="U154" s="206"/>
      <c r="V154" s="206"/>
      <c r="W154" s="206"/>
      <c r="X154" s="206"/>
      <c r="Z154" s="206"/>
    </row>
    <row r="155" spans="1:36" s="199" customFormat="1" x14ac:dyDescent="0.25">
      <c r="J155" s="206"/>
      <c r="K155" s="313"/>
      <c r="L155" s="606"/>
      <c r="M155" s="313"/>
      <c r="N155" s="599"/>
      <c r="O155" s="313"/>
      <c r="P155" s="599"/>
      <c r="Q155" s="313"/>
      <c r="R155" s="599"/>
      <c r="S155" s="206"/>
      <c r="T155" s="206"/>
      <c r="U155" s="206"/>
      <c r="V155" s="206"/>
      <c r="W155" s="206"/>
      <c r="X155" s="206"/>
      <c r="Z155" s="206"/>
    </row>
    <row r="156" spans="1:36" s="199" customFormat="1" x14ac:dyDescent="0.25">
      <c r="J156" s="206"/>
      <c r="K156" s="206"/>
      <c r="L156" s="206"/>
      <c r="M156" s="206"/>
      <c r="N156" s="206"/>
      <c r="O156" s="206"/>
      <c r="P156" s="206"/>
      <c r="Q156" s="206"/>
      <c r="R156" s="206"/>
      <c r="S156" s="206"/>
      <c r="T156" s="206"/>
      <c r="U156" s="313"/>
      <c r="V156" s="606"/>
      <c r="W156" s="206"/>
      <c r="X156" s="206"/>
      <c r="Y156" s="206"/>
    </row>
    <row r="157" spans="1:36" s="199" customFormat="1" x14ac:dyDescent="0.25">
      <c r="J157" s="206"/>
      <c r="K157" s="206"/>
      <c r="L157" s="206"/>
      <c r="M157" s="206"/>
      <c r="N157" s="206"/>
      <c r="O157" s="206"/>
      <c r="P157" s="206"/>
      <c r="Q157" s="206"/>
      <c r="R157" s="206"/>
      <c r="U157" s="206"/>
      <c r="V157" s="206"/>
      <c r="W157" s="206"/>
      <c r="X157" s="206"/>
      <c r="Y157" s="206"/>
    </row>
    <row r="158" spans="1:36" s="199" customFormat="1" x14ac:dyDescent="0.25">
      <c r="B158" s="219" t="s">
        <v>20</v>
      </c>
      <c r="J158" s="206"/>
      <c r="K158" s="206"/>
      <c r="L158" s="206"/>
      <c r="M158" s="206"/>
      <c r="N158" s="206"/>
      <c r="O158" s="206"/>
      <c r="P158" s="206"/>
      <c r="Q158" s="206"/>
      <c r="R158" s="206"/>
      <c r="U158" s="206"/>
      <c r="V158" s="206"/>
      <c r="W158" s="206"/>
      <c r="X158" s="206"/>
      <c r="Y158" s="206"/>
    </row>
    <row r="159" spans="1:36" s="199" customFormat="1" x14ac:dyDescent="0.25">
      <c r="B159" s="219" t="s">
        <v>21</v>
      </c>
      <c r="J159" s="206"/>
      <c r="K159" s="206"/>
      <c r="L159" s="206"/>
      <c r="M159" s="206"/>
      <c r="N159" s="206"/>
      <c r="O159" s="206"/>
      <c r="P159" s="206"/>
      <c r="Q159" s="206"/>
      <c r="R159" s="206"/>
      <c r="U159" s="206"/>
      <c r="V159" s="206"/>
      <c r="W159" s="206"/>
      <c r="X159" s="206"/>
      <c r="Y159" s="206"/>
      <c r="AD159" s="206"/>
      <c r="AJ159" s="199" t="e">
        <f>IF(#REF!="NO",0,1)</f>
        <v>#REF!</v>
      </c>
    </row>
    <row r="160" spans="1:36" s="199" customFormat="1" x14ac:dyDescent="0.25">
      <c r="J160" s="206"/>
      <c r="K160" s="206"/>
      <c r="L160" s="206"/>
      <c r="M160" s="206"/>
      <c r="N160" s="206"/>
      <c r="O160" s="206"/>
      <c r="P160" s="206"/>
      <c r="Q160" s="206"/>
      <c r="R160" s="206"/>
      <c r="U160" s="206"/>
      <c r="V160" s="206"/>
      <c r="W160" s="206"/>
      <c r="X160" s="206"/>
      <c r="Y160" s="206"/>
      <c r="AD160" s="206"/>
      <c r="AJ160" s="199" t="e">
        <f>IF(#REF!="NO",0,1)</f>
        <v>#REF!</v>
      </c>
    </row>
    <row r="161" spans="10:36" s="199" customFormat="1" x14ac:dyDescent="0.25">
      <c r="J161" s="206"/>
      <c r="U161" s="206"/>
      <c r="V161" s="206"/>
      <c r="W161" s="206"/>
      <c r="X161" s="206"/>
      <c r="Y161" s="206"/>
      <c r="Z161" s="206"/>
      <c r="AA161" s="206"/>
      <c r="AB161" s="206"/>
      <c r="AC161" s="206"/>
      <c r="AD161" s="206"/>
      <c r="AJ161" s="199" t="e">
        <f>IF(#REF!="NO",0,1)</f>
        <v>#REF!</v>
      </c>
    </row>
    <row r="162" spans="10:36" s="199" customFormat="1" x14ac:dyDescent="0.25">
      <c r="J162" s="206"/>
      <c r="U162" s="206"/>
      <c r="V162" s="206"/>
      <c r="W162" s="206"/>
      <c r="X162" s="206"/>
      <c r="Y162" s="206"/>
      <c r="Z162" s="206"/>
      <c r="AA162" s="206"/>
      <c r="AB162" s="206"/>
      <c r="AC162" s="206"/>
      <c r="AD162" s="206"/>
    </row>
    <row r="163" spans="10:36" s="199" customFormat="1" x14ac:dyDescent="0.25">
      <c r="U163" s="206"/>
      <c r="V163" s="206"/>
      <c r="W163" s="206"/>
      <c r="X163" s="206"/>
      <c r="Y163" s="206"/>
      <c r="Z163" s="206"/>
      <c r="AA163" s="206"/>
      <c r="AB163" s="206"/>
      <c r="AC163" s="206"/>
      <c r="AD163" s="206"/>
    </row>
    <row r="164" spans="10:36" s="199" customFormat="1" x14ac:dyDescent="0.25">
      <c r="W164" s="206"/>
      <c r="X164" s="206"/>
      <c r="Y164" s="206"/>
      <c r="Z164" s="206"/>
      <c r="AA164" s="206"/>
      <c r="AB164" s="206"/>
      <c r="AC164" s="206"/>
      <c r="AD164" s="206"/>
    </row>
    <row r="165" spans="10:36" s="199" customFormat="1" x14ac:dyDescent="0.25">
      <c r="W165" s="206"/>
      <c r="X165" s="206"/>
      <c r="Y165" s="206"/>
      <c r="Z165" s="206"/>
      <c r="AA165" s="206"/>
      <c r="AB165" s="206"/>
      <c r="AC165" s="206"/>
      <c r="AD165" s="206"/>
    </row>
    <row r="166" spans="10:36" s="199" customFormat="1" x14ac:dyDescent="0.25">
      <c r="Y166" s="206"/>
      <c r="Z166" s="206"/>
      <c r="AA166" s="206"/>
      <c r="AB166" s="206"/>
      <c r="AC166" s="206"/>
      <c r="AD166" s="206"/>
    </row>
    <row r="167" spans="10:36" s="199" customFormat="1" x14ac:dyDescent="0.25">
      <c r="Y167" s="206"/>
      <c r="Z167" s="206"/>
      <c r="AB167" s="206"/>
      <c r="AC167" s="206"/>
      <c r="AD167" s="206"/>
    </row>
    <row r="168" spans="10:36" s="199" customFormat="1" x14ac:dyDescent="0.25">
      <c r="Y168" s="206"/>
      <c r="Z168" s="206"/>
      <c r="AB168" s="206"/>
      <c r="AC168" s="206"/>
      <c r="AD168" s="206"/>
    </row>
    <row r="169" spans="10:36" s="199" customFormat="1" x14ac:dyDescent="0.25">
      <c r="Y169" s="206"/>
      <c r="Z169" s="206"/>
      <c r="AB169" s="206"/>
      <c r="AC169" s="206"/>
      <c r="AD169" s="206"/>
    </row>
    <row r="170" spans="10:36" s="199" customFormat="1" x14ac:dyDescent="0.25">
      <c r="Z170" s="206"/>
      <c r="AB170" s="206"/>
      <c r="AC170" s="206"/>
      <c r="AD170" s="206"/>
    </row>
    <row r="171" spans="10:36" s="199" customFormat="1" x14ac:dyDescent="0.25">
      <c r="Z171" s="206"/>
      <c r="AB171" s="206"/>
      <c r="AC171" s="206"/>
      <c r="AD171" s="206"/>
    </row>
    <row r="172" spans="10:36" s="199" customFormat="1" x14ac:dyDescent="0.25">
      <c r="Z172" s="206"/>
      <c r="AA172" s="206"/>
      <c r="AB172" s="206"/>
      <c r="AC172" s="206"/>
      <c r="AD172" s="206"/>
    </row>
    <row r="173" spans="10:36" s="199" customFormat="1" x14ac:dyDescent="0.25">
      <c r="Z173" s="206"/>
      <c r="AA173" s="206"/>
    </row>
    <row r="174" spans="10:36" s="199" customFormat="1" x14ac:dyDescent="0.25">
      <c r="Z174" s="206"/>
      <c r="AA174" s="206"/>
    </row>
    <row r="175" spans="10:36" s="199" customFormat="1" x14ac:dyDescent="0.25">
      <c r="AA175" s="206"/>
    </row>
    <row r="176" spans="10:36" s="199" customFormat="1" x14ac:dyDescent="0.25">
      <c r="AA176" s="206"/>
    </row>
    <row r="177" spans="1:27" s="199" customFormat="1" x14ac:dyDescent="0.25">
      <c r="AA177" s="206"/>
    </row>
    <row r="178" spans="1:27" s="199" customFormat="1" x14ac:dyDescent="0.25">
      <c r="AA178" s="206"/>
    </row>
    <row r="179" spans="1:27" s="199" customFormat="1" x14ac:dyDescent="0.25">
      <c r="AA179" s="206"/>
    </row>
    <row r="180" spans="1:27" s="199" customFormat="1" x14ac:dyDescent="0.25">
      <c r="AA180" s="206"/>
    </row>
    <row r="181" spans="1:27" s="199" customFormat="1" x14ac:dyDescent="0.25">
      <c r="AA181" s="206"/>
    </row>
    <row r="182" spans="1:27" s="199" customFormat="1" x14ac:dyDescent="0.25">
      <c r="AA182" s="206"/>
    </row>
    <row r="183" spans="1:27" s="199" customFormat="1" x14ac:dyDescent="0.25">
      <c r="AA183" s="206"/>
    </row>
    <row r="184" spans="1:27" s="199" customFormat="1" x14ac:dyDescent="0.25">
      <c r="AA184" s="206"/>
    </row>
    <row r="185" spans="1:27" s="199" customFormat="1" x14ac:dyDescent="0.25">
      <c r="AA185" s="206"/>
    </row>
    <row r="186" spans="1:27" s="199" customFormat="1" x14ac:dyDescent="0.25"/>
    <row r="187" spans="1:27" s="199" customFormat="1" x14ac:dyDescent="0.25"/>
    <row r="188" spans="1:27" s="199" customFormat="1" x14ac:dyDescent="0.25"/>
    <row r="189" spans="1:27" s="199" customFormat="1" x14ac:dyDescent="0.25"/>
    <row r="190" spans="1:27" s="199" customFormat="1" x14ac:dyDescent="0.25"/>
    <row r="191" spans="1:27" s="199" customFormat="1" x14ac:dyDescent="0.25">
      <c r="A191" s="208">
        <f>IF(M29="Building Area",1,IF(M29="Space by Space",2,0))</f>
        <v>2</v>
      </c>
    </row>
    <row r="192" spans="1:27" s="199" customFormat="1" x14ac:dyDescent="0.25"/>
    <row r="193" spans="5:25" s="199" customFormat="1" x14ac:dyDescent="0.25"/>
    <row r="194" spans="5:25" s="199" customFormat="1" x14ac:dyDescent="0.25"/>
    <row r="195" spans="5:25" s="199" customFormat="1" x14ac:dyDescent="0.25"/>
    <row r="196" spans="5:25" s="199" customFormat="1" x14ac:dyDescent="0.25"/>
    <row r="197" spans="5:25" s="199" customFormat="1" x14ac:dyDescent="0.25">
      <c r="E197" s="42"/>
      <c r="F197" s="42"/>
      <c r="G197" s="42"/>
    </row>
    <row r="198" spans="5:25" s="199" customFormat="1" x14ac:dyDescent="0.25">
      <c r="E198" s="42"/>
      <c r="F198" s="42"/>
      <c r="G198" s="42"/>
      <c r="I198" s="42"/>
      <c r="J198" s="42"/>
      <c r="K198" s="42"/>
      <c r="L198" s="42"/>
      <c r="M198" s="42"/>
      <c r="N198" s="42"/>
      <c r="O198" s="42"/>
      <c r="P198" s="42"/>
      <c r="Q198" s="42"/>
      <c r="R198" s="42"/>
      <c r="S198" s="42"/>
      <c r="T198" s="42"/>
      <c r="U198" s="42"/>
      <c r="V198" s="42"/>
    </row>
    <row r="199" spans="5:25" s="199" customFormat="1" x14ac:dyDescent="0.25">
      <c r="E199" s="42"/>
      <c r="F199" s="42"/>
      <c r="G199" s="42"/>
      <c r="I199" s="42"/>
      <c r="J199" s="42"/>
      <c r="K199" s="42"/>
      <c r="L199" s="42"/>
      <c r="M199" s="42"/>
      <c r="N199" s="42"/>
      <c r="O199" s="42"/>
      <c r="P199" s="42"/>
      <c r="Q199" s="42"/>
      <c r="R199" s="42"/>
      <c r="S199" s="42"/>
      <c r="T199" s="42"/>
      <c r="U199" s="42"/>
      <c r="V199" s="42"/>
    </row>
    <row r="200" spans="5:25" s="199" customFormat="1" x14ac:dyDescent="0.25">
      <c r="E200" s="42"/>
      <c r="F200" s="42"/>
      <c r="G200" s="42"/>
      <c r="I200" s="42"/>
      <c r="J200" s="42"/>
      <c r="K200" s="42"/>
      <c r="L200" s="42"/>
      <c r="M200" s="42"/>
      <c r="N200" s="42"/>
      <c r="O200" s="42"/>
      <c r="P200" s="42"/>
      <c r="Q200" s="42"/>
      <c r="R200" s="42"/>
      <c r="S200" s="42"/>
      <c r="T200" s="42"/>
      <c r="U200" s="42"/>
      <c r="V200" s="42"/>
      <c r="W200" s="42"/>
      <c r="X200" s="42"/>
    </row>
    <row r="201" spans="5:25" s="199" customFormat="1" x14ac:dyDescent="0.25">
      <c r="E201" s="42"/>
      <c r="F201" s="42"/>
      <c r="G201" s="42"/>
      <c r="I201" s="42"/>
      <c r="J201" s="42"/>
      <c r="K201" s="42"/>
      <c r="L201" s="42"/>
      <c r="M201" s="42"/>
      <c r="N201" s="42"/>
      <c r="O201" s="42"/>
      <c r="P201" s="42"/>
      <c r="Q201" s="42"/>
      <c r="R201" s="42"/>
      <c r="S201" s="42"/>
      <c r="T201" s="42"/>
      <c r="U201" s="42"/>
      <c r="V201" s="42"/>
      <c r="W201" s="42"/>
      <c r="X201" s="42"/>
    </row>
    <row r="202" spans="5:25" s="199" customFormat="1" x14ac:dyDescent="0.25">
      <c r="E202" s="42"/>
      <c r="F202" s="42"/>
      <c r="G202" s="42"/>
      <c r="I202" s="42"/>
      <c r="J202" s="42"/>
      <c r="K202" s="42"/>
      <c r="L202" s="42"/>
      <c r="M202" s="42"/>
      <c r="N202" s="42"/>
      <c r="O202" s="42"/>
      <c r="P202" s="42"/>
      <c r="Q202" s="42"/>
      <c r="R202" s="42"/>
      <c r="S202" s="42"/>
      <c r="T202" s="42"/>
      <c r="U202" s="42"/>
      <c r="V202" s="42"/>
      <c r="W202" s="42"/>
      <c r="X202" s="42"/>
    </row>
    <row r="203" spans="5:25" s="199" customFormat="1" x14ac:dyDescent="0.25">
      <c r="E203" s="42"/>
      <c r="F203" s="42"/>
      <c r="G203" s="42"/>
      <c r="I203" s="42"/>
      <c r="J203" s="42"/>
      <c r="K203" s="42"/>
      <c r="L203" s="42"/>
      <c r="M203" s="42"/>
      <c r="N203" s="42"/>
      <c r="O203" s="42"/>
      <c r="P203" s="42"/>
      <c r="Q203" s="42"/>
      <c r="R203" s="42"/>
      <c r="S203" s="42"/>
      <c r="T203" s="42"/>
      <c r="U203" s="42"/>
      <c r="V203" s="42"/>
      <c r="W203" s="42"/>
      <c r="X203" s="42"/>
    </row>
    <row r="204" spans="5:25" s="199" customFormat="1" x14ac:dyDescent="0.25">
      <c r="E204" s="42"/>
      <c r="F204" s="42"/>
      <c r="G204" s="42"/>
      <c r="I204" s="42"/>
      <c r="J204" s="42"/>
      <c r="K204" s="42"/>
      <c r="L204" s="42"/>
      <c r="M204" s="42"/>
      <c r="N204" s="42"/>
      <c r="O204" s="42"/>
      <c r="P204" s="42"/>
      <c r="Q204" s="42"/>
      <c r="R204" s="42"/>
      <c r="S204" s="42"/>
      <c r="T204" s="42"/>
      <c r="U204" s="42"/>
      <c r="V204" s="42"/>
      <c r="W204" s="42"/>
      <c r="X204" s="42"/>
      <c r="Y204" s="42"/>
    </row>
    <row r="205" spans="5:25" s="199" customFormat="1" x14ac:dyDescent="0.25">
      <c r="E205" s="42"/>
      <c r="F205" s="42"/>
      <c r="G205" s="42"/>
      <c r="I205" s="42"/>
      <c r="J205" s="42"/>
      <c r="K205" s="42"/>
      <c r="L205" s="42"/>
      <c r="M205" s="42"/>
      <c r="N205" s="42"/>
      <c r="O205" s="42"/>
      <c r="P205" s="42"/>
      <c r="Q205" s="42"/>
      <c r="R205" s="42"/>
      <c r="S205" s="42"/>
      <c r="T205" s="42"/>
      <c r="U205" s="42"/>
      <c r="V205" s="42"/>
      <c r="W205" s="42"/>
      <c r="X205" s="42"/>
      <c r="Y205" s="42"/>
    </row>
    <row r="206" spans="5:25" s="199" customFormat="1" x14ac:dyDescent="0.25">
      <c r="E206" s="42"/>
      <c r="F206" s="42"/>
      <c r="G206" s="42"/>
      <c r="I206" s="42"/>
      <c r="J206" s="42"/>
      <c r="K206" s="42"/>
      <c r="L206" s="42"/>
      <c r="M206" s="42"/>
      <c r="N206" s="42"/>
      <c r="O206" s="42"/>
      <c r="P206" s="42"/>
      <c r="Q206" s="42"/>
      <c r="R206" s="42"/>
      <c r="S206" s="42"/>
      <c r="T206" s="42"/>
      <c r="U206" s="42"/>
      <c r="V206" s="42"/>
      <c r="W206" s="42"/>
      <c r="X206" s="42"/>
      <c r="Y206" s="42"/>
    </row>
    <row r="207" spans="5:25" s="199" customFormat="1" x14ac:dyDescent="0.25">
      <c r="E207" s="42"/>
      <c r="F207" s="42"/>
      <c r="G207" s="42"/>
      <c r="I207" s="42"/>
      <c r="J207" s="42"/>
      <c r="K207" s="42"/>
      <c r="L207" s="42"/>
      <c r="M207" s="42"/>
      <c r="N207" s="42"/>
      <c r="O207" s="42"/>
      <c r="P207" s="42"/>
      <c r="Q207" s="42"/>
      <c r="R207" s="42"/>
      <c r="S207" s="42"/>
      <c r="T207" s="42"/>
      <c r="U207" s="42"/>
      <c r="V207" s="42"/>
      <c r="W207" s="42"/>
      <c r="X207" s="42"/>
      <c r="Y207" s="42"/>
    </row>
    <row r="208" spans="5:25" s="199" customFormat="1" x14ac:dyDescent="0.25">
      <c r="E208" s="42"/>
      <c r="F208" s="42"/>
      <c r="G208" s="42"/>
      <c r="I208" s="42"/>
      <c r="J208" s="42"/>
      <c r="K208" s="42"/>
      <c r="L208" s="42"/>
      <c r="M208" s="42"/>
      <c r="N208" s="42"/>
      <c r="O208" s="42"/>
      <c r="P208" s="42"/>
      <c r="Q208" s="42"/>
      <c r="R208" s="42"/>
      <c r="S208" s="42"/>
      <c r="T208" s="42"/>
      <c r="U208" s="42"/>
      <c r="V208" s="42"/>
      <c r="W208" s="42"/>
      <c r="X208" s="42"/>
      <c r="Y208" s="42"/>
    </row>
    <row r="209" spans="4:27" s="199" customFormat="1" x14ac:dyDescent="0.25">
      <c r="E209" s="42"/>
      <c r="F209" s="42"/>
      <c r="G209" s="42"/>
      <c r="I209" s="42"/>
      <c r="J209" s="42"/>
      <c r="K209" s="42"/>
      <c r="L209" s="42"/>
      <c r="M209" s="42"/>
      <c r="N209" s="42"/>
      <c r="O209" s="42"/>
      <c r="P209" s="42"/>
      <c r="Q209" s="42"/>
      <c r="R209" s="42"/>
      <c r="S209" s="42"/>
      <c r="T209" s="42"/>
      <c r="U209" s="42"/>
      <c r="V209" s="42"/>
      <c r="W209" s="42"/>
      <c r="X209" s="42"/>
      <c r="Y209" s="42"/>
    </row>
    <row r="210" spans="4:27" s="199" customFormat="1" x14ac:dyDescent="0.25">
      <c r="E210" s="42"/>
      <c r="F210" s="42"/>
      <c r="G210" s="42"/>
      <c r="H210" s="42"/>
      <c r="I210" s="42"/>
      <c r="J210" s="42"/>
      <c r="K210" s="42"/>
      <c r="L210" s="42"/>
      <c r="M210" s="42"/>
      <c r="N210" s="42"/>
      <c r="O210" s="42"/>
      <c r="P210" s="42"/>
      <c r="Q210" s="42"/>
      <c r="R210" s="42"/>
      <c r="S210" s="42"/>
      <c r="T210" s="42"/>
      <c r="U210" s="42"/>
      <c r="V210" s="42"/>
      <c r="W210" s="42"/>
      <c r="X210" s="42"/>
      <c r="Y210" s="42"/>
    </row>
    <row r="211" spans="4:27" s="199" customFormat="1" x14ac:dyDescent="0.25">
      <c r="E211" s="42"/>
      <c r="F211" s="42"/>
      <c r="G211" s="42"/>
      <c r="H211" s="42"/>
      <c r="I211" s="42"/>
      <c r="J211" s="42"/>
      <c r="K211" s="42"/>
      <c r="L211" s="42"/>
      <c r="M211" s="42"/>
      <c r="N211" s="42"/>
      <c r="O211" s="42"/>
      <c r="P211" s="42"/>
      <c r="Q211" s="42"/>
      <c r="R211" s="42"/>
      <c r="S211" s="42"/>
      <c r="T211" s="42"/>
      <c r="U211" s="42"/>
      <c r="V211" s="42"/>
      <c r="W211" s="42"/>
      <c r="X211" s="42"/>
      <c r="Y211" s="42"/>
    </row>
    <row r="212" spans="4:27" s="199" customFormat="1" x14ac:dyDescent="0.25">
      <c r="E212" s="42"/>
      <c r="F212" s="42"/>
      <c r="G212" s="42"/>
      <c r="H212" s="42"/>
      <c r="I212" s="42"/>
      <c r="J212" s="42"/>
      <c r="K212" s="42"/>
      <c r="L212" s="42"/>
      <c r="M212" s="42"/>
      <c r="N212" s="42"/>
      <c r="O212" s="42"/>
      <c r="P212" s="42"/>
      <c r="Q212" s="42"/>
      <c r="R212" s="42"/>
      <c r="S212" s="42"/>
      <c r="T212" s="42"/>
      <c r="U212" s="42"/>
      <c r="V212" s="42"/>
      <c r="W212" s="42"/>
      <c r="X212" s="42"/>
      <c r="Y212" s="42"/>
    </row>
    <row r="213" spans="4:27" s="199" customFormat="1" x14ac:dyDescent="0.25">
      <c r="E213" s="42"/>
      <c r="F213" s="42"/>
      <c r="G213" s="42"/>
      <c r="H213" s="42"/>
      <c r="I213" s="42"/>
      <c r="J213" s="42"/>
      <c r="K213" s="42"/>
      <c r="L213" s="42"/>
      <c r="M213" s="42"/>
      <c r="N213" s="42"/>
      <c r="O213" s="42"/>
      <c r="P213" s="42"/>
      <c r="Q213" s="42"/>
      <c r="R213" s="42"/>
      <c r="S213" s="42"/>
      <c r="T213" s="42"/>
      <c r="U213" s="42"/>
      <c r="V213" s="42"/>
      <c r="W213" s="42"/>
      <c r="X213" s="42"/>
      <c r="Y213" s="42"/>
    </row>
    <row r="214" spans="4:27" s="199" customFormat="1" x14ac:dyDescent="0.25">
      <c r="E214" s="42"/>
      <c r="F214" s="42"/>
      <c r="G214" s="42"/>
      <c r="H214" s="42"/>
      <c r="I214" s="42"/>
      <c r="J214" s="42"/>
      <c r="K214" s="42"/>
      <c r="L214" s="42"/>
      <c r="M214" s="42"/>
      <c r="N214" s="42"/>
      <c r="O214" s="42"/>
      <c r="P214" s="42"/>
      <c r="Q214" s="42"/>
      <c r="R214" s="42"/>
      <c r="S214" s="42"/>
      <c r="T214" s="42"/>
      <c r="U214" s="42"/>
      <c r="V214" s="42"/>
      <c r="W214" s="42"/>
      <c r="X214" s="42"/>
      <c r="Y214" s="42"/>
    </row>
    <row r="215" spans="4:27" s="199" customFormat="1" x14ac:dyDescent="0.25">
      <c r="E215" s="42"/>
      <c r="F215" s="42"/>
      <c r="G215" s="42"/>
      <c r="H215" s="42"/>
      <c r="I215" s="42"/>
      <c r="J215" s="42"/>
      <c r="K215" s="42"/>
      <c r="L215" s="42"/>
      <c r="M215" s="42"/>
      <c r="N215" s="42"/>
      <c r="O215" s="42"/>
      <c r="P215" s="42"/>
      <c r="Q215" s="42"/>
      <c r="R215" s="42"/>
      <c r="S215" s="42"/>
      <c r="T215" s="42"/>
      <c r="U215" s="42"/>
      <c r="V215" s="42"/>
      <c r="W215" s="42"/>
      <c r="X215" s="42"/>
      <c r="Y215" s="42"/>
    </row>
    <row r="216" spans="4:27" s="199" customFormat="1" x14ac:dyDescent="0.25">
      <c r="E216" s="42"/>
      <c r="F216" s="42"/>
      <c r="G216" s="42"/>
      <c r="H216" s="42"/>
      <c r="I216" s="42"/>
      <c r="J216" s="42"/>
      <c r="K216" s="42"/>
      <c r="L216" s="42"/>
      <c r="M216" s="42"/>
      <c r="N216" s="42"/>
      <c r="O216" s="42"/>
      <c r="P216" s="42"/>
      <c r="Q216" s="42"/>
      <c r="R216" s="42"/>
      <c r="S216" s="42"/>
      <c r="T216" s="42"/>
      <c r="U216" s="42"/>
      <c r="V216" s="42"/>
      <c r="W216" s="42"/>
      <c r="X216" s="42"/>
      <c r="Y216" s="42"/>
    </row>
    <row r="217" spans="4:27" s="199" customFormat="1" x14ac:dyDescent="0.25">
      <c r="E217" s="42"/>
      <c r="F217" s="42"/>
      <c r="G217" s="42"/>
      <c r="H217" s="42"/>
      <c r="I217" s="42"/>
      <c r="J217" s="42"/>
      <c r="K217" s="42"/>
      <c r="L217" s="42"/>
      <c r="M217" s="42"/>
      <c r="N217" s="42"/>
      <c r="O217" s="42"/>
      <c r="P217" s="42"/>
      <c r="Q217" s="42"/>
      <c r="R217" s="42"/>
      <c r="S217" s="42"/>
      <c r="T217" s="42"/>
      <c r="U217" s="42"/>
      <c r="V217" s="42"/>
      <c r="W217" s="42"/>
      <c r="X217" s="42"/>
      <c r="Y217" s="42"/>
    </row>
    <row r="218" spans="4:27" s="199" customFormat="1" x14ac:dyDescent="0.25">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4:27" x14ac:dyDescent="0.25">
      <c r="Z219" s="199"/>
      <c r="AA219" s="199"/>
    </row>
    <row r="220" spans="4:27" x14ac:dyDescent="0.25">
      <c r="Z220" s="199"/>
      <c r="AA220" s="199"/>
    </row>
    <row r="221" spans="4:27" x14ac:dyDescent="0.25">
      <c r="AA221" s="199"/>
    </row>
    <row r="222" spans="4:27" x14ac:dyDescent="0.25">
      <c r="AA222" s="199"/>
    </row>
    <row r="223" spans="4:27" x14ac:dyDescent="0.25">
      <c r="AA223" s="199"/>
    </row>
    <row r="224" spans="4:27" x14ac:dyDescent="0.25">
      <c r="AA224" s="199"/>
    </row>
    <row r="225" spans="27:27" x14ac:dyDescent="0.25">
      <c r="AA225" s="199"/>
    </row>
    <row r="226" spans="27:27" x14ac:dyDescent="0.25">
      <c r="AA226" s="199"/>
    </row>
    <row r="227" spans="27:27" x14ac:dyDescent="0.25">
      <c r="AA227" s="199"/>
    </row>
    <row r="228" spans="27:27" x14ac:dyDescent="0.25">
      <c r="AA228" s="199"/>
    </row>
    <row r="229" spans="27:27" x14ac:dyDescent="0.25">
      <c r="AA229" s="199"/>
    </row>
    <row r="230" spans="27:27" x14ac:dyDescent="0.25">
      <c r="AA230" s="199"/>
    </row>
    <row r="231" spans="27:27" x14ac:dyDescent="0.25">
      <c r="AA231" s="199"/>
    </row>
  </sheetData>
  <sheetProtection sheet="1" objects="1" scenarios="1" selectLockedCells="1"/>
  <mergeCells count="155">
    <mergeCell ref="G73:G101"/>
    <mergeCell ref="O77:O79"/>
    <mergeCell ref="Q77:Q79"/>
    <mergeCell ref="S77:S79"/>
    <mergeCell ref="U77:U79"/>
    <mergeCell ref="W77:W79"/>
    <mergeCell ref="Y77:Y79"/>
    <mergeCell ref="K1:U1"/>
    <mergeCell ref="M3:Y3"/>
    <mergeCell ref="J37:K37"/>
    <mergeCell ref="J39:K39"/>
    <mergeCell ref="I51:J52"/>
    <mergeCell ref="Q55:Q57"/>
    <mergeCell ref="S55:S57"/>
    <mergeCell ref="U55:U57"/>
    <mergeCell ref="Y55:Y57"/>
    <mergeCell ref="Q10:V10"/>
    <mergeCell ref="Q12:V12"/>
    <mergeCell ref="W7:X7"/>
    <mergeCell ref="Q7:T7"/>
    <mergeCell ref="W39:W45"/>
    <mergeCell ref="K25:M27"/>
    <mergeCell ref="K19:M23"/>
    <mergeCell ref="Q17:Y21"/>
    <mergeCell ref="O55:O57"/>
    <mergeCell ref="K154:Q154"/>
    <mergeCell ref="K152:Q152"/>
    <mergeCell ref="K150:O150"/>
    <mergeCell ref="K151:Q151"/>
    <mergeCell ref="B15:C15"/>
    <mergeCell ref="M5:Y5"/>
    <mergeCell ref="B63:D63"/>
    <mergeCell ref="I12:J12"/>
    <mergeCell ref="I28:J29"/>
    <mergeCell ref="B3:D5"/>
    <mergeCell ref="B7:D9"/>
    <mergeCell ref="K3:L3"/>
    <mergeCell ref="K5:L5"/>
    <mergeCell ref="K7:L7"/>
    <mergeCell ref="M12:P12"/>
    <mergeCell ref="M7:P7"/>
    <mergeCell ref="Y33:Y35"/>
    <mergeCell ref="W9:Y9"/>
    <mergeCell ref="W10:Y10"/>
    <mergeCell ref="W12:Y12"/>
    <mergeCell ref="M9:O9"/>
    <mergeCell ref="U7:V7"/>
    <mergeCell ref="M33:M35"/>
    <mergeCell ref="O33:O35"/>
    <mergeCell ref="I133:K133"/>
    <mergeCell ref="AT43:AY110"/>
    <mergeCell ref="AL12:AM12"/>
    <mergeCell ref="AM43:AQ47"/>
    <mergeCell ref="AT29:AY37"/>
    <mergeCell ref="AM29:AR37"/>
    <mergeCell ref="AL10:AM10"/>
    <mergeCell ref="J109:N109"/>
    <mergeCell ref="K10:L10"/>
    <mergeCell ref="K12:L12"/>
    <mergeCell ref="M10:P10"/>
    <mergeCell ref="M29:O29"/>
    <mergeCell ref="S39:S45"/>
    <mergeCell ref="Y39:Y45"/>
    <mergeCell ref="Q33:Q35"/>
    <mergeCell ref="S33:S35"/>
    <mergeCell ref="U33:U35"/>
    <mergeCell ref="M55:M57"/>
    <mergeCell ref="Y59:Y63"/>
    <mergeCell ref="M67:Y71"/>
    <mergeCell ref="I103:M104"/>
    <mergeCell ref="W33:W35"/>
    <mergeCell ref="W55:W57"/>
    <mergeCell ref="I73:M74"/>
    <mergeCell ref="I134:K134"/>
    <mergeCell ref="L134:R134"/>
    <mergeCell ref="L133:R133"/>
    <mergeCell ref="V134:X134"/>
    <mergeCell ref="S134:T134"/>
    <mergeCell ref="S135:T135"/>
    <mergeCell ref="L135:R135"/>
    <mergeCell ref="I135:K135"/>
    <mergeCell ref="V135:X135"/>
    <mergeCell ref="U97:U99"/>
    <mergeCell ref="O91:O93"/>
    <mergeCell ref="Q91:Q93"/>
    <mergeCell ref="S91:S93"/>
    <mergeCell ref="U91:U93"/>
    <mergeCell ref="W91:W93"/>
    <mergeCell ref="Y91:Y93"/>
    <mergeCell ref="W97:W99"/>
    <mergeCell ref="Y97:Y99"/>
    <mergeCell ref="Y81:Y85"/>
    <mergeCell ref="Z136:AA136"/>
    <mergeCell ref="Z137:AA137"/>
    <mergeCell ref="Z138:AA138"/>
    <mergeCell ref="Z139:AA139"/>
    <mergeCell ref="Z140:AA140"/>
    <mergeCell ref="Z134:AA134"/>
    <mergeCell ref="Z135:AA135"/>
    <mergeCell ref="Z141:AA141"/>
    <mergeCell ref="Z142:AA142"/>
    <mergeCell ref="S140:T140"/>
    <mergeCell ref="S141:T141"/>
    <mergeCell ref="S142:T142"/>
    <mergeCell ref="V140:X140"/>
    <mergeCell ref="V141:X141"/>
    <mergeCell ref="V142:X142"/>
    <mergeCell ref="S136:T136"/>
    <mergeCell ref="S137:T137"/>
    <mergeCell ref="S138:T138"/>
    <mergeCell ref="S139:T139"/>
    <mergeCell ref="V136:X136"/>
    <mergeCell ref="V137:X137"/>
    <mergeCell ref="V138:X138"/>
    <mergeCell ref="V139:X139"/>
    <mergeCell ref="L136:R136"/>
    <mergeCell ref="S145:T145"/>
    <mergeCell ref="V145:X145"/>
    <mergeCell ref="I143:K143"/>
    <mergeCell ref="L143:R143"/>
    <mergeCell ref="S143:T143"/>
    <mergeCell ref="V143:X143"/>
    <mergeCell ref="L141:R141"/>
    <mergeCell ref="L142:R142"/>
    <mergeCell ref="L137:R137"/>
    <mergeCell ref="L138:R138"/>
    <mergeCell ref="L139:R139"/>
    <mergeCell ref="L140:R140"/>
    <mergeCell ref="I140:K140"/>
    <mergeCell ref="I141:K141"/>
    <mergeCell ref="I142:K142"/>
    <mergeCell ref="Q25:Y27"/>
    <mergeCell ref="Z145:AA145"/>
    <mergeCell ref="Z143:AA143"/>
    <mergeCell ref="I144:K144"/>
    <mergeCell ref="L144:R144"/>
    <mergeCell ref="S144:T144"/>
    <mergeCell ref="V144:X144"/>
    <mergeCell ref="Z144:AA144"/>
    <mergeCell ref="I147:K147"/>
    <mergeCell ref="L147:R147"/>
    <mergeCell ref="S147:T147"/>
    <mergeCell ref="V147:X147"/>
    <mergeCell ref="Z147:AA147"/>
    <mergeCell ref="I146:K146"/>
    <mergeCell ref="L146:R146"/>
    <mergeCell ref="S146:T146"/>
    <mergeCell ref="V146:X146"/>
    <mergeCell ref="Z146:AA146"/>
    <mergeCell ref="I145:K145"/>
    <mergeCell ref="L145:R145"/>
    <mergeCell ref="I136:K136"/>
    <mergeCell ref="I137:K137"/>
    <mergeCell ref="I138:K138"/>
    <mergeCell ref="I139:K139"/>
  </mergeCells>
  <phoneticPr fontId="4" type="noConversion"/>
  <conditionalFormatting sqref="J25">
    <cfRule type="expression" dxfId="641" priority="125">
      <formula>OR($J$19="No",$J$19="")</formula>
    </cfRule>
    <cfRule type="containsText" dxfId="640" priority="126" stopIfTrue="1" operator="containsText" text="Non-Compliant">
      <formula>NOT(ISERROR(SEARCH("Non-Compliant",J25)))</formula>
    </cfRule>
  </conditionalFormatting>
  <conditionalFormatting sqref="J37:K37">
    <cfRule type="containsText" dxfId="639" priority="210" operator="containsText" text="Not Used">
      <formula>NOT(ISERROR(SEARCH("Not Used",J37)))</formula>
    </cfRule>
  </conditionalFormatting>
  <conditionalFormatting sqref="J39:K39 K41">
    <cfRule type="containsText" dxfId="638" priority="476" stopIfTrue="1" operator="containsText" text="Not Used">
      <formula>NOT(ISERROR(SEARCH("Not Used",J39)))</formula>
    </cfRule>
  </conditionalFormatting>
  <conditionalFormatting sqref="J77:Y99">
    <cfRule type="expression" dxfId="637" priority="1">
      <formula>Compliance_Version_Year&lt;2019</formula>
    </cfRule>
  </conditionalFormatting>
  <conditionalFormatting sqref="K45">
    <cfRule type="containsText" dxfId="635" priority="114" stopIfTrue="1" operator="containsText" text="Not Used">
      <formula>NOT(ISERROR(SEARCH("Not Used",K45)))</formula>
    </cfRule>
  </conditionalFormatting>
  <conditionalFormatting sqref="K95">
    <cfRule type="containsBlanks" dxfId="634" priority="58">
      <formula>LEN(TRIM(K95))=0</formula>
    </cfRule>
    <cfRule type="cellIs" dxfId="633" priority="57" operator="equal">
      <formula>"Non Compliant"</formula>
    </cfRule>
    <cfRule type="cellIs" dxfId="632" priority="56" operator="equal">
      <formula>"Compliant"</formula>
    </cfRule>
  </conditionalFormatting>
  <conditionalFormatting sqref="K97">
    <cfRule type="containsBlanks" dxfId="631" priority="64">
      <formula>LEN(TRIM(K97))=0</formula>
    </cfRule>
    <cfRule type="cellIs" dxfId="630" priority="63" operator="equal">
      <formula>"Non Compliant"</formula>
    </cfRule>
    <cfRule type="cellIs" dxfId="629" priority="62" operator="equal">
      <formula>"Compliant"</formula>
    </cfRule>
  </conditionalFormatting>
  <conditionalFormatting sqref="K99">
    <cfRule type="containsBlanks" dxfId="628" priority="61">
      <formula>LEN(TRIM(K99))=0</formula>
    </cfRule>
    <cfRule type="cellIs" dxfId="627" priority="60" operator="equal">
      <formula>"Non Compliant"</formula>
    </cfRule>
    <cfRule type="cellIs" dxfId="626" priority="59" operator="equal">
      <formula>"Compliant"</formula>
    </cfRule>
  </conditionalFormatting>
  <conditionalFormatting sqref="M37">
    <cfRule type="containsBlanks" dxfId="625" priority="2873">
      <formula>LEN(TRIM(M37))=0</formula>
    </cfRule>
    <cfRule type="cellIs" dxfId="624" priority="304" operator="equal">
      <formula>"Non Compliant"</formula>
    </cfRule>
    <cfRule type="cellIs" dxfId="623" priority="303" operator="equal">
      <formula>"Compliant"</formula>
    </cfRule>
  </conditionalFormatting>
  <conditionalFormatting sqref="M39">
    <cfRule type="containsBlanks" dxfId="622" priority="2881">
      <formula>LEN(TRIM(M39))=0</formula>
    </cfRule>
    <cfRule type="cellIs" dxfId="621" priority="238" operator="equal">
      <formula>"Non Compliant"</formula>
    </cfRule>
    <cfRule type="cellIs" dxfId="620" priority="237" operator="equal">
      <formula>"Compliant"</formula>
    </cfRule>
  </conditionalFormatting>
  <conditionalFormatting sqref="M41">
    <cfRule type="cellIs" dxfId="619" priority="232" operator="equal">
      <formula>"Compliant"</formula>
    </cfRule>
    <cfRule type="cellIs" dxfId="618" priority="233" operator="equal">
      <formula>"Non Compliant"</formula>
    </cfRule>
    <cfRule type="containsBlanks" dxfId="617" priority="2882">
      <formula>LEN(TRIM(M41))=0</formula>
    </cfRule>
  </conditionalFormatting>
  <conditionalFormatting sqref="M43">
    <cfRule type="cellIs" dxfId="616" priority="227" operator="equal">
      <formula>"Compliant"</formula>
    </cfRule>
    <cfRule type="cellIs" dxfId="615" priority="228" operator="equal">
      <formula>"Non Compliant"</formula>
    </cfRule>
    <cfRule type="containsBlanks" dxfId="614" priority="2883">
      <formula>LEN(TRIM(M43))=0</formula>
    </cfRule>
  </conditionalFormatting>
  <conditionalFormatting sqref="M45">
    <cfRule type="containsBlanks" dxfId="613" priority="118">
      <formula>LEN(TRIM(M45))=0</formula>
    </cfRule>
  </conditionalFormatting>
  <conditionalFormatting sqref="M59">
    <cfRule type="cellIs" dxfId="612" priority="164" operator="equal">
      <formula>"Non Compliant"</formula>
    </cfRule>
    <cfRule type="cellIs" dxfId="611" priority="163" operator="equal">
      <formula>"Compliant"</formula>
    </cfRule>
    <cfRule type="containsBlanks" dxfId="610" priority="165">
      <formula>LEN(TRIM(M59))=0</formula>
    </cfRule>
  </conditionalFormatting>
  <conditionalFormatting sqref="M61">
    <cfRule type="containsBlanks" dxfId="609" priority="162">
      <formula>LEN(TRIM(M61))=0</formula>
    </cfRule>
    <cfRule type="cellIs" dxfId="608" priority="160" operator="equal">
      <formula>"Compliant"</formula>
    </cfRule>
    <cfRule type="cellIs" dxfId="607" priority="161" operator="equal">
      <formula>"Non Compliant"</formula>
    </cfRule>
  </conditionalFormatting>
  <conditionalFormatting sqref="M63">
    <cfRule type="cellIs" dxfId="606" priority="157" operator="equal">
      <formula>"Compliant"</formula>
    </cfRule>
    <cfRule type="cellIs" dxfId="605" priority="158" operator="equal">
      <formula>"Non Compliant"</formula>
    </cfRule>
    <cfRule type="containsBlanks" dxfId="604" priority="159">
      <formula>LEN(TRIM(M63))=0</formula>
    </cfRule>
  </conditionalFormatting>
  <conditionalFormatting sqref="M95 M97 M99">
    <cfRule type="expression" dxfId="603" priority="34">
      <formula>$M$97+$M$99&gt;$K$95</formula>
    </cfRule>
  </conditionalFormatting>
  <conditionalFormatting sqref="M97">
    <cfRule type="containsBlanks" dxfId="602" priority="40">
      <formula>LEN(TRIM(M97))=0</formula>
    </cfRule>
  </conditionalFormatting>
  <conditionalFormatting sqref="M99">
    <cfRule type="cellIs" dxfId="601" priority="36" operator="equal">
      <formula>"Non Compliant"</formula>
    </cfRule>
    <cfRule type="containsBlanks" dxfId="600" priority="37">
      <formula>LEN(TRIM(M99))=0</formula>
    </cfRule>
    <cfRule type="cellIs" dxfId="599" priority="35" operator="equal">
      <formula>"Compliant"</formula>
    </cfRule>
  </conditionalFormatting>
  <conditionalFormatting sqref="M107 O107 W107 Y107 M112:O112 N113 N17 M18:N18 J19">
    <cfRule type="containsText" dxfId="598" priority="420" stopIfTrue="1" operator="containsText" text="Non-Compliant">
      <formula>NOT(ISERROR(SEARCH("Non-Compliant",J17)))</formula>
    </cfRule>
  </conditionalFormatting>
  <conditionalFormatting sqref="M107 O107 W107 Y107 M112:O112 N113">
    <cfRule type="cellIs" dxfId="597" priority="416" operator="equal">
      <formula>"TBD"</formula>
    </cfRule>
    <cfRule type="cellIs" dxfId="596" priority="445" operator="equal">
      <formula>"Pass"</formula>
    </cfRule>
  </conditionalFormatting>
  <conditionalFormatting sqref="M29:N29">
    <cfRule type="containsText" dxfId="595" priority="374" stopIfTrue="1" operator="containsText" text="Non-Compliant">
      <formula>NOT(ISERROR(SEARCH("Non-Compliant",M29)))</formula>
    </cfRule>
  </conditionalFormatting>
  <conditionalFormatting sqref="O37">
    <cfRule type="containsBlanks" dxfId="594" priority="2872">
      <formula>LEN(TRIM(O37))=0</formula>
    </cfRule>
    <cfRule type="cellIs" dxfId="593" priority="206" operator="equal">
      <formula>"Compliant"</formula>
    </cfRule>
    <cfRule type="expression" dxfId="592" priority="172">
      <formula>$O$37&gt;$M$37</formula>
    </cfRule>
    <cfRule type="cellIs" dxfId="591" priority="207" operator="equal">
      <formula>"Non Compliant"</formula>
    </cfRule>
  </conditionalFormatting>
  <conditionalFormatting sqref="O39 O41 O43">
    <cfRule type="expression" dxfId="590" priority="223">
      <formula>$O39&gt;$M39</formula>
    </cfRule>
  </conditionalFormatting>
  <conditionalFormatting sqref="O39">
    <cfRule type="containsBlanks" dxfId="589" priority="2884">
      <formula>LEN(TRIM(O39))=0</formula>
    </cfRule>
  </conditionalFormatting>
  <conditionalFormatting sqref="O41 O43 O39">
    <cfRule type="cellIs" dxfId="588" priority="222" operator="equal">
      <formula>"Compliant"</formula>
    </cfRule>
  </conditionalFormatting>
  <conditionalFormatting sqref="O41">
    <cfRule type="containsBlanks" dxfId="587" priority="171">
      <formula>LEN(TRIM(O41))=0</formula>
    </cfRule>
  </conditionalFormatting>
  <conditionalFormatting sqref="O43">
    <cfRule type="containsBlanks" dxfId="586" priority="168">
      <formula>LEN(TRIM(O43))=0</formula>
    </cfRule>
  </conditionalFormatting>
  <conditionalFormatting sqref="O61">
    <cfRule type="containsBlanks" dxfId="585" priority="97">
      <formula>LEN(TRIM(O61))=0</formula>
    </cfRule>
    <cfRule type="cellIs" dxfId="584" priority="96" operator="equal">
      <formula>"Non Compliant"</formula>
    </cfRule>
    <cfRule type="cellIs" dxfId="583" priority="95" operator="equal">
      <formula>"Compliant"</formula>
    </cfRule>
  </conditionalFormatting>
  <conditionalFormatting sqref="O63">
    <cfRule type="cellIs" dxfId="582" priority="92" operator="equal">
      <formula>"Compliant"</formula>
    </cfRule>
    <cfRule type="cellIs" dxfId="581" priority="93" operator="equal">
      <formula>"Non Compliant"</formula>
    </cfRule>
    <cfRule type="containsBlanks" dxfId="580" priority="94">
      <formula>LEN(TRIM(O63))=0</formula>
    </cfRule>
  </conditionalFormatting>
  <conditionalFormatting sqref="O81">
    <cfRule type="cellIs" dxfId="579" priority="86" operator="equal">
      <formula>"Compliant"</formula>
    </cfRule>
    <cfRule type="cellIs" dxfId="578" priority="87" operator="equal">
      <formula>"Non Compliant"</formula>
    </cfRule>
    <cfRule type="containsBlanks" dxfId="577" priority="88">
      <formula>LEN(TRIM(O81))=0</formula>
    </cfRule>
  </conditionalFormatting>
  <conditionalFormatting sqref="O83">
    <cfRule type="cellIs" dxfId="576" priority="83" operator="equal">
      <formula>"Compliant"</formula>
    </cfRule>
    <cfRule type="cellIs" dxfId="575" priority="84" operator="equal">
      <formula>"Non Compliant"</formula>
    </cfRule>
    <cfRule type="containsBlanks" dxfId="574" priority="85">
      <formula>LEN(TRIM(O83))=0</formula>
    </cfRule>
  </conditionalFormatting>
  <conditionalFormatting sqref="O85">
    <cfRule type="cellIs" dxfId="573" priority="74" operator="equal">
      <formula>"Compliant"</formula>
    </cfRule>
    <cfRule type="cellIs" dxfId="572" priority="75" operator="equal">
      <formula>"Non Compliant"</formula>
    </cfRule>
    <cfRule type="containsBlanks" dxfId="571" priority="76">
      <formula>LEN(TRIM(O85))=0</formula>
    </cfRule>
  </conditionalFormatting>
  <conditionalFormatting sqref="O97">
    <cfRule type="containsBlanks" dxfId="570" priority="33">
      <formula>LEN(TRIM(O97))=0</formula>
    </cfRule>
    <cfRule type="cellIs" dxfId="569" priority="31" operator="equal">
      <formula>"Compliant"</formula>
    </cfRule>
    <cfRule type="cellIs" dxfId="568" priority="32" operator="equal">
      <formula>"Non Compliant"</formula>
    </cfRule>
  </conditionalFormatting>
  <conditionalFormatting sqref="O99">
    <cfRule type="containsBlanks" dxfId="567" priority="27">
      <formula>LEN(TRIM(O99))=0</formula>
    </cfRule>
    <cfRule type="cellIs" dxfId="566" priority="26" operator="equal">
      <formula>"Non Compliant"</formula>
    </cfRule>
    <cfRule type="cellIs" dxfId="565" priority="25" operator="equal">
      <formula>"Compliant"</formula>
    </cfRule>
  </conditionalFormatting>
  <conditionalFormatting sqref="O107">
    <cfRule type="cellIs" dxfId="564" priority="399" operator="equal">
      <formula>"Yes"</formula>
    </cfRule>
    <cfRule type="cellIs" dxfId="563" priority="398" operator="equal">
      <formula>"No"</formula>
    </cfRule>
  </conditionalFormatting>
  <conditionalFormatting sqref="P37">
    <cfRule type="cellIs" dxfId="562" priority="2868" operator="greaterThan">
      <formula>$M$37</formula>
    </cfRule>
  </conditionalFormatting>
  <conditionalFormatting sqref="Q17">
    <cfRule type="expression" dxfId="561" priority="2901">
      <formula>$J$19="No"</formula>
    </cfRule>
  </conditionalFormatting>
  <conditionalFormatting sqref="Q25">
    <cfRule type="expression" dxfId="560" priority="90">
      <formula>AND($J$25="Yes",$M$29="Building Area")</formula>
    </cfRule>
    <cfRule type="expression" dxfId="559" priority="124">
      <formula>$J$25&lt;&gt;"Yes"</formula>
    </cfRule>
    <cfRule type="expression" dxfId="558" priority="123">
      <formula>$J$19&lt;&gt;"Yes"</formula>
    </cfRule>
  </conditionalFormatting>
  <conditionalFormatting sqref="Q37">
    <cfRule type="cellIs" dxfId="557" priority="173" operator="equal">
      <formula>"Not Compliant"</formula>
    </cfRule>
    <cfRule type="containsBlanks" dxfId="556" priority="175">
      <formula>LEN(TRIM(Q37))=0</formula>
    </cfRule>
  </conditionalFormatting>
  <conditionalFormatting sqref="Q39">
    <cfRule type="containsBlanks" dxfId="555" priority="2888">
      <formula>LEN(TRIM(Q39))=0</formula>
    </cfRule>
    <cfRule type="cellIs" dxfId="554" priority="191" operator="equal">
      <formula>"Not Compliant"</formula>
    </cfRule>
    <cfRule type="cellIs" dxfId="553" priority="190" operator="equal">
      <formula>"Compliant"</formula>
    </cfRule>
  </conditionalFormatting>
  <conditionalFormatting sqref="Q41">
    <cfRule type="containsBlanks" dxfId="552" priority="91">
      <formula>LEN(TRIM(Q41))=0</formula>
    </cfRule>
    <cfRule type="cellIs" dxfId="551" priority="280" operator="equal">
      <formula>"Not Compliant"</formula>
    </cfRule>
    <cfRule type="cellIs" dxfId="550" priority="279" operator="equal">
      <formula>"Compliant"</formula>
    </cfRule>
  </conditionalFormatting>
  <conditionalFormatting sqref="Q43">
    <cfRule type="cellIs" dxfId="549" priority="188" operator="equal">
      <formula>"Not Compliant"</formula>
    </cfRule>
    <cfRule type="containsBlanks" dxfId="548" priority="2889">
      <formula>LEN(TRIM(Q43))=0</formula>
    </cfRule>
    <cfRule type="cellIs" dxfId="547" priority="187" operator="equal">
      <formula>"Compliant"</formula>
    </cfRule>
  </conditionalFormatting>
  <conditionalFormatting sqref="Q61">
    <cfRule type="cellIs" dxfId="546" priority="154" operator="equal">
      <formula>"Compliant"</formula>
    </cfRule>
    <cfRule type="containsBlanks" dxfId="545" priority="156">
      <formula>LEN(TRIM(Q61))=0</formula>
    </cfRule>
    <cfRule type="cellIs" dxfId="544" priority="155" operator="equal">
      <formula>"Non Compliant"</formula>
    </cfRule>
  </conditionalFormatting>
  <conditionalFormatting sqref="Q63">
    <cfRule type="cellIs" dxfId="543" priority="151" operator="equal">
      <formula>"Compliant"</formula>
    </cfRule>
    <cfRule type="cellIs" dxfId="542" priority="152" operator="equal">
      <formula>"Non Compliant"</formula>
    </cfRule>
    <cfRule type="containsBlanks" dxfId="541" priority="153">
      <formula>LEN(TRIM(Q63))=0</formula>
    </cfRule>
  </conditionalFormatting>
  <conditionalFormatting sqref="Q81">
    <cfRule type="cellIs" dxfId="540" priority="81" operator="equal">
      <formula>"Non Compliant"</formula>
    </cfRule>
    <cfRule type="cellIs" dxfId="539" priority="80" operator="equal">
      <formula>"Compliant"</formula>
    </cfRule>
    <cfRule type="containsBlanks" dxfId="538" priority="82">
      <formula>LEN(TRIM(Q81))=0</formula>
    </cfRule>
  </conditionalFormatting>
  <conditionalFormatting sqref="Q83">
    <cfRule type="cellIs" dxfId="537" priority="77" operator="equal">
      <formula>"Compliant"</formula>
    </cfRule>
    <cfRule type="containsBlanks" dxfId="536" priority="79">
      <formula>LEN(TRIM(Q83))=0</formula>
    </cfRule>
    <cfRule type="cellIs" dxfId="535" priority="78" operator="equal">
      <formula>"Non Compliant"</formula>
    </cfRule>
  </conditionalFormatting>
  <conditionalFormatting sqref="Q85">
    <cfRule type="containsBlanks" dxfId="534" priority="73">
      <formula>LEN(TRIM(Q85))=0</formula>
    </cfRule>
    <cfRule type="cellIs" dxfId="533" priority="71" operator="equal">
      <formula>"Compliant"</formula>
    </cfRule>
    <cfRule type="cellIs" dxfId="532" priority="72" operator="equal">
      <formula>"Non Compliant"</formula>
    </cfRule>
  </conditionalFormatting>
  <conditionalFormatting sqref="Q97">
    <cfRule type="cellIs" dxfId="531" priority="53" operator="equal">
      <formula>"Compliant"</formula>
    </cfRule>
    <cfRule type="cellIs" dxfId="530" priority="54" operator="equal">
      <formula>"Non Compliant"</formula>
    </cfRule>
    <cfRule type="containsBlanks" dxfId="529" priority="55">
      <formula>LEN(TRIM(Q97))=0</formula>
    </cfRule>
  </conditionalFormatting>
  <conditionalFormatting sqref="Q99">
    <cfRule type="cellIs" dxfId="528" priority="51" operator="equal">
      <formula>"Non Compliant"</formula>
    </cfRule>
    <cfRule type="cellIs" dxfId="527" priority="50" operator="equal">
      <formula>"Compliant"</formula>
    </cfRule>
    <cfRule type="containsBlanks" dxfId="526" priority="52">
      <formula>LEN(TRIM(Q99))=0</formula>
    </cfRule>
  </conditionalFormatting>
  <conditionalFormatting sqref="Q37:S37">
    <cfRule type="cellIs" dxfId="525" priority="174" operator="equal">
      <formula>"Compliant"</formula>
    </cfRule>
  </conditionalFormatting>
  <conditionalFormatting sqref="R37">
    <cfRule type="cellIs" dxfId="524" priority="332" operator="equal">
      <formula>"Non Compliant"</formula>
    </cfRule>
  </conditionalFormatting>
  <conditionalFormatting sqref="S37">
    <cfRule type="containsBlanks" dxfId="523" priority="2875">
      <formula>LEN(TRIM(S37))=0</formula>
    </cfRule>
    <cfRule type="cellIs" dxfId="522" priority="182" operator="equal">
      <formula>"Not Compliant"</formula>
    </cfRule>
  </conditionalFormatting>
  <conditionalFormatting sqref="S39">
    <cfRule type="cellIs" dxfId="521" priority="256" operator="equal">
      <formula>"Not Compliant"</formula>
    </cfRule>
    <cfRule type="cellIs" dxfId="520" priority="255" operator="equal">
      <formula>"Compliant"</formula>
    </cfRule>
  </conditionalFormatting>
  <conditionalFormatting sqref="S39:S45">
    <cfRule type="containsBlanks" dxfId="519" priority="2878">
      <formula>LEN(TRIM(S39))=0</formula>
    </cfRule>
  </conditionalFormatting>
  <conditionalFormatting sqref="S61">
    <cfRule type="cellIs" dxfId="518" priority="149" operator="equal">
      <formula>"Not Compliant"</formula>
    </cfRule>
    <cfRule type="containsBlanks" dxfId="517" priority="150">
      <formula>LEN(TRIM(S61))=0</formula>
    </cfRule>
    <cfRule type="cellIs" dxfId="516" priority="148" operator="equal">
      <formula>"Compliant"</formula>
    </cfRule>
  </conditionalFormatting>
  <conditionalFormatting sqref="S63">
    <cfRule type="cellIs" dxfId="515" priority="143" operator="equal">
      <formula>"Not Compliant"</formula>
    </cfRule>
    <cfRule type="containsBlanks" dxfId="514" priority="144">
      <formula>LEN(TRIM(S63))=0</formula>
    </cfRule>
    <cfRule type="cellIs" dxfId="513" priority="142" operator="equal">
      <formula>"Compliant"</formula>
    </cfRule>
  </conditionalFormatting>
  <conditionalFormatting sqref="S85">
    <cfRule type="containsBlanks" dxfId="512" priority="70">
      <formula>LEN(TRIM(S85))=0</formula>
    </cfRule>
    <cfRule type="cellIs" dxfId="511" priority="68" operator="equal">
      <formula>"Compliant"</formula>
    </cfRule>
    <cfRule type="cellIs" dxfId="510" priority="69" operator="equal">
      <formula>"Not Compliant"</formula>
    </cfRule>
  </conditionalFormatting>
  <conditionalFormatting sqref="S97">
    <cfRule type="cellIs" dxfId="509" priority="23" operator="equal">
      <formula>"Not Compliant"</formula>
    </cfRule>
    <cfRule type="cellIs" dxfId="508" priority="22" operator="equal">
      <formula>"Compliant"</formula>
    </cfRule>
    <cfRule type="containsBlanks" dxfId="507" priority="24">
      <formula>LEN(TRIM(S97))=0</formula>
    </cfRule>
  </conditionalFormatting>
  <conditionalFormatting sqref="S99">
    <cfRule type="containsBlanks" dxfId="506" priority="21">
      <formula>LEN(TRIM(S99))=0</formula>
    </cfRule>
    <cfRule type="cellIs" dxfId="505" priority="19" operator="equal">
      <formula>"Compliant"</formula>
    </cfRule>
    <cfRule type="cellIs" dxfId="504" priority="20" operator="equal">
      <formula>"Not Compliant"</formula>
    </cfRule>
  </conditionalFormatting>
  <conditionalFormatting sqref="T37">
    <cfRule type="containsText" dxfId="503" priority="329" stopIfTrue="1" operator="containsText" text="Non-Compliant">
      <formula>NOT(ISERROR(SEARCH("Non-Compliant",T37)))</formula>
    </cfRule>
    <cfRule type="cellIs" dxfId="502" priority="330" operator="equal">
      <formula>"TBD"</formula>
    </cfRule>
    <cfRule type="cellIs" dxfId="501" priority="327" operator="equal">
      <formula>"Compliant"</formula>
    </cfRule>
    <cfRule type="cellIs" dxfId="500" priority="328" operator="equal">
      <formula>"Not Compliant"</formula>
    </cfRule>
  </conditionalFormatting>
  <conditionalFormatting sqref="U37">
    <cfRule type="containsBlanks" dxfId="499" priority="181">
      <formula>LEN(TRIM(U37))=0</formula>
    </cfRule>
    <cfRule type="cellIs" dxfId="498" priority="179" operator="equal">
      <formula>"Not Compliant"</formula>
    </cfRule>
    <cfRule type="cellIs" dxfId="497" priority="180" operator="equal">
      <formula>"Compliant"</formula>
    </cfRule>
  </conditionalFormatting>
  <conditionalFormatting sqref="U39">
    <cfRule type="cellIs" dxfId="496" priority="250" operator="equal">
      <formula>"Compliant"</formula>
    </cfRule>
    <cfRule type="containsBlanks" dxfId="495" priority="2877">
      <formula>LEN(TRIM(U39))=0</formula>
    </cfRule>
    <cfRule type="cellIs" dxfId="494" priority="241" operator="equal">
      <formula>"Not Compliant"</formula>
    </cfRule>
  </conditionalFormatting>
  <conditionalFormatting sqref="U41">
    <cfRule type="containsBlanks" dxfId="493" priority="2879">
      <formula>LEN(TRIM(U41))=0</formula>
    </cfRule>
    <cfRule type="cellIs" dxfId="492" priority="246" operator="equal">
      <formula>"Compliant"</formula>
    </cfRule>
    <cfRule type="cellIs" dxfId="491" priority="247" operator="equal">
      <formula>"Not Compliant"</formula>
    </cfRule>
  </conditionalFormatting>
  <conditionalFormatting sqref="U43">
    <cfRule type="containsBlanks" dxfId="490" priority="2880">
      <formula>LEN(TRIM(U43))=0</formula>
    </cfRule>
    <cfRule type="cellIs" dxfId="489" priority="242" operator="equal">
      <formula>"Compliant"</formula>
    </cfRule>
    <cfRule type="cellIs" dxfId="488" priority="243" operator="equal">
      <formula>"Not Compliant"</formula>
    </cfRule>
  </conditionalFormatting>
  <conditionalFormatting sqref="U61">
    <cfRule type="cellIs" dxfId="487" priority="139" operator="equal">
      <formula>"Compliant"</formula>
    </cfRule>
    <cfRule type="cellIs" dxfId="486" priority="138" operator="equal">
      <formula>"Not Compliant"</formula>
    </cfRule>
    <cfRule type="containsBlanks" dxfId="485" priority="141">
      <formula>LEN(TRIM(U61))=0</formula>
    </cfRule>
    <cfRule type="cellIs" dxfId="484" priority="140" operator="equal">
      <formula>"Non Compliant"</formula>
    </cfRule>
  </conditionalFormatting>
  <conditionalFormatting sqref="U63">
    <cfRule type="cellIs" dxfId="483" priority="136" operator="equal">
      <formula>"Non Compliant"</formula>
    </cfRule>
    <cfRule type="containsBlanks" dxfId="482" priority="137">
      <formula>LEN(TRIM(U63))=0</formula>
    </cfRule>
    <cfRule type="cellIs" dxfId="481" priority="134" operator="equal">
      <formula>"Not Compliant"</formula>
    </cfRule>
    <cfRule type="cellIs" dxfId="480" priority="135" operator="equal">
      <formula>"Compliant"</formula>
    </cfRule>
  </conditionalFormatting>
  <conditionalFormatting sqref="U85">
    <cfRule type="cellIs" dxfId="479" priority="65" operator="equal">
      <formula>"Compliant"</formula>
    </cfRule>
    <cfRule type="cellIs" dxfId="478" priority="66" operator="equal">
      <formula>"Not Compliant"</formula>
    </cfRule>
    <cfRule type="containsBlanks" dxfId="477" priority="67">
      <formula>LEN(TRIM(U85))=0</formula>
    </cfRule>
  </conditionalFormatting>
  <conditionalFormatting sqref="U97:U99">
    <cfRule type="cellIs" dxfId="476" priority="16" operator="equal">
      <formula>"Compliant"</formula>
    </cfRule>
    <cfRule type="containsBlanks" dxfId="475" priority="18">
      <formula>LEN(TRIM(U97))=0</formula>
    </cfRule>
    <cfRule type="cellIs" dxfId="474" priority="17" operator="equal">
      <formula>"Not Compliant"</formula>
    </cfRule>
  </conditionalFormatting>
  <conditionalFormatting sqref="W33:W35">
    <cfRule type="expression" dxfId="473" priority="122">
      <formula>$J$19&lt;&gt;"Yes"</formula>
    </cfRule>
  </conditionalFormatting>
  <conditionalFormatting sqref="W37">
    <cfRule type="containsBlanks" dxfId="472" priority="110">
      <formula>LEN(TRIM(W37))=0</formula>
    </cfRule>
    <cfRule type="cellIs" dxfId="471" priority="109" operator="equal">
      <formula>"Compliant"</formula>
    </cfRule>
    <cfRule type="cellIs" dxfId="470" priority="108" operator="equal">
      <formula>"Not Compliant"</formula>
    </cfRule>
    <cfRule type="expression" dxfId="469" priority="107">
      <formula>$J$19="No"</formula>
    </cfRule>
  </conditionalFormatting>
  <conditionalFormatting sqref="W39">
    <cfRule type="cellIs" dxfId="468" priority="112" operator="equal">
      <formula>"Not Compliant"</formula>
    </cfRule>
    <cfRule type="cellIs" dxfId="467" priority="111" operator="equal">
      <formula>"Compliant"</formula>
    </cfRule>
  </conditionalFormatting>
  <conditionalFormatting sqref="W39:W45">
    <cfRule type="containsBlanks" dxfId="466" priority="113">
      <formula>LEN(TRIM(W39))=0</formula>
    </cfRule>
  </conditionalFormatting>
  <conditionalFormatting sqref="W61 W63 W55:W57">
    <cfRule type="expression" dxfId="465" priority="121">
      <formula>$J$19&lt;&gt;"Yes"</formula>
    </cfRule>
  </conditionalFormatting>
  <conditionalFormatting sqref="W61">
    <cfRule type="cellIs" dxfId="464" priority="104" operator="equal">
      <formula>"Compliant"</formula>
    </cfRule>
    <cfRule type="cellIs" dxfId="463" priority="105" operator="equal">
      <formula>"Not Compliant"</formula>
    </cfRule>
    <cfRule type="containsBlanks" dxfId="462" priority="106">
      <formula>LEN(TRIM(W61))=0</formula>
    </cfRule>
  </conditionalFormatting>
  <conditionalFormatting sqref="W63">
    <cfRule type="cellIs" dxfId="461" priority="99" operator="equal">
      <formula>"Not Compliant"</formula>
    </cfRule>
    <cfRule type="containsBlanks" dxfId="460" priority="100">
      <formula>LEN(TRIM(W63))=0</formula>
    </cfRule>
    <cfRule type="cellIs" dxfId="459" priority="98" operator="equal">
      <formula>"Compliant"</formula>
    </cfRule>
  </conditionalFormatting>
  <conditionalFormatting sqref="W77:W79">
    <cfRule type="expression" dxfId="458" priority="89">
      <formula>$J$19&lt;&gt;"Yes"</formula>
    </cfRule>
  </conditionalFormatting>
  <conditionalFormatting sqref="W85">
    <cfRule type="cellIs" dxfId="457" priority="13" operator="equal">
      <formula>"Not Compliant"</formula>
    </cfRule>
    <cfRule type="containsBlanks" dxfId="456" priority="14">
      <formula>LEN(TRIM(W85))=0</formula>
    </cfRule>
    <cfRule type="cellIs" dxfId="455" priority="12" operator="equal">
      <formula>"Compliant"</formula>
    </cfRule>
  </conditionalFormatting>
  <conditionalFormatting sqref="W91:W93">
    <cfRule type="expression" dxfId="454" priority="11">
      <formula>$J$19&lt;&gt;"Yes"</formula>
    </cfRule>
  </conditionalFormatting>
  <conditionalFormatting sqref="W97:W99">
    <cfRule type="cellIs" dxfId="453" priority="8" operator="equal">
      <formula>"Compliant"</formula>
    </cfRule>
    <cfRule type="containsBlanks" dxfId="452" priority="2902">
      <formula>LEN(TRIM(W97))=0</formula>
    </cfRule>
    <cfRule type="cellIs" dxfId="451" priority="9" operator="equal">
      <formula>"Not Compliant"</formula>
    </cfRule>
  </conditionalFormatting>
  <conditionalFormatting sqref="Y37">
    <cfRule type="cellIs" dxfId="450" priority="177" operator="equal">
      <formula>"Compliant"</formula>
    </cfRule>
    <cfRule type="cellIs" dxfId="449" priority="176" operator="equal">
      <formula>"Not Compliant"</formula>
    </cfRule>
    <cfRule type="containsBlanks" dxfId="448" priority="178">
      <formula>LEN(TRIM(Y37))=0</formula>
    </cfRule>
  </conditionalFormatting>
  <conditionalFormatting sqref="Y39">
    <cfRule type="cellIs" dxfId="447" priority="197" operator="equal">
      <formula>"Compliant"</formula>
    </cfRule>
    <cfRule type="cellIs" dxfId="446" priority="198" operator="equal">
      <formula>"Not Compliant"</formula>
    </cfRule>
  </conditionalFormatting>
  <conditionalFormatting sqref="Y39:Y45">
    <cfRule type="containsBlanks" dxfId="445" priority="2887">
      <formula>LEN(TRIM(Y39))=0</formula>
    </cfRule>
  </conditionalFormatting>
  <conditionalFormatting sqref="Y59">
    <cfRule type="cellIs" dxfId="444" priority="131" operator="equal">
      <formula>"Compliant"</formula>
    </cfRule>
    <cfRule type="cellIs" dxfId="443" priority="132" operator="equal">
      <formula>"Not Compliant"</formula>
    </cfRule>
  </conditionalFormatting>
  <conditionalFormatting sqref="Y59:Y63">
    <cfRule type="containsBlanks" dxfId="442" priority="133">
      <formula>LEN(TRIM(Y59))=0</formula>
    </cfRule>
  </conditionalFormatting>
  <conditionalFormatting sqref="Y81:Y85">
    <cfRule type="cellIs" dxfId="441" priority="2" operator="equal">
      <formula>"Compliant"</formula>
    </cfRule>
    <cfRule type="cellIs" dxfId="440" priority="3" operator="equal">
      <formula>"Not Compliant"</formula>
    </cfRule>
    <cfRule type="containsBlanks" dxfId="439" priority="4">
      <formula>LEN(TRIM(Y81))=0</formula>
    </cfRule>
  </conditionalFormatting>
  <conditionalFormatting sqref="Y97">
    <cfRule type="containsBlanks" dxfId="438" priority="7">
      <formula>LEN(TRIM(Y97))=0</formula>
    </cfRule>
    <cfRule type="cellIs" dxfId="437" priority="6" operator="equal">
      <formula>"Not Compliant"</formula>
    </cfRule>
    <cfRule type="cellIs" dxfId="436" priority="5" operator="equal">
      <formula>"Compliant"</formula>
    </cfRule>
  </conditionalFormatting>
  <conditionalFormatting sqref="Y107">
    <cfRule type="cellIs" dxfId="435" priority="397" operator="equal">
      <formula>"Yes"</formula>
    </cfRule>
    <cfRule type="cellIs" dxfId="434" priority="396" operator="equal">
      <formula>"No"</formula>
    </cfRule>
  </conditionalFormatting>
  <conditionalFormatting sqref="AB25:AB34 AB35:AH36 AB37:AG37">
    <cfRule type="expression" dxfId="433" priority="2898">
      <formula>$J$19="No"</formula>
    </cfRule>
  </conditionalFormatting>
  <dataValidations count="4">
    <dataValidation type="list" allowBlank="1" showInputMessage="1" showErrorMessage="1" sqref="J19 J25" xr:uid="{00000000-0002-0000-0000-000000000000}">
      <formula1>"No,Yes"</formula1>
    </dataValidation>
    <dataValidation type="list" allowBlank="1" showInputMessage="1" showErrorMessage="1" sqref="O107 Y107" xr:uid="{00000000-0002-0000-0000-000001000000}">
      <formula1>"Yes,No"</formula1>
    </dataValidation>
    <dataValidation type="list" allowBlank="1" showInputMessage="1" showErrorMessage="1" sqref="M29:O29" xr:uid="{00000000-0002-0000-0000-000002000000}">
      <formula1>"Select?,Building Area, Space by Space"</formula1>
    </dataValidation>
    <dataValidation type="list" allowBlank="1" showInputMessage="1" showErrorMessage="1" sqref="Z1" xr:uid="{00000000-0002-0000-0000-000003000000}">
      <formula1>"2010, 2016, 2019"</formula1>
    </dataValidation>
  </dataValidations>
  <hyperlinks>
    <hyperlink ref="AF15:AJ15" location="STEP3" display="c. Step 3 - Determine the exterior lighting power allowances." xr:uid="{00000000-0004-0000-0000-000000000000}"/>
    <hyperlink ref="AF21:AJ21" location="'Luminaire Schedule'!A1" display="d. Step 4 - Fill in Luminaire Schedule then determine:" xr:uid="{00000000-0004-0000-0000-000001000000}"/>
    <hyperlink ref="AL10:AM10" r:id="rId1" display="www.ashrae.org" xr:uid="{00000000-0004-0000-0000-000002000000}"/>
    <hyperlink ref="AL12:AM12" r:id="rId2" display="www.ies.org" xr:uid="{00000000-0004-0000-0000-000003000000}"/>
    <hyperlink ref="AF24:AH24" location="'Luminaire Schedule'!A1" display="d. Step 4 - Fill in Luminaire Schedule then determine:" xr:uid="{00000000-0004-0000-0000-000004000000}"/>
    <hyperlink ref="AF29:AH29" location="'Luminaire Schedule'!A1" display="d. Step 4 - Fill in Luminaire Schedule then determine:" xr:uid="{00000000-0004-0000-0000-000005000000}"/>
    <hyperlink ref="AF34:AH34" location="'Luminaire Schedule'!A1" display="d. Step 4 - Fill in Luminaire Schedule then determine:" xr:uid="{00000000-0004-0000-0000-000006000000}"/>
  </hyperlinks>
  <printOptions horizontalCentered="1"/>
  <pageMargins left="0.25" right="0.25" top="0.75" bottom="0.75" header="0.3" footer="0.3"/>
  <pageSetup scale="66" fitToHeight="0" orientation="portrait" r:id="rId3"/>
  <headerFooter alignWithMargins="0">
    <oddHeader>&amp;LLighting Compliance Documentation&amp;R&amp;D</oddHeader>
    <oddFooter>&amp;RPage &amp;P of &amp;N</oddFooter>
  </headerFooter>
  <drawing r:id="rId4"/>
  <legacyDrawing r:id="rId5"/>
  <extLst>
    <ext xmlns:x14="http://schemas.microsoft.com/office/spreadsheetml/2009/9/main" uri="{78C0D931-6437-407d-A8EE-F0AAD7539E65}">
      <x14:conditionalFormattings>
        <x14:conditionalFormatting xmlns:xm="http://schemas.microsoft.com/office/excel/2006/main">
          <x14:cfRule type="containsText" priority="295" operator="containsText" id="{543BB2BD-E098-4A3A-8639-F5ABD2A0EEAD}">
            <xm:f>NOT(ISERROR(SEARCH("Not Used",K43)))</xm:f>
            <xm:f>"Not Used"</xm:f>
            <x14:dxf>
              <font>
                <b val="0"/>
                <i val="0"/>
                <color theme="0"/>
              </font>
              <fill>
                <patternFill patternType="solid">
                  <bgColor auto="1"/>
                </patternFill>
              </fill>
              <border>
                <left/>
                <right/>
                <top/>
                <bottom/>
              </border>
            </x14:dxf>
          </x14:cfRule>
          <xm:sqref>K43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39997558519241921"/>
  </sheetPr>
  <dimension ref="B1:DO177"/>
  <sheetViews>
    <sheetView showGridLines="0" zoomScale="90" zoomScaleNormal="90" workbookViewId="0">
      <pane xSplit="6" ySplit="16" topLeftCell="G17" activePane="bottomRight" state="frozen"/>
      <selection pane="topRight" activeCell="G1" sqref="G1"/>
      <selection pane="bottomLeft" activeCell="A17" sqref="A17"/>
      <selection pane="bottomRight" activeCell="G17" sqref="G17:U17"/>
    </sheetView>
  </sheetViews>
  <sheetFormatPr defaultColWidth="9.1796875" defaultRowHeight="10" x14ac:dyDescent="0.2"/>
  <cols>
    <col min="1" max="1" width="2.7265625" style="178" customWidth="1"/>
    <col min="2" max="5" width="11.54296875" style="178" customWidth="1"/>
    <col min="6" max="6" width="2.54296875" style="178" customWidth="1"/>
    <col min="7" max="9" width="10.54296875" style="178" customWidth="1"/>
    <col min="10" max="10" width="0.453125" style="1248" customWidth="1"/>
    <col min="11" max="13" width="10.54296875" style="178" customWidth="1"/>
    <col min="14" max="14" width="0.453125" style="1248" customWidth="1"/>
    <col min="15" max="18" width="10.54296875" style="178" customWidth="1"/>
    <col min="19" max="19" width="0.453125" style="1248" customWidth="1"/>
    <col min="20" max="20" width="25.54296875" style="178" customWidth="1"/>
    <col min="21" max="21" width="60.54296875" style="178" customWidth="1"/>
    <col min="22" max="23" width="10.54296875" style="178" customWidth="1"/>
    <col min="24" max="24" width="1.54296875" style="178" customWidth="1"/>
    <col min="25" max="25" width="3" style="178" bestFit="1" customWidth="1"/>
    <col min="26" max="26" width="46" style="178" bestFit="1" customWidth="1"/>
    <col min="27" max="27" width="34.81640625" style="178" bestFit="1" customWidth="1"/>
    <col min="28" max="28" width="11.7265625" style="178" customWidth="1"/>
    <col min="29" max="29" width="2.7265625" style="178" customWidth="1"/>
    <col min="30" max="31" width="11.7265625" style="178" customWidth="1"/>
    <col min="32" max="32" width="2.7265625" style="178" customWidth="1"/>
    <col min="33" max="33" width="11.7265625" style="178" customWidth="1"/>
    <col min="34" max="34" width="2.7265625" style="178" customWidth="1"/>
    <col min="35" max="42" width="11.7265625" style="178" customWidth="1"/>
    <col min="43" max="43" width="2.7265625" style="1247" customWidth="1"/>
    <col min="44" max="45" width="11.7265625" style="178" customWidth="1"/>
    <col min="46" max="46" width="2.7265625" style="1247" customWidth="1"/>
    <col min="47" max="50" width="11.7265625" style="178" customWidth="1"/>
    <col min="51" max="51" width="2.7265625" style="1247" customWidth="1"/>
    <col min="52" max="54" width="11.7265625" style="178" customWidth="1"/>
    <col min="55" max="55" width="2.7265625" style="178" customWidth="1"/>
    <col min="56" max="58" width="11.7265625" style="178" customWidth="1"/>
    <col min="59" max="59" width="2.7265625" style="178" customWidth="1"/>
    <col min="60" max="61" width="15.26953125" style="178" customWidth="1"/>
    <col min="62" max="62" width="27.54296875" style="178" customWidth="1"/>
    <col min="63" max="66" width="9.1796875" style="178"/>
    <col min="67" max="67" width="64.26953125" style="178" customWidth="1"/>
    <col min="68" max="117" width="9.1796875" style="178"/>
    <col min="118" max="118" width="60.1796875" style="1246" customWidth="1"/>
    <col min="119" max="16384" width="9.1796875" style="178"/>
  </cols>
  <sheetData>
    <row r="1" spans="2:117" ht="15" customHeight="1" x14ac:dyDescent="0.3">
      <c r="G1" s="1472" t="str">
        <f>'Main Compliance Page'!K1</f>
        <v>ASHRAE/IES 90.1-2019 Lighting Compliance Documentation (v4.0)</v>
      </c>
      <c r="H1" s="1472"/>
      <c r="I1" s="1472"/>
      <c r="J1" s="1472"/>
      <c r="K1" s="1472"/>
      <c r="L1" s="1472"/>
      <c r="M1" s="1472"/>
      <c r="N1" s="1472"/>
      <c r="O1" s="1472"/>
      <c r="P1" s="1472"/>
      <c r="Q1" s="1472"/>
      <c r="R1" s="1472"/>
      <c r="S1" s="1472"/>
      <c r="T1" s="1472"/>
      <c r="U1" s="1472"/>
      <c r="Z1" s="178">
        <v>1</v>
      </c>
      <c r="AA1" s="178">
        <v>2</v>
      </c>
      <c r="AB1" s="178">
        <v>3</v>
      </c>
      <c r="AC1" s="178">
        <v>4</v>
      </c>
      <c r="AD1" s="178">
        <v>5</v>
      </c>
      <c r="AE1" s="178">
        <v>6</v>
      </c>
      <c r="AF1" s="178">
        <v>7</v>
      </c>
      <c r="AG1" s="178">
        <v>8</v>
      </c>
      <c r="AH1" s="178">
        <v>9</v>
      </c>
      <c r="AI1" s="178">
        <v>10</v>
      </c>
      <c r="AJ1" s="178">
        <v>11</v>
      </c>
      <c r="AK1" s="178">
        <v>12</v>
      </c>
      <c r="AL1" s="178">
        <v>13</v>
      </c>
      <c r="AM1" s="178">
        <v>14</v>
      </c>
      <c r="AN1" s="178">
        <v>15</v>
      </c>
      <c r="AO1" s="178">
        <v>16</v>
      </c>
      <c r="AP1" s="178">
        <v>17</v>
      </c>
      <c r="AQ1" s="178">
        <v>18</v>
      </c>
      <c r="AR1" s="178">
        <v>19</v>
      </c>
      <c r="AS1" s="178">
        <v>20</v>
      </c>
      <c r="AT1" s="178">
        <v>21</v>
      </c>
      <c r="AU1" s="178">
        <v>22</v>
      </c>
      <c r="AV1" s="178">
        <v>23</v>
      </c>
      <c r="AW1" s="178">
        <v>24</v>
      </c>
      <c r="AX1" s="178">
        <v>25</v>
      </c>
      <c r="AY1" s="178">
        <v>26</v>
      </c>
      <c r="AZ1" s="178">
        <v>27</v>
      </c>
      <c r="BA1" s="178">
        <v>28</v>
      </c>
      <c r="BB1" s="178">
        <v>29</v>
      </c>
      <c r="BC1" s="178">
        <v>30</v>
      </c>
      <c r="BD1" s="178">
        <v>31</v>
      </c>
      <c r="BE1" s="178">
        <v>32</v>
      </c>
      <c r="BF1" s="178">
        <v>33</v>
      </c>
      <c r="BG1" s="178">
        <v>34</v>
      </c>
      <c r="BH1" s="178">
        <v>35</v>
      </c>
      <c r="BI1" s="178">
        <v>36</v>
      </c>
      <c r="BJ1" s="178">
        <v>37</v>
      </c>
      <c r="BK1" s="178">
        <v>38</v>
      </c>
    </row>
    <row r="2" spans="2:117" ht="5.15" customHeight="1" x14ac:dyDescent="0.3">
      <c r="G2" s="1242"/>
      <c r="H2" s="1242"/>
      <c r="I2" s="1242"/>
      <c r="J2" s="1242"/>
      <c r="K2" s="1242"/>
      <c r="L2" s="1242"/>
      <c r="M2" s="1242"/>
      <c r="N2" s="1242"/>
      <c r="O2" s="1242"/>
      <c r="P2" s="1242"/>
      <c r="Q2" s="1242"/>
      <c r="R2" s="1242"/>
      <c r="S2" s="1242"/>
      <c r="T2" s="1242"/>
      <c r="U2" s="1242"/>
      <c r="AQ2" s="178"/>
      <c r="AT2" s="178"/>
      <c r="AY2" s="178"/>
    </row>
    <row r="3" spans="2:117" ht="15" customHeight="1" x14ac:dyDescent="0.3">
      <c r="G3" s="1472" t="s">
        <v>1208</v>
      </c>
      <c r="H3" s="1472"/>
      <c r="I3" s="1472"/>
      <c r="J3" s="1472"/>
      <c r="K3" s="1472"/>
      <c r="L3" s="1472"/>
      <c r="M3" s="1472"/>
      <c r="N3" s="1472"/>
      <c r="O3" s="1472"/>
      <c r="P3" s="1472"/>
      <c r="Q3" s="1472"/>
      <c r="R3" s="1472"/>
      <c r="S3" s="1472"/>
      <c r="T3" s="1472"/>
      <c r="U3" s="1472"/>
      <c r="BC3" s="1248"/>
      <c r="BD3" s="1248"/>
      <c r="BP3" s="178" t="b">
        <f>IF(_Step2_AlterationsYesNo="Yes",TRUE,FALSE)</f>
        <v>0</v>
      </c>
    </row>
    <row r="4" spans="2:117" ht="5.15" customHeight="1" x14ac:dyDescent="0.3">
      <c r="G4" s="1242"/>
      <c r="H4" s="1242"/>
      <c r="I4" s="1242"/>
      <c r="J4" s="1242"/>
      <c r="K4" s="1242"/>
      <c r="L4" s="1242"/>
      <c r="M4" s="1242"/>
      <c r="N4" s="1242"/>
      <c r="O4" s="1242"/>
      <c r="P4" s="1242"/>
      <c r="Q4" s="1242"/>
      <c r="R4" s="1242"/>
      <c r="S4" s="1242"/>
      <c r="T4" s="1242"/>
      <c r="U4" s="1242"/>
      <c r="BC4" s="1248"/>
      <c r="BD4" s="1248"/>
    </row>
    <row r="5" spans="2:117" ht="15" customHeight="1" x14ac:dyDescent="0.25">
      <c r="BC5" s="1248"/>
      <c r="BD5" s="1248"/>
      <c r="BE5" s="1462" t="s">
        <v>1030</v>
      </c>
      <c r="BF5" s="1462"/>
    </row>
    <row r="6" spans="2:117" ht="5.15" customHeight="1" x14ac:dyDescent="0.25">
      <c r="BC6" s="1248"/>
      <c r="BD6" s="1248"/>
      <c r="BE6" s="1249"/>
      <c r="BF6" s="1249"/>
    </row>
    <row r="7" spans="2:117" ht="15" customHeight="1" x14ac:dyDescent="0.25">
      <c r="BC7" s="1248"/>
      <c r="BD7" s="1248"/>
      <c r="BF7" s="1250" t="b">
        <f ca="1">IF(BE11&gt;BF11,FALSE,TRUE)</f>
        <v>1</v>
      </c>
    </row>
    <row r="8" spans="2:117" ht="5.15" customHeight="1" x14ac:dyDescent="0.25">
      <c r="BC8" s="1248"/>
      <c r="BD8" s="1248"/>
      <c r="BF8" s="1251"/>
    </row>
    <row r="9" spans="2:117" ht="15" customHeight="1" x14ac:dyDescent="0.25">
      <c r="AU9" s="1252" t="s">
        <v>1029</v>
      </c>
      <c r="AW9" s="1252" t="s">
        <v>1035</v>
      </c>
      <c r="BC9" s="1248"/>
      <c r="BD9" s="1248"/>
    </row>
    <row r="10" spans="2:117" ht="5.15" customHeight="1" thickBot="1" x14ac:dyDescent="0.3">
      <c r="AU10" s="1252"/>
      <c r="AW10" s="1252"/>
      <c r="BC10" s="1248"/>
      <c r="BD10" s="1248"/>
    </row>
    <row r="11" spans="2:117" ht="15" customHeight="1" x14ac:dyDescent="0.25">
      <c r="G11" s="1476" t="s">
        <v>1205</v>
      </c>
      <c r="H11" s="1477"/>
      <c r="I11" s="1478"/>
      <c r="J11" s="1253"/>
      <c r="K11" s="1473" t="s">
        <v>1204</v>
      </c>
      <c r="L11" s="1474"/>
      <c r="M11" s="1475"/>
      <c r="N11" s="1253"/>
      <c r="O11" s="1473" t="s">
        <v>1203</v>
      </c>
      <c r="P11" s="1474"/>
      <c r="Q11" s="1474"/>
      <c r="R11" s="1475"/>
      <c r="S11" s="1253"/>
      <c r="AG11" s="1254">
        <f>SUM(AG18:AG67)</f>
        <v>0</v>
      </c>
      <c r="AH11" s="1252"/>
      <c r="AI11" s="1254">
        <f>SUM(AI18:AI67)</f>
        <v>0</v>
      </c>
      <c r="AJ11" s="1254">
        <f>SUM(AJ18:AJ67)</f>
        <v>0</v>
      </c>
      <c r="AK11" s="1252"/>
      <c r="AL11" s="1254">
        <f>SUM(AL18:AL67)</f>
        <v>0</v>
      </c>
      <c r="AM11" s="1254">
        <f>SUM(AM18:AM67)</f>
        <v>0</v>
      </c>
      <c r="AN11" s="1252"/>
      <c r="AO11" s="1254">
        <f>SUM(AO18:AO67)</f>
        <v>0</v>
      </c>
      <c r="AP11" s="1254">
        <f>SUM(AP18:AP67)</f>
        <v>0</v>
      </c>
      <c r="AR11" s="1462" t="s">
        <v>1033</v>
      </c>
      <c r="AS11" s="1462"/>
      <c r="AU11" s="1250" t="b">
        <f>'SpxSp (step-b)'!N13</f>
        <v>0</v>
      </c>
      <c r="AW11" s="1250" t="b">
        <f>IF(AND(_Step2_AlterationsYesNo="Yes",'Main Compliance Page'!J25="Yes"),TRUE,FALSE)</f>
        <v>0</v>
      </c>
      <c r="BC11" s="1248"/>
      <c r="BD11" s="1248"/>
      <c r="BE11" s="1255">
        <f>SUM(BE18:BE67)</f>
        <v>0</v>
      </c>
      <c r="BF11" s="1255">
        <f ca="1">SUM(BF18:BF67)+BF71</f>
        <v>0</v>
      </c>
    </row>
    <row r="12" spans="2:117" ht="5.15" customHeight="1" x14ac:dyDescent="0.25">
      <c r="G12" s="1256"/>
      <c r="H12" s="1247"/>
      <c r="I12" s="1257"/>
      <c r="K12" s="1256"/>
      <c r="L12" s="1247"/>
      <c r="M12" s="1257"/>
      <c r="O12" s="1256"/>
      <c r="P12" s="1247"/>
      <c r="Q12" s="1247"/>
      <c r="R12" s="1257"/>
      <c r="AG12" s="1258"/>
      <c r="AH12" s="1252"/>
      <c r="AI12" s="1258"/>
      <c r="AJ12" s="1258"/>
      <c r="AK12" s="1252"/>
      <c r="AL12" s="1258"/>
      <c r="AM12" s="1258"/>
      <c r="AN12" s="1252"/>
      <c r="AO12" s="1258"/>
      <c r="AP12" s="1258"/>
      <c r="AR12" s="1249"/>
      <c r="AS12" s="1249"/>
      <c r="AU12" s="1251"/>
      <c r="AW12" s="1251"/>
      <c r="BC12" s="1248"/>
      <c r="BD12" s="1248"/>
      <c r="BE12" s="1259"/>
      <c r="BF12" s="1259"/>
    </row>
    <row r="13" spans="2:117" ht="15" customHeight="1" thickBot="1" x14ac:dyDescent="0.3">
      <c r="B13" s="1458" t="str">
        <f>'SpxSp (step-a)'!B13:C13</f>
        <v>90.1-2019</v>
      </c>
      <c r="C13" s="1458"/>
      <c r="G13" s="1470">
        <f>SUM(G18:G67)</f>
        <v>0</v>
      </c>
      <c r="H13" s="1463">
        <f>SUM(H18:H67)</f>
        <v>0</v>
      </c>
      <c r="I13" s="1260"/>
      <c r="J13" s="1261"/>
      <c r="K13" s="1470">
        <f>SUM(K18:K67)</f>
        <v>0</v>
      </c>
      <c r="L13" s="1463">
        <f ca="1">SUM(L18:L67)</f>
        <v>0</v>
      </c>
      <c r="M13" s="1262"/>
      <c r="N13" s="1261"/>
      <c r="O13" s="1470">
        <f t="shared" ref="O13:Q13" si="0">SUM(O18:O67)</f>
        <v>0</v>
      </c>
      <c r="P13" s="1463">
        <f t="shared" si="0"/>
        <v>0</v>
      </c>
      <c r="Q13" s="1463">
        <f t="shared" si="0"/>
        <v>0</v>
      </c>
      <c r="R13" s="1263"/>
      <c r="BC13" s="1248"/>
      <c r="BD13" s="1248"/>
    </row>
    <row r="14" spans="2:117" ht="11" thickBot="1" x14ac:dyDescent="0.3">
      <c r="G14" s="1471"/>
      <c r="H14" s="1464"/>
      <c r="I14" s="1264"/>
      <c r="J14" s="1261"/>
      <c r="K14" s="1471"/>
      <c r="L14" s="1464"/>
      <c r="M14" s="1265"/>
      <c r="N14" s="1261"/>
      <c r="O14" s="1471"/>
      <c r="P14" s="1464"/>
      <c r="Q14" s="1464"/>
      <c r="R14" s="1266"/>
      <c r="AB14" s="5">
        <v>7</v>
      </c>
      <c r="AD14" s="5">
        <v>12</v>
      </c>
      <c r="AE14" s="5">
        <v>8</v>
      </c>
      <c r="AR14" s="1468" t="s">
        <v>843</v>
      </c>
      <c r="AS14" s="1469"/>
      <c r="AU14" s="1465" t="s">
        <v>1025</v>
      </c>
      <c r="AV14" s="1466"/>
      <c r="AW14" s="1466"/>
      <c r="AX14" s="1467"/>
      <c r="AY14" s="1251"/>
      <c r="AZ14" s="1465" t="s">
        <v>1026</v>
      </c>
      <c r="BA14" s="1466"/>
      <c r="BB14" s="1467"/>
      <c r="BC14" s="1267"/>
      <c r="BD14" s="1267"/>
      <c r="BE14" s="1462" t="s">
        <v>1032</v>
      </c>
      <c r="BF14" s="1462"/>
      <c r="BP14" s="5">
        <v>1</v>
      </c>
      <c r="BQ14" s="5">
        <v>2</v>
      </c>
      <c r="BR14" s="5">
        <v>3</v>
      </c>
      <c r="BS14" s="5">
        <v>4</v>
      </c>
      <c r="BT14" s="5">
        <v>5</v>
      </c>
      <c r="BU14" s="5">
        <v>6</v>
      </c>
      <c r="BV14" s="5">
        <v>7</v>
      </c>
      <c r="BW14" s="5">
        <v>8</v>
      </c>
      <c r="BX14" s="5">
        <v>9</v>
      </c>
      <c r="BY14" s="5">
        <v>10</v>
      </c>
      <c r="BZ14" s="5">
        <v>11</v>
      </c>
      <c r="CA14" s="5">
        <v>12</v>
      </c>
      <c r="CB14" s="5">
        <v>13</v>
      </c>
      <c r="CC14" s="5">
        <v>14</v>
      </c>
      <c r="CD14" s="5">
        <v>15</v>
      </c>
      <c r="CE14" s="5">
        <v>16</v>
      </c>
      <c r="CF14" s="5">
        <v>17</v>
      </c>
      <c r="CG14" s="5">
        <v>18</v>
      </c>
      <c r="CH14" s="5">
        <v>19</v>
      </c>
      <c r="CI14" s="5">
        <v>20</v>
      </c>
      <c r="CJ14" s="5">
        <v>21</v>
      </c>
      <c r="CK14" s="5">
        <v>22</v>
      </c>
      <c r="CL14" s="5">
        <v>23</v>
      </c>
      <c r="CM14" s="5">
        <v>24</v>
      </c>
      <c r="CN14" s="5">
        <v>25</v>
      </c>
      <c r="CO14" s="5">
        <v>26</v>
      </c>
      <c r="CP14" s="5">
        <v>27</v>
      </c>
      <c r="CQ14" s="5">
        <v>28</v>
      </c>
      <c r="CR14" s="5">
        <v>29</v>
      </c>
      <c r="CS14" s="5">
        <v>30</v>
      </c>
      <c r="CT14" s="5">
        <v>31</v>
      </c>
      <c r="CU14" s="5">
        <v>32</v>
      </c>
      <c r="CV14" s="5">
        <v>33</v>
      </c>
      <c r="CW14" s="5">
        <v>34</v>
      </c>
      <c r="CX14" s="5">
        <v>35</v>
      </c>
      <c r="CY14" s="5">
        <v>36</v>
      </c>
      <c r="CZ14" s="5">
        <v>37</v>
      </c>
      <c r="DA14" s="5">
        <v>38</v>
      </c>
      <c r="DB14" s="5">
        <v>39</v>
      </c>
      <c r="DC14" s="5">
        <v>40</v>
      </c>
      <c r="DD14" s="5">
        <v>41</v>
      </c>
      <c r="DE14" s="5">
        <v>42</v>
      </c>
      <c r="DF14" s="5">
        <v>43</v>
      </c>
      <c r="DG14" s="5">
        <v>44</v>
      </c>
      <c r="DH14" s="5">
        <v>45</v>
      </c>
      <c r="DI14" s="5">
        <v>46</v>
      </c>
      <c r="DJ14" s="5">
        <v>47</v>
      </c>
      <c r="DK14" s="5">
        <v>48</v>
      </c>
      <c r="DL14" s="5">
        <v>49</v>
      </c>
      <c r="DM14" s="5">
        <v>50</v>
      </c>
    </row>
    <row r="15" spans="2:117" ht="5.15" customHeight="1" thickBot="1" x14ac:dyDescent="0.3">
      <c r="AB15" s="5"/>
      <c r="AD15" s="5"/>
      <c r="AE15" s="5"/>
      <c r="AR15" s="1268"/>
      <c r="AS15" s="1269"/>
      <c r="AU15" s="1270"/>
      <c r="AV15" s="1271"/>
      <c r="AW15" s="1271"/>
      <c r="AX15" s="1272"/>
      <c r="AY15" s="1251"/>
      <c r="AZ15" s="1270"/>
      <c r="BA15" s="1271"/>
      <c r="BB15" s="1272"/>
      <c r="BC15" s="1267"/>
      <c r="BD15" s="1267"/>
      <c r="BE15" s="1249"/>
      <c r="BF15" s="1249"/>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row>
    <row r="16" spans="2:117" ht="32" thickBot="1" x14ac:dyDescent="0.3">
      <c r="B16" s="1459" t="str">
        <f>Z16</f>
        <v>Space Name</v>
      </c>
      <c r="C16" s="1460"/>
      <c r="D16" s="1460"/>
      <c r="E16" s="1460"/>
      <c r="F16" s="1461"/>
      <c r="G16" s="1273" t="s">
        <v>857</v>
      </c>
      <c r="H16" s="1274" t="s">
        <v>1202</v>
      </c>
      <c r="I16" s="1275" t="str">
        <f>BH16</f>
        <v>Complies?</v>
      </c>
      <c r="J16" s="1276"/>
      <c r="K16" s="1277" t="s">
        <v>857</v>
      </c>
      <c r="L16" s="1278" t="s">
        <v>1202</v>
      </c>
      <c r="M16" s="1279" t="s">
        <v>878</v>
      </c>
      <c r="N16" s="1276"/>
      <c r="O16" s="1277" t="s">
        <v>857</v>
      </c>
      <c r="P16" s="1278" t="s">
        <v>1202</v>
      </c>
      <c r="Q16" s="1278" t="s">
        <v>1207</v>
      </c>
      <c r="R16" s="1279" t="s">
        <v>878</v>
      </c>
      <c r="S16" s="1276"/>
      <c r="T16" s="1280" t="str">
        <f>BJ16</f>
        <v>Control Requirements</v>
      </c>
      <c r="U16" s="1281" t="str">
        <f>BO16</f>
        <v>What's Installed</v>
      </c>
      <c r="Z16" s="1252" t="s">
        <v>1013</v>
      </c>
      <c r="AA16" s="1252" t="s">
        <v>1012</v>
      </c>
      <c r="AB16" s="1282" t="s">
        <v>1014</v>
      </c>
      <c r="AD16" s="1282" t="s">
        <v>857</v>
      </c>
      <c r="AE16" s="1282" t="s">
        <v>853</v>
      </c>
      <c r="AG16" s="1282" t="s">
        <v>1015</v>
      </c>
      <c r="AI16" s="1282" t="s">
        <v>1017</v>
      </c>
      <c r="AJ16" s="1282" t="s">
        <v>1016</v>
      </c>
      <c r="AK16" s="1282" t="s">
        <v>1023</v>
      </c>
      <c r="AL16" s="1282" t="s">
        <v>1019</v>
      </c>
      <c r="AM16" s="1282" t="s">
        <v>1020</v>
      </c>
      <c r="AN16" s="1282" t="s">
        <v>1022</v>
      </c>
      <c r="AO16" s="1282" t="s">
        <v>1021</v>
      </c>
      <c r="AP16" s="1282" t="s">
        <v>1018</v>
      </c>
      <c r="AQ16" s="1283"/>
      <c r="AR16" s="1284" t="s">
        <v>852</v>
      </c>
      <c r="AS16" s="1285" t="s">
        <v>1024</v>
      </c>
      <c r="AT16" s="1283"/>
      <c r="AU16" s="1286">
        <f>IF(Compliance_Version_Year=2010,0.1,0.2)</f>
        <v>0.2</v>
      </c>
      <c r="AV16" s="1287" t="str">
        <f>CONCATENATE(AU16*100,"% Pass/ Fail")</f>
        <v>20% Pass/ Fail</v>
      </c>
      <c r="AW16" s="1287" t="s">
        <v>1027</v>
      </c>
      <c r="AX16" s="1288" t="s">
        <v>1028</v>
      </c>
      <c r="AY16" s="1283"/>
      <c r="AZ16" s="1270" t="s">
        <v>872</v>
      </c>
      <c r="BA16" s="1287" t="s">
        <v>843</v>
      </c>
      <c r="BB16" s="1288" t="s">
        <v>1028</v>
      </c>
      <c r="BC16" s="1289"/>
      <c r="BD16" s="1289" t="s">
        <v>1034</v>
      </c>
      <c r="BE16" s="1282" t="s">
        <v>1031</v>
      </c>
      <c r="BF16" s="1282" t="s">
        <v>1015</v>
      </c>
      <c r="BH16" s="1289" t="s">
        <v>878</v>
      </c>
      <c r="BJ16" s="1289" t="s">
        <v>851</v>
      </c>
      <c r="BK16" s="1290">
        <f>SUM(BK18:BK67)</f>
        <v>0</v>
      </c>
      <c r="BO16" s="178" t="s">
        <v>1199</v>
      </c>
      <c r="BP16" s="1255">
        <f>'SpxSp (step-b)'!CB26</f>
        <v>26</v>
      </c>
      <c r="BQ16" s="1255">
        <f>BP16+1</f>
        <v>27</v>
      </c>
      <c r="BR16" s="1255">
        <f t="shared" ref="BR16:DM16" si="1">BQ16+1</f>
        <v>28</v>
      </c>
      <c r="BS16" s="1255">
        <f t="shared" si="1"/>
        <v>29</v>
      </c>
      <c r="BT16" s="1255">
        <f t="shared" si="1"/>
        <v>30</v>
      </c>
      <c r="BU16" s="1255">
        <f t="shared" si="1"/>
        <v>31</v>
      </c>
      <c r="BV16" s="1255">
        <f t="shared" si="1"/>
        <v>32</v>
      </c>
      <c r="BW16" s="1255">
        <f t="shared" si="1"/>
        <v>33</v>
      </c>
      <c r="BX16" s="1255">
        <f t="shared" si="1"/>
        <v>34</v>
      </c>
      <c r="BY16" s="1255">
        <f t="shared" si="1"/>
        <v>35</v>
      </c>
      <c r="BZ16" s="1255">
        <f t="shared" si="1"/>
        <v>36</v>
      </c>
      <c r="CA16" s="1255">
        <f t="shared" si="1"/>
        <v>37</v>
      </c>
      <c r="CB16" s="1255">
        <f t="shared" si="1"/>
        <v>38</v>
      </c>
      <c r="CC16" s="1255">
        <f t="shared" si="1"/>
        <v>39</v>
      </c>
      <c r="CD16" s="1255">
        <f t="shared" si="1"/>
        <v>40</v>
      </c>
      <c r="CE16" s="1255">
        <f t="shared" si="1"/>
        <v>41</v>
      </c>
      <c r="CF16" s="1255">
        <f t="shared" si="1"/>
        <v>42</v>
      </c>
      <c r="CG16" s="1255">
        <f t="shared" si="1"/>
        <v>43</v>
      </c>
      <c r="CH16" s="1255">
        <f t="shared" si="1"/>
        <v>44</v>
      </c>
      <c r="CI16" s="1255">
        <f t="shared" si="1"/>
        <v>45</v>
      </c>
      <c r="CJ16" s="1255">
        <f t="shared" si="1"/>
        <v>46</v>
      </c>
      <c r="CK16" s="1255">
        <f t="shared" si="1"/>
        <v>47</v>
      </c>
      <c r="CL16" s="1255">
        <f t="shared" si="1"/>
        <v>48</v>
      </c>
      <c r="CM16" s="1255">
        <f t="shared" si="1"/>
        <v>49</v>
      </c>
      <c r="CN16" s="1255">
        <f t="shared" si="1"/>
        <v>50</v>
      </c>
      <c r="CO16" s="1255">
        <f t="shared" si="1"/>
        <v>51</v>
      </c>
      <c r="CP16" s="1255">
        <f t="shared" si="1"/>
        <v>52</v>
      </c>
      <c r="CQ16" s="1255">
        <f t="shared" si="1"/>
        <v>53</v>
      </c>
      <c r="CR16" s="1255">
        <f t="shared" si="1"/>
        <v>54</v>
      </c>
      <c r="CS16" s="1255">
        <f t="shared" si="1"/>
        <v>55</v>
      </c>
      <c r="CT16" s="1255">
        <f t="shared" si="1"/>
        <v>56</v>
      </c>
      <c r="CU16" s="1255">
        <f t="shared" si="1"/>
        <v>57</v>
      </c>
      <c r="CV16" s="1255">
        <f t="shared" si="1"/>
        <v>58</v>
      </c>
      <c r="CW16" s="1255">
        <f t="shared" si="1"/>
        <v>59</v>
      </c>
      <c r="CX16" s="1255">
        <f t="shared" si="1"/>
        <v>60</v>
      </c>
      <c r="CY16" s="1255">
        <f t="shared" si="1"/>
        <v>61</v>
      </c>
      <c r="CZ16" s="1255">
        <f t="shared" si="1"/>
        <v>62</v>
      </c>
      <c r="DA16" s="1255">
        <f t="shared" si="1"/>
        <v>63</v>
      </c>
      <c r="DB16" s="1255">
        <f t="shared" si="1"/>
        <v>64</v>
      </c>
      <c r="DC16" s="1255">
        <f t="shared" si="1"/>
        <v>65</v>
      </c>
      <c r="DD16" s="1255">
        <f t="shared" si="1"/>
        <v>66</v>
      </c>
      <c r="DE16" s="1255">
        <f t="shared" si="1"/>
        <v>67</v>
      </c>
      <c r="DF16" s="1255">
        <f t="shared" si="1"/>
        <v>68</v>
      </c>
      <c r="DG16" s="1255">
        <f t="shared" si="1"/>
        <v>69</v>
      </c>
      <c r="DH16" s="1255">
        <f t="shared" si="1"/>
        <v>70</v>
      </c>
      <c r="DI16" s="1255">
        <f t="shared" si="1"/>
        <v>71</v>
      </c>
      <c r="DJ16" s="1255">
        <f t="shared" si="1"/>
        <v>72</v>
      </c>
      <c r="DK16" s="1255">
        <f t="shared" si="1"/>
        <v>73</v>
      </c>
      <c r="DL16" s="1255">
        <f t="shared" si="1"/>
        <v>74</v>
      </c>
      <c r="DM16" s="1255">
        <f t="shared" si="1"/>
        <v>75</v>
      </c>
    </row>
    <row r="17" spans="2:119" ht="1" customHeight="1" thickBot="1" x14ac:dyDescent="0.3">
      <c r="B17" s="1291"/>
      <c r="C17" s="1292"/>
      <c r="D17" s="1292"/>
      <c r="E17" s="1292"/>
      <c r="F17" s="1247"/>
      <c r="G17" s="1456"/>
      <c r="H17" s="1456"/>
      <c r="I17" s="1456"/>
      <c r="J17" s="1456"/>
      <c r="K17" s="1456"/>
      <c r="L17" s="1456"/>
      <c r="M17" s="1456"/>
      <c r="N17" s="1456"/>
      <c r="O17" s="1456"/>
      <c r="P17" s="1456"/>
      <c r="Q17" s="1456"/>
      <c r="R17" s="1456"/>
      <c r="S17" s="1456"/>
      <c r="T17" s="1456"/>
      <c r="U17" s="1457"/>
      <c r="Z17" s="1252"/>
      <c r="AA17" s="1252"/>
      <c r="AB17" s="1282"/>
      <c r="AD17" s="1282"/>
      <c r="AE17" s="1282"/>
      <c r="AG17" s="1282"/>
      <c r="AI17" s="1282"/>
      <c r="AJ17" s="1282"/>
      <c r="AK17" s="1282"/>
      <c r="AL17" s="1282"/>
      <c r="AM17" s="1282"/>
      <c r="AN17" s="1282"/>
      <c r="AO17" s="1282"/>
      <c r="AP17" s="1282"/>
      <c r="AQ17" s="1283"/>
      <c r="AR17" s="1284"/>
      <c r="AS17" s="1285"/>
      <c r="AT17" s="1283"/>
      <c r="AU17" s="1286"/>
      <c r="AV17" s="1287"/>
      <c r="AW17" s="1287"/>
      <c r="AX17" s="1288"/>
      <c r="AY17" s="1283"/>
      <c r="AZ17" s="1270"/>
      <c r="BA17" s="1287"/>
      <c r="BB17" s="1288"/>
      <c r="BC17" s="1289"/>
      <c r="BD17" s="1289"/>
      <c r="BE17" s="1282"/>
      <c r="BF17" s="1282"/>
      <c r="BH17" s="1289"/>
      <c r="BJ17" s="1289"/>
      <c r="BK17" s="1290"/>
      <c r="BP17" s="1255"/>
      <c r="BQ17" s="1255"/>
      <c r="BR17" s="1255"/>
      <c r="BS17" s="1255"/>
      <c r="BT17" s="1255"/>
      <c r="BU17" s="1255"/>
      <c r="BV17" s="1255"/>
      <c r="BW17" s="1255"/>
      <c r="BX17" s="1255"/>
      <c r="BY17" s="1255"/>
      <c r="BZ17" s="1255"/>
      <c r="CA17" s="1255"/>
      <c r="CB17" s="1255"/>
      <c r="CC17" s="1255"/>
      <c r="CD17" s="1255"/>
      <c r="CE17" s="1255"/>
      <c r="CF17" s="1255"/>
      <c r="CG17" s="1255"/>
      <c r="CH17" s="1255"/>
      <c r="CI17" s="1255"/>
      <c r="CJ17" s="1255"/>
      <c r="CK17" s="1255"/>
      <c r="CL17" s="1255"/>
      <c r="CM17" s="1255"/>
      <c r="CN17" s="1255"/>
      <c r="CO17" s="1255"/>
      <c r="CP17" s="1255"/>
      <c r="CQ17" s="1255"/>
      <c r="CR17" s="1255"/>
      <c r="CS17" s="1255"/>
      <c r="CT17" s="1255"/>
      <c r="CU17" s="1255"/>
      <c r="CV17" s="1255"/>
      <c r="CW17" s="1255"/>
      <c r="CX17" s="1255"/>
      <c r="CY17" s="1255"/>
      <c r="CZ17" s="1255"/>
      <c r="DA17" s="1255"/>
      <c r="DB17" s="1255"/>
      <c r="DC17" s="1255"/>
      <c r="DD17" s="1255"/>
      <c r="DE17" s="1255"/>
      <c r="DF17" s="1255"/>
      <c r="DG17" s="1255"/>
      <c r="DH17" s="1255"/>
      <c r="DI17" s="1255"/>
      <c r="DJ17" s="1255"/>
      <c r="DK17" s="1255"/>
      <c r="DL17" s="1255"/>
      <c r="DM17" s="1255"/>
    </row>
    <row r="18" spans="2:119" ht="40" x14ac:dyDescent="0.2">
      <c r="B18" s="1450" t="str">
        <f t="shared" ref="B18" si="2">Z18</f>
        <v/>
      </c>
      <c r="C18" s="1451"/>
      <c r="D18" s="1451"/>
      <c r="E18" s="1451"/>
      <c r="F18" s="1452"/>
      <c r="G18" s="1293" t="str">
        <f t="shared" ref="G18:G19" si="3">IF(OR(I18="Pass Exception #1",I18="Pass Exception #2"),0,AG18)</f>
        <v/>
      </c>
      <c r="H18" s="1294" t="str">
        <f>IF(OR(I18="Pass Exception #1",I18="Pass Exception #2"),0,AP18)</f>
        <v/>
      </c>
      <c r="I18" s="1295" t="str">
        <f>BH18</f>
        <v/>
      </c>
      <c r="J18" s="1296"/>
      <c r="K18" s="1297" t="str">
        <f>IFERROR(IF(OR(B18="",H18=0),"",VLOOKUP(B18,'SpxSp (step-c)'!B$18:O$67,6,FALSE)),"")</f>
        <v/>
      </c>
      <c r="L18" s="1298" t="str">
        <f ca="1">IFERROR(F(OR(B18="",H18=0),"",VLOOKUP($B18,'SpxSp (step-c)'!$B$18:O$67,12,FALSE)),"")</f>
        <v/>
      </c>
      <c r="M18" s="1295" t="str">
        <f ca="1">IF(AND(B18&lt;&gt;"",L18=""),"NA",IFERROR(VLOOKUP($B18,'SpxSp (step-c)'!$B$18:P$67,13,FALSE),""))</f>
        <v/>
      </c>
      <c r="N18" s="1299"/>
      <c r="O18" s="1297" t="str">
        <f>IFERROR(IF(OR(B18="",H18=0),"",VLOOKUP($B18,'SpxSp (step-d)'!$B$18:$P$67,12,FALSE)),"")</f>
        <v/>
      </c>
      <c r="P18" s="1298" t="str">
        <f>IFERROR(IF(OR(B18="",H18=0),"",VLOOKUP($B18,'SpxSp (step-d)'!$B$18:$P$67,13,FALSE)),"")</f>
        <v/>
      </c>
      <c r="Q18" s="1298" t="str">
        <f>IFERROR(IF(OR(B18="",H18=0),"",VLOOKUP($B18,'SpxSp (step-d)'!$B$18:$P$67,14,FALSE)),"")</f>
        <v/>
      </c>
      <c r="R18" s="1295" t="str">
        <f>IF(AND(B18&lt;&gt;"",P18=""),"NA",IFERROR(VLOOKUP(B18,'SpxSp (step-d)'!$B$18:$V$67,15,FALSE),""))</f>
        <v/>
      </c>
      <c r="S18" s="1296"/>
      <c r="T18" s="1300" t="str">
        <f>BJ18</f>
        <v/>
      </c>
      <c r="U18" s="1301" t="str">
        <f>IF(OR(B18="",H18=0),"",BO18)</f>
        <v/>
      </c>
      <c r="Y18" s="1302">
        <v>1</v>
      </c>
      <c r="Z18" s="1303" t="str">
        <f>'SpxSp (step-a)'!B22</f>
        <v/>
      </c>
      <c r="AA18" s="1303" t="str">
        <f>'SpxSp (step-a)'!H22</f>
        <v/>
      </c>
      <c r="AB18" s="1290" t="str">
        <f>VLOOKUP($Z18,'SpxSp (step-a)'!$B$22:$O$71,AB$14,FALSE)</f>
        <v/>
      </c>
      <c r="AD18" s="1290" t="str">
        <f>IF(Z18="","",IFERROR(VLOOKUP($Z18,'SpxSp (step-a)'!$B$22:$O$71,AD$14,FALSE),0))</f>
        <v/>
      </c>
      <c r="AE18" s="1290" t="str">
        <f>IF(Z18="","",IFERROR(VLOOKUP($Z18,'SpxSp (step-a)'!$B$22:$O$71,AE$14,FALSE),0))</f>
        <v/>
      </c>
      <c r="AG18" s="1290" t="str">
        <f t="shared" ref="AG18:AG24" si="4">IF(OR($AP18=0,$Z18=0),0,AD18)</f>
        <v/>
      </c>
      <c r="AI18" s="1290" t="str">
        <f>IF($Z18="","",SUMIFS('SpxSp (step-b)'!L$26:L$75,'SpxSp (step-b)'!B$26:B$75,Z18,'SpxSp (step-b)'!N$26:N$75,"New"))</f>
        <v/>
      </c>
      <c r="AJ18" s="1290" t="str">
        <f>IF($Z18="","",SUMIFS('SpxSp (step-b)'!$L$26:$L$75,'SpxSp (step-b)'!$B$26:$B$75,$Z18,'SpxSp (step-b)'!N$26:N$75,""))</f>
        <v/>
      </c>
      <c r="AK18" s="1290" t="str">
        <f>IF($Z18="","",SUMIFS('SpxSp (step-b)'!$J$26:$J$75,'SpxSp (step-b)'!$B$26:$B$75,$Z18,'SpxSp (step-b)'!$N$26:$N$75,"New")+SUMIFS('SpxSp (step-b)'!$J$26:$J$75,'SpxSp (step-b)'!$B$26:$B$75,$Z18,'SpxSp (step-b)'!$N$26:$N$75,""))</f>
        <v/>
      </c>
      <c r="AL18" s="1290" t="str">
        <f>IF($Z18="","",SUMIFS('SpxSp (step-b)'!$L$26:$L$75,'SpxSp (step-b)'!$B$26:$B$75,$Z18,'SpxSp (step-b)'!$N$26:$N$75,"Existing Remains"))</f>
        <v/>
      </c>
      <c r="AM18" s="1290" t="str">
        <f>IF($Z18="","",SUMIFS('SpxSp (step-b)'!$L$26:$L$75,'SpxSp (step-b)'!$B$26:$B$75,$Z18,'SpxSp (step-b)'!$N$26:$N$75,"Existing Removed"))</f>
        <v/>
      </c>
      <c r="AN18" s="1290" t="str">
        <f>IF($Z18="","",SUMIFS('SpxSp (step-b)'!$J$26:$J$75,'SpxSp (step-b)'!$B$26:$B$75,$Z18,'SpxSp (step-b)'!$N$26:$N$75,"Existing Removed"))</f>
        <v/>
      </c>
      <c r="AO18" s="1290" t="str">
        <f t="shared" ref="AO18:AO25" si="5">IF($Z18="","",AL18+AM18)</f>
        <v/>
      </c>
      <c r="AP18" s="1290" t="str">
        <f>IF(Z18="","",IF($AU$11=TRUE,AI18+AJ18+AL18,AI18+AJ18+AO18))</f>
        <v/>
      </c>
      <c r="AQ18" s="1304"/>
      <c r="AR18" s="1305" t="str">
        <f>IF(Z18="","",IFERROR(ROUND(AP18/AB18,2),0))</f>
        <v/>
      </c>
      <c r="AS18" s="1306" t="str">
        <f>IF(OR($Z18="",AP18=0),"",IF(AR18&gt;AE18,"Fail","Pass"))</f>
        <v/>
      </c>
      <c r="AT18" s="1307"/>
      <c r="AU18" s="1308" t="str">
        <f>IF(OR($AU$11=FALSE,$Z18="",AP18=0,AW$11=FALSE),"",IFERROR(AM18/AO18,1))</f>
        <v/>
      </c>
      <c r="AV18" s="1309" t="str">
        <f t="shared" ref="AV18:AV49" si="6">IF(OR($AU$11=FALSE,$Z18="",$AU18="",AW$11=FALSE),"",IF(AU18&gt;AU$16,"Fail","Pass"))</f>
        <v/>
      </c>
      <c r="AW18" s="1309" t="str">
        <f>IF(OR($AU$11=FALSE,$Z18="",AP18=0,AW$11=FALSE),"",IF(AP18&gt;AO18,"Fail","Pass"))</f>
        <v/>
      </c>
      <c r="AX18" s="1310" t="str">
        <f t="shared" ref="AX18" si="7">IF(AND(AV18="Pass",AW18="Pass"),"Pass",IF(OR(AV18="",AW18=""),"","Fail"))</f>
        <v/>
      </c>
      <c r="AY18" s="1307"/>
      <c r="AZ18" s="1311" t="str">
        <f>IF(OR($AU$11=FALSE,$Z18="",AP18=0,AW$11=FALSE),"",IF(AK18=AN18,"Pass","Fail"))</f>
        <v/>
      </c>
      <c r="BA18" s="1309" t="str">
        <f>IF(OR($AU$11=FALSE,AW$11=FALSE),"",AS18)</f>
        <v/>
      </c>
      <c r="BB18" s="1310" t="str">
        <f t="shared" ref="BB18" si="8">IF(AND(AZ18="Pass",BA18="Pass"),"Pass",IF(OR(AZ18="",BA18=""),"","Fail"))</f>
        <v/>
      </c>
      <c r="BC18" s="1312"/>
      <c r="BD18" s="1313" t="str">
        <f t="shared" ref="BD18:BD22" si="9">IF(OR(AP18=0,Z18=""),"",IF(AW$11=FALSE,"",IF(OR(AX18="Pass",BB18="Pass"),"Pass","Fail")))</f>
        <v/>
      </c>
      <c r="BE18" s="1290" t="str">
        <f>IF(OR(AX18="Pass",BB18="Pass"),0,AP18)</f>
        <v/>
      </c>
      <c r="BF18" s="1290" t="str">
        <f>IF(BE18&gt;0,AG18,0)</f>
        <v/>
      </c>
      <c r="BG18" s="1314"/>
      <c r="BH18" s="1315" t="str">
        <f t="shared" ref="BH18:BH49" si="10">IF(OR(AS18="",Z18=""),"",IF(AND($AU$11=TRUE,$AW$11=TRUE),IF(AX18="Pass","Pass Exception #1",IF(BB18="Pass","Pass Exception #2",IF(OR(AS18="Pass",$BF$7=TRUE),"Pass LPA","Fail LPA"))),IF($BF$7=TRUE,"Pass LPA","Fail LPA")))</f>
        <v/>
      </c>
      <c r="BI18" s="1315" t="str">
        <f t="shared" ref="BI18:BI25" si="11">IF(OR(AS18="",Z18=""),"",
IF(AND($AU$11=TRUE,$AW$11=TRUE),IF(AX18="Pass","#1",IF(BB18="Pass","#2",IF(OR(AS18="Pass",$BF$7=TRUE),"ALT",""))),IF($AU$11=TRUE,"ALT","")))</f>
        <v/>
      </c>
      <c r="BJ18" s="1303" t="str">
        <f>IF(OR(BH18="Fail",BH18="Fail LPA",BH18=""),"",'SpxSp (step-a)'!CM22)</f>
        <v/>
      </c>
      <c r="BK18" s="1290">
        <f>IF(ISNUMBER(SEARCH("Fail",BH18))=TRUE,1,0)</f>
        <v>0</v>
      </c>
      <c r="BN18" s="178">
        <v>1</v>
      </c>
      <c r="BO18" s="1316" t="str">
        <f ca="1">CONCATENATE(BP18,BQ18,BR18,BS18,BT18,BU18,BV18,BW18,BX18,BY18,BZ18,CA18,CB18,CC18,CD18,CE18,CF18,CG18,CH18,CI18,CJ18,CK18,CL18,CM18,CN18,CO18,CP18,CQ18,CR18,CS18,CT18,CU18,CV18,CW18,CX18,CY18,CZ18,DA18,DB18,DC18,DD18,DE18,DF18,DG18,DH18,DI18,DJ18,DK18,DL18,DM18,BO73,BO128)</f>
        <v/>
      </c>
      <c r="BP18" s="1317" t="str">
        <f ca="1">IF(INDIRECT("'SpxSp (step-b)'!$B" &amp; BP$16)=$Z18,INDIRECT("'SpxSp (step-b)'!$" &amp; 'SpxSp (step-b)'!$BC$23 &amp; BP$16),"")</f>
        <v/>
      </c>
      <c r="BQ18" s="1317" t="str">
        <f ca="1">IF(INDIRECT("'SpxSp (step-b)'!$B" &amp; BQ$16)=$Z18,INDIRECT("'SpxSp (step-b)'!$" &amp; 'SpxSp (step-b)'!$BC$23 &amp; BQ$16),"")</f>
        <v/>
      </c>
      <c r="BR18" s="1317" t="str">
        <f ca="1">IF(INDIRECT("'SpxSp (step-b)'!$B" &amp; BR$16)=$Z18,INDIRECT("'SpxSp (step-b)'!$" &amp; 'SpxSp (step-b)'!$BC$23 &amp; BR$16),"")</f>
        <v/>
      </c>
      <c r="BS18" s="1317" t="str">
        <f ca="1">IF(INDIRECT("'SpxSp (step-b)'!$B" &amp; BS$16)=$Z18,INDIRECT("'SpxSp (step-b)'!$" &amp; 'SpxSp (step-b)'!$BC$23 &amp; BS$16),"")</f>
        <v/>
      </c>
      <c r="BT18" s="1317" t="str">
        <f ca="1">IF(INDIRECT("'SpxSp (step-b)'!$B" &amp; BT$16)=$Z18,INDIRECT("'SpxSp (step-b)'!$" &amp; 'SpxSp (step-b)'!$BC$23 &amp; BT$16),"")</f>
        <v/>
      </c>
      <c r="BU18" s="1317" t="str">
        <f ca="1">IF(INDIRECT("'SpxSp (step-b)'!$B" &amp; BU$16)=$Z18,INDIRECT("'SpxSp (step-b)'!$" &amp; 'SpxSp (step-b)'!$BC$23 &amp; BU$16),"")</f>
        <v/>
      </c>
      <c r="BV18" s="1317" t="str">
        <f ca="1">IF(INDIRECT("'SpxSp (step-b)'!$B" &amp; BV$16)=$Z18,INDIRECT("'SpxSp (step-b)'!$" &amp; 'SpxSp (step-b)'!$BC$23 &amp; BV$16),"")</f>
        <v/>
      </c>
      <c r="BW18" s="1317" t="str">
        <f ca="1">IF(INDIRECT("'SpxSp (step-b)'!$B" &amp; BW$16)=$Z18,INDIRECT("'SpxSp (step-b)'!$" &amp; 'SpxSp (step-b)'!$BC$23 &amp; BW$16),"")</f>
        <v/>
      </c>
      <c r="BX18" s="1317" t="str">
        <f ca="1">IF(INDIRECT("'SpxSp (step-b)'!$B" &amp; BX$16)=$Z18,INDIRECT("'SpxSp (step-b)'!$" &amp; 'SpxSp (step-b)'!$BC$23 &amp; BX$16),"")</f>
        <v/>
      </c>
      <c r="BY18" s="1317" t="str">
        <f ca="1">IF(INDIRECT("'SpxSp (step-b)'!$B" &amp; BY$16)=$Z18,INDIRECT("'SpxSp (step-b)'!$" &amp; 'SpxSp (step-b)'!$BC$23 &amp; BY$16),"")</f>
        <v/>
      </c>
      <c r="BZ18" s="1317" t="str">
        <f ca="1">IF(INDIRECT("'SpxSp (step-b)'!$B" &amp; BZ$16)=$Z18,INDIRECT("'SpxSp (step-b)'!$" &amp; 'SpxSp (step-b)'!$BC$23 &amp; BZ$16),"")</f>
        <v/>
      </c>
      <c r="CA18" s="1317" t="str">
        <f ca="1">IF(INDIRECT("'SpxSp (step-b)'!$B" &amp; CA$16)=$Z18,INDIRECT("'SpxSp (step-b)'!$" &amp; 'SpxSp (step-b)'!$BC$23 &amp; CA$16),"")</f>
        <v/>
      </c>
      <c r="CB18" s="1317" t="str">
        <f ca="1">IF(INDIRECT("'SpxSp (step-b)'!$B" &amp; CB$16)=$Z18,INDIRECT("'SpxSp (step-b)'!$" &amp; 'SpxSp (step-b)'!$BC$23 &amp; CB$16),"")</f>
        <v/>
      </c>
      <c r="CC18" s="1317" t="str">
        <f ca="1">IF(INDIRECT("'SpxSp (step-b)'!$B" &amp; CC$16)=$Z18,INDIRECT("'SpxSp (step-b)'!$" &amp; 'SpxSp (step-b)'!$BC$23 &amp; CC$16),"")</f>
        <v/>
      </c>
      <c r="CD18" s="1317" t="str">
        <f ca="1">IF(INDIRECT("'SpxSp (step-b)'!$B" &amp; CD$16)=$Z18,INDIRECT("'SpxSp (step-b)'!$" &amp; 'SpxSp (step-b)'!$BC$23 &amp; CD$16),"")</f>
        <v/>
      </c>
      <c r="CE18" s="1317" t="str">
        <f ca="1">IF(INDIRECT("'SpxSp (step-b)'!$B" &amp; CE$16)=$Z18,INDIRECT("'SpxSp (step-b)'!$" &amp; 'SpxSp (step-b)'!$BC$23 &amp; CE$16),"")</f>
        <v/>
      </c>
      <c r="CF18" s="1317" t="str">
        <f ca="1">IF(INDIRECT("'SpxSp (step-b)'!$B" &amp; CF$16)=$Z18,INDIRECT("'SpxSp (step-b)'!$" &amp; 'SpxSp (step-b)'!$BC$23 &amp; CF$16),"")</f>
        <v/>
      </c>
      <c r="CG18" s="1317" t="str">
        <f ca="1">IF(INDIRECT("'SpxSp (step-b)'!$B" &amp; CG$16)=$Z18,INDIRECT("'SpxSp (step-b)'!$" &amp; 'SpxSp (step-b)'!$BC$23 &amp; CG$16),"")</f>
        <v/>
      </c>
      <c r="CH18" s="1317" t="str">
        <f ca="1">IF(INDIRECT("'SpxSp (step-b)'!$B" &amp; CH$16)=$Z18,INDIRECT("'SpxSp (step-b)'!$" &amp; 'SpxSp (step-b)'!$BC$23 &amp; CH$16),"")</f>
        <v/>
      </c>
      <c r="CI18" s="1317" t="str">
        <f ca="1">IF(INDIRECT("'SpxSp (step-b)'!$B" &amp; CI$16)=$Z18,INDIRECT("'SpxSp (step-b)'!$" &amp; 'SpxSp (step-b)'!$BC$23 &amp; CI$16),"")</f>
        <v/>
      </c>
      <c r="CJ18" s="1317" t="str">
        <f ca="1">IF(INDIRECT("'SpxSp (step-b)'!$B" &amp; CJ$16)=$Z18,INDIRECT("'SpxSp (step-b)'!$" &amp; 'SpxSp (step-b)'!$BC$23 &amp; CJ$16),"")</f>
        <v/>
      </c>
      <c r="CK18" s="1317" t="str">
        <f ca="1">IF(INDIRECT("'SpxSp (step-b)'!$B" &amp; CK$16)=$Z18,INDIRECT("'SpxSp (step-b)'!$" &amp; 'SpxSp (step-b)'!$BC$23 &amp; CK$16),"")</f>
        <v/>
      </c>
      <c r="CL18" s="1317" t="str">
        <f ca="1">IF(INDIRECT("'SpxSp (step-b)'!$B" &amp; CL$16)=$Z18,INDIRECT("'SpxSp (step-b)'!$" &amp; 'SpxSp (step-b)'!$BC$23 &amp; CL$16),"")</f>
        <v/>
      </c>
      <c r="CM18" s="1317" t="str">
        <f ca="1">IF(INDIRECT("'SpxSp (step-b)'!$B" &amp; CM$16)=$Z18,INDIRECT("'SpxSp (step-b)'!$" &amp; 'SpxSp (step-b)'!$BC$23 &amp; CM$16),"")</f>
        <v/>
      </c>
      <c r="CN18" s="1317" t="str">
        <f ca="1">IF(INDIRECT("'SpxSp (step-b)'!$B" &amp; CN$16)=$Z18,INDIRECT("'SpxSp (step-b)'!$" &amp; 'SpxSp (step-b)'!$BC$23 &amp; CN$16),"")</f>
        <v/>
      </c>
      <c r="CO18" s="1317" t="str">
        <f ca="1">IF(INDIRECT("'SpxSp (step-b)'!$B" &amp; CO$16)=$Z18,INDIRECT("'SpxSp (step-b)'!$" &amp; 'SpxSp (step-b)'!$BC$23 &amp; CO$16),"")</f>
        <v/>
      </c>
      <c r="CP18" s="1317" t="str">
        <f ca="1">IF(INDIRECT("'SpxSp (step-b)'!$B" &amp; CP$16)=$Z18,INDIRECT("'SpxSp (step-b)'!$" &amp; 'SpxSp (step-b)'!$BC$23 &amp; CP$16),"")</f>
        <v/>
      </c>
      <c r="CQ18" s="1317" t="str">
        <f ca="1">IF(INDIRECT("'SpxSp (step-b)'!$B" &amp; CQ$16)=$Z18,INDIRECT("'SpxSp (step-b)'!$" &amp; 'SpxSp (step-b)'!$BC$23 &amp; CQ$16),"")</f>
        <v/>
      </c>
      <c r="CR18" s="1317" t="str">
        <f ca="1">IF(INDIRECT("'SpxSp (step-b)'!$B" &amp; CR$16)=$Z18,INDIRECT("'SpxSp (step-b)'!$" &amp; 'SpxSp (step-b)'!$BC$23 &amp; CR$16),"")</f>
        <v/>
      </c>
      <c r="CS18" s="1317" t="str">
        <f ca="1">IF(INDIRECT("'SpxSp (step-b)'!$B" &amp; CS$16)=$Z18,INDIRECT("'SpxSp (step-b)'!$" &amp; 'SpxSp (step-b)'!$BC$23 &amp; CS$16),"")</f>
        <v/>
      </c>
      <c r="CT18" s="1317" t="str">
        <f ca="1">IF(INDIRECT("'SpxSp (step-b)'!$B" &amp; CT$16)=$Z18,INDIRECT("'SpxSp (step-b)'!$" &amp; 'SpxSp (step-b)'!$BC$23 &amp; CT$16),"")</f>
        <v/>
      </c>
      <c r="CU18" s="1317" t="str">
        <f ca="1">IF(INDIRECT("'SpxSp (step-b)'!$B" &amp; CU$16)=$Z18,INDIRECT("'SpxSp (step-b)'!$" &amp; 'SpxSp (step-b)'!$BC$23 &amp; CU$16),"")</f>
        <v/>
      </c>
      <c r="CV18" s="1317" t="str">
        <f ca="1">IF(INDIRECT("'SpxSp (step-b)'!$B" &amp; CV$16)=$Z18,INDIRECT("'SpxSp (step-b)'!$" &amp; 'SpxSp (step-b)'!$BC$23 &amp; CV$16),"")</f>
        <v/>
      </c>
      <c r="CW18" s="1317" t="str">
        <f ca="1">IF(INDIRECT("'SpxSp (step-b)'!$B" &amp; CW$16)=$Z18,INDIRECT("'SpxSp (step-b)'!$" &amp; 'SpxSp (step-b)'!$BC$23 &amp; CW$16),"")</f>
        <v/>
      </c>
      <c r="CX18" s="1317" t="str">
        <f ca="1">IF(INDIRECT("'SpxSp (step-b)'!$B" &amp; CX$16)=$Z18,INDIRECT("'SpxSp (step-b)'!$" &amp; 'SpxSp (step-b)'!$BC$23 &amp; CX$16),"")</f>
        <v/>
      </c>
      <c r="CY18" s="1317" t="str">
        <f ca="1">IF(INDIRECT("'SpxSp (step-b)'!$B" &amp; CY$16)=$Z18,INDIRECT("'SpxSp (step-b)'!$" &amp; 'SpxSp (step-b)'!$BC$23 &amp; CY$16),"")</f>
        <v/>
      </c>
      <c r="CZ18" s="1317" t="str">
        <f ca="1">IF(INDIRECT("'SpxSp (step-b)'!$B" &amp; CZ$16)=$Z18,INDIRECT("'SpxSp (step-b)'!$" &amp; 'SpxSp (step-b)'!$BC$23 &amp; CZ$16),"")</f>
        <v/>
      </c>
      <c r="DA18" s="1317" t="str">
        <f ca="1">IF(INDIRECT("'SpxSp (step-b)'!$B" &amp; DA$16)=$Z18,INDIRECT("'SpxSp (step-b)'!$" &amp; 'SpxSp (step-b)'!$BC$23 &amp; DA$16),"")</f>
        <v/>
      </c>
      <c r="DB18" s="1317" t="str">
        <f ca="1">IF(INDIRECT("'SpxSp (step-b)'!$B" &amp; DB$16)=$Z18,INDIRECT("'SpxSp (step-b)'!$" &amp; 'SpxSp (step-b)'!$BC$23 &amp; DB$16),"")</f>
        <v/>
      </c>
      <c r="DC18" s="1317" t="str">
        <f ca="1">IF(INDIRECT("'SpxSp (step-b)'!$B" &amp; DC$16)=$Z18,INDIRECT("'SpxSp (step-b)'!$" &amp; 'SpxSp (step-b)'!$BC$23 &amp; DC$16),"")</f>
        <v/>
      </c>
      <c r="DD18" s="1317" t="str">
        <f ca="1">IF(INDIRECT("'SpxSp (step-b)'!$B" &amp; DD$16)=$Z18,INDIRECT("'SpxSp (step-b)'!$" &amp; 'SpxSp (step-b)'!$BC$23 &amp; DD$16),"")</f>
        <v/>
      </c>
      <c r="DE18" s="1317" t="str">
        <f ca="1">IF(INDIRECT("'SpxSp (step-b)'!$B" &amp; DE$16)=$Z18,INDIRECT("'SpxSp (step-b)'!$" &amp; 'SpxSp (step-b)'!$BC$23 &amp; DE$16),"")</f>
        <v/>
      </c>
      <c r="DF18" s="1317" t="str">
        <f ca="1">IF(INDIRECT("'SpxSp (step-b)'!$B" &amp; DF$16)=$Z18,INDIRECT("'SpxSp (step-b)'!$" &amp; 'SpxSp (step-b)'!$BC$23 &amp; DF$16),"")</f>
        <v/>
      </c>
      <c r="DG18" s="1317" t="str">
        <f ca="1">IF(INDIRECT("'SpxSp (step-b)'!$B" &amp; DG$16)=$Z18,INDIRECT("'SpxSp (step-b)'!$" &amp; 'SpxSp (step-b)'!$BC$23 &amp; DG$16),"")</f>
        <v/>
      </c>
      <c r="DH18" s="1317" t="str">
        <f ca="1">IF(INDIRECT("'SpxSp (step-b)'!$B" &amp; DH$16)=$Z18,INDIRECT("'SpxSp (step-b)'!$" &amp; 'SpxSp (step-b)'!$BC$23 &amp; DH$16),"")</f>
        <v/>
      </c>
      <c r="DI18" s="1317" t="str">
        <f ca="1">IF(INDIRECT("'SpxSp (step-b)'!$B" &amp; DI$16)=$Z18,INDIRECT("'SpxSp (step-b)'!$" &amp; 'SpxSp (step-b)'!$BC$23 &amp; DI$16),"")</f>
        <v/>
      </c>
      <c r="DJ18" s="1317" t="str">
        <f ca="1">IF(INDIRECT("'SpxSp (step-b)'!$B" &amp; DJ$16)=$Z18,INDIRECT("'SpxSp (step-b)'!$" &amp; 'SpxSp (step-b)'!$BC$23 &amp; DJ$16),"")</f>
        <v/>
      </c>
      <c r="DK18" s="1317" t="str">
        <f ca="1">IF(INDIRECT("'SpxSp (step-b)'!$B" &amp; DK$16)=$Z18,INDIRECT("'SpxSp (step-b)'!$" &amp; 'SpxSp (step-b)'!$BC$23 &amp; DK$16),"")</f>
        <v/>
      </c>
      <c r="DL18" s="1317" t="str">
        <f ca="1">IF(INDIRECT("'SpxSp (step-b)'!$B" &amp; DL$16)=$Z18,INDIRECT("'SpxSp (step-b)'!$" &amp; 'SpxSp (step-b)'!$BC$23 &amp; DL$16),"")</f>
        <v/>
      </c>
      <c r="DM18" s="1317" t="str">
        <f ca="1">IF(INDIRECT("'SpxSp (step-b)'!$B" &amp; DM$16)=$Z18,INDIRECT("'SpxSp (step-b)'!$" &amp; 'SpxSp (step-b)'!$BC$23 &amp; DM$16),"")</f>
        <v/>
      </c>
      <c r="DN18" s="1318" t="str">
        <f t="shared" ref="DN18:DN20" ca="1" si="12">CONCATENATE(BP18,BQ18,BR18,BS18,BT18,BU18,BV18,BW18,BX18,BY18,BZ18,CA18,CB18,CC18,CD18,CE18,CF18,CG18,CH18,CI18,CJ18,CK18,CL18,CM18,CN18,CO18,CP18,CQ18,CR18,CS18,CT18,CU18,CV18,CW18,CX18,CY18,CZ18,DA18,DB18,DC18,DD18,DE18,DF18,DG18,DH18,DI18,DJ18,DK18,DL18,DM18)</f>
        <v/>
      </c>
      <c r="DO18" s="1246" t="s">
        <v>1201</v>
      </c>
    </row>
    <row r="19" spans="2:119" ht="40" x14ac:dyDescent="0.2">
      <c r="B19" s="1450" t="str">
        <f t="shared" ref="B19:B67" si="13">Z19</f>
        <v/>
      </c>
      <c r="C19" s="1451"/>
      <c r="D19" s="1451"/>
      <c r="E19" s="1451"/>
      <c r="F19" s="1452"/>
      <c r="G19" s="1319" t="str">
        <f t="shared" si="3"/>
        <v/>
      </c>
      <c r="H19" s="1320" t="str">
        <f t="shared" ref="H19:H67" si="14">IF(OR(I19="Pass Exception #1",I19="Pass Exception #2"),0,AP19)</f>
        <v/>
      </c>
      <c r="I19" s="1321" t="str">
        <f t="shared" ref="I19:I23" si="15">BH19</f>
        <v/>
      </c>
      <c r="J19" s="1296"/>
      <c r="K19" s="1322" t="str">
        <f>IFERROR(IF(OR(B19="",H19=0),"",VLOOKUP(B19,'SpxSp (step-c)'!B$18:O$67,6,FALSE)),"")</f>
        <v/>
      </c>
      <c r="L19" s="1323" t="str">
        <f ca="1">IFERROR(F(OR(B19="",H19=0),"",VLOOKUP($B19,'SpxSp (step-c)'!$B$18:O$67,12,FALSE)),"")</f>
        <v/>
      </c>
      <c r="M19" s="1321" t="str">
        <f ca="1">IF(AND(B19&lt;&gt;"",L19=""),"NA",IFERROR(VLOOKUP($B19,'SpxSp (step-c)'!$B$18:P$67,13,FALSE),""))</f>
        <v/>
      </c>
      <c r="N19" s="1324"/>
      <c r="O19" s="1322" t="str">
        <f>IFERROR(IF(OR(B19="",H19=0),"",VLOOKUP($B19,'SpxSp (step-d)'!$B$18:$P$67,12,FALSE)),"")</f>
        <v/>
      </c>
      <c r="P19" s="1323" t="str">
        <f>IFERROR(IF(OR(B19="",H19=0),"",VLOOKUP($B19,'SpxSp (step-d)'!$B$18:$P$67,13,FALSE)),"")</f>
        <v/>
      </c>
      <c r="Q19" s="1323" t="str">
        <f>IFERROR(IF(OR(B19="",H19=0),"",VLOOKUP($B19,'SpxSp (step-d)'!$B$18:$P$67,14,FALSE)),"")</f>
        <v/>
      </c>
      <c r="R19" s="1321" t="str">
        <f>IF(AND(B19&lt;&gt;"",P19=""),"NA",IFERROR(VLOOKUP(B19,'SpxSp (step-d)'!$B$18:$V$67,15,FALSE),""))</f>
        <v/>
      </c>
      <c r="S19" s="1296"/>
      <c r="T19" s="1325" t="str">
        <f t="shared" ref="T19:T23" si="16">BJ19</f>
        <v/>
      </c>
      <c r="U19" s="1326" t="str">
        <f t="shared" ref="U19:U67" si="17">IF(OR(B19="",H19=0),"",BO19)</f>
        <v/>
      </c>
      <c r="Y19" s="1302">
        <v>2</v>
      </c>
      <c r="Z19" s="1303" t="str">
        <f>'SpxSp (step-a)'!B23</f>
        <v/>
      </c>
      <c r="AA19" s="1303" t="str">
        <f>'SpxSp (step-a)'!H23</f>
        <v/>
      </c>
      <c r="AB19" s="1290" t="str">
        <f>VLOOKUP($Z19,'SpxSp (step-a)'!$B$22:$O$71,AB$14,FALSE)</f>
        <v/>
      </c>
      <c r="AD19" s="1290" t="str">
        <f>IF(Z19="","",IFERROR(VLOOKUP($Z19,'SpxSp (step-a)'!$B$22:$O$71,AD$14,FALSE),0))</f>
        <v/>
      </c>
      <c r="AE19" s="1290" t="str">
        <f>IF(Z19="","",IFERROR(VLOOKUP($Z19,'SpxSp (step-a)'!$B$22:$O$71,AE$14,FALSE),0))</f>
        <v/>
      </c>
      <c r="AG19" s="1290" t="str">
        <f t="shared" si="4"/>
        <v/>
      </c>
      <c r="AI19" s="1290" t="str">
        <f>IF($Z19="","",SUMIFS('SpxSp (step-b)'!L$26:L$75,'SpxSp (step-b)'!B$26:B$75,Z19,'SpxSp (step-b)'!N$26:N$75,"New"))</f>
        <v/>
      </c>
      <c r="AJ19" s="1290" t="str">
        <f>IF($Z19="","",SUMIFS('SpxSp (step-b)'!$L$26:$L$75,'SpxSp (step-b)'!$B$26:$B$75,$Z19,'SpxSp (step-b)'!N$26:N$75,""))</f>
        <v/>
      </c>
      <c r="AK19" s="1290" t="str">
        <f>IF($Z19="","",SUMIFS('SpxSp (step-b)'!$J$26:$J$75,'SpxSp (step-b)'!$B$26:$B$75,$Z19,'SpxSp (step-b)'!$N$26:$N$75,"New")+SUMIFS('SpxSp (step-b)'!$J$26:$J$75,'SpxSp (step-b)'!$B$26:$B$75,$Z19,'SpxSp (step-b)'!$N$26:$N$75,""))</f>
        <v/>
      </c>
      <c r="AL19" s="1290" t="str">
        <f>IF($Z19="","",SUMIFS('SpxSp (step-b)'!$L$26:$L$75,'SpxSp (step-b)'!$B$26:$B$75,$Z19,'SpxSp (step-b)'!$N$26:$N$75,"Existing Remains"))</f>
        <v/>
      </c>
      <c r="AM19" s="1290" t="str">
        <f>IF($Z19="","",SUMIFS('SpxSp (step-b)'!$L$26:$L$75,'SpxSp (step-b)'!$B$26:$B$75,$Z19,'SpxSp (step-b)'!$N$26:$N$75,"Existing Removed"))</f>
        <v/>
      </c>
      <c r="AN19" s="1290" t="str">
        <f>IF($Z19="","",SUMIFS('SpxSp (step-b)'!$J$26:$J$75,'SpxSp (step-b)'!$B$26:$B$75,$Z19,'SpxSp (step-b)'!$N$26:$N$75,"Existing Removed"))</f>
        <v/>
      </c>
      <c r="AO19" s="1290" t="str">
        <f t="shared" si="5"/>
        <v/>
      </c>
      <c r="AP19" s="1290" t="str">
        <f t="shared" ref="AP19:AP67" si="18">IF(Z19="","",IF($AU$11=TRUE,AI19+AJ19+AL19,AI19+AJ19+AO19))</f>
        <v/>
      </c>
      <c r="AQ19" s="1304"/>
      <c r="AR19" s="1305" t="str">
        <f t="shared" ref="AR19:AR67" si="19">IF(Z19="","",IFERROR(ROUND(AP19/AB19,2),0))</f>
        <v/>
      </c>
      <c r="AS19" s="1306" t="str">
        <f t="shared" ref="AS19:AS67" si="20">IF(OR($Z19="",AP19=0),"",IF(AR19&gt;AE19,"Fail","Pass"))</f>
        <v/>
      </c>
      <c r="AT19" s="1307"/>
      <c r="AU19" s="1308" t="str">
        <f t="shared" ref="AU19:AU67" si="21">IF(OR($AU$11=FALSE,$Z19="",AP19=0,AW$11=FALSE),"",IFERROR(AM19/AO19,1))</f>
        <v/>
      </c>
      <c r="AV19" s="1309" t="str">
        <f t="shared" si="6"/>
        <v/>
      </c>
      <c r="AW19" s="1309" t="str">
        <f t="shared" ref="AW19:AW67" si="22">IF(OR($AU$11=FALSE,$Z19="",AP19=0,AW$11=FALSE),"",IF(AP19&gt;AO19,"Fail","Pass"))</f>
        <v/>
      </c>
      <c r="AX19" s="1310" t="str">
        <f t="shared" ref="AX19:AX67" si="23">IF(AND(AV19="Pass",AW19="Pass"),"Pass",IF(OR(AV19="",AW19=""),"","Fail"))</f>
        <v/>
      </c>
      <c r="AY19" s="1307"/>
      <c r="AZ19" s="1311" t="str">
        <f t="shared" ref="AZ19:AZ67" si="24">IF(OR($AU$11=FALSE,$Z19="",AP19=0,AW$11=FALSE),"",IF(AK19=AN19,"Pass","Fail"))</f>
        <v/>
      </c>
      <c r="BA19" s="1309" t="str">
        <f t="shared" ref="BA19:BA67" si="25">IF(OR($AU$11=FALSE,AW$11=FALSE),"",AS19)</f>
        <v/>
      </c>
      <c r="BB19" s="1310" t="str">
        <f t="shared" ref="BB19:BB67" si="26">IF(AND(AZ19="Pass",BA19="Pass"),"Pass",IF(OR(AZ19="",BA19=""),"","Fail"))</f>
        <v/>
      </c>
      <c r="BC19" s="1312"/>
      <c r="BD19" s="1313" t="str">
        <f t="shared" si="9"/>
        <v/>
      </c>
      <c r="BE19" s="1290" t="str">
        <f t="shared" ref="BE19:BE67" si="27">IF(OR(AX19="Pass",BB19="Pass"),0,AP19)</f>
        <v/>
      </c>
      <c r="BF19" s="1290" t="str">
        <f t="shared" ref="BF19:BF67" si="28">IF(BE19&gt;0,AG19,0)</f>
        <v/>
      </c>
      <c r="BH19" s="1315" t="str">
        <f t="shared" si="10"/>
        <v/>
      </c>
      <c r="BI19" s="1315" t="str">
        <f t="shared" si="11"/>
        <v/>
      </c>
      <c r="BJ19" s="1303" t="str">
        <f>IF(OR(BH19="Fail",BH19="Fail LPA",BH19=""),"",'SpxSp (step-a)'!CM23)</f>
        <v/>
      </c>
      <c r="BK19" s="1290">
        <f>IF(ISNUMBER(SEARCH("Fail",BH19))=TRUE,1,0)</f>
        <v>0</v>
      </c>
      <c r="BN19" s="178">
        <v>2</v>
      </c>
      <c r="BO19" s="1316" t="str">
        <f t="shared" ref="BO19:BO67" ca="1" si="29">CONCATENATE(BP19,BQ19,BR19,BS19,BT19,BU19,BV19,BW19,BX19,BY19,BZ19,CA19,CB19,CC19,CD19,CE19,CF19,CG19,CH19,CI19,CJ19,CK19,CL19,CM19,CN19,CO19,CP19,CQ19,CR19,CS19,CT19,CU19,CV19,CW19,CX19,CY19,CZ19,DA19,DB19,DC19,DD19,DE19,DF19,DG19,DH19,DI19,DJ19,DK19,DL19,DM19,BO74,BO129)</f>
        <v/>
      </c>
      <c r="BP19" s="1317" t="str">
        <f ca="1">IF(INDIRECT("'SpxSp (step-b)'!$B" &amp; BP$16)=$Z19,INDIRECT("'SpxSp (step-b)'!$" &amp; 'SpxSp (step-b)'!$BC$23 &amp; BP$16),"")</f>
        <v/>
      </c>
      <c r="BQ19" s="1317" t="str">
        <f ca="1">IF(INDIRECT("'SpxSp (step-b)'!$B" &amp; BQ$16)=$Z19,INDIRECT("'SpxSp (step-b)'!$" &amp; 'SpxSp (step-b)'!$BC$23 &amp; BQ$16),"")</f>
        <v/>
      </c>
      <c r="BR19" s="1317" t="str">
        <f ca="1">IF(INDIRECT("'SpxSp (step-b)'!$B" &amp; BR$16)=$Z19,INDIRECT("'SpxSp (step-b)'!$" &amp; 'SpxSp (step-b)'!$BC$23 &amp; BR$16),"")</f>
        <v/>
      </c>
      <c r="BS19" s="1317" t="str">
        <f ca="1">IF(INDIRECT("'SpxSp (step-b)'!$B" &amp; BS$16)=$Z19,INDIRECT("'SpxSp (step-b)'!$" &amp; 'SpxSp (step-b)'!$BC$23 &amp; BS$16),"")</f>
        <v/>
      </c>
      <c r="BT19" s="1317" t="str">
        <f ca="1">IF(INDIRECT("'SpxSp (step-b)'!$B" &amp; BT$16)=$Z19,INDIRECT("'SpxSp (step-b)'!$" &amp; 'SpxSp (step-b)'!$BC$23 &amp; BT$16),"")</f>
        <v/>
      </c>
      <c r="BU19" s="1317" t="str">
        <f ca="1">IF(INDIRECT("'SpxSp (step-b)'!$B" &amp; BU$16)=$Z19,INDIRECT("'SpxSp (step-b)'!$" &amp; 'SpxSp (step-b)'!$BC$23 &amp; BU$16),"")</f>
        <v/>
      </c>
      <c r="BV19" s="1317" t="str">
        <f ca="1">IF(INDIRECT("'SpxSp (step-b)'!$B" &amp; BV$16)=$Z19,INDIRECT("'SpxSp (step-b)'!$" &amp; 'SpxSp (step-b)'!$BC$23 &amp; BV$16),"")</f>
        <v/>
      </c>
      <c r="BW19" s="1317" t="str">
        <f ca="1">IF(INDIRECT("'SpxSp (step-b)'!$B" &amp; BW$16)=$Z19,INDIRECT("'SpxSp (step-b)'!$" &amp; 'SpxSp (step-b)'!$BC$23 &amp; BW$16),"")</f>
        <v/>
      </c>
      <c r="BX19" s="1317" t="str">
        <f ca="1">IF(INDIRECT("'SpxSp (step-b)'!$B" &amp; BX$16)=$Z19,INDIRECT("'SpxSp (step-b)'!$" &amp; 'SpxSp (step-b)'!$BC$23 &amp; BX$16),"")</f>
        <v/>
      </c>
      <c r="BY19" s="1317" t="str">
        <f ca="1">IF(INDIRECT("'SpxSp (step-b)'!$B" &amp; BY$16)=$Z19,INDIRECT("'SpxSp (step-b)'!$" &amp; 'SpxSp (step-b)'!$BC$23 &amp; BY$16),"")</f>
        <v/>
      </c>
      <c r="BZ19" s="1317" t="str">
        <f ca="1">IF(INDIRECT("'SpxSp (step-b)'!$B" &amp; BZ$16)=$Z19,INDIRECT("'SpxSp (step-b)'!$" &amp; 'SpxSp (step-b)'!$BC$23 &amp; BZ$16),"")</f>
        <v/>
      </c>
      <c r="CA19" s="1317" t="str">
        <f ca="1">IF(INDIRECT("'SpxSp (step-b)'!$B" &amp; CA$16)=$Z19,INDIRECT("'SpxSp (step-b)'!$" &amp; 'SpxSp (step-b)'!$BC$23 &amp; CA$16),"")</f>
        <v/>
      </c>
      <c r="CB19" s="1317" t="str">
        <f ca="1">IF(INDIRECT("'SpxSp (step-b)'!$B" &amp; CB$16)=$Z19,INDIRECT("'SpxSp (step-b)'!$" &amp; 'SpxSp (step-b)'!$BC$23 &amp; CB$16),"")</f>
        <v/>
      </c>
      <c r="CC19" s="1317" t="str">
        <f ca="1">IF(INDIRECT("'SpxSp (step-b)'!$B" &amp; CC$16)=$Z19,INDIRECT("'SpxSp (step-b)'!$" &amp; 'SpxSp (step-b)'!$BC$23 &amp; CC$16),"")</f>
        <v/>
      </c>
      <c r="CD19" s="1317" t="str">
        <f ca="1">IF(INDIRECT("'SpxSp (step-b)'!$B" &amp; CD$16)=$Z19,INDIRECT("'SpxSp (step-b)'!$" &amp; 'SpxSp (step-b)'!$BC$23 &amp; CD$16),"")</f>
        <v/>
      </c>
      <c r="CE19" s="1317" t="str">
        <f ca="1">IF(INDIRECT("'SpxSp (step-b)'!$B" &amp; CE$16)=$Z19,INDIRECT("'SpxSp (step-b)'!$" &amp; 'SpxSp (step-b)'!$BC$23 &amp; CE$16),"")</f>
        <v/>
      </c>
      <c r="CF19" s="1317" t="str">
        <f ca="1">IF(INDIRECT("'SpxSp (step-b)'!$B" &amp; CF$16)=$Z19,INDIRECT("'SpxSp (step-b)'!$" &amp; 'SpxSp (step-b)'!$BC$23 &amp; CF$16),"")</f>
        <v/>
      </c>
      <c r="CG19" s="1317" t="str">
        <f ca="1">IF(INDIRECT("'SpxSp (step-b)'!$B" &amp; CG$16)=$Z19,INDIRECT("'SpxSp (step-b)'!$" &amp; 'SpxSp (step-b)'!$BC$23 &amp; CG$16),"")</f>
        <v/>
      </c>
      <c r="CH19" s="1317" t="str">
        <f ca="1">IF(INDIRECT("'SpxSp (step-b)'!$B" &amp; CH$16)=$Z19,INDIRECT("'SpxSp (step-b)'!$" &amp; 'SpxSp (step-b)'!$BC$23 &amp; CH$16),"")</f>
        <v/>
      </c>
      <c r="CI19" s="1317" t="str">
        <f ca="1">IF(INDIRECT("'SpxSp (step-b)'!$B" &amp; CI$16)=$Z19,INDIRECT("'SpxSp (step-b)'!$" &amp; 'SpxSp (step-b)'!$BC$23 &amp; CI$16),"")</f>
        <v/>
      </c>
      <c r="CJ19" s="1317" t="str">
        <f ca="1">IF(INDIRECT("'SpxSp (step-b)'!$B" &amp; CJ$16)=$Z19,INDIRECT("'SpxSp (step-b)'!$" &amp; 'SpxSp (step-b)'!$BC$23 &amp; CJ$16),"")</f>
        <v/>
      </c>
      <c r="CK19" s="1317" t="str">
        <f ca="1">IF(INDIRECT("'SpxSp (step-b)'!$B" &amp; CK$16)=$Z19,INDIRECT("'SpxSp (step-b)'!$" &amp; 'SpxSp (step-b)'!$BC$23 &amp; CK$16),"")</f>
        <v/>
      </c>
      <c r="CL19" s="1317" t="str">
        <f ca="1">IF(INDIRECT("'SpxSp (step-b)'!$B" &amp; CL$16)=$Z19,INDIRECT("'SpxSp (step-b)'!$" &amp; 'SpxSp (step-b)'!$BC$23 &amp; CL$16),"")</f>
        <v/>
      </c>
      <c r="CM19" s="1317" t="str">
        <f ca="1">IF(INDIRECT("'SpxSp (step-b)'!$B" &amp; CM$16)=$Z19,INDIRECT("'SpxSp (step-b)'!$" &amp; 'SpxSp (step-b)'!$BC$23 &amp; CM$16),"")</f>
        <v/>
      </c>
      <c r="CN19" s="1317" t="str">
        <f ca="1">IF(INDIRECT("'SpxSp (step-b)'!$B" &amp; CN$16)=$Z19,INDIRECT("'SpxSp (step-b)'!$" &amp; 'SpxSp (step-b)'!$BC$23 &amp; CN$16),"")</f>
        <v/>
      </c>
      <c r="CO19" s="1317" t="str">
        <f ca="1">IF(INDIRECT("'SpxSp (step-b)'!$B" &amp; CO$16)=$Z19,INDIRECT("'SpxSp (step-b)'!$" &amp; 'SpxSp (step-b)'!$BC$23 &amp; CO$16),"")</f>
        <v/>
      </c>
      <c r="CP19" s="1317" t="str">
        <f ca="1">IF(INDIRECT("'SpxSp (step-b)'!$B" &amp; CP$16)=$Z19,INDIRECT("'SpxSp (step-b)'!$" &amp; 'SpxSp (step-b)'!$BC$23 &amp; CP$16),"")</f>
        <v/>
      </c>
      <c r="CQ19" s="1317" t="str">
        <f ca="1">IF(INDIRECT("'SpxSp (step-b)'!$B" &amp; CQ$16)=$Z19,INDIRECT("'SpxSp (step-b)'!$" &amp; 'SpxSp (step-b)'!$BC$23 &amp; CQ$16),"")</f>
        <v/>
      </c>
      <c r="CR19" s="1317" t="str">
        <f ca="1">IF(INDIRECT("'SpxSp (step-b)'!$B" &amp; CR$16)=$Z19,INDIRECT("'SpxSp (step-b)'!$" &amp; 'SpxSp (step-b)'!$BC$23 &amp; CR$16),"")</f>
        <v/>
      </c>
      <c r="CS19" s="1317" t="str">
        <f ca="1">IF(INDIRECT("'SpxSp (step-b)'!$B" &amp; CS$16)=$Z19,INDIRECT("'SpxSp (step-b)'!$" &amp; 'SpxSp (step-b)'!$BC$23 &amp; CS$16),"")</f>
        <v/>
      </c>
      <c r="CT19" s="1317" t="str">
        <f ca="1">IF(INDIRECT("'SpxSp (step-b)'!$B" &amp; CT$16)=$Z19,INDIRECT("'SpxSp (step-b)'!$" &amp; 'SpxSp (step-b)'!$BC$23 &amp; CT$16),"")</f>
        <v/>
      </c>
      <c r="CU19" s="1317" t="str">
        <f ca="1">IF(INDIRECT("'SpxSp (step-b)'!$B" &amp; CU$16)=$Z19,INDIRECT("'SpxSp (step-b)'!$" &amp; 'SpxSp (step-b)'!$BC$23 &amp; CU$16),"")</f>
        <v/>
      </c>
      <c r="CV19" s="1317" t="str">
        <f ca="1">IF(INDIRECT("'SpxSp (step-b)'!$B" &amp; CV$16)=$Z19,INDIRECT("'SpxSp (step-b)'!$" &amp; 'SpxSp (step-b)'!$BC$23 &amp; CV$16),"")</f>
        <v/>
      </c>
      <c r="CW19" s="1317" t="str">
        <f ca="1">IF(INDIRECT("'SpxSp (step-b)'!$B" &amp; CW$16)=$Z19,INDIRECT("'SpxSp (step-b)'!$" &amp; 'SpxSp (step-b)'!$BC$23 &amp; CW$16),"")</f>
        <v/>
      </c>
      <c r="CX19" s="1317" t="str">
        <f ca="1">IF(INDIRECT("'SpxSp (step-b)'!$B" &amp; CX$16)=$Z19,INDIRECT("'SpxSp (step-b)'!$" &amp; 'SpxSp (step-b)'!$BC$23 &amp; CX$16),"")</f>
        <v/>
      </c>
      <c r="CY19" s="1317" t="str">
        <f ca="1">IF(INDIRECT("'SpxSp (step-b)'!$B" &amp; CY$16)=$Z19,INDIRECT("'SpxSp (step-b)'!$" &amp; 'SpxSp (step-b)'!$BC$23 &amp; CY$16),"")</f>
        <v/>
      </c>
      <c r="CZ19" s="1317" t="str">
        <f ca="1">IF(INDIRECT("'SpxSp (step-b)'!$B" &amp; CZ$16)=$Z19,INDIRECT("'SpxSp (step-b)'!$" &amp; 'SpxSp (step-b)'!$BC$23 &amp; CZ$16),"")</f>
        <v/>
      </c>
      <c r="DA19" s="1317" t="str">
        <f ca="1">IF(INDIRECT("'SpxSp (step-b)'!$B" &amp; DA$16)=$Z19,INDIRECT("'SpxSp (step-b)'!$" &amp; 'SpxSp (step-b)'!$BC$23 &amp; DA$16),"")</f>
        <v/>
      </c>
      <c r="DB19" s="1317" t="str">
        <f ca="1">IF(INDIRECT("'SpxSp (step-b)'!$B" &amp; DB$16)=$Z19,INDIRECT("'SpxSp (step-b)'!$" &amp; 'SpxSp (step-b)'!$BC$23 &amp; DB$16),"")</f>
        <v/>
      </c>
      <c r="DC19" s="1317" t="str">
        <f ca="1">IF(INDIRECT("'SpxSp (step-b)'!$B" &amp; DC$16)=$Z19,INDIRECT("'SpxSp (step-b)'!$" &amp; 'SpxSp (step-b)'!$BC$23 &amp; DC$16),"")</f>
        <v/>
      </c>
      <c r="DD19" s="1317" t="str">
        <f ca="1">IF(INDIRECT("'SpxSp (step-b)'!$B" &amp; DD$16)=$Z19,INDIRECT("'SpxSp (step-b)'!$" &amp; 'SpxSp (step-b)'!$BC$23 &amp; DD$16),"")</f>
        <v/>
      </c>
      <c r="DE19" s="1317" t="str">
        <f ca="1">IF(INDIRECT("'SpxSp (step-b)'!$B" &amp; DE$16)=$Z19,INDIRECT("'SpxSp (step-b)'!$" &amp; 'SpxSp (step-b)'!$BC$23 &amp; DE$16),"")</f>
        <v/>
      </c>
      <c r="DF19" s="1317" t="str">
        <f ca="1">IF(INDIRECT("'SpxSp (step-b)'!$B" &amp; DF$16)=$Z19,INDIRECT("'SpxSp (step-b)'!$" &amp; 'SpxSp (step-b)'!$BC$23 &amp; DF$16),"")</f>
        <v/>
      </c>
      <c r="DG19" s="1317" t="str">
        <f ca="1">IF(INDIRECT("'SpxSp (step-b)'!$B" &amp; DG$16)=$Z19,INDIRECT("'SpxSp (step-b)'!$" &amp; 'SpxSp (step-b)'!$BC$23 &amp; DG$16),"")</f>
        <v/>
      </c>
      <c r="DH19" s="1317" t="str">
        <f ca="1">IF(INDIRECT("'SpxSp (step-b)'!$B" &amp; DH$16)=$Z19,INDIRECT("'SpxSp (step-b)'!$" &amp; 'SpxSp (step-b)'!$BC$23 &amp; DH$16),"")</f>
        <v/>
      </c>
      <c r="DI19" s="1317" t="str">
        <f ca="1">IF(INDIRECT("'SpxSp (step-b)'!$B" &amp; DI$16)=$Z19,INDIRECT("'SpxSp (step-b)'!$" &amp; 'SpxSp (step-b)'!$BC$23 &amp; DI$16),"")</f>
        <v/>
      </c>
      <c r="DJ19" s="1317" t="str">
        <f ca="1">IF(INDIRECT("'SpxSp (step-b)'!$B" &amp; DJ$16)=$Z19,INDIRECT("'SpxSp (step-b)'!$" &amp; 'SpxSp (step-b)'!$BC$23 &amp; DJ$16),"")</f>
        <v/>
      </c>
      <c r="DK19" s="1317" t="str">
        <f ca="1">IF(INDIRECT("'SpxSp (step-b)'!$B" &amp; DK$16)=$Z19,INDIRECT("'SpxSp (step-b)'!$" &amp; 'SpxSp (step-b)'!$BC$23 &amp; DK$16),"")</f>
        <v/>
      </c>
      <c r="DL19" s="1317" t="str">
        <f ca="1">IF(INDIRECT("'SpxSp (step-b)'!$B" &amp; DL$16)=$Z19,INDIRECT("'SpxSp (step-b)'!$" &amp; 'SpxSp (step-b)'!$BC$23 &amp; DL$16),"")</f>
        <v/>
      </c>
      <c r="DM19" s="1317" t="str">
        <f ca="1">IF(INDIRECT("'SpxSp (step-b)'!$B" &amp; DM$16)=$Z19,INDIRECT("'SpxSp (step-b)'!$" &amp; 'SpxSp (step-b)'!$BC$23 &amp; DM$16),"")</f>
        <v/>
      </c>
      <c r="DN19" s="1318" t="str">
        <f t="shared" ca="1" si="12"/>
        <v/>
      </c>
      <c r="DO19" s="1246" t="s">
        <v>1201</v>
      </c>
    </row>
    <row r="20" spans="2:119" ht="40" x14ac:dyDescent="0.2">
      <c r="B20" s="1450" t="str">
        <f t="shared" si="13"/>
        <v/>
      </c>
      <c r="C20" s="1451"/>
      <c r="D20" s="1451"/>
      <c r="E20" s="1451"/>
      <c r="F20" s="1452"/>
      <c r="G20" s="1319" t="str">
        <f>IF(OR(I20="Pass Exception #1",I20="Pass Exception #2"),0,AG20)</f>
        <v/>
      </c>
      <c r="H20" s="1320" t="str">
        <f t="shared" si="14"/>
        <v/>
      </c>
      <c r="I20" s="1321" t="str">
        <f t="shared" si="15"/>
        <v/>
      </c>
      <c r="J20" s="1296"/>
      <c r="K20" s="1322" t="str">
        <f>IFERROR(IF(OR(B20="",H20=0),"",VLOOKUP(B20,'SpxSp (step-c)'!B$18:O$67,6,FALSE)),"")</f>
        <v/>
      </c>
      <c r="L20" s="1323" t="str">
        <f ca="1">IFERROR(F(OR(B20="",H20=0),"",VLOOKUP($B20,'SpxSp (step-c)'!$B$18:O$67,12,FALSE)),"")</f>
        <v/>
      </c>
      <c r="M20" s="1321" t="str">
        <f ca="1">IF(AND(B20&lt;&gt;"",L20=""),"NA",IFERROR(VLOOKUP($B20,'SpxSp (step-c)'!$B$18:P$67,13,FALSE),""))</f>
        <v/>
      </c>
      <c r="N20" s="1324"/>
      <c r="O20" s="1322" t="str">
        <f>IFERROR(IF(OR(B20="",H20=0),"",VLOOKUP($B20,'SpxSp (step-d)'!$B$18:$P$67,12,FALSE)),"")</f>
        <v/>
      </c>
      <c r="P20" s="1323" t="str">
        <f>IFERROR(IF(OR(B20="",H20=0),"",VLOOKUP($B20,'SpxSp (step-d)'!$B$18:$P$67,13,FALSE)),"")</f>
        <v/>
      </c>
      <c r="Q20" s="1323" t="str">
        <f>IFERROR(IF(OR(B20="",H20=0),"",VLOOKUP($B20,'SpxSp (step-d)'!$B$18:$P$67,14,FALSE)),"")</f>
        <v/>
      </c>
      <c r="R20" s="1321" t="str">
        <f>IF(AND(B20&lt;&gt;"",P20=""),"NA",IFERROR(VLOOKUP(B20,'SpxSp (step-d)'!$B$18:$V$67,15,FALSE),""))</f>
        <v/>
      </c>
      <c r="S20" s="1296"/>
      <c r="T20" s="1325" t="str">
        <f t="shared" si="16"/>
        <v/>
      </c>
      <c r="U20" s="1326" t="str">
        <f t="shared" si="17"/>
        <v/>
      </c>
      <c r="Y20" s="1302">
        <v>3</v>
      </c>
      <c r="Z20" s="1303" t="str">
        <f>'SpxSp (step-a)'!B24</f>
        <v/>
      </c>
      <c r="AA20" s="1303" t="str">
        <f>'SpxSp (step-a)'!H24</f>
        <v/>
      </c>
      <c r="AB20" s="1290" t="str">
        <f>VLOOKUP($Z20,'SpxSp (step-a)'!$B$22:$O$71,AB$14,FALSE)</f>
        <v/>
      </c>
      <c r="AD20" s="1290" t="str">
        <f>IF(Z20="","",IFERROR(VLOOKUP($Z20,'SpxSp (step-a)'!$B$22:$O$71,AD$14,FALSE),0))</f>
        <v/>
      </c>
      <c r="AE20" s="1290" t="str">
        <f>IF(Z20="","",IFERROR(VLOOKUP($Z20,'SpxSp (step-a)'!$B$22:$O$71,AE$14,FALSE),0))</f>
        <v/>
      </c>
      <c r="AG20" s="1290" t="str">
        <f t="shared" si="4"/>
        <v/>
      </c>
      <c r="AI20" s="1290" t="str">
        <f>IF($Z20="","",SUMIFS('SpxSp (step-b)'!L$26:L$75,'SpxSp (step-b)'!B$26:B$75,Z20,'SpxSp (step-b)'!N$26:N$75,"New"))</f>
        <v/>
      </c>
      <c r="AJ20" s="1290" t="str">
        <f>IF($Z20="","",SUMIFS('SpxSp (step-b)'!$L$26:$L$75,'SpxSp (step-b)'!$B$26:$B$75,$Z20,'SpxSp (step-b)'!N$26:N$75,""))</f>
        <v/>
      </c>
      <c r="AK20" s="1290" t="str">
        <f>IF($Z20="","",SUMIFS('SpxSp (step-b)'!$J$26:$J$75,'SpxSp (step-b)'!$B$26:$B$75,$Z20,'SpxSp (step-b)'!$N$26:$N$75,"New")+SUMIFS('SpxSp (step-b)'!$J$26:$J$75,'SpxSp (step-b)'!$B$26:$B$75,$Z20,'SpxSp (step-b)'!$N$26:$N$75,""))</f>
        <v/>
      </c>
      <c r="AL20" s="1290" t="str">
        <f>IF($Z20="","",SUMIFS('SpxSp (step-b)'!$L$26:$L$75,'SpxSp (step-b)'!$B$26:$B$75,$Z20,'SpxSp (step-b)'!$N$26:$N$75,"Existing Remains"))</f>
        <v/>
      </c>
      <c r="AM20" s="1290" t="str">
        <f>IF($Z20="","",SUMIFS('SpxSp (step-b)'!$L$26:$L$75,'SpxSp (step-b)'!$B$26:$B$75,$Z20,'SpxSp (step-b)'!$N$26:$N$75,"Existing Removed"))</f>
        <v/>
      </c>
      <c r="AN20" s="1290" t="str">
        <f>IF($Z20="","",SUMIFS('SpxSp (step-b)'!$J$26:$J$75,'SpxSp (step-b)'!$B$26:$B$75,$Z20,'SpxSp (step-b)'!$N$26:$N$75,"Existing Removed"))</f>
        <v/>
      </c>
      <c r="AO20" s="1290" t="str">
        <f t="shared" si="5"/>
        <v/>
      </c>
      <c r="AP20" s="1290" t="str">
        <f t="shared" si="18"/>
        <v/>
      </c>
      <c r="AQ20" s="1304"/>
      <c r="AR20" s="1305" t="str">
        <f t="shared" si="19"/>
        <v/>
      </c>
      <c r="AS20" s="1306" t="str">
        <f t="shared" si="20"/>
        <v/>
      </c>
      <c r="AT20" s="1307"/>
      <c r="AU20" s="1308" t="str">
        <f t="shared" si="21"/>
        <v/>
      </c>
      <c r="AV20" s="1309" t="str">
        <f t="shared" si="6"/>
        <v/>
      </c>
      <c r="AW20" s="1309" t="str">
        <f t="shared" si="22"/>
        <v/>
      </c>
      <c r="AX20" s="1310" t="str">
        <f t="shared" si="23"/>
        <v/>
      </c>
      <c r="AY20" s="1307"/>
      <c r="AZ20" s="1311" t="str">
        <f t="shared" si="24"/>
        <v/>
      </c>
      <c r="BA20" s="1309" t="str">
        <f t="shared" si="25"/>
        <v/>
      </c>
      <c r="BB20" s="1310" t="str">
        <f t="shared" si="26"/>
        <v/>
      </c>
      <c r="BC20" s="1312"/>
      <c r="BD20" s="1313" t="str">
        <f t="shared" si="9"/>
        <v/>
      </c>
      <c r="BE20" s="1290" t="str">
        <f t="shared" si="27"/>
        <v/>
      </c>
      <c r="BF20" s="1290" t="str">
        <f t="shared" si="28"/>
        <v/>
      </c>
      <c r="BH20" s="1315" t="str">
        <f t="shared" si="10"/>
        <v/>
      </c>
      <c r="BI20" s="1315" t="str">
        <f t="shared" si="11"/>
        <v/>
      </c>
      <c r="BJ20" s="1303" t="str">
        <f>IF(OR(BH20="Fail",BH20="Fail LPA",BH20=""),"",'SpxSp (step-a)'!CM24)</f>
        <v/>
      </c>
      <c r="BK20" s="1290">
        <f t="shared" ref="BK20:BK67" si="30">IF(ISNUMBER(SEARCH("Fail",BH20))=TRUE,1,0)</f>
        <v>0</v>
      </c>
      <c r="BN20" s="178">
        <v>3</v>
      </c>
      <c r="BO20" s="1316" t="str">
        <f t="shared" ca="1" si="29"/>
        <v/>
      </c>
      <c r="BP20" s="1317" t="str">
        <f ca="1">IF(INDIRECT("'SpxSp (step-b)'!$B" &amp; BP$16)=$Z20,INDIRECT("'SpxSp (step-b)'!$" &amp; 'SpxSp (step-b)'!$BC$23 &amp; BP$16),"")</f>
        <v/>
      </c>
      <c r="BQ20" s="1317" t="str">
        <f ca="1">IF(INDIRECT("'SpxSp (step-b)'!$B" &amp; BQ$16)=$Z20,INDIRECT("'SpxSp (step-b)'!$" &amp; 'SpxSp (step-b)'!$BC$23 &amp; BQ$16),"")</f>
        <v/>
      </c>
      <c r="BR20" s="1317" t="str">
        <f ca="1">IF(INDIRECT("'SpxSp (step-b)'!$B" &amp; BR$16)=$Z20,INDIRECT("'SpxSp (step-b)'!$" &amp; 'SpxSp (step-b)'!$BC$23 &amp; BR$16),"")</f>
        <v/>
      </c>
      <c r="BS20" s="1317" t="str">
        <f ca="1">IF(INDIRECT("'SpxSp (step-b)'!$B" &amp; BS$16)=$Z20,INDIRECT("'SpxSp (step-b)'!$" &amp; 'SpxSp (step-b)'!$BC$23 &amp; BS$16),"")</f>
        <v/>
      </c>
      <c r="BT20" s="1317" t="str">
        <f ca="1">IF(INDIRECT("'SpxSp (step-b)'!$B" &amp; BT$16)=$Z20,INDIRECT("'SpxSp (step-b)'!$" &amp; 'SpxSp (step-b)'!$BC$23 &amp; BT$16),"")</f>
        <v/>
      </c>
      <c r="BU20" s="1317" t="str">
        <f ca="1">IF(INDIRECT("'SpxSp (step-b)'!$B" &amp; BU$16)=$Z20,INDIRECT("'SpxSp (step-b)'!$" &amp; 'SpxSp (step-b)'!$BC$23 &amp; BU$16),"")</f>
        <v/>
      </c>
      <c r="BV20" s="1317" t="str">
        <f ca="1">IF(INDIRECT("'SpxSp (step-b)'!$B" &amp; BV$16)=$Z20,INDIRECT("'SpxSp (step-b)'!$" &amp; 'SpxSp (step-b)'!$BC$23 &amp; BV$16),"")</f>
        <v/>
      </c>
      <c r="BW20" s="1317" t="str">
        <f ca="1">IF(INDIRECT("'SpxSp (step-b)'!$B" &amp; BW$16)=$Z20,INDIRECT("'SpxSp (step-b)'!$" &amp; 'SpxSp (step-b)'!$BC$23 &amp; BW$16),"")</f>
        <v/>
      </c>
      <c r="BX20" s="1317" t="str">
        <f ca="1">IF(INDIRECT("'SpxSp (step-b)'!$B" &amp; BX$16)=$Z20,INDIRECT("'SpxSp (step-b)'!$" &amp; 'SpxSp (step-b)'!$BC$23 &amp; BX$16),"")</f>
        <v/>
      </c>
      <c r="BY20" s="1317" t="str">
        <f ca="1">IF(INDIRECT("'SpxSp (step-b)'!$B" &amp; BY$16)=$Z20,INDIRECT("'SpxSp (step-b)'!$" &amp; 'SpxSp (step-b)'!$BC$23 &amp; BY$16),"")</f>
        <v/>
      </c>
      <c r="BZ20" s="1317" t="str">
        <f ca="1">IF(INDIRECT("'SpxSp (step-b)'!$B" &amp; BZ$16)=$Z20,INDIRECT("'SpxSp (step-b)'!$" &amp; 'SpxSp (step-b)'!$BC$23 &amp; BZ$16),"")</f>
        <v/>
      </c>
      <c r="CA20" s="1317" t="str">
        <f ca="1">IF(INDIRECT("'SpxSp (step-b)'!$B" &amp; CA$16)=$Z20,INDIRECT("'SpxSp (step-b)'!$" &amp; 'SpxSp (step-b)'!$BC$23 &amp; CA$16),"")</f>
        <v/>
      </c>
      <c r="CB20" s="1317" t="str">
        <f ca="1">IF(INDIRECT("'SpxSp (step-b)'!$B" &amp; CB$16)=$Z20,INDIRECT("'SpxSp (step-b)'!$" &amp; 'SpxSp (step-b)'!$BC$23 &amp; CB$16),"")</f>
        <v/>
      </c>
      <c r="CC20" s="1317" t="str">
        <f ca="1">IF(INDIRECT("'SpxSp (step-b)'!$B" &amp; CC$16)=$Z20,INDIRECT("'SpxSp (step-b)'!$" &amp; 'SpxSp (step-b)'!$BC$23 &amp; CC$16),"")</f>
        <v/>
      </c>
      <c r="CD20" s="1317" t="str">
        <f ca="1">IF(INDIRECT("'SpxSp (step-b)'!$B" &amp; CD$16)=$Z20,INDIRECT("'SpxSp (step-b)'!$" &amp; 'SpxSp (step-b)'!$BC$23 &amp; CD$16),"")</f>
        <v/>
      </c>
      <c r="CE20" s="1317" t="str">
        <f ca="1">IF(INDIRECT("'SpxSp (step-b)'!$B" &amp; CE$16)=$Z20,INDIRECT("'SpxSp (step-b)'!$" &amp; 'SpxSp (step-b)'!$BC$23 &amp; CE$16),"")</f>
        <v/>
      </c>
      <c r="CF20" s="1317" t="str">
        <f ca="1">IF(INDIRECT("'SpxSp (step-b)'!$B" &amp; CF$16)=$Z20,INDIRECT("'SpxSp (step-b)'!$" &amp; 'SpxSp (step-b)'!$BC$23 &amp; CF$16),"")</f>
        <v/>
      </c>
      <c r="CG20" s="1317" t="str">
        <f ca="1">IF(INDIRECT("'SpxSp (step-b)'!$B" &amp; CG$16)=$Z20,INDIRECT("'SpxSp (step-b)'!$" &amp; 'SpxSp (step-b)'!$BC$23 &amp; CG$16),"")</f>
        <v/>
      </c>
      <c r="CH20" s="1317" t="str">
        <f ca="1">IF(INDIRECT("'SpxSp (step-b)'!$B" &amp; CH$16)=$Z20,INDIRECT("'SpxSp (step-b)'!$" &amp; 'SpxSp (step-b)'!$BC$23 &amp; CH$16),"")</f>
        <v/>
      </c>
      <c r="CI20" s="1317" t="str">
        <f ca="1">IF(INDIRECT("'SpxSp (step-b)'!$B" &amp; CI$16)=$Z20,INDIRECT("'SpxSp (step-b)'!$" &amp; 'SpxSp (step-b)'!$BC$23 &amp; CI$16),"")</f>
        <v/>
      </c>
      <c r="CJ20" s="1317" t="str">
        <f ca="1">IF(INDIRECT("'SpxSp (step-b)'!$B" &amp; CJ$16)=$Z20,INDIRECT("'SpxSp (step-b)'!$" &amp; 'SpxSp (step-b)'!$BC$23 &amp; CJ$16),"")</f>
        <v/>
      </c>
      <c r="CK20" s="1317" t="str">
        <f ca="1">IF(INDIRECT("'SpxSp (step-b)'!$B" &amp; CK$16)=$Z20,INDIRECT("'SpxSp (step-b)'!$" &amp; 'SpxSp (step-b)'!$BC$23 &amp; CK$16),"")</f>
        <v/>
      </c>
      <c r="CL20" s="1317" t="str">
        <f ca="1">IF(INDIRECT("'SpxSp (step-b)'!$B" &amp; CL$16)=$Z20,INDIRECT("'SpxSp (step-b)'!$" &amp; 'SpxSp (step-b)'!$BC$23 &amp; CL$16),"")</f>
        <v/>
      </c>
      <c r="CM20" s="1317" t="str">
        <f ca="1">IF(INDIRECT("'SpxSp (step-b)'!$B" &amp; CM$16)=$Z20,INDIRECT("'SpxSp (step-b)'!$" &amp; 'SpxSp (step-b)'!$BC$23 &amp; CM$16),"")</f>
        <v/>
      </c>
      <c r="CN20" s="1317" t="str">
        <f ca="1">IF(INDIRECT("'SpxSp (step-b)'!$B" &amp; CN$16)=$Z20,INDIRECT("'SpxSp (step-b)'!$" &amp; 'SpxSp (step-b)'!$BC$23 &amp; CN$16),"")</f>
        <v/>
      </c>
      <c r="CO20" s="1317" t="str">
        <f ca="1">IF(INDIRECT("'SpxSp (step-b)'!$B" &amp; CO$16)=$Z20,INDIRECT("'SpxSp (step-b)'!$" &amp; 'SpxSp (step-b)'!$BC$23 &amp; CO$16),"")</f>
        <v/>
      </c>
      <c r="CP20" s="1317" t="str">
        <f ca="1">IF(INDIRECT("'SpxSp (step-b)'!$B" &amp; CP$16)=$Z20,INDIRECT("'SpxSp (step-b)'!$" &amp; 'SpxSp (step-b)'!$BC$23 &amp; CP$16),"")</f>
        <v/>
      </c>
      <c r="CQ20" s="1317" t="str">
        <f ca="1">IF(INDIRECT("'SpxSp (step-b)'!$B" &amp; CQ$16)=$Z20,INDIRECT("'SpxSp (step-b)'!$" &amp; 'SpxSp (step-b)'!$BC$23 &amp; CQ$16),"")</f>
        <v/>
      </c>
      <c r="CR20" s="1317" t="str">
        <f ca="1">IF(INDIRECT("'SpxSp (step-b)'!$B" &amp; CR$16)=$Z20,INDIRECT("'SpxSp (step-b)'!$" &amp; 'SpxSp (step-b)'!$BC$23 &amp; CR$16),"")</f>
        <v/>
      </c>
      <c r="CS20" s="1317" t="str">
        <f ca="1">IF(INDIRECT("'SpxSp (step-b)'!$B" &amp; CS$16)=$Z20,INDIRECT("'SpxSp (step-b)'!$" &amp; 'SpxSp (step-b)'!$BC$23 &amp; CS$16),"")</f>
        <v/>
      </c>
      <c r="CT20" s="1317" t="str">
        <f ca="1">IF(INDIRECT("'SpxSp (step-b)'!$B" &amp; CT$16)=$Z20,INDIRECT("'SpxSp (step-b)'!$" &amp; 'SpxSp (step-b)'!$BC$23 &amp; CT$16),"")</f>
        <v/>
      </c>
      <c r="CU20" s="1317" t="str">
        <f ca="1">IF(INDIRECT("'SpxSp (step-b)'!$B" &amp; CU$16)=$Z20,INDIRECT("'SpxSp (step-b)'!$" &amp; 'SpxSp (step-b)'!$BC$23 &amp; CU$16),"")</f>
        <v/>
      </c>
      <c r="CV20" s="1317" t="str">
        <f ca="1">IF(INDIRECT("'SpxSp (step-b)'!$B" &amp; CV$16)=$Z20,INDIRECT("'SpxSp (step-b)'!$" &amp; 'SpxSp (step-b)'!$BC$23 &amp; CV$16),"")</f>
        <v/>
      </c>
      <c r="CW20" s="1317" t="str">
        <f ca="1">IF(INDIRECT("'SpxSp (step-b)'!$B" &amp; CW$16)=$Z20,INDIRECT("'SpxSp (step-b)'!$" &amp; 'SpxSp (step-b)'!$BC$23 &amp; CW$16),"")</f>
        <v/>
      </c>
      <c r="CX20" s="1317" t="str">
        <f ca="1">IF(INDIRECT("'SpxSp (step-b)'!$B" &amp; CX$16)=$Z20,INDIRECT("'SpxSp (step-b)'!$" &amp; 'SpxSp (step-b)'!$BC$23 &amp; CX$16),"")</f>
        <v/>
      </c>
      <c r="CY20" s="1317" t="str">
        <f ca="1">IF(INDIRECT("'SpxSp (step-b)'!$B" &amp; CY$16)=$Z20,INDIRECT("'SpxSp (step-b)'!$" &amp; 'SpxSp (step-b)'!$BC$23 &amp; CY$16),"")</f>
        <v/>
      </c>
      <c r="CZ20" s="1317" t="str">
        <f ca="1">IF(INDIRECT("'SpxSp (step-b)'!$B" &amp; CZ$16)=$Z20,INDIRECT("'SpxSp (step-b)'!$" &amp; 'SpxSp (step-b)'!$BC$23 &amp; CZ$16),"")</f>
        <v/>
      </c>
      <c r="DA20" s="1317" t="str">
        <f ca="1">IF(INDIRECT("'SpxSp (step-b)'!$B" &amp; DA$16)=$Z20,INDIRECT("'SpxSp (step-b)'!$" &amp; 'SpxSp (step-b)'!$BC$23 &amp; DA$16),"")</f>
        <v/>
      </c>
      <c r="DB20" s="1317" t="str">
        <f ca="1">IF(INDIRECT("'SpxSp (step-b)'!$B" &amp; DB$16)=$Z20,INDIRECT("'SpxSp (step-b)'!$" &amp; 'SpxSp (step-b)'!$BC$23 &amp; DB$16),"")</f>
        <v/>
      </c>
      <c r="DC20" s="1317" t="str">
        <f ca="1">IF(INDIRECT("'SpxSp (step-b)'!$B" &amp; DC$16)=$Z20,INDIRECT("'SpxSp (step-b)'!$" &amp; 'SpxSp (step-b)'!$BC$23 &amp; DC$16),"")</f>
        <v/>
      </c>
      <c r="DD20" s="1317" t="str">
        <f ca="1">IF(INDIRECT("'SpxSp (step-b)'!$B" &amp; DD$16)=$Z20,INDIRECT("'SpxSp (step-b)'!$" &amp; 'SpxSp (step-b)'!$BC$23 &amp; DD$16),"")</f>
        <v/>
      </c>
      <c r="DE20" s="1317" t="str">
        <f ca="1">IF(INDIRECT("'SpxSp (step-b)'!$B" &amp; DE$16)=$Z20,INDIRECT("'SpxSp (step-b)'!$" &amp; 'SpxSp (step-b)'!$BC$23 &amp; DE$16),"")</f>
        <v/>
      </c>
      <c r="DF20" s="1317" t="str">
        <f ca="1">IF(INDIRECT("'SpxSp (step-b)'!$B" &amp; DF$16)=$Z20,INDIRECT("'SpxSp (step-b)'!$" &amp; 'SpxSp (step-b)'!$BC$23 &amp; DF$16),"")</f>
        <v/>
      </c>
      <c r="DG20" s="1317" t="str">
        <f ca="1">IF(INDIRECT("'SpxSp (step-b)'!$B" &amp; DG$16)=$Z20,INDIRECT("'SpxSp (step-b)'!$" &amp; 'SpxSp (step-b)'!$BC$23 &amp; DG$16),"")</f>
        <v/>
      </c>
      <c r="DH20" s="1317" t="str">
        <f ca="1">IF(INDIRECT("'SpxSp (step-b)'!$B" &amp; DH$16)=$Z20,INDIRECT("'SpxSp (step-b)'!$" &amp; 'SpxSp (step-b)'!$BC$23 &amp; DH$16),"")</f>
        <v/>
      </c>
      <c r="DI20" s="1317" t="str">
        <f ca="1">IF(INDIRECT("'SpxSp (step-b)'!$B" &amp; DI$16)=$Z20,INDIRECT("'SpxSp (step-b)'!$" &amp; 'SpxSp (step-b)'!$BC$23 &amp; DI$16),"")</f>
        <v/>
      </c>
      <c r="DJ20" s="1317" t="str">
        <f ca="1">IF(INDIRECT("'SpxSp (step-b)'!$B" &amp; DJ$16)=$Z20,INDIRECT("'SpxSp (step-b)'!$" &amp; 'SpxSp (step-b)'!$BC$23 &amp; DJ$16),"")</f>
        <v/>
      </c>
      <c r="DK20" s="1317" t="str">
        <f ca="1">IF(INDIRECT("'SpxSp (step-b)'!$B" &amp; DK$16)=$Z20,INDIRECT("'SpxSp (step-b)'!$" &amp; 'SpxSp (step-b)'!$BC$23 &amp; DK$16),"")</f>
        <v/>
      </c>
      <c r="DL20" s="1317" t="str">
        <f ca="1">IF(INDIRECT("'SpxSp (step-b)'!$B" &amp; DL$16)=$Z20,INDIRECT("'SpxSp (step-b)'!$" &amp; 'SpxSp (step-b)'!$BC$23 &amp; DL$16),"")</f>
        <v/>
      </c>
      <c r="DM20" s="1317" t="str">
        <f ca="1">IF(INDIRECT("'SpxSp (step-b)'!$B" &amp; DM$16)=$Z20,INDIRECT("'SpxSp (step-b)'!$" &amp; 'SpxSp (step-b)'!$BC$23 &amp; DM$16),"")</f>
        <v/>
      </c>
      <c r="DN20" s="1318" t="str">
        <f t="shared" ca="1" si="12"/>
        <v/>
      </c>
      <c r="DO20" s="1246" t="s">
        <v>1201</v>
      </c>
    </row>
    <row r="21" spans="2:119" ht="40" x14ac:dyDescent="0.2">
      <c r="B21" s="1450" t="str">
        <f t="shared" si="13"/>
        <v/>
      </c>
      <c r="C21" s="1451"/>
      <c r="D21" s="1451"/>
      <c r="E21" s="1451"/>
      <c r="F21" s="1452"/>
      <c r="G21" s="1319" t="str">
        <f t="shared" ref="G21:G67" si="31">IF(OR(I21="Pass Exception #1",I21="Pass Exception #2"),0,AG21)</f>
        <v/>
      </c>
      <c r="H21" s="1320" t="str">
        <f t="shared" si="14"/>
        <v/>
      </c>
      <c r="I21" s="1321" t="str">
        <f t="shared" si="15"/>
        <v/>
      </c>
      <c r="J21" s="1296"/>
      <c r="K21" s="1322" t="str">
        <f>IFERROR(IF(OR(B21="",H21=0),"",VLOOKUP(B21,'SpxSp (step-c)'!B$18:O$67,6,FALSE)),"")</f>
        <v/>
      </c>
      <c r="L21" s="1323" t="str">
        <f ca="1">IFERROR(F(OR(B21="",H21=0),"",VLOOKUP($B21,'SpxSp (step-c)'!$B$18:O$67,12,FALSE)),"")</f>
        <v/>
      </c>
      <c r="M21" s="1321" t="str">
        <f ca="1">IF(AND(B21&lt;&gt;"",L21=""),"NA",IFERROR(VLOOKUP($B21,'SpxSp (step-c)'!$B$18:P$67,13,FALSE),""))</f>
        <v/>
      </c>
      <c r="N21" s="1324"/>
      <c r="O21" s="1322" t="str">
        <f>IFERROR(IF(OR(B21="",H21=0),"",VLOOKUP($B21,'SpxSp (step-d)'!$B$18:$P$67,12,FALSE)),"")</f>
        <v/>
      </c>
      <c r="P21" s="1323" t="str">
        <f>IFERROR(IF(OR(B21="",H21=0),"",VLOOKUP($B21,'SpxSp (step-d)'!$B$18:$P$67,13,FALSE)),"")</f>
        <v/>
      </c>
      <c r="Q21" s="1323" t="str">
        <f>IFERROR(IF(OR(B21="",H21=0),"",VLOOKUP($B21,'SpxSp (step-d)'!$B$18:$P$67,14,FALSE)),"")</f>
        <v/>
      </c>
      <c r="R21" s="1321" t="str">
        <f>IF(AND(B21&lt;&gt;"",P21=""),"NA",IFERROR(VLOOKUP(B21,'SpxSp (step-d)'!$B$18:$V$67,15,FALSE),""))</f>
        <v/>
      </c>
      <c r="S21" s="1296"/>
      <c r="T21" s="1325" t="str">
        <f t="shared" si="16"/>
        <v/>
      </c>
      <c r="U21" s="1326" t="str">
        <f t="shared" si="17"/>
        <v/>
      </c>
      <c r="Y21" s="1302">
        <v>4</v>
      </c>
      <c r="Z21" s="1303" t="str">
        <f>'SpxSp (step-a)'!B25</f>
        <v/>
      </c>
      <c r="AA21" s="1303" t="str">
        <f>'SpxSp (step-a)'!H25</f>
        <v/>
      </c>
      <c r="AB21" s="1290" t="str">
        <f>VLOOKUP($Z21,'SpxSp (step-a)'!$B$22:$O$71,AB$14,FALSE)</f>
        <v/>
      </c>
      <c r="AD21" s="1290" t="str">
        <f>IF(Z21="","",IFERROR(VLOOKUP($Z21,'SpxSp (step-a)'!$B$22:$O$71,AD$14,FALSE),0))</f>
        <v/>
      </c>
      <c r="AE21" s="1290" t="str">
        <f>IF(Z21="","",IFERROR(VLOOKUP($Z21,'SpxSp (step-a)'!$B$22:$O$71,AE$14,FALSE),0))</f>
        <v/>
      </c>
      <c r="AG21" s="1290" t="str">
        <f t="shared" si="4"/>
        <v/>
      </c>
      <c r="AI21" s="1290" t="str">
        <f>IF($Z21="","",SUMIFS('SpxSp (step-b)'!L$26:L$75,'SpxSp (step-b)'!B$26:B$75,Z21,'SpxSp (step-b)'!N$26:N$75,"New"))</f>
        <v/>
      </c>
      <c r="AJ21" s="1290" t="str">
        <f>IF($Z21="","",SUMIFS('SpxSp (step-b)'!$L$26:$L$75,'SpxSp (step-b)'!$B$26:$B$75,$Z21,'SpxSp (step-b)'!N$26:N$75,""))</f>
        <v/>
      </c>
      <c r="AK21" s="1290" t="str">
        <f>IF($Z21="","",SUMIFS('SpxSp (step-b)'!$J$26:$J$75,'SpxSp (step-b)'!$B$26:$B$75,$Z21,'SpxSp (step-b)'!$N$26:$N$75,"New")+SUMIFS('SpxSp (step-b)'!$J$26:$J$75,'SpxSp (step-b)'!$B$26:$B$75,$Z21,'SpxSp (step-b)'!$N$26:$N$75,""))</f>
        <v/>
      </c>
      <c r="AL21" s="1290" t="str">
        <f>IF($Z21="","",SUMIFS('SpxSp (step-b)'!$L$26:$L$75,'SpxSp (step-b)'!$B$26:$B$75,$Z21,'SpxSp (step-b)'!$N$26:$N$75,"Existing Remains"))</f>
        <v/>
      </c>
      <c r="AM21" s="1290" t="str">
        <f>IF($Z21="","",SUMIFS('SpxSp (step-b)'!$L$26:$L$75,'SpxSp (step-b)'!$B$26:$B$75,$Z21,'SpxSp (step-b)'!$N$26:$N$75,"Existing Removed"))</f>
        <v/>
      </c>
      <c r="AN21" s="1290" t="str">
        <f>IF($Z21="","",SUMIFS('SpxSp (step-b)'!$J$26:$J$75,'SpxSp (step-b)'!$B$26:$B$75,$Z21,'SpxSp (step-b)'!$N$26:$N$75,"Existing Removed"))</f>
        <v/>
      </c>
      <c r="AO21" s="1290" t="str">
        <f t="shared" si="5"/>
        <v/>
      </c>
      <c r="AP21" s="1290" t="str">
        <f t="shared" si="18"/>
        <v/>
      </c>
      <c r="AQ21" s="1304"/>
      <c r="AR21" s="1305" t="str">
        <f t="shared" si="19"/>
        <v/>
      </c>
      <c r="AS21" s="1306" t="str">
        <f t="shared" si="20"/>
        <v/>
      </c>
      <c r="AT21" s="1307"/>
      <c r="AU21" s="1308" t="str">
        <f t="shared" si="21"/>
        <v/>
      </c>
      <c r="AV21" s="1309" t="str">
        <f t="shared" si="6"/>
        <v/>
      </c>
      <c r="AW21" s="1309" t="str">
        <f t="shared" si="22"/>
        <v/>
      </c>
      <c r="AX21" s="1310" t="str">
        <f t="shared" si="23"/>
        <v/>
      </c>
      <c r="AY21" s="1307"/>
      <c r="AZ21" s="1311" t="str">
        <f t="shared" si="24"/>
        <v/>
      </c>
      <c r="BA21" s="1309" t="str">
        <f t="shared" si="25"/>
        <v/>
      </c>
      <c r="BB21" s="1310" t="str">
        <f t="shared" si="26"/>
        <v/>
      </c>
      <c r="BC21" s="1312"/>
      <c r="BD21" s="1313" t="str">
        <f t="shared" si="9"/>
        <v/>
      </c>
      <c r="BE21" s="1290" t="str">
        <f t="shared" si="27"/>
        <v/>
      </c>
      <c r="BF21" s="1290" t="str">
        <f t="shared" si="28"/>
        <v/>
      </c>
      <c r="BH21" s="1315" t="str">
        <f t="shared" si="10"/>
        <v/>
      </c>
      <c r="BI21" s="1315" t="str">
        <f t="shared" si="11"/>
        <v/>
      </c>
      <c r="BJ21" s="1303" t="str">
        <f>IF(OR(BH21="Fail",BH21="Fail LPA",BH21=""),"",'SpxSp (step-a)'!CM25)</f>
        <v/>
      </c>
      <c r="BK21" s="1290">
        <f t="shared" si="30"/>
        <v>0</v>
      </c>
      <c r="BN21" s="178">
        <v>4</v>
      </c>
      <c r="BO21" s="1316" t="str">
        <f t="shared" ca="1" si="29"/>
        <v/>
      </c>
      <c r="BP21" s="1317" t="str">
        <f ca="1">IF(INDIRECT("'SpxSp (step-b)'!$B" &amp; BP$16)=$Z21,INDIRECT("'SpxSp (step-b)'!$" &amp; 'SpxSp (step-b)'!$BC$23 &amp; BP$16),"")</f>
        <v/>
      </c>
      <c r="BQ21" s="1317" t="str">
        <f ca="1">IF(INDIRECT("'SpxSp (step-b)'!$B" &amp; BQ$16)=$Z21,INDIRECT("'SpxSp (step-b)'!$" &amp; 'SpxSp (step-b)'!$BC$23 &amp; BQ$16),"")</f>
        <v/>
      </c>
      <c r="BR21" s="1317" t="str">
        <f ca="1">IF(INDIRECT("'SpxSp (step-b)'!$B" &amp; BR$16)=$Z21,INDIRECT("'SpxSp (step-b)'!$" &amp; 'SpxSp (step-b)'!$BC$23 &amp; BR$16),"")</f>
        <v/>
      </c>
      <c r="BS21" s="1317" t="str">
        <f ca="1">IF(INDIRECT("'SpxSp (step-b)'!$B" &amp; BS$16)=$Z21,INDIRECT("'SpxSp (step-b)'!$" &amp; 'SpxSp (step-b)'!$BC$23 &amp; BS$16),"")</f>
        <v/>
      </c>
      <c r="BT21" s="1317" t="str">
        <f ca="1">IF(INDIRECT("'SpxSp (step-b)'!$B" &amp; BT$16)=$Z21,INDIRECT("'SpxSp (step-b)'!$" &amp; 'SpxSp (step-b)'!$BC$23 &amp; BT$16),"")</f>
        <v/>
      </c>
      <c r="BU21" s="1317" t="str">
        <f ca="1">IF(INDIRECT("'SpxSp (step-b)'!$B" &amp; BU$16)=$Z21,INDIRECT("'SpxSp (step-b)'!$" &amp; 'SpxSp (step-b)'!$BC$23 &amp; BU$16),"")</f>
        <v/>
      </c>
      <c r="BV21" s="1317" t="str">
        <f ca="1">IF(INDIRECT("'SpxSp (step-b)'!$B" &amp; BV$16)=$Z21,INDIRECT("'SpxSp (step-b)'!$" &amp; 'SpxSp (step-b)'!$BC$23 &amp; BV$16),"")</f>
        <v/>
      </c>
      <c r="BW21" s="1317" t="str">
        <f ca="1">IF(INDIRECT("'SpxSp (step-b)'!$B" &amp; BW$16)=$Z21,INDIRECT("'SpxSp (step-b)'!$" &amp; 'SpxSp (step-b)'!$BC$23 &amp; BW$16),"")</f>
        <v/>
      </c>
      <c r="BX21" s="1317" t="str">
        <f ca="1">IF(INDIRECT("'SpxSp (step-b)'!$B" &amp; BX$16)=$Z21,INDIRECT("'SpxSp (step-b)'!$" &amp; 'SpxSp (step-b)'!$BC$23 &amp; BX$16),"")</f>
        <v/>
      </c>
      <c r="BY21" s="1317" t="str">
        <f ca="1">IF(INDIRECT("'SpxSp (step-b)'!$B" &amp; BY$16)=$Z21,INDIRECT("'SpxSp (step-b)'!$" &amp; 'SpxSp (step-b)'!$BC$23 &amp; BY$16),"")</f>
        <v/>
      </c>
      <c r="BZ21" s="1317" t="str">
        <f ca="1">IF(INDIRECT("'SpxSp (step-b)'!$B" &amp; BZ$16)=$Z21,INDIRECT("'SpxSp (step-b)'!$" &amp; 'SpxSp (step-b)'!$BC$23 &amp; BZ$16),"")</f>
        <v/>
      </c>
      <c r="CA21" s="1317" t="str">
        <f ca="1">IF(INDIRECT("'SpxSp (step-b)'!$B" &amp; CA$16)=$Z21,INDIRECT("'SpxSp (step-b)'!$" &amp; 'SpxSp (step-b)'!$BC$23 &amp; CA$16),"")</f>
        <v/>
      </c>
      <c r="CB21" s="1317" t="str">
        <f ca="1">IF(INDIRECT("'SpxSp (step-b)'!$B" &amp; CB$16)=$Z21,INDIRECT("'SpxSp (step-b)'!$" &amp; 'SpxSp (step-b)'!$BC$23 &amp; CB$16),"")</f>
        <v/>
      </c>
      <c r="CC21" s="1317" t="str">
        <f ca="1">IF(INDIRECT("'SpxSp (step-b)'!$B" &amp; CC$16)=$Z21,INDIRECT("'SpxSp (step-b)'!$" &amp; 'SpxSp (step-b)'!$BC$23 &amp; CC$16),"")</f>
        <v/>
      </c>
      <c r="CD21" s="1317" t="str">
        <f ca="1">IF(INDIRECT("'SpxSp (step-b)'!$B" &amp; CD$16)=$Z21,INDIRECT("'SpxSp (step-b)'!$" &amp; 'SpxSp (step-b)'!$BC$23 &amp; CD$16),"")</f>
        <v/>
      </c>
      <c r="CE21" s="1317" t="str">
        <f ca="1">IF(INDIRECT("'SpxSp (step-b)'!$B" &amp; CE$16)=$Z21,INDIRECT("'SpxSp (step-b)'!$" &amp; 'SpxSp (step-b)'!$BC$23 &amp; CE$16),"")</f>
        <v/>
      </c>
      <c r="CF21" s="1317" t="str">
        <f ca="1">IF(INDIRECT("'SpxSp (step-b)'!$B" &amp; CF$16)=$Z21,INDIRECT("'SpxSp (step-b)'!$" &amp; 'SpxSp (step-b)'!$BC$23 &amp; CF$16),"")</f>
        <v/>
      </c>
      <c r="CG21" s="1317" t="str">
        <f ca="1">IF(INDIRECT("'SpxSp (step-b)'!$B" &amp; CG$16)=$Z21,INDIRECT("'SpxSp (step-b)'!$" &amp; 'SpxSp (step-b)'!$BC$23 &amp; CG$16),"")</f>
        <v/>
      </c>
      <c r="CH21" s="1317" t="str">
        <f ca="1">IF(INDIRECT("'SpxSp (step-b)'!$B" &amp; CH$16)=$Z21,INDIRECT("'SpxSp (step-b)'!$" &amp; 'SpxSp (step-b)'!$BC$23 &amp; CH$16),"")</f>
        <v/>
      </c>
      <c r="CI21" s="1317" t="str">
        <f ca="1">IF(INDIRECT("'SpxSp (step-b)'!$B" &amp; CI$16)=$Z21,INDIRECT("'SpxSp (step-b)'!$" &amp; 'SpxSp (step-b)'!$BC$23 &amp; CI$16),"")</f>
        <v/>
      </c>
      <c r="CJ21" s="1317" t="str">
        <f ca="1">IF(INDIRECT("'SpxSp (step-b)'!$B" &amp; CJ$16)=$Z21,INDIRECT("'SpxSp (step-b)'!$" &amp; 'SpxSp (step-b)'!$BC$23 &amp; CJ$16),"")</f>
        <v/>
      </c>
      <c r="CK21" s="1317" t="str">
        <f ca="1">IF(INDIRECT("'SpxSp (step-b)'!$B" &amp; CK$16)=$Z21,INDIRECT("'SpxSp (step-b)'!$" &amp; 'SpxSp (step-b)'!$BC$23 &amp; CK$16),"")</f>
        <v/>
      </c>
      <c r="CL21" s="1317" t="str">
        <f ca="1">IF(INDIRECT("'SpxSp (step-b)'!$B" &amp; CL$16)=$Z21,INDIRECT("'SpxSp (step-b)'!$" &amp; 'SpxSp (step-b)'!$BC$23 &amp; CL$16),"")</f>
        <v/>
      </c>
      <c r="CM21" s="1317" t="str">
        <f ca="1">IF(INDIRECT("'SpxSp (step-b)'!$B" &amp; CM$16)=$Z21,INDIRECT("'SpxSp (step-b)'!$" &amp; 'SpxSp (step-b)'!$BC$23 &amp; CM$16),"")</f>
        <v/>
      </c>
      <c r="CN21" s="1317" t="str">
        <f ca="1">IF(INDIRECT("'SpxSp (step-b)'!$B" &amp; CN$16)=$Z21,INDIRECT("'SpxSp (step-b)'!$" &amp; 'SpxSp (step-b)'!$BC$23 &amp; CN$16),"")</f>
        <v/>
      </c>
      <c r="CO21" s="1317" t="str">
        <f ca="1">IF(INDIRECT("'SpxSp (step-b)'!$B" &amp; CO$16)=$Z21,INDIRECT("'SpxSp (step-b)'!$" &amp; 'SpxSp (step-b)'!$BC$23 &amp; CO$16),"")</f>
        <v/>
      </c>
      <c r="CP21" s="1317" t="str">
        <f ca="1">IF(INDIRECT("'SpxSp (step-b)'!$B" &amp; CP$16)=$Z21,INDIRECT("'SpxSp (step-b)'!$" &amp; 'SpxSp (step-b)'!$BC$23 &amp; CP$16),"")</f>
        <v/>
      </c>
      <c r="CQ21" s="1317" t="str">
        <f ca="1">IF(INDIRECT("'SpxSp (step-b)'!$B" &amp; CQ$16)=$Z21,INDIRECT("'SpxSp (step-b)'!$" &amp; 'SpxSp (step-b)'!$BC$23 &amp; CQ$16),"")</f>
        <v/>
      </c>
      <c r="CR21" s="1317" t="str">
        <f ca="1">IF(INDIRECT("'SpxSp (step-b)'!$B" &amp; CR$16)=$Z21,INDIRECT("'SpxSp (step-b)'!$" &amp; 'SpxSp (step-b)'!$BC$23 &amp; CR$16),"")</f>
        <v/>
      </c>
      <c r="CS21" s="1317" t="str">
        <f ca="1">IF(INDIRECT("'SpxSp (step-b)'!$B" &amp; CS$16)=$Z21,INDIRECT("'SpxSp (step-b)'!$" &amp; 'SpxSp (step-b)'!$BC$23 &amp; CS$16),"")</f>
        <v/>
      </c>
      <c r="CT21" s="1317" t="str">
        <f ca="1">IF(INDIRECT("'SpxSp (step-b)'!$B" &amp; CT$16)=$Z21,INDIRECT("'SpxSp (step-b)'!$" &amp; 'SpxSp (step-b)'!$BC$23 &amp; CT$16),"")</f>
        <v/>
      </c>
      <c r="CU21" s="1317" t="str">
        <f ca="1">IF(INDIRECT("'SpxSp (step-b)'!$B" &amp; CU$16)=$Z21,INDIRECT("'SpxSp (step-b)'!$" &amp; 'SpxSp (step-b)'!$BC$23 &amp; CU$16),"")</f>
        <v/>
      </c>
      <c r="CV21" s="1317" t="str">
        <f ca="1">IF(INDIRECT("'SpxSp (step-b)'!$B" &amp; CV$16)=$Z21,INDIRECT("'SpxSp (step-b)'!$" &amp; 'SpxSp (step-b)'!$BC$23 &amp; CV$16),"")</f>
        <v/>
      </c>
      <c r="CW21" s="1317" t="str">
        <f ca="1">IF(INDIRECT("'SpxSp (step-b)'!$B" &amp; CW$16)=$Z21,INDIRECT("'SpxSp (step-b)'!$" &amp; 'SpxSp (step-b)'!$BC$23 &amp; CW$16),"")</f>
        <v/>
      </c>
      <c r="CX21" s="1317" t="str">
        <f ca="1">IF(INDIRECT("'SpxSp (step-b)'!$B" &amp; CX$16)=$Z21,INDIRECT("'SpxSp (step-b)'!$" &amp; 'SpxSp (step-b)'!$BC$23 &amp; CX$16),"")</f>
        <v/>
      </c>
      <c r="CY21" s="1317" t="str">
        <f ca="1">IF(INDIRECT("'SpxSp (step-b)'!$B" &amp; CY$16)=$Z21,INDIRECT("'SpxSp (step-b)'!$" &amp; 'SpxSp (step-b)'!$BC$23 &amp; CY$16),"")</f>
        <v/>
      </c>
      <c r="CZ21" s="1317" t="str">
        <f ca="1">IF(INDIRECT("'SpxSp (step-b)'!$B" &amp; CZ$16)=$Z21,INDIRECT("'SpxSp (step-b)'!$" &amp; 'SpxSp (step-b)'!$BC$23 &amp; CZ$16),"")</f>
        <v/>
      </c>
      <c r="DA21" s="1317" t="str">
        <f ca="1">IF(INDIRECT("'SpxSp (step-b)'!$B" &amp; DA$16)=$Z21,INDIRECT("'SpxSp (step-b)'!$" &amp; 'SpxSp (step-b)'!$BC$23 &amp; DA$16),"")</f>
        <v/>
      </c>
      <c r="DB21" s="1317" t="str">
        <f ca="1">IF(INDIRECT("'SpxSp (step-b)'!$B" &amp; DB$16)=$Z21,INDIRECT("'SpxSp (step-b)'!$" &amp; 'SpxSp (step-b)'!$BC$23 &amp; DB$16),"")</f>
        <v/>
      </c>
      <c r="DC21" s="1317" t="str">
        <f ca="1">IF(INDIRECT("'SpxSp (step-b)'!$B" &amp; DC$16)=$Z21,INDIRECT("'SpxSp (step-b)'!$" &amp; 'SpxSp (step-b)'!$BC$23 &amp; DC$16),"")</f>
        <v/>
      </c>
      <c r="DD21" s="1317" t="str">
        <f ca="1">IF(INDIRECT("'SpxSp (step-b)'!$B" &amp; DD$16)=$Z21,INDIRECT("'SpxSp (step-b)'!$" &amp; 'SpxSp (step-b)'!$BC$23 &amp; DD$16),"")</f>
        <v/>
      </c>
      <c r="DE21" s="1317" t="str">
        <f ca="1">IF(INDIRECT("'SpxSp (step-b)'!$B" &amp; DE$16)=$Z21,INDIRECT("'SpxSp (step-b)'!$" &amp; 'SpxSp (step-b)'!$BC$23 &amp; DE$16),"")</f>
        <v/>
      </c>
      <c r="DF21" s="1317" t="str">
        <f ca="1">IF(INDIRECT("'SpxSp (step-b)'!$B" &amp; DF$16)=$Z21,INDIRECT("'SpxSp (step-b)'!$" &amp; 'SpxSp (step-b)'!$BC$23 &amp; DF$16),"")</f>
        <v/>
      </c>
      <c r="DG21" s="1317" t="str">
        <f ca="1">IF(INDIRECT("'SpxSp (step-b)'!$B" &amp; DG$16)=$Z21,INDIRECT("'SpxSp (step-b)'!$" &amp; 'SpxSp (step-b)'!$BC$23 &amp; DG$16),"")</f>
        <v/>
      </c>
      <c r="DH21" s="1317" t="str">
        <f ca="1">IF(INDIRECT("'SpxSp (step-b)'!$B" &amp; DH$16)=$Z21,INDIRECT("'SpxSp (step-b)'!$" &amp; 'SpxSp (step-b)'!$BC$23 &amp; DH$16),"")</f>
        <v/>
      </c>
      <c r="DI21" s="1317" t="str">
        <f ca="1">IF(INDIRECT("'SpxSp (step-b)'!$B" &amp; DI$16)=$Z21,INDIRECT("'SpxSp (step-b)'!$" &amp; 'SpxSp (step-b)'!$BC$23 &amp; DI$16),"")</f>
        <v/>
      </c>
      <c r="DJ21" s="1317" t="str">
        <f ca="1">IF(INDIRECT("'SpxSp (step-b)'!$B" &amp; DJ$16)=$Z21,INDIRECT("'SpxSp (step-b)'!$" &amp; 'SpxSp (step-b)'!$BC$23 &amp; DJ$16),"")</f>
        <v/>
      </c>
      <c r="DK21" s="1317" t="str">
        <f ca="1">IF(INDIRECT("'SpxSp (step-b)'!$B" &amp; DK$16)=$Z21,INDIRECT("'SpxSp (step-b)'!$" &amp; 'SpxSp (step-b)'!$BC$23 &amp; DK$16),"")</f>
        <v/>
      </c>
      <c r="DL21" s="1317" t="str">
        <f ca="1">IF(INDIRECT("'SpxSp (step-b)'!$B" &amp; DL$16)=$Z21,INDIRECT("'SpxSp (step-b)'!$" &amp; 'SpxSp (step-b)'!$BC$23 &amp; DL$16),"")</f>
        <v/>
      </c>
      <c r="DM21" s="1317" t="str">
        <f ca="1">IF(INDIRECT("'SpxSp (step-b)'!$B" &amp; DM$16)=$Z21,INDIRECT("'SpxSp (step-b)'!$" &amp; 'SpxSp (step-b)'!$BC$23 &amp; DM$16),"")</f>
        <v/>
      </c>
      <c r="DN21" s="1318" t="str">
        <f ca="1">CONCATENATE(BP21,BQ21,BR21,BS21,BT21,BU21,BV21,BW21,BX21,BY21,BZ21,CA21,CB21,CC21,CD21,CE21,CF21,CG21,CH21,CI21,CJ21,CK21,CL21,CM21,CN21,CO21,CP21,CQ21,CR21,CS21,CT21,CU21,CV21,CW21,CX21,CY21,CZ21,DA21,DB21,DC21,DD21,DE21,DF21,DG21,DH21,DI21,DJ21,DK21,DL21,DM21)</f>
        <v/>
      </c>
      <c r="DO21" s="1246" t="s">
        <v>1201</v>
      </c>
    </row>
    <row r="22" spans="2:119" ht="40" x14ac:dyDescent="0.2">
      <c r="B22" s="1450" t="str">
        <f t="shared" si="13"/>
        <v/>
      </c>
      <c r="C22" s="1451"/>
      <c r="D22" s="1451"/>
      <c r="E22" s="1451"/>
      <c r="F22" s="1452"/>
      <c r="G22" s="1319" t="str">
        <f t="shared" si="31"/>
        <v/>
      </c>
      <c r="H22" s="1320" t="str">
        <f t="shared" si="14"/>
        <v/>
      </c>
      <c r="I22" s="1321" t="str">
        <f t="shared" si="15"/>
        <v/>
      </c>
      <c r="J22" s="1296"/>
      <c r="K22" s="1322" t="str">
        <f>IFERROR(IF(OR(B22="",H22=0),"",VLOOKUP(B22,'SpxSp (step-c)'!B$18:O$67,6,FALSE)),"")</f>
        <v/>
      </c>
      <c r="L22" s="1323" t="str">
        <f ca="1">IFERROR(F(OR(B22="",H22=0),"",VLOOKUP($B22,'SpxSp (step-c)'!$B$18:O$67,12,FALSE)),"")</f>
        <v/>
      </c>
      <c r="M22" s="1321" t="str">
        <f ca="1">IF(AND(B22&lt;&gt;"",L22=""),"NA",IFERROR(VLOOKUP($B22,'SpxSp (step-c)'!$B$18:P$67,13,FALSE),""))</f>
        <v/>
      </c>
      <c r="N22" s="1324"/>
      <c r="O22" s="1322" t="str">
        <f>IFERROR(IF(OR(B22="",H22=0),"",VLOOKUP($B22,'SpxSp (step-d)'!$B$18:$P$67,12,FALSE)),"")</f>
        <v/>
      </c>
      <c r="P22" s="1323" t="str">
        <f>IFERROR(IF(OR(B22="",H22=0),"",VLOOKUP($B22,'SpxSp (step-d)'!$B$18:$P$67,13,FALSE)),"")</f>
        <v/>
      </c>
      <c r="Q22" s="1323" t="str">
        <f>IFERROR(IF(OR(B22="",H22=0),"",VLOOKUP($B22,'SpxSp (step-d)'!$B$18:$P$67,14,FALSE)),"")</f>
        <v/>
      </c>
      <c r="R22" s="1321" t="str">
        <f>IF(AND(B22&lt;&gt;"",P22=""),"NA",IFERROR(VLOOKUP(B22,'SpxSp (step-d)'!$B$18:$V$67,15,FALSE),""))</f>
        <v/>
      </c>
      <c r="S22" s="1296"/>
      <c r="T22" s="1325" t="str">
        <f t="shared" si="16"/>
        <v/>
      </c>
      <c r="U22" s="1326" t="str">
        <f t="shared" si="17"/>
        <v/>
      </c>
      <c r="Y22" s="1302">
        <v>5</v>
      </c>
      <c r="Z22" s="1303" t="str">
        <f>'SpxSp (step-a)'!B26</f>
        <v/>
      </c>
      <c r="AA22" s="1303" t="str">
        <f>'SpxSp (step-a)'!H26</f>
        <v/>
      </c>
      <c r="AB22" s="1290" t="str">
        <f>VLOOKUP($Z22,'SpxSp (step-a)'!$B$22:$O$71,AB$14,FALSE)</f>
        <v/>
      </c>
      <c r="AD22" s="1290" t="str">
        <f>IF(Z22="","",IFERROR(VLOOKUP($Z22,'SpxSp (step-a)'!$B$22:$O$71,AD$14,FALSE),0))</f>
        <v/>
      </c>
      <c r="AE22" s="1290" t="str">
        <f>IF(Z22="","",IFERROR(VLOOKUP($Z22,'SpxSp (step-a)'!$B$22:$O$71,AE$14,FALSE),0))</f>
        <v/>
      </c>
      <c r="AG22" s="1290" t="str">
        <f t="shared" si="4"/>
        <v/>
      </c>
      <c r="AI22" s="1290" t="str">
        <f>IF($Z22="","",SUMIFS('SpxSp (step-b)'!L$26:L$75,'SpxSp (step-b)'!B$26:B$75,Z22,'SpxSp (step-b)'!N$26:N$75,"New"))</f>
        <v/>
      </c>
      <c r="AJ22" s="1290" t="str">
        <f>IF($Z22="","",SUMIFS('SpxSp (step-b)'!$L$26:$L$75,'SpxSp (step-b)'!$B$26:$B$75,$Z22,'SpxSp (step-b)'!N$26:N$75,""))</f>
        <v/>
      </c>
      <c r="AK22" s="1290" t="str">
        <f>IF($Z22="","",SUMIFS('SpxSp (step-b)'!$J$26:$J$75,'SpxSp (step-b)'!$B$26:$B$75,$Z22,'SpxSp (step-b)'!$N$26:$N$75,"New")+SUMIFS('SpxSp (step-b)'!$J$26:$J$75,'SpxSp (step-b)'!$B$26:$B$75,$Z22,'SpxSp (step-b)'!$N$26:$N$75,""))</f>
        <v/>
      </c>
      <c r="AL22" s="1290" t="str">
        <f>IF($Z22="","",SUMIFS('SpxSp (step-b)'!$L$26:$L$75,'SpxSp (step-b)'!$B$26:$B$75,$Z22,'SpxSp (step-b)'!$N$26:$N$75,"Existing Remains"))</f>
        <v/>
      </c>
      <c r="AM22" s="1290" t="str">
        <f>IF($Z22="","",SUMIFS('SpxSp (step-b)'!$L$26:$L$75,'SpxSp (step-b)'!$B$26:$B$75,$Z22,'SpxSp (step-b)'!$N$26:$N$75,"Existing Removed"))</f>
        <v/>
      </c>
      <c r="AN22" s="1290" t="str">
        <f>IF($Z22="","",SUMIFS('SpxSp (step-b)'!$J$26:$J$75,'SpxSp (step-b)'!$B$26:$B$75,$Z22,'SpxSp (step-b)'!$N$26:$N$75,"Existing Removed"))</f>
        <v/>
      </c>
      <c r="AO22" s="1290" t="str">
        <f t="shared" si="5"/>
        <v/>
      </c>
      <c r="AP22" s="1290" t="str">
        <f t="shared" si="18"/>
        <v/>
      </c>
      <c r="AQ22" s="1304"/>
      <c r="AR22" s="1305" t="str">
        <f t="shared" si="19"/>
        <v/>
      </c>
      <c r="AS22" s="1306" t="str">
        <f t="shared" si="20"/>
        <v/>
      </c>
      <c r="AT22" s="1307"/>
      <c r="AU22" s="1308" t="str">
        <f t="shared" si="21"/>
        <v/>
      </c>
      <c r="AV22" s="1309" t="str">
        <f t="shared" si="6"/>
        <v/>
      </c>
      <c r="AW22" s="1309" t="str">
        <f t="shared" si="22"/>
        <v/>
      </c>
      <c r="AX22" s="1310" t="str">
        <f t="shared" si="23"/>
        <v/>
      </c>
      <c r="AY22" s="1307"/>
      <c r="AZ22" s="1311" t="str">
        <f t="shared" si="24"/>
        <v/>
      </c>
      <c r="BA22" s="1309" t="str">
        <f t="shared" si="25"/>
        <v/>
      </c>
      <c r="BB22" s="1310" t="str">
        <f t="shared" si="26"/>
        <v/>
      </c>
      <c r="BC22" s="1312"/>
      <c r="BD22" s="1313" t="str">
        <f t="shared" si="9"/>
        <v/>
      </c>
      <c r="BE22" s="1290" t="str">
        <f t="shared" si="27"/>
        <v/>
      </c>
      <c r="BF22" s="1290" t="str">
        <f t="shared" si="28"/>
        <v/>
      </c>
      <c r="BH22" s="1315" t="str">
        <f t="shared" si="10"/>
        <v/>
      </c>
      <c r="BI22" s="1315" t="str">
        <f t="shared" si="11"/>
        <v/>
      </c>
      <c r="BJ22" s="1303" t="str">
        <f>IF(OR(BH22="Fail",BH22="Fail LPA",BH22=""),"",'SpxSp (step-a)'!CM26)</f>
        <v/>
      </c>
      <c r="BK22" s="1290">
        <f t="shared" si="30"/>
        <v>0</v>
      </c>
      <c r="BN22" s="178">
        <v>5</v>
      </c>
      <c r="BO22" s="1316" t="str">
        <f t="shared" ca="1" si="29"/>
        <v/>
      </c>
      <c r="BP22" s="1317" t="str">
        <f ca="1">IF(INDIRECT("'SpxSp (step-b)'!$B" &amp; BP$16)=$Z22,INDIRECT("'SpxSp (step-b)'!$" &amp; 'SpxSp (step-b)'!$BC$23 &amp; BP$16),"")</f>
        <v/>
      </c>
      <c r="BQ22" s="1317" t="str">
        <f ca="1">IF(INDIRECT("'SpxSp (step-b)'!$B" &amp; BQ$16)=$Z22,INDIRECT("'SpxSp (step-b)'!$" &amp; 'SpxSp (step-b)'!$BC$23 &amp; BQ$16),"")</f>
        <v/>
      </c>
      <c r="BR22" s="1317" t="str">
        <f ca="1">IF(INDIRECT("'SpxSp (step-b)'!$B" &amp; BR$16)=$Z22,INDIRECT("'SpxSp (step-b)'!$" &amp; 'SpxSp (step-b)'!$BC$23 &amp; BR$16),"")</f>
        <v/>
      </c>
      <c r="BS22" s="1317" t="str">
        <f ca="1">IF(INDIRECT("'SpxSp (step-b)'!$B" &amp; BS$16)=$Z22,INDIRECT("'SpxSp (step-b)'!$" &amp; 'SpxSp (step-b)'!$BC$23 &amp; BS$16),"")</f>
        <v/>
      </c>
      <c r="BT22" s="1317" t="str">
        <f ca="1">IF(INDIRECT("'SpxSp (step-b)'!$B" &amp; BT$16)=$Z22,INDIRECT("'SpxSp (step-b)'!$" &amp; 'SpxSp (step-b)'!$BC$23 &amp; BT$16),"")</f>
        <v/>
      </c>
      <c r="BU22" s="1317" t="str">
        <f ca="1">IF(INDIRECT("'SpxSp (step-b)'!$B" &amp; BU$16)=$Z22,INDIRECT("'SpxSp (step-b)'!$" &amp; 'SpxSp (step-b)'!$BC$23 &amp; BU$16),"")</f>
        <v/>
      </c>
      <c r="BV22" s="1317" t="str">
        <f ca="1">IF(INDIRECT("'SpxSp (step-b)'!$B" &amp; BV$16)=$Z22,INDIRECT("'SpxSp (step-b)'!$" &amp; 'SpxSp (step-b)'!$BC$23 &amp; BV$16),"")</f>
        <v/>
      </c>
      <c r="BW22" s="1317" t="str">
        <f ca="1">IF(INDIRECT("'SpxSp (step-b)'!$B" &amp; BW$16)=$Z22,INDIRECT("'SpxSp (step-b)'!$" &amp; 'SpxSp (step-b)'!$BC$23 &amp; BW$16),"")</f>
        <v/>
      </c>
      <c r="BX22" s="1317" t="str">
        <f ca="1">IF(INDIRECT("'SpxSp (step-b)'!$B" &amp; BX$16)=$Z22,INDIRECT("'SpxSp (step-b)'!$" &amp; 'SpxSp (step-b)'!$BC$23 &amp; BX$16),"")</f>
        <v/>
      </c>
      <c r="BY22" s="1317" t="str">
        <f ca="1">IF(INDIRECT("'SpxSp (step-b)'!$B" &amp; BY$16)=$Z22,INDIRECT("'SpxSp (step-b)'!$" &amp; 'SpxSp (step-b)'!$BC$23 &amp; BY$16),"")</f>
        <v/>
      </c>
      <c r="BZ22" s="1317" t="str">
        <f ca="1">IF(INDIRECT("'SpxSp (step-b)'!$B" &amp; BZ$16)=$Z22,INDIRECT("'SpxSp (step-b)'!$" &amp; 'SpxSp (step-b)'!$BC$23 &amp; BZ$16),"")</f>
        <v/>
      </c>
      <c r="CA22" s="1317" t="str">
        <f ca="1">IF(INDIRECT("'SpxSp (step-b)'!$B" &amp; CA$16)=$Z22,INDIRECT("'SpxSp (step-b)'!$" &amp; 'SpxSp (step-b)'!$BC$23 &amp; CA$16),"")</f>
        <v/>
      </c>
      <c r="CB22" s="1317" t="str">
        <f ca="1">IF(INDIRECT("'SpxSp (step-b)'!$B" &amp; CB$16)=$Z22,INDIRECT("'SpxSp (step-b)'!$" &amp; 'SpxSp (step-b)'!$BC$23 &amp; CB$16),"")</f>
        <v/>
      </c>
      <c r="CC22" s="1317" t="str">
        <f ca="1">IF(INDIRECT("'SpxSp (step-b)'!$B" &amp; CC$16)=$Z22,INDIRECT("'SpxSp (step-b)'!$" &amp; 'SpxSp (step-b)'!$BC$23 &amp; CC$16),"")</f>
        <v/>
      </c>
      <c r="CD22" s="1317" t="str">
        <f ca="1">IF(INDIRECT("'SpxSp (step-b)'!$B" &amp; CD$16)=$Z22,INDIRECT("'SpxSp (step-b)'!$" &amp; 'SpxSp (step-b)'!$BC$23 &amp; CD$16),"")</f>
        <v/>
      </c>
      <c r="CE22" s="1317" t="str">
        <f ca="1">IF(INDIRECT("'SpxSp (step-b)'!$B" &amp; CE$16)=$Z22,INDIRECT("'SpxSp (step-b)'!$" &amp; 'SpxSp (step-b)'!$BC$23 &amp; CE$16),"")</f>
        <v/>
      </c>
      <c r="CF22" s="1317" t="str">
        <f ca="1">IF(INDIRECT("'SpxSp (step-b)'!$B" &amp; CF$16)=$Z22,INDIRECT("'SpxSp (step-b)'!$" &amp; 'SpxSp (step-b)'!$BC$23 &amp; CF$16),"")</f>
        <v/>
      </c>
      <c r="CG22" s="1317" t="str">
        <f ca="1">IF(INDIRECT("'SpxSp (step-b)'!$B" &amp; CG$16)=$Z22,INDIRECT("'SpxSp (step-b)'!$" &amp; 'SpxSp (step-b)'!$BC$23 &amp; CG$16),"")</f>
        <v/>
      </c>
      <c r="CH22" s="1317" t="str">
        <f ca="1">IF(INDIRECT("'SpxSp (step-b)'!$B" &amp; CH$16)=$Z22,INDIRECT("'SpxSp (step-b)'!$" &amp; 'SpxSp (step-b)'!$BC$23 &amp; CH$16),"")</f>
        <v/>
      </c>
      <c r="CI22" s="1317" t="str">
        <f ca="1">IF(INDIRECT("'SpxSp (step-b)'!$B" &amp; CI$16)=$Z22,INDIRECT("'SpxSp (step-b)'!$" &amp; 'SpxSp (step-b)'!$BC$23 &amp; CI$16),"")</f>
        <v/>
      </c>
      <c r="CJ22" s="1317" t="str">
        <f ca="1">IF(INDIRECT("'SpxSp (step-b)'!$B" &amp; CJ$16)=$Z22,INDIRECT("'SpxSp (step-b)'!$" &amp; 'SpxSp (step-b)'!$BC$23 &amp; CJ$16),"")</f>
        <v/>
      </c>
      <c r="CK22" s="1317" t="str">
        <f ca="1">IF(INDIRECT("'SpxSp (step-b)'!$B" &amp; CK$16)=$Z22,INDIRECT("'SpxSp (step-b)'!$" &amp; 'SpxSp (step-b)'!$BC$23 &amp; CK$16),"")</f>
        <v/>
      </c>
      <c r="CL22" s="1317" t="str">
        <f ca="1">IF(INDIRECT("'SpxSp (step-b)'!$B" &amp; CL$16)=$Z22,INDIRECT("'SpxSp (step-b)'!$" &amp; 'SpxSp (step-b)'!$BC$23 &amp; CL$16),"")</f>
        <v/>
      </c>
      <c r="CM22" s="1317" t="str">
        <f ca="1">IF(INDIRECT("'SpxSp (step-b)'!$B" &amp; CM$16)=$Z22,INDIRECT("'SpxSp (step-b)'!$" &amp; 'SpxSp (step-b)'!$BC$23 &amp; CM$16),"")</f>
        <v/>
      </c>
      <c r="CN22" s="1317" t="str">
        <f ca="1">IF(INDIRECT("'SpxSp (step-b)'!$B" &amp; CN$16)=$Z22,INDIRECT("'SpxSp (step-b)'!$" &amp; 'SpxSp (step-b)'!$BC$23 &amp; CN$16),"")</f>
        <v/>
      </c>
      <c r="CO22" s="1317" t="str">
        <f ca="1">IF(INDIRECT("'SpxSp (step-b)'!$B" &amp; CO$16)=$Z22,INDIRECT("'SpxSp (step-b)'!$" &amp; 'SpxSp (step-b)'!$BC$23 &amp; CO$16),"")</f>
        <v/>
      </c>
      <c r="CP22" s="1317" t="str">
        <f ca="1">IF(INDIRECT("'SpxSp (step-b)'!$B" &amp; CP$16)=$Z22,INDIRECT("'SpxSp (step-b)'!$" &amp; 'SpxSp (step-b)'!$BC$23 &amp; CP$16),"")</f>
        <v/>
      </c>
      <c r="CQ22" s="1317" t="str">
        <f ca="1">IF(INDIRECT("'SpxSp (step-b)'!$B" &amp; CQ$16)=$Z22,INDIRECT("'SpxSp (step-b)'!$" &amp; 'SpxSp (step-b)'!$BC$23 &amp; CQ$16),"")</f>
        <v/>
      </c>
      <c r="CR22" s="1317" t="str">
        <f ca="1">IF(INDIRECT("'SpxSp (step-b)'!$B" &amp; CR$16)=$Z22,INDIRECT("'SpxSp (step-b)'!$" &amp; 'SpxSp (step-b)'!$BC$23 &amp; CR$16),"")</f>
        <v/>
      </c>
      <c r="CS22" s="1317" t="str">
        <f ca="1">IF(INDIRECT("'SpxSp (step-b)'!$B" &amp; CS$16)=$Z22,INDIRECT("'SpxSp (step-b)'!$" &amp; 'SpxSp (step-b)'!$BC$23 &amp; CS$16),"")</f>
        <v/>
      </c>
      <c r="CT22" s="1317" t="str">
        <f ca="1">IF(INDIRECT("'SpxSp (step-b)'!$B" &amp; CT$16)=$Z22,INDIRECT("'SpxSp (step-b)'!$" &amp; 'SpxSp (step-b)'!$BC$23 &amp; CT$16),"")</f>
        <v/>
      </c>
      <c r="CU22" s="1317" t="str">
        <f ca="1">IF(INDIRECT("'SpxSp (step-b)'!$B" &amp; CU$16)=$Z22,INDIRECT("'SpxSp (step-b)'!$" &amp; 'SpxSp (step-b)'!$BC$23 &amp; CU$16),"")</f>
        <v/>
      </c>
      <c r="CV22" s="1317" t="str">
        <f ca="1">IF(INDIRECT("'SpxSp (step-b)'!$B" &amp; CV$16)=$Z22,INDIRECT("'SpxSp (step-b)'!$" &amp; 'SpxSp (step-b)'!$BC$23 &amp; CV$16),"")</f>
        <v/>
      </c>
      <c r="CW22" s="1317" t="str">
        <f ca="1">IF(INDIRECT("'SpxSp (step-b)'!$B" &amp; CW$16)=$Z22,INDIRECT("'SpxSp (step-b)'!$" &amp; 'SpxSp (step-b)'!$BC$23 &amp; CW$16),"")</f>
        <v/>
      </c>
      <c r="CX22" s="1317" t="str">
        <f ca="1">IF(INDIRECT("'SpxSp (step-b)'!$B" &amp; CX$16)=$Z22,INDIRECT("'SpxSp (step-b)'!$" &amp; 'SpxSp (step-b)'!$BC$23 &amp; CX$16),"")</f>
        <v/>
      </c>
      <c r="CY22" s="1317" t="str">
        <f ca="1">IF(INDIRECT("'SpxSp (step-b)'!$B" &amp; CY$16)=$Z22,INDIRECT("'SpxSp (step-b)'!$" &amp; 'SpxSp (step-b)'!$BC$23 &amp; CY$16),"")</f>
        <v/>
      </c>
      <c r="CZ22" s="1317" t="str">
        <f ca="1">IF(INDIRECT("'SpxSp (step-b)'!$B" &amp; CZ$16)=$Z22,INDIRECT("'SpxSp (step-b)'!$" &amp; 'SpxSp (step-b)'!$BC$23 &amp; CZ$16),"")</f>
        <v/>
      </c>
      <c r="DA22" s="1317" t="str">
        <f ca="1">IF(INDIRECT("'SpxSp (step-b)'!$B" &amp; DA$16)=$Z22,INDIRECT("'SpxSp (step-b)'!$" &amp; 'SpxSp (step-b)'!$BC$23 &amp; DA$16),"")</f>
        <v/>
      </c>
      <c r="DB22" s="1317" t="str">
        <f ca="1">IF(INDIRECT("'SpxSp (step-b)'!$B" &amp; DB$16)=$Z22,INDIRECT("'SpxSp (step-b)'!$" &amp; 'SpxSp (step-b)'!$BC$23 &amp; DB$16),"")</f>
        <v/>
      </c>
      <c r="DC22" s="1317" t="str">
        <f ca="1">IF(INDIRECT("'SpxSp (step-b)'!$B" &amp; DC$16)=$Z22,INDIRECT("'SpxSp (step-b)'!$" &amp; 'SpxSp (step-b)'!$BC$23 &amp; DC$16),"")</f>
        <v/>
      </c>
      <c r="DD22" s="1317" t="str">
        <f ca="1">IF(INDIRECT("'SpxSp (step-b)'!$B" &amp; DD$16)=$Z22,INDIRECT("'SpxSp (step-b)'!$" &amp; 'SpxSp (step-b)'!$BC$23 &amp; DD$16),"")</f>
        <v/>
      </c>
      <c r="DE22" s="1317" t="str">
        <f ca="1">IF(INDIRECT("'SpxSp (step-b)'!$B" &amp; DE$16)=$Z22,INDIRECT("'SpxSp (step-b)'!$" &amp; 'SpxSp (step-b)'!$BC$23 &amp; DE$16),"")</f>
        <v/>
      </c>
      <c r="DF22" s="1317" t="str">
        <f ca="1">IF(INDIRECT("'SpxSp (step-b)'!$B" &amp; DF$16)=$Z22,INDIRECT("'SpxSp (step-b)'!$" &amp; 'SpxSp (step-b)'!$BC$23 &amp; DF$16),"")</f>
        <v/>
      </c>
      <c r="DG22" s="1317" t="str">
        <f ca="1">IF(INDIRECT("'SpxSp (step-b)'!$B" &amp; DG$16)=$Z22,INDIRECT("'SpxSp (step-b)'!$" &amp; 'SpxSp (step-b)'!$BC$23 &amp; DG$16),"")</f>
        <v/>
      </c>
      <c r="DH22" s="1317" t="str">
        <f ca="1">IF(INDIRECT("'SpxSp (step-b)'!$B" &amp; DH$16)=$Z22,INDIRECT("'SpxSp (step-b)'!$" &amp; 'SpxSp (step-b)'!$BC$23 &amp; DH$16),"")</f>
        <v/>
      </c>
      <c r="DI22" s="1317" t="str">
        <f ca="1">IF(INDIRECT("'SpxSp (step-b)'!$B" &amp; DI$16)=$Z22,INDIRECT("'SpxSp (step-b)'!$" &amp; 'SpxSp (step-b)'!$BC$23 &amp; DI$16),"")</f>
        <v/>
      </c>
      <c r="DJ22" s="1317" t="str">
        <f ca="1">IF(INDIRECT("'SpxSp (step-b)'!$B" &amp; DJ$16)=$Z22,INDIRECT("'SpxSp (step-b)'!$" &amp; 'SpxSp (step-b)'!$BC$23 &amp; DJ$16),"")</f>
        <v/>
      </c>
      <c r="DK22" s="1317" t="str">
        <f ca="1">IF(INDIRECT("'SpxSp (step-b)'!$B" &amp; DK$16)=$Z22,INDIRECT("'SpxSp (step-b)'!$" &amp; 'SpxSp (step-b)'!$BC$23 &amp; DK$16),"")</f>
        <v/>
      </c>
      <c r="DL22" s="1317" t="str">
        <f ca="1">IF(INDIRECT("'SpxSp (step-b)'!$B" &amp; DL$16)=$Z22,INDIRECT("'SpxSp (step-b)'!$" &amp; 'SpxSp (step-b)'!$BC$23 &amp; DL$16),"")</f>
        <v/>
      </c>
      <c r="DM22" s="1317" t="str">
        <f ca="1">IF(INDIRECT("'SpxSp (step-b)'!$B" &amp; DM$16)=$Z22,INDIRECT("'SpxSp (step-b)'!$" &amp; 'SpxSp (step-b)'!$BC$23 &amp; DM$16),"")</f>
        <v/>
      </c>
      <c r="DN22" s="1318" t="str">
        <f t="shared" ref="DN22:DN67" ca="1" si="32">CONCATENATE(BP22,BQ22,BR22,BS22,BT22,BU22,BV22,BW22,BX22,BY22,BZ22,CA22,CB22,CC22,CD22,CE22,CF22,CG22,CH22,CI22,CJ22,CK22,CL22,CM22,CN22,CO22,CP22,CQ22,CR22,CS22,CT22,CU22,CV22,CW22,CX22,CY22,CZ22,DA22,DB22,DC22,DD22,DE22,DF22,DG22,DH22,DI22,DJ22,DK22,DL22,DM22)</f>
        <v/>
      </c>
      <c r="DO22" s="1246" t="s">
        <v>1201</v>
      </c>
    </row>
    <row r="23" spans="2:119" ht="40" x14ac:dyDescent="0.2">
      <c r="B23" s="1450" t="str">
        <f t="shared" si="13"/>
        <v/>
      </c>
      <c r="C23" s="1451"/>
      <c r="D23" s="1451"/>
      <c r="E23" s="1451"/>
      <c r="F23" s="1452"/>
      <c r="G23" s="1319" t="str">
        <f t="shared" si="31"/>
        <v/>
      </c>
      <c r="H23" s="1320" t="str">
        <f t="shared" si="14"/>
        <v/>
      </c>
      <c r="I23" s="1321" t="str">
        <f t="shared" si="15"/>
        <v/>
      </c>
      <c r="J23" s="1296"/>
      <c r="K23" s="1322" t="str">
        <f>IFERROR(IF(OR(B23="",H23=0),"",VLOOKUP(B23,'SpxSp (step-c)'!B$18:O$67,6,FALSE)),"")</f>
        <v/>
      </c>
      <c r="L23" s="1323" t="str">
        <f ca="1">IFERROR(F(OR(B23="",H23=0),"",VLOOKUP($B23,'SpxSp (step-c)'!$B$18:O$67,12,FALSE)),"")</f>
        <v/>
      </c>
      <c r="M23" s="1321" t="str">
        <f ca="1">IF(AND(B23&lt;&gt;"",L23=""),"NA",IFERROR(VLOOKUP($B23,'SpxSp (step-c)'!$B$18:P$67,13,FALSE),""))</f>
        <v/>
      </c>
      <c r="N23" s="1324"/>
      <c r="O23" s="1322" t="str">
        <f>IFERROR(IF(OR(B23="",H23=0),"",VLOOKUP($B23,'SpxSp (step-d)'!$B$18:$P$67,12,FALSE)),"")</f>
        <v/>
      </c>
      <c r="P23" s="1323" t="str">
        <f>IFERROR(IF(OR(B23="",H23=0),"",VLOOKUP($B23,'SpxSp (step-d)'!$B$18:$P$67,13,FALSE)),"")</f>
        <v/>
      </c>
      <c r="Q23" s="1323" t="str">
        <f>IFERROR(IF(OR(B23="",H23=0),"",VLOOKUP($B23,'SpxSp (step-d)'!$B$18:$P$67,14,FALSE)),"")</f>
        <v/>
      </c>
      <c r="R23" s="1321" t="str">
        <f>IF(AND(B23&lt;&gt;"",P23=""),"NA",IFERROR(VLOOKUP(B23,'SpxSp (step-d)'!$B$18:$V$67,15,FALSE),""))</f>
        <v/>
      </c>
      <c r="S23" s="1296"/>
      <c r="T23" s="1325" t="str">
        <f t="shared" si="16"/>
        <v/>
      </c>
      <c r="U23" s="1326" t="str">
        <f t="shared" si="17"/>
        <v/>
      </c>
      <c r="Y23" s="1302">
        <v>6</v>
      </c>
      <c r="Z23" s="1303" t="str">
        <f>'SpxSp (step-a)'!B27</f>
        <v/>
      </c>
      <c r="AA23" s="1303" t="str">
        <f>'SpxSp (step-a)'!H27</f>
        <v/>
      </c>
      <c r="AB23" s="1290" t="str">
        <f>VLOOKUP($Z23,'SpxSp (step-a)'!$B$22:$O$71,AB$14,FALSE)</f>
        <v/>
      </c>
      <c r="AD23" s="1290" t="str">
        <f>IF(Z23="","",IFERROR(VLOOKUP($Z23,'SpxSp (step-a)'!$B$22:$O$71,AD$14,FALSE),0))</f>
        <v/>
      </c>
      <c r="AE23" s="1290" t="str">
        <f>IF(Z23="","",IFERROR(VLOOKUP($Z23,'SpxSp (step-a)'!$B$22:$O$71,AE$14,FALSE),0))</f>
        <v/>
      </c>
      <c r="AG23" s="1290" t="str">
        <f t="shared" si="4"/>
        <v/>
      </c>
      <c r="AI23" s="1290" t="str">
        <f>IF($Z23="","",SUMIFS('SpxSp (step-b)'!L$26:L$75,'SpxSp (step-b)'!B$26:B$75,Z23,'SpxSp (step-b)'!N$26:N$75,"New"))</f>
        <v/>
      </c>
      <c r="AJ23" s="1290" t="str">
        <f>IF($Z23="","",SUMIFS('SpxSp (step-b)'!$L$26:$L$75,'SpxSp (step-b)'!$B$26:$B$75,$Z23,'SpxSp (step-b)'!N$26:N$75,""))</f>
        <v/>
      </c>
      <c r="AK23" s="1290" t="str">
        <f>IF($Z23="","",SUMIFS('SpxSp (step-b)'!$J$26:$J$75,'SpxSp (step-b)'!$B$26:$B$75,$Z23,'SpxSp (step-b)'!$N$26:$N$75,"New")+SUMIFS('SpxSp (step-b)'!$J$26:$J$75,'SpxSp (step-b)'!$B$26:$B$75,$Z23,'SpxSp (step-b)'!$N$26:$N$75,""))</f>
        <v/>
      </c>
      <c r="AL23" s="1290" t="str">
        <f>IF($Z23="","",SUMIFS('SpxSp (step-b)'!$L$26:$L$75,'SpxSp (step-b)'!$B$26:$B$75,$Z23,'SpxSp (step-b)'!$N$26:$N$75,"Existing Remains"))</f>
        <v/>
      </c>
      <c r="AM23" s="1290" t="str">
        <f>IF($Z23="","",SUMIFS('SpxSp (step-b)'!$L$26:$L$75,'SpxSp (step-b)'!$B$26:$B$75,$Z23,'SpxSp (step-b)'!$N$26:$N$75,"Existing Removed"))</f>
        <v/>
      </c>
      <c r="AN23" s="1290" t="str">
        <f>IF($Z23="","",SUMIFS('SpxSp (step-b)'!$J$26:$J$75,'SpxSp (step-b)'!$B$26:$B$75,$Z23,'SpxSp (step-b)'!$N$26:$N$75,"Existing Removed"))</f>
        <v/>
      </c>
      <c r="AO23" s="1290" t="str">
        <f t="shared" si="5"/>
        <v/>
      </c>
      <c r="AP23" s="1290" t="str">
        <f t="shared" si="18"/>
        <v/>
      </c>
      <c r="AQ23" s="1304"/>
      <c r="AR23" s="1305" t="str">
        <f t="shared" si="19"/>
        <v/>
      </c>
      <c r="AS23" s="1306" t="str">
        <f t="shared" si="20"/>
        <v/>
      </c>
      <c r="AT23" s="1307"/>
      <c r="AU23" s="1308" t="str">
        <f t="shared" si="21"/>
        <v/>
      </c>
      <c r="AV23" s="1309" t="str">
        <f t="shared" si="6"/>
        <v/>
      </c>
      <c r="AW23" s="1309" t="str">
        <f t="shared" si="22"/>
        <v/>
      </c>
      <c r="AX23" s="1310" t="str">
        <f t="shared" si="23"/>
        <v/>
      </c>
      <c r="AY23" s="1307"/>
      <c r="AZ23" s="1311" t="str">
        <f t="shared" si="24"/>
        <v/>
      </c>
      <c r="BA23" s="1309" t="str">
        <f t="shared" si="25"/>
        <v/>
      </c>
      <c r="BB23" s="1310" t="str">
        <f t="shared" si="26"/>
        <v/>
      </c>
      <c r="BC23" s="1312"/>
      <c r="BD23" s="1313" t="str">
        <f>IF(OR(AP23=0,Z23=""),"",IF(AW$11=FALSE,"",IF(OR(AX23="Pass",BB23="Pass"),"Pass","Fail")))</f>
        <v/>
      </c>
      <c r="BE23" s="1290" t="str">
        <f t="shared" si="27"/>
        <v/>
      </c>
      <c r="BF23" s="1290" t="str">
        <f t="shared" si="28"/>
        <v/>
      </c>
      <c r="BH23" s="1315" t="str">
        <f t="shared" si="10"/>
        <v/>
      </c>
      <c r="BI23" s="1315" t="str">
        <f t="shared" si="11"/>
        <v/>
      </c>
      <c r="BJ23" s="1303" t="str">
        <f>IF(OR(BH23="Fail",BH23="Fail LPA",BH23=""),"",'SpxSp (step-a)'!CM27)</f>
        <v/>
      </c>
      <c r="BK23" s="1290">
        <f t="shared" si="30"/>
        <v>0</v>
      </c>
      <c r="BN23" s="178">
        <v>6</v>
      </c>
      <c r="BO23" s="1316" t="str">
        <f t="shared" ca="1" si="29"/>
        <v/>
      </c>
      <c r="BP23" s="1317" t="str">
        <f ca="1">IF(INDIRECT("'SpxSp (step-b)'!$B" &amp; BP$16)=$Z23,INDIRECT("'SpxSp (step-b)'!$" &amp; 'SpxSp (step-b)'!$BC$23 &amp; BP$16),"")</f>
        <v/>
      </c>
      <c r="BQ23" s="1317" t="str">
        <f ca="1">IF(INDIRECT("'SpxSp (step-b)'!$B" &amp; BQ$16)=$Z23,INDIRECT("'SpxSp (step-b)'!$" &amp; 'SpxSp (step-b)'!$BC$23 &amp; BQ$16),"")</f>
        <v/>
      </c>
      <c r="BR23" s="1317" t="str">
        <f ca="1">IF(INDIRECT("'SpxSp (step-b)'!$B" &amp; BR$16)=$Z23,INDIRECT("'SpxSp (step-b)'!$" &amp; 'SpxSp (step-b)'!$BC$23 &amp; BR$16),"")</f>
        <v/>
      </c>
      <c r="BS23" s="1317" t="str">
        <f ca="1">IF(INDIRECT("'SpxSp (step-b)'!$B" &amp; BS$16)=$Z23,INDIRECT("'SpxSp (step-b)'!$" &amp; 'SpxSp (step-b)'!$BC$23 &amp; BS$16),"")</f>
        <v/>
      </c>
      <c r="BT23" s="1317" t="str">
        <f ca="1">IF(INDIRECT("'SpxSp (step-b)'!$B" &amp; BT$16)=$Z23,INDIRECT("'SpxSp (step-b)'!$" &amp; 'SpxSp (step-b)'!$BC$23 &amp; BT$16),"")</f>
        <v/>
      </c>
      <c r="BU23" s="1317" t="str">
        <f ca="1">IF(INDIRECT("'SpxSp (step-b)'!$B" &amp; BU$16)=$Z23,INDIRECT("'SpxSp (step-b)'!$" &amp; 'SpxSp (step-b)'!$BC$23 &amp; BU$16),"")</f>
        <v/>
      </c>
      <c r="BV23" s="1317" t="str">
        <f ca="1">IF(INDIRECT("'SpxSp (step-b)'!$B" &amp; BV$16)=$Z23,INDIRECT("'SpxSp (step-b)'!$" &amp; 'SpxSp (step-b)'!$BC$23 &amp; BV$16),"")</f>
        <v/>
      </c>
      <c r="BW23" s="1317" t="str">
        <f ca="1">IF(INDIRECT("'SpxSp (step-b)'!$B" &amp; BW$16)=$Z23,INDIRECT("'SpxSp (step-b)'!$" &amp; 'SpxSp (step-b)'!$BC$23 &amp; BW$16),"")</f>
        <v/>
      </c>
      <c r="BX23" s="1317" t="str">
        <f ca="1">IF(INDIRECT("'SpxSp (step-b)'!$B" &amp; BX$16)=$Z23,INDIRECT("'SpxSp (step-b)'!$" &amp; 'SpxSp (step-b)'!$BC$23 &amp; BX$16),"")</f>
        <v/>
      </c>
      <c r="BY23" s="1317" t="str">
        <f ca="1">IF(INDIRECT("'SpxSp (step-b)'!$B" &amp; BY$16)=$Z23,INDIRECT("'SpxSp (step-b)'!$" &amp; 'SpxSp (step-b)'!$BC$23 &amp; BY$16),"")</f>
        <v/>
      </c>
      <c r="BZ23" s="1317" t="str">
        <f ca="1">IF(INDIRECT("'SpxSp (step-b)'!$B" &amp; BZ$16)=$Z23,INDIRECT("'SpxSp (step-b)'!$" &amp; 'SpxSp (step-b)'!$BC$23 &amp; BZ$16),"")</f>
        <v/>
      </c>
      <c r="CA23" s="1317" t="str">
        <f ca="1">IF(INDIRECT("'SpxSp (step-b)'!$B" &amp; CA$16)=$Z23,INDIRECT("'SpxSp (step-b)'!$" &amp; 'SpxSp (step-b)'!$BC$23 &amp; CA$16),"")</f>
        <v/>
      </c>
      <c r="CB23" s="1317" t="str">
        <f ca="1">IF(INDIRECT("'SpxSp (step-b)'!$B" &amp; CB$16)=$Z23,INDIRECT("'SpxSp (step-b)'!$" &amp; 'SpxSp (step-b)'!$BC$23 &amp; CB$16),"")</f>
        <v/>
      </c>
      <c r="CC23" s="1317" t="str">
        <f ca="1">IF(INDIRECT("'SpxSp (step-b)'!$B" &amp; CC$16)=$Z23,INDIRECT("'SpxSp (step-b)'!$" &amp; 'SpxSp (step-b)'!$BC$23 &amp; CC$16),"")</f>
        <v/>
      </c>
      <c r="CD23" s="1317" t="str">
        <f ca="1">IF(INDIRECT("'SpxSp (step-b)'!$B" &amp; CD$16)=$Z23,INDIRECT("'SpxSp (step-b)'!$" &amp; 'SpxSp (step-b)'!$BC$23 &amp; CD$16),"")</f>
        <v/>
      </c>
      <c r="CE23" s="1317" t="str">
        <f ca="1">IF(INDIRECT("'SpxSp (step-b)'!$B" &amp; CE$16)=$Z23,INDIRECT("'SpxSp (step-b)'!$" &amp; 'SpxSp (step-b)'!$BC$23 &amp; CE$16),"")</f>
        <v/>
      </c>
      <c r="CF23" s="1317" t="str">
        <f ca="1">IF(INDIRECT("'SpxSp (step-b)'!$B" &amp; CF$16)=$Z23,INDIRECT("'SpxSp (step-b)'!$" &amp; 'SpxSp (step-b)'!$BC$23 &amp; CF$16),"")</f>
        <v/>
      </c>
      <c r="CG23" s="1317" t="str">
        <f ca="1">IF(INDIRECT("'SpxSp (step-b)'!$B" &amp; CG$16)=$Z23,INDIRECT("'SpxSp (step-b)'!$" &amp; 'SpxSp (step-b)'!$BC$23 &amp; CG$16),"")</f>
        <v/>
      </c>
      <c r="CH23" s="1317" t="str">
        <f ca="1">IF(INDIRECT("'SpxSp (step-b)'!$B" &amp; CH$16)=$Z23,INDIRECT("'SpxSp (step-b)'!$" &amp; 'SpxSp (step-b)'!$BC$23 &amp; CH$16),"")</f>
        <v/>
      </c>
      <c r="CI23" s="1317" t="str">
        <f ca="1">IF(INDIRECT("'SpxSp (step-b)'!$B" &amp; CI$16)=$Z23,INDIRECT("'SpxSp (step-b)'!$" &amp; 'SpxSp (step-b)'!$BC$23 &amp; CI$16),"")</f>
        <v/>
      </c>
      <c r="CJ23" s="1317" t="str">
        <f ca="1">IF(INDIRECT("'SpxSp (step-b)'!$B" &amp; CJ$16)=$Z23,INDIRECT("'SpxSp (step-b)'!$" &amp; 'SpxSp (step-b)'!$BC$23 &amp; CJ$16),"")</f>
        <v/>
      </c>
      <c r="CK23" s="1317" t="str">
        <f ca="1">IF(INDIRECT("'SpxSp (step-b)'!$B" &amp; CK$16)=$Z23,INDIRECT("'SpxSp (step-b)'!$" &amp; 'SpxSp (step-b)'!$BC$23 &amp; CK$16),"")</f>
        <v/>
      </c>
      <c r="CL23" s="1317" t="str">
        <f ca="1">IF(INDIRECT("'SpxSp (step-b)'!$B" &amp; CL$16)=$Z23,INDIRECT("'SpxSp (step-b)'!$" &amp; 'SpxSp (step-b)'!$BC$23 &amp; CL$16),"")</f>
        <v/>
      </c>
      <c r="CM23" s="1317" t="str">
        <f ca="1">IF(INDIRECT("'SpxSp (step-b)'!$B" &amp; CM$16)=$Z23,INDIRECT("'SpxSp (step-b)'!$" &amp; 'SpxSp (step-b)'!$BC$23 &amp; CM$16),"")</f>
        <v/>
      </c>
      <c r="CN23" s="1317" t="str">
        <f ca="1">IF(INDIRECT("'SpxSp (step-b)'!$B" &amp; CN$16)=$Z23,INDIRECT("'SpxSp (step-b)'!$" &amp; 'SpxSp (step-b)'!$BC$23 &amp; CN$16),"")</f>
        <v/>
      </c>
      <c r="CO23" s="1317" t="str">
        <f ca="1">IF(INDIRECT("'SpxSp (step-b)'!$B" &amp; CO$16)=$Z23,INDIRECT("'SpxSp (step-b)'!$" &amp; 'SpxSp (step-b)'!$BC$23 &amp; CO$16),"")</f>
        <v/>
      </c>
      <c r="CP23" s="1317" t="str">
        <f ca="1">IF(INDIRECT("'SpxSp (step-b)'!$B" &amp; CP$16)=$Z23,INDIRECT("'SpxSp (step-b)'!$" &amp; 'SpxSp (step-b)'!$BC$23 &amp; CP$16),"")</f>
        <v/>
      </c>
      <c r="CQ23" s="1317" t="str">
        <f ca="1">IF(INDIRECT("'SpxSp (step-b)'!$B" &amp; CQ$16)=$Z23,INDIRECT("'SpxSp (step-b)'!$" &amp; 'SpxSp (step-b)'!$BC$23 &amp; CQ$16),"")</f>
        <v/>
      </c>
      <c r="CR23" s="1317" t="str">
        <f ca="1">IF(INDIRECT("'SpxSp (step-b)'!$B" &amp; CR$16)=$Z23,INDIRECT("'SpxSp (step-b)'!$" &amp; 'SpxSp (step-b)'!$BC$23 &amp; CR$16),"")</f>
        <v/>
      </c>
      <c r="CS23" s="1317" t="str">
        <f ca="1">IF(INDIRECT("'SpxSp (step-b)'!$B" &amp; CS$16)=$Z23,INDIRECT("'SpxSp (step-b)'!$" &amp; 'SpxSp (step-b)'!$BC$23 &amp; CS$16),"")</f>
        <v/>
      </c>
      <c r="CT23" s="1317" t="str">
        <f ca="1">IF(INDIRECT("'SpxSp (step-b)'!$B" &amp; CT$16)=$Z23,INDIRECT("'SpxSp (step-b)'!$" &amp; 'SpxSp (step-b)'!$BC$23 &amp; CT$16),"")</f>
        <v/>
      </c>
      <c r="CU23" s="1317" t="str">
        <f ca="1">IF(INDIRECT("'SpxSp (step-b)'!$B" &amp; CU$16)=$Z23,INDIRECT("'SpxSp (step-b)'!$" &amp; 'SpxSp (step-b)'!$BC$23 &amp; CU$16),"")</f>
        <v/>
      </c>
      <c r="CV23" s="1317" t="str">
        <f ca="1">IF(INDIRECT("'SpxSp (step-b)'!$B" &amp; CV$16)=$Z23,INDIRECT("'SpxSp (step-b)'!$" &amp; 'SpxSp (step-b)'!$BC$23 &amp; CV$16),"")</f>
        <v/>
      </c>
      <c r="CW23" s="1317" t="str">
        <f ca="1">IF(INDIRECT("'SpxSp (step-b)'!$B" &amp; CW$16)=$Z23,INDIRECT("'SpxSp (step-b)'!$" &amp; 'SpxSp (step-b)'!$BC$23 &amp; CW$16),"")</f>
        <v/>
      </c>
      <c r="CX23" s="1317" t="str">
        <f ca="1">IF(INDIRECT("'SpxSp (step-b)'!$B" &amp; CX$16)=$Z23,INDIRECT("'SpxSp (step-b)'!$" &amp; 'SpxSp (step-b)'!$BC$23 &amp; CX$16),"")</f>
        <v/>
      </c>
      <c r="CY23" s="1317" t="str">
        <f ca="1">IF(INDIRECT("'SpxSp (step-b)'!$B" &amp; CY$16)=$Z23,INDIRECT("'SpxSp (step-b)'!$" &amp; 'SpxSp (step-b)'!$BC$23 &amp; CY$16),"")</f>
        <v/>
      </c>
      <c r="CZ23" s="1317" t="str">
        <f ca="1">IF(INDIRECT("'SpxSp (step-b)'!$B" &amp; CZ$16)=$Z23,INDIRECT("'SpxSp (step-b)'!$" &amp; 'SpxSp (step-b)'!$BC$23 &amp; CZ$16),"")</f>
        <v/>
      </c>
      <c r="DA23" s="1317" t="str">
        <f ca="1">IF(INDIRECT("'SpxSp (step-b)'!$B" &amp; DA$16)=$Z23,INDIRECT("'SpxSp (step-b)'!$" &amp; 'SpxSp (step-b)'!$BC$23 &amp; DA$16),"")</f>
        <v/>
      </c>
      <c r="DB23" s="1317" t="str">
        <f ca="1">IF(INDIRECT("'SpxSp (step-b)'!$B" &amp; DB$16)=$Z23,INDIRECT("'SpxSp (step-b)'!$" &amp; 'SpxSp (step-b)'!$BC$23 &amp; DB$16),"")</f>
        <v/>
      </c>
      <c r="DC23" s="1317" t="str">
        <f ca="1">IF(INDIRECT("'SpxSp (step-b)'!$B" &amp; DC$16)=$Z23,INDIRECT("'SpxSp (step-b)'!$" &amp; 'SpxSp (step-b)'!$BC$23 &amp; DC$16),"")</f>
        <v/>
      </c>
      <c r="DD23" s="1317" t="str">
        <f ca="1">IF(INDIRECT("'SpxSp (step-b)'!$B" &amp; DD$16)=$Z23,INDIRECT("'SpxSp (step-b)'!$" &amp; 'SpxSp (step-b)'!$BC$23 &amp; DD$16),"")</f>
        <v/>
      </c>
      <c r="DE23" s="1317" t="str">
        <f ca="1">IF(INDIRECT("'SpxSp (step-b)'!$B" &amp; DE$16)=$Z23,INDIRECT("'SpxSp (step-b)'!$" &amp; 'SpxSp (step-b)'!$BC$23 &amp; DE$16),"")</f>
        <v/>
      </c>
      <c r="DF23" s="1317" t="str">
        <f ca="1">IF(INDIRECT("'SpxSp (step-b)'!$B" &amp; DF$16)=$Z23,INDIRECT("'SpxSp (step-b)'!$" &amp; 'SpxSp (step-b)'!$BC$23 &amp; DF$16),"")</f>
        <v/>
      </c>
      <c r="DG23" s="1317" t="str">
        <f ca="1">IF(INDIRECT("'SpxSp (step-b)'!$B" &amp; DG$16)=$Z23,INDIRECT("'SpxSp (step-b)'!$" &amp; 'SpxSp (step-b)'!$BC$23 &amp; DG$16),"")</f>
        <v/>
      </c>
      <c r="DH23" s="1317" t="str">
        <f ca="1">IF(INDIRECT("'SpxSp (step-b)'!$B" &amp; DH$16)=$Z23,INDIRECT("'SpxSp (step-b)'!$" &amp; 'SpxSp (step-b)'!$BC$23 &amp; DH$16),"")</f>
        <v/>
      </c>
      <c r="DI23" s="1317" t="str">
        <f ca="1">IF(INDIRECT("'SpxSp (step-b)'!$B" &amp; DI$16)=$Z23,INDIRECT("'SpxSp (step-b)'!$" &amp; 'SpxSp (step-b)'!$BC$23 &amp; DI$16),"")</f>
        <v/>
      </c>
      <c r="DJ23" s="1317" t="str">
        <f ca="1">IF(INDIRECT("'SpxSp (step-b)'!$B" &amp; DJ$16)=$Z23,INDIRECT("'SpxSp (step-b)'!$" &amp; 'SpxSp (step-b)'!$BC$23 &amp; DJ$16),"")</f>
        <v/>
      </c>
      <c r="DK23" s="1317" t="str">
        <f ca="1">IF(INDIRECT("'SpxSp (step-b)'!$B" &amp; DK$16)=$Z23,INDIRECT("'SpxSp (step-b)'!$" &amp; 'SpxSp (step-b)'!$BC$23 &amp; DK$16),"")</f>
        <v/>
      </c>
      <c r="DL23" s="1317" t="str">
        <f ca="1">IF(INDIRECT("'SpxSp (step-b)'!$B" &amp; DL$16)=$Z23,INDIRECT("'SpxSp (step-b)'!$" &amp; 'SpxSp (step-b)'!$BC$23 &amp; DL$16),"")</f>
        <v/>
      </c>
      <c r="DM23" s="1317" t="str">
        <f ca="1">IF(INDIRECT("'SpxSp (step-b)'!$B" &amp; DM$16)=$Z23,INDIRECT("'SpxSp (step-b)'!$" &amp; 'SpxSp (step-b)'!$BC$23 &amp; DM$16),"")</f>
        <v/>
      </c>
      <c r="DN23" s="1318" t="str">
        <f t="shared" ca="1" si="32"/>
        <v/>
      </c>
      <c r="DO23" s="1246" t="s">
        <v>1201</v>
      </c>
    </row>
    <row r="24" spans="2:119" ht="40" x14ac:dyDescent="0.2">
      <c r="B24" s="1450" t="str">
        <f t="shared" si="13"/>
        <v/>
      </c>
      <c r="C24" s="1451"/>
      <c r="D24" s="1451"/>
      <c r="E24" s="1451"/>
      <c r="F24" s="1452"/>
      <c r="G24" s="1319" t="str">
        <f t="shared" si="31"/>
        <v/>
      </c>
      <c r="H24" s="1320" t="str">
        <f t="shared" si="14"/>
        <v/>
      </c>
      <c r="I24" s="1321" t="str">
        <f t="shared" ref="I24:I67" si="33">BH24</f>
        <v/>
      </c>
      <c r="J24" s="1296"/>
      <c r="K24" s="1322" t="str">
        <f>IFERROR(IF(OR(B24="",H24=0),"",VLOOKUP(B24,'SpxSp (step-c)'!B$18:O$67,6,FALSE)),"")</f>
        <v/>
      </c>
      <c r="L24" s="1323" t="str">
        <f ca="1">IFERROR(F(OR(B24="",H24=0),"",VLOOKUP($B24,'SpxSp (step-c)'!$B$18:O$67,12,FALSE)),"")</f>
        <v/>
      </c>
      <c r="M24" s="1321" t="str">
        <f ca="1">IF(AND(B24&lt;&gt;"",L24=""),"NA",IFERROR(VLOOKUP($B24,'SpxSp (step-c)'!$B$18:P$67,13,FALSE),""))</f>
        <v/>
      </c>
      <c r="N24" s="1324"/>
      <c r="O24" s="1322" t="str">
        <f>IFERROR(IF(OR(B24="",H24=0),"",VLOOKUP($B24,'SpxSp (step-d)'!$B$18:$P$67,12,FALSE)),"")</f>
        <v/>
      </c>
      <c r="P24" s="1323" t="str">
        <f>IFERROR(IF(OR(B24="",H24=0),"",VLOOKUP($B24,'SpxSp (step-d)'!$B$18:$P$67,13,FALSE)),"")</f>
        <v/>
      </c>
      <c r="Q24" s="1323" t="str">
        <f>IFERROR(IF(OR(B24="",H24=0),"",VLOOKUP($B24,'SpxSp (step-d)'!$B$18:$P$67,14,FALSE)),"")</f>
        <v/>
      </c>
      <c r="R24" s="1321" t="str">
        <f>IF(AND(B24&lt;&gt;"",P24=""),"NA",IFERROR(VLOOKUP(B24,'SpxSp (step-d)'!$B$18:$V$67,15,FALSE),""))</f>
        <v/>
      </c>
      <c r="S24" s="1296"/>
      <c r="T24" s="1325" t="str">
        <f t="shared" ref="T24:T67" si="34">BJ24</f>
        <v/>
      </c>
      <c r="U24" s="1326" t="str">
        <f t="shared" si="17"/>
        <v/>
      </c>
      <c r="Y24" s="1302">
        <v>7</v>
      </c>
      <c r="Z24" s="1303" t="str">
        <f>'SpxSp (step-a)'!B28</f>
        <v/>
      </c>
      <c r="AA24" s="1303" t="str">
        <f>'SpxSp (step-a)'!H28</f>
        <v/>
      </c>
      <c r="AB24" s="1290" t="str">
        <f>VLOOKUP($Z24,'SpxSp (step-a)'!$B$22:$O$71,AB$14,FALSE)</f>
        <v/>
      </c>
      <c r="AD24" s="1290" t="str">
        <f>IF(Z24="","",IFERROR(VLOOKUP($Z24,'SpxSp (step-a)'!$B$22:$O$71,AD$14,FALSE),0))</f>
        <v/>
      </c>
      <c r="AE24" s="1290" t="str">
        <f>IF(Z24="","",IFERROR(VLOOKUP($Z24,'SpxSp (step-a)'!$B$22:$O$71,AE$14,FALSE),0))</f>
        <v/>
      </c>
      <c r="AG24" s="1290" t="str">
        <f t="shared" si="4"/>
        <v/>
      </c>
      <c r="AI24" s="1290" t="str">
        <f>IF($Z24="","",SUMIFS('SpxSp (step-b)'!L$26:L$75,'SpxSp (step-b)'!B$26:B$75,Z24,'SpxSp (step-b)'!N$26:N$75,"New"))</f>
        <v/>
      </c>
      <c r="AJ24" s="1290" t="str">
        <f>IF($Z24="","",SUMIFS('SpxSp (step-b)'!$L$26:$L$75,'SpxSp (step-b)'!$B$26:$B$75,$Z24,'SpxSp (step-b)'!N$26:N$75,""))</f>
        <v/>
      </c>
      <c r="AK24" s="1290" t="str">
        <f>IF($Z24="","",SUMIFS('SpxSp (step-b)'!$J$26:$J$75,'SpxSp (step-b)'!$B$26:$B$75,$Z24,'SpxSp (step-b)'!$N$26:$N$75,"New")+SUMIFS('SpxSp (step-b)'!$J$26:$J$75,'SpxSp (step-b)'!$B$26:$B$75,$Z24,'SpxSp (step-b)'!$N$26:$N$75,""))</f>
        <v/>
      </c>
      <c r="AL24" s="1290" t="str">
        <f>IF($Z24="","",SUMIFS('SpxSp (step-b)'!$L$26:$L$75,'SpxSp (step-b)'!$B$26:$B$75,$Z24,'SpxSp (step-b)'!$N$26:$N$75,"Existing Remains"))</f>
        <v/>
      </c>
      <c r="AM24" s="1290" t="str">
        <f>IF($Z24="","",SUMIFS('SpxSp (step-b)'!$L$26:$L$75,'SpxSp (step-b)'!$B$26:$B$75,$Z24,'SpxSp (step-b)'!$N$26:$N$75,"Existing Removed"))</f>
        <v/>
      </c>
      <c r="AN24" s="1290" t="str">
        <f>IF($Z24="","",SUMIFS('SpxSp (step-b)'!$J$26:$J$75,'SpxSp (step-b)'!$B$26:$B$75,$Z24,'SpxSp (step-b)'!$N$26:$N$75,"Existing Removed"))</f>
        <v/>
      </c>
      <c r="AO24" s="1290" t="str">
        <f t="shared" si="5"/>
        <v/>
      </c>
      <c r="AP24" s="1290" t="str">
        <f t="shared" si="18"/>
        <v/>
      </c>
      <c r="AQ24" s="1304"/>
      <c r="AR24" s="1305" t="str">
        <f t="shared" si="19"/>
        <v/>
      </c>
      <c r="AS24" s="1306" t="str">
        <f t="shared" si="20"/>
        <v/>
      </c>
      <c r="AT24" s="1307"/>
      <c r="AU24" s="1308" t="str">
        <f t="shared" si="21"/>
        <v/>
      </c>
      <c r="AV24" s="1309" t="str">
        <f t="shared" si="6"/>
        <v/>
      </c>
      <c r="AW24" s="1309" t="str">
        <f t="shared" si="22"/>
        <v/>
      </c>
      <c r="AX24" s="1310" t="str">
        <f t="shared" si="23"/>
        <v/>
      </c>
      <c r="AY24" s="1307"/>
      <c r="AZ24" s="1311" t="str">
        <f t="shared" si="24"/>
        <v/>
      </c>
      <c r="BA24" s="1309" t="str">
        <f t="shared" si="25"/>
        <v/>
      </c>
      <c r="BB24" s="1310" t="str">
        <f t="shared" si="26"/>
        <v/>
      </c>
      <c r="BC24" s="1312"/>
      <c r="BD24" s="1313" t="str">
        <f t="shared" ref="BD24:BD67" si="35">IF(OR(AP24=0,Z24=""),"",IF(AW$11=FALSE,"",IF(OR(AX24="Pass",BB24="Pass"),"Pass","Fail")))</f>
        <v/>
      </c>
      <c r="BE24" s="1290" t="str">
        <f t="shared" si="27"/>
        <v/>
      </c>
      <c r="BF24" s="1290" t="str">
        <f t="shared" si="28"/>
        <v/>
      </c>
      <c r="BH24" s="1315" t="str">
        <f t="shared" si="10"/>
        <v/>
      </c>
      <c r="BI24" s="1315" t="str">
        <f t="shared" si="11"/>
        <v/>
      </c>
      <c r="BJ24" s="1303" t="str">
        <f>IF(OR(BH24="Fail",BH24="Fail LPA",BH24=""),"",'SpxSp (step-a)'!CM28)</f>
        <v/>
      </c>
      <c r="BK24" s="1290">
        <f t="shared" si="30"/>
        <v>0</v>
      </c>
      <c r="BN24" s="178">
        <v>7</v>
      </c>
      <c r="BO24" s="1316" t="str">
        <f t="shared" ca="1" si="29"/>
        <v/>
      </c>
      <c r="BP24" s="1317" t="str">
        <f ca="1">IF(INDIRECT("'SpxSp (step-b)'!$B" &amp; BP$16)=$Z24,INDIRECT("'SpxSp (step-b)'!$" &amp; 'SpxSp (step-b)'!$BC$23 &amp; BP$16),"")</f>
        <v/>
      </c>
      <c r="BQ24" s="1317" t="str">
        <f ca="1">IF(INDIRECT("'SpxSp (step-b)'!$B" &amp; BQ$16)=$Z24,INDIRECT("'SpxSp (step-b)'!$" &amp; 'SpxSp (step-b)'!$BC$23 &amp; BQ$16),"")</f>
        <v/>
      </c>
      <c r="BR24" s="1317" t="str">
        <f ca="1">IF(INDIRECT("'SpxSp (step-b)'!$B" &amp; BR$16)=$Z24,INDIRECT("'SpxSp (step-b)'!$" &amp; 'SpxSp (step-b)'!$BC$23 &amp; BR$16),"")</f>
        <v/>
      </c>
      <c r="BS24" s="1317" t="str">
        <f ca="1">IF(INDIRECT("'SpxSp (step-b)'!$B" &amp; BS$16)=$Z24,INDIRECT("'SpxSp (step-b)'!$" &amp; 'SpxSp (step-b)'!$BC$23 &amp; BS$16),"")</f>
        <v/>
      </c>
      <c r="BT24" s="1317" t="str">
        <f ca="1">IF(INDIRECT("'SpxSp (step-b)'!$B" &amp; BT$16)=$Z24,INDIRECT("'SpxSp (step-b)'!$" &amp; 'SpxSp (step-b)'!$BC$23 &amp; BT$16),"")</f>
        <v/>
      </c>
      <c r="BU24" s="1317" t="str">
        <f ca="1">IF(INDIRECT("'SpxSp (step-b)'!$B" &amp; BU$16)=$Z24,INDIRECT("'SpxSp (step-b)'!$" &amp; 'SpxSp (step-b)'!$BC$23 &amp; BU$16),"")</f>
        <v/>
      </c>
      <c r="BV24" s="1317" t="str">
        <f ca="1">IF(INDIRECT("'SpxSp (step-b)'!$B" &amp; BV$16)=$Z24,INDIRECT("'SpxSp (step-b)'!$" &amp; 'SpxSp (step-b)'!$BC$23 &amp; BV$16),"")</f>
        <v/>
      </c>
      <c r="BW24" s="1317" t="str">
        <f ca="1">IF(INDIRECT("'SpxSp (step-b)'!$B" &amp; BW$16)=$Z24,INDIRECT("'SpxSp (step-b)'!$" &amp; 'SpxSp (step-b)'!$BC$23 &amp; BW$16),"")</f>
        <v/>
      </c>
      <c r="BX24" s="1317" t="str">
        <f ca="1">IF(INDIRECT("'SpxSp (step-b)'!$B" &amp; BX$16)=$Z24,INDIRECT("'SpxSp (step-b)'!$" &amp; 'SpxSp (step-b)'!$BC$23 &amp; BX$16),"")</f>
        <v/>
      </c>
      <c r="BY24" s="1317" t="str">
        <f ca="1">IF(INDIRECT("'SpxSp (step-b)'!$B" &amp; BY$16)=$Z24,INDIRECT("'SpxSp (step-b)'!$" &amp; 'SpxSp (step-b)'!$BC$23 &amp; BY$16),"")</f>
        <v/>
      </c>
      <c r="BZ24" s="1317" t="str">
        <f ca="1">IF(INDIRECT("'SpxSp (step-b)'!$B" &amp; BZ$16)=$Z24,INDIRECT("'SpxSp (step-b)'!$" &amp; 'SpxSp (step-b)'!$BC$23 &amp; BZ$16),"")</f>
        <v/>
      </c>
      <c r="CA24" s="1317" t="str">
        <f ca="1">IF(INDIRECT("'SpxSp (step-b)'!$B" &amp; CA$16)=$Z24,INDIRECT("'SpxSp (step-b)'!$" &amp; 'SpxSp (step-b)'!$BC$23 &amp; CA$16),"")</f>
        <v/>
      </c>
      <c r="CB24" s="1317" t="str">
        <f ca="1">IF(INDIRECT("'SpxSp (step-b)'!$B" &amp; CB$16)=$Z24,INDIRECT("'SpxSp (step-b)'!$" &amp; 'SpxSp (step-b)'!$BC$23 &amp; CB$16),"")</f>
        <v/>
      </c>
      <c r="CC24" s="1317" t="str">
        <f ca="1">IF(INDIRECT("'SpxSp (step-b)'!$B" &amp; CC$16)=$Z24,INDIRECT("'SpxSp (step-b)'!$" &amp; 'SpxSp (step-b)'!$BC$23 &amp; CC$16),"")</f>
        <v/>
      </c>
      <c r="CD24" s="1317" t="str">
        <f ca="1">IF(INDIRECT("'SpxSp (step-b)'!$B" &amp; CD$16)=$Z24,INDIRECT("'SpxSp (step-b)'!$" &amp; 'SpxSp (step-b)'!$BC$23 &amp; CD$16),"")</f>
        <v/>
      </c>
      <c r="CE24" s="1317" t="str">
        <f ca="1">IF(INDIRECT("'SpxSp (step-b)'!$B" &amp; CE$16)=$Z24,INDIRECT("'SpxSp (step-b)'!$" &amp; 'SpxSp (step-b)'!$BC$23 &amp; CE$16),"")</f>
        <v/>
      </c>
      <c r="CF24" s="1317" t="str">
        <f ca="1">IF(INDIRECT("'SpxSp (step-b)'!$B" &amp; CF$16)=$Z24,INDIRECT("'SpxSp (step-b)'!$" &amp; 'SpxSp (step-b)'!$BC$23 &amp; CF$16),"")</f>
        <v/>
      </c>
      <c r="CG24" s="1317" t="str">
        <f ca="1">IF(INDIRECT("'SpxSp (step-b)'!$B" &amp; CG$16)=$Z24,INDIRECT("'SpxSp (step-b)'!$" &amp; 'SpxSp (step-b)'!$BC$23 &amp; CG$16),"")</f>
        <v/>
      </c>
      <c r="CH24" s="1317" t="str">
        <f ca="1">IF(INDIRECT("'SpxSp (step-b)'!$B" &amp; CH$16)=$Z24,INDIRECT("'SpxSp (step-b)'!$" &amp; 'SpxSp (step-b)'!$BC$23 &amp; CH$16),"")</f>
        <v/>
      </c>
      <c r="CI24" s="1317" t="str">
        <f ca="1">IF(INDIRECT("'SpxSp (step-b)'!$B" &amp; CI$16)=$Z24,INDIRECT("'SpxSp (step-b)'!$" &amp; 'SpxSp (step-b)'!$BC$23 &amp; CI$16),"")</f>
        <v/>
      </c>
      <c r="CJ24" s="1317" t="str">
        <f ca="1">IF(INDIRECT("'SpxSp (step-b)'!$B" &amp; CJ$16)=$Z24,INDIRECT("'SpxSp (step-b)'!$" &amp; 'SpxSp (step-b)'!$BC$23 &amp; CJ$16),"")</f>
        <v/>
      </c>
      <c r="CK24" s="1317" t="str">
        <f ca="1">IF(INDIRECT("'SpxSp (step-b)'!$B" &amp; CK$16)=$Z24,INDIRECT("'SpxSp (step-b)'!$" &amp; 'SpxSp (step-b)'!$BC$23 &amp; CK$16),"")</f>
        <v/>
      </c>
      <c r="CL24" s="1317" t="str">
        <f ca="1">IF(INDIRECT("'SpxSp (step-b)'!$B" &amp; CL$16)=$Z24,INDIRECT("'SpxSp (step-b)'!$" &amp; 'SpxSp (step-b)'!$BC$23 &amp; CL$16),"")</f>
        <v/>
      </c>
      <c r="CM24" s="1317" t="str">
        <f ca="1">IF(INDIRECT("'SpxSp (step-b)'!$B" &amp; CM$16)=$Z24,INDIRECT("'SpxSp (step-b)'!$" &amp; 'SpxSp (step-b)'!$BC$23 &amp; CM$16),"")</f>
        <v/>
      </c>
      <c r="CN24" s="1317" t="str">
        <f ca="1">IF(INDIRECT("'SpxSp (step-b)'!$B" &amp; CN$16)=$Z24,INDIRECT("'SpxSp (step-b)'!$" &amp; 'SpxSp (step-b)'!$BC$23 &amp; CN$16),"")</f>
        <v/>
      </c>
      <c r="CO24" s="1317" t="str">
        <f ca="1">IF(INDIRECT("'SpxSp (step-b)'!$B" &amp; CO$16)=$Z24,INDIRECT("'SpxSp (step-b)'!$" &amp; 'SpxSp (step-b)'!$BC$23 &amp; CO$16),"")</f>
        <v/>
      </c>
      <c r="CP24" s="1317" t="str">
        <f ca="1">IF(INDIRECT("'SpxSp (step-b)'!$B" &amp; CP$16)=$Z24,INDIRECT("'SpxSp (step-b)'!$" &amp; 'SpxSp (step-b)'!$BC$23 &amp; CP$16),"")</f>
        <v/>
      </c>
      <c r="CQ24" s="1317" t="str">
        <f ca="1">IF(INDIRECT("'SpxSp (step-b)'!$B" &amp; CQ$16)=$Z24,INDIRECT("'SpxSp (step-b)'!$" &amp; 'SpxSp (step-b)'!$BC$23 &amp; CQ$16),"")</f>
        <v/>
      </c>
      <c r="CR24" s="1317" t="str">
        <f ca="1">IF(INDIRECT("'SpxSp (step-b)'!$B" &amp; CR$16)=$Z24,INDIRECT("'SpxSp (step-b)'!$" &amp; 'SpxSp (step-b)'!$BC$23 &amp; CR$16),"")</f>
        <v/>
      </c>
      <c r="CS24" s="1317" t="str">
        <f ca="1">IF(INDIRECT("'SpxSp (step-b)'!$B" &amp; CS$16)=$Z24,INDIRECT("'SpxSp (step-b)'!$" &amp; 'SpxSp (step-b)'!$BC$23 &amp; CS$16),"")</f>
        <v/>
      </c>
      <c r="CT24" s="1317" t="str">
        <f ca="1">IF(INDIRECT("'SpxSp (step-b)'!$B" &amp; CT$16)=$Z24,INDIRECT("'SpxSp (step-b)'!$" &amp; 'SpxSp (step-b)'!$BC$23 &amp; CT$16),"")</f>
        <v/>
      </c>
      <c r="CU24" s="1317" t="str">
        <f ca="1">IF(INDIRECT("'SpxSp (step-b)'!$B" &amp; CU$16)=$Z24,INDIRECT("'SpxSp (step-b)'!$" &amp; 'SpxSp (step-b)'!$BC$23 &amp; CU$16),"")</f>
        <v/>
      </c>
      <c r="CV24" s="1317" t="str">
        <f ca="1">IF(INDIRECT("'SpxSp (step-b)'!$B" &amp; CV$16)=$Z24,INDIRECT("'SpxSp (step-b)'!$" &amp; 'SpxSp (step-b)'!$BC$23 &amp; CV$16),"")</f>
        <v/>
      </c>
      <c r="CW24" s="1317" t="str">
        <f ca="1">IF(INDIRECT("'SpxSp (step-b)'!$B" &amp; CW$16)=$Z24,INDIRECT("'SpxSp (step-b)'!$" &amp; 'SpxSp (step-b)'!$BC$23 &amp; CW$16),"")</f>
        <v/>
      </c>
      <c r="CX24" s="1317" t="str">
        <f ca="1">IF(INDIRECT("'SpxSp (step-b)'!$B" &amp; CX$16)=$Z24,INDIRECT("'SpxSp (step-b)'!$" &amp; 'SpxSp (step-b)'!$BC$23 &amp; CX$16),"")</f>
        <v/>
      </c>
      <c r="CY24" s="1317" t="str">
        <f ca="1">IF(INDIRECT("'SpxSp (step-b)'!$B" &amp; CY$16)=$Z24,INDIRECT("'SpxSp (step-b)'!$" &amp; 'SpxSp (step-b)'!$BC$23 &amp; CY$16),"")</f>
        <v/>
      </c>
      <c r="CZ24" s="1317" t="str">
        <f ca="1">IF(INDIRECT("'SpxSp (step-b)'!$B" &amp; CZ$16)=$Z24,INDIRECT("'SpxSp (step-b)'!$" &amp; 'SpxSp (step-b)'!$BC$23 &amp; CZ$16),"")</f>
        <v/>
      </c>
      <c r="DA24" s="1317" t="str">
        <f ca="1">IF(INDIRECT("'SpxSp (step-b)'!$B" &amp; DA$16)=$Z24,INDIRECT("'SpxSp (step-b)'!$" &amp; 'SpxSp (step-b)'!$BC$23 &amp; DA$16),"")</f>
        <v/>
      </c>
      <c r="DB24" s="1317" t="str">
        <f ca="1">IF(INDIRECT("'SpxSp (step-b)'!$B" &amp; DB$16)=$Z24,INDIRECT("'SpxSp (step-b)'!$" &amp; 'SpxSp (step-b)'!$BC$23 &amp; DB$16),"")</f>
        <v/>
      </c>
      <c r="DC24" s="1317" t="str">
        <f ca="1">IF(INDIRECT("'SpxSp (step-b)'!$B" &amp; DC$16)=$Z24,INDIRECT("'SpxSp (step-b)'!$" &amp; 'SpxSp (step-b)'!$BC$23 &amp; DC$16),"")</f>
        <v/>
      </c>
      <c r="DD24" s="1317" t="str">
        <f ca="1">IF(INDIRECT("'SpxSp (step-b)'!$B" &amp; DD$16)=$Z24,INDIRECT("'SpxSp (step-b)'!$" &amp; 'SpxSp (step-b)'!$BC$23 &amp; DD$16),"")</f>
        <v/>
      </c>
      <c r="DE24" s="1317" t="str">
        <f ca="1">IF(INDIRECT("'SpxSp (step-b)'!$B" &amp; DE$16)=$Z24,INDIRECT("'SpxSp (step-b)'!$" &amp; 'SpxSp (step-b)'!$BC$23 &amp; DE$16),"")</f>
        <v/>
      </c>
      <c r="DF24" s="1317" t="str">
        <f ca="1">IF(INDIRECT("'SpxSp (step-b)'!$B" &amp; DF$16)=$Z24,INDIRECT("'SpxSp (step-b)'!$" &amp; 'SpxSp (step-b)'!$BC$23 &amp; DF$16),"")</f>
        <v/>
      </c>
      <c r="DG24" s="1317" t="str">
        <f ca="1">IF(INDIRECT("'SpxSp (step-b)'!$B" &amp; DG$16)=$Z24,INDIRECT("'SpxSp (step-b)'!$" &amp; 'SpxSp (step-b)'!$BC$23 &amp; DG$16),"")</f>
        <v/>
      </c>
      <c r="DH24" s="1317" t="str">
        <f ca="1">IF(INDIRECT("'SpxSp (step-b)'!$B" &amp; DH$16)=$Z24,INDIRECT("'SpxSp (step-b)'!$" &amp; 'SpxSp (step-b)'!$BC$23 &amp; DH$16),"")</f>
        <v/>
      </c>
      <c r="DI24" s="1317" t="str">
        <f ca="1">IF(INDIRECT("'SpxSp (step-b)'!$B" &amp; DI$16)=$Z24,INDIRECT("'SpxSp (step-b)'!$" &amp; 'SpxSp (step-b)'!$BC$23 &amp; DI$16),"")</f>
        <v/>
      </c>
      <c r="DJ24" s="1317" t="str">
        <f ca="1">IF(INDIRECT("'SpxSp (step-b)'!$B" &amp; DJ$16)=$Z24,INDIRECT("'SpxSp (step-b)'!$" &amp; 'SpxSp (step-b)'!$BC$23 &amp; DJ$16),"")</f>
        <v/>
      </c>
      <c r="DK24" s="1317" t="str">
        <f ca="1">IF(INDIRECT("'SpxSp (step-b)'!$B" &amp; DK$16)=$Z24,INDIRECT("'SpxSp (step-b)'!$" &amp; 'SpxSp (step-b)'!$BC$23 &amp; DK$16),"")</f>
        <v/>
      </c>
      <c r="DL24" s="1317" t="str">
        <f ca="1">IF(INDIRECT("'SpxSp (step-b)'!$B" &amp; DL$16)=$Z24,INDIRECT("'SpxSp (step-b)'!$" &amp; 'SpxSp (step-b)'!$BC$23 &amp; DL$16),"")</f>
        <v/>
      </c>
      <c r="DM24" s="1317" t="str">
        <f ca="1">IF(INDIRECT("'SpxSp (step-b)'!$B" &amp; DM$16)=$Z24,INDIRECT("'SpxSp (step-b)'!$" &amp; 'SpxSp (step-b)'!$BC$23 &amp; DM$16),"")</f>
        <v/>
      </c>
      <c r="DN24" s="1318" t="str">
        <f t="shared" ca="1" si="32"/>
        <v/>
      </c>
      <c r="DO24" s="1246" t="s">
        <v>1201</v>
      </c>
    </row>
    <row r="25" spans="2:119" ht="40" x14ac:dyDescent="0.2">
      <c r="B25" s="1450" t="str">
        <f t="shared" si="13"/>
        <v/>
      </c>
      <c r="C25" s="1451"/>
      <c r="D25" s="1451"/>
      <c r="E25" s="1451"/>
      <c r="F25" s="1452"/>
      <c r="G25" s="1319" t="str">
        <f t="shared" si="31"/>
        <v/>
      </c>
      <c r="H25" s="1320" t="str">
        <f t="shared" si="14"/>
        <v/>
      </c>
      <c r="I25" s="1321" t="str">
        <f t="shared" si="33"/>
        <v/>
      </c>
      <c r="J25" s="1296"/>
      <c r="K25" s="1322" t="str">
        <f>IFERROR(IF(OR(B25="",H25=0),"",VLOOKUP(B25,'SpxSp (step-c)'!B$18:O$67,6,FALSE)),"")</f>
        <v/>
      </c>
      <c r="L25" s="1323" t="str">
        <f ca="1">IFERROR(F(OR(B25="",H25=0),"",VLOOKUP($B25,'SpxSp (step-c)'!$B$18:O$67,12,FALSE)),"")</f>
        <v/>
      </c>
      <c r="M25" s="1321" t="str">
        <f ca="1">IF(AND(B25&lt;&gt;"",L25=""),"NA",IFERROR(VLOOKUP($B25,'SpxSp (step-c)'!$B$18:P$67,13,FALSE),""))</f>
        <v/>
      </c>
      <c r="N25" s="1324"/>
      <c r="O25" s="1322" t="str">
        <f>IFERROR(IF(OR(B25="",H25=0),"",VLOOKUP($B25,'SpxSp (step-d)'!$B$18:$P$67,12,FALSE)),"")</f>
        <v/>
      </c>
      <c r="P25" s="1323" t="str">
        <f>IFERROR(IF(OR(B25="",H25=0),"",VLOOKUP($B25,'SpxSp (step-d)'!$B$18:$P$67,13,FALSE)),"")</f>
        <v/>
      </c>
      <c r="Q25" s="1323" t="str">
        <f>IFERROR(IF(OR(B25="",H25=0),"",VLOOKUP($B25,'SpxSp (step-d)'!$B$18:$P$67,14,FALSE)),"")</f>
        <v/>
      </c>
      <c r="R25" s="1321" t="str">
        <f>IF(AND(B25&lt;&gt;"",P25=""),"NA",IFERROR(VLOOKUP(B25,'SpxSp (step-d)'!$B$18:$V$67,15,FALSE),""))</f>
        <v/>
      </c>
      <c r="S25" s="1296"/>
      <c r="T25" s="1325" t="str">
        <f t="shared" si="34"/>
        <v/>
      </c>
      <c r="U25" s="1326" t="str">
        <f t="shared" si="17"/>
        <v/>
      </c>
      <c r="Y25" s="1302">
        <v>8</v>
      </c>
      <c r="Z25" s="1303" t="str">
        <f>'SpxSp (step-a)'!B29</f>
        <v/>
      </c>
      <c r="AA25" s="1303" t="str">
        <f>'SpxSp (step-a)'!H29</f>
        <v/>
      </c>
      <c r="AB25" s="1290" t="str">
        <f>VLOOKUP($Z25,'SpxSp (step-a)'!$B$22:$O$71,AB$14,FALSE)</f>
        <v/>
      </c>
      <c r="AD25" s="1290" t="str">
        <f>IF(Z25="","",IFERROR(VLOOKUP($Z25,'SpxSp (step-a)'!$B$22:$O$71,AD$14,FALSE),0))</f>
        <v/>
      </c>
      <c r="AE25" s="1290" t="str">
        <f>IF(Z25="","",IFERROR(VLOOKUP($Z25,'SpxSp (step-a)'!$B$22:$O$71,AE$14,FALSE),0))</f>
        <v/>
      </c>
      <c r="AG25" s="1290" t="str">
        <f>IF(OR($AP25=0,$Z25=0),0,AD25)</f>
        <v/>
      </c>
      <c r="AI25" s="1290" t="str">
        <f>IF($Z25="","",SUMIFS('SpxSp (step-b)'!L$26:L$75,'SpxSp (step-b)'!B$26:B$75,Z25,'SpxSp (step-b)'!N$26:N$75,"New"))</f>
        <v/>
      </c>
      <c r="AJ25" s="1290" t="str">
        <f>IF($Z25="","",SUMIFS('SpxSp (step-b)'!$L$26:$L$75,'SpxSp (step-b)'!$B$26:$B$75,$Z25,'SpxSp (step-b)'!N$26:N$75,""))</f>
        <v/>
      </c>
      <c r="AK25" s="1290" t="str">
        <f>IF($Z25="","",SUMIFS('SpxSp (step-b)'!$J$26:$J$75,'SpxSp (step-b)'!$B$26:$B$75,$Z25,'SpxSp (step-b)'!$N$26:$N$75,"New")+SUMIFS('SpxSp (step-b)'!$J$26:$J$75,'SpxSp (step-b)'!$B$26:$B$75,$Z25,'SpxSp (step-b)'!$N$26:$N$75,""))</f>
        <v/>
      </c>
      <c r="AL25" s="1290" t="str">
        <f>IF($Z25="","",SUMIFS('SpxSp (step-b)'!$L$26:$L$75,'SpxSp (step-b)'!$B$26:$B$75,$Z25,'SpxSp (step-b)'!$N$26:$N$75,"Existing Remains"))</f>
        <v/>
      </c>
      <c r="AM25" s="1290" t="str">
        <f>IF($Z25="","",SUMIFS('SpxSp (step-b)'!$L$26:$L$75,'SpxSp (step-b)'!$B$26:$B$75,$Z25,'SpxSp (step-b)'!$N$26:$N$75,"Existing Removed"))</f>
        <v/>
      </c>
      <c r="AN25" s="1290" t="str">
        <f>IF($Z25="","",SUMIFS('SpxSp (step-b)'!$J$26:$J$75,'SpxSp (step-b)'!$B$26:$B$75,$Z25,'SpxSp (step-b)'!$N$26:$N$75,"Existing Removed"))</f>
        <v/>
      </c>
      <c r="AO25" s="1290" t="str">
        <f t="shared" si="5"/>
        <v/>
      </c>
      <c r="AP25" s="1290" t="str">
        <f t="shared" si="18"/>
        <v/>
      </c>
      <c r="AQ25" s="1304"/>
      <c r="AR25" s="1305" t="str">
        <f t="shared" si="19"/>
        <v/>
      </c>
      <c r="AS25" s="1306" t="str">
        <f t="shared" si="20"/>
        <v/>
      </c>
      <c r="AT25" s="1307"/>
      <c r="AU25" s="1308" t="str">
        <f t="shared" si="21"/>
        <v/>
      </c>
      <c r="AV25" s="1309" t="str">
        <f t="shared" si="6"/>
        <v/>
      </c>
      <c r="AW25" s="1309" t="str">
        <f t="shared" si="22"/>
        <v/>
      </c>
      <c r="AX25" s="1310" t="str">
        <f t="shared" si="23"/>
        <v/>
      </c>
      <c r="AY25" s="1307"/>
      <c r="AZ25" s="1311" t="str">
        <f t="shared" si="24"/>
        <v/>
      </c>
      <c r="BA25" s="1309" t="str">
        <f t="shared" si="25"/>
        <v/>
      </c>
      <c r="BB25" s="1310" t="str">
        <f t="shared" si="26"/>
        <v/>
      </c>
      <c r="BC25" s="1312"/>
      <c r="BD25" s="1313" t="str">
        <f t="shared" si="35"/>
        <v/>
      </c>
      <c r="BE25" s="1290" t="str">
        <f t="shared" si="27"/>
        <v/>
      </c>
      <c r="BF25" s="1290" t="str">
        <f t="shared" si="28"/>
        <v/>
      </c>
      <c r="BH25" s="1315" t="str">
        <f t="shared" si="10"/>
        <v/>
      </c>
      <c r="BI25" s="1315" t="str">
        <f t="shared" si="11"/>
        <v/>
      </c>
      <c r="BJ25" s="1303" t="str">
        <f>IF(OR(BH25="Fail",BH25="Fail LPA",BH25=""),"",'SpxSp (step-a)'!CM29)</f>
        <v/>
      </c>
      <c r="BK25" s="1290">
        <f t="shared" si="30"/>
        <v>0</v>
      </c>
      <c r="BN25" s="178">
        <v>8</v>
      </c>
      <c r="BO25" s="1316" t="str">
        <f t="shared" ca="1" si="29"/>
        <v/>
      </c>
      <c r="BP25" s="1317" t="str">
        <f ca="1">IF(INDIRECT("'SpxSp (step-b)'!$B" &amp; BP$16)=$Z25,INDIRECT("'SpxSp (step-b)'!$" &amp; 'SpxSp (step-b)'!$BC$23 &amp; BP$16),"")</f>
        <v/>
      </c>
      <c r="BQ25" s="1317" t="str">
        <f ca="1">IF(INDIRECT("'SpxSp (step-b)'!$B" &amp; BQ$16)=$Z25,INDIRECT("'SpxSp (step-b)'!$" &amp; 'SpxSp (step-b)'!$BC$23 &amp; BQ$16),"")</f>
        <v/>
      </c>
      <c r="BR25" s="1317" t="str">
        <f ca="1">IF(INDIRECT("'SpxSp (step-b)'!$B" &amp; BR$16)=$Z25,INDIRECT("'SpxSp (step-b)'!$" &amp; 'SpxSp (step-b)'!$BC$23 &amp; BR$16),"")</f>
        <v/>
      </c>
      <c r="BS25" s="1317" t="str">
        <f ca="1">IF(INDIRECT("'SpxSp (step-b)'!$B" &amp; BS$16)=$Z25,INDIRECT("'SpxSp (step-b)'!$" &amp; 'SpxSp (step-b)'!$BC$23 &amp; BS$16),"")</f>
        <v/>
      </c>
      <c r="BT25" s="1317" t="str">
        <f ca="1">IF(INDIRECT("'SpxSp (step-b)'!$B" &amp; BT$16)=$Z25,INDIRECT("'SpxSp (step-b)'!$" &amp; 'SpxSp (step-b)'!$BC$23 &amp; BT$16),"")</f>
        <v/>
      </c>
      <c r="BU25" s="1317" t="str">
        <f ca="1">IF(INDIRECT("'SpxSp (step-b)'!$B" &amp; BU$16)=$Z25,INDIRECT("'SpxSp (step-b)'!$" &amp; 'SpxSp (step-b)'!$BC$23 &amp; BU$16),"")</f>
        <v/>
      </c>
      <c r="BV25" s="1317" t="str">
        <f ca="1">IF(INDIRECT("'SpxSp (step-b)'!$B" &amp; BV$16)=$Z25,INDIRECT("'SpxSp (step-b)'!$" &amp; 'SpxSp (step-b)'!$BC$23 &amp; BV$16),"")</f>
        <v/>
      </c>
      <c r="BW25" s="1317" t="str">
        <f ca="1">IF(INDIRECT("'SpxSp (step-b)'!$B" &amp; BW$16)=$Z25,INDIRECT("'SpxSp (step-b)'!$" &amp; 'SpxSp (step-b)'!$BC$23 &amp; BW$16),"")</f>
        <v/>
      </c>
      <c r="BX25" s="1317" t="str">
        <f ca="1">IF(INDIRECT("'SpxSp (step-b)'!$B" &amp; BX$16)=$Z25,INDIRECT("'SpxSp (step-b)'!$" &amp; 'SpxSp (step-b)'!$BC$23 &amp; BX$16),"")</f>
        <v/>
      </c>
      <c r="BY25" s="1317" t="str">
        <f ca="1">IF(INDIRECT("'SpxSp (step-b)'!$B" &amp; BY$16)=$Z25,INDIRECT("'SpxSp (step-b)'!$" &amp; 'SpxSp (step-b)'!$BC$23 &amp; BY$16),"")</f>
        <v/>
      </c>
      <c r="BZ25" s="1317" t="str">
        <f ca="1">IF(INDIRECT("'SpxSp (step-b)'!$B" &amp; BZ$16)=$Z25,INDIRECT("'SpxSp (step-b)'!$" &amp; 'SpxSp (step-b)'!$BC$23 &amp; BZ$16),"")</f>
        <v/>
      </c>
      <c r="CA25" s="1317" t="str">
        <f ca="1">IF(INDIRECT("'SpxSp (step-b)'!$B" &amp; CA$16)=$Z25,INDIRECT("'SpxSp (step-b)'!$" &amp; 'SpxSp (step-b)'!$BC$23 &amp; CA$16),"")</f>
        <v/>
      </c>
      <c r="CB25" s="1317" t="str">
        <f ca="1">IF(INDIRECT("'SpxSp (step-b)'!$B" &amp; CB$16)=$Z25,INDIRECT("'SpxSp (step-b)'!$" &amp; 'SpxSp (step-b)'!$BC$23 &amp; CB$16),"")</f>
        <v/>
      </c>
      <c r="CC25" s="1317" t="str">
        <f ca="1">IF(INDIRECT("'SpxSp (step-b)'!$B" &amp; CC$16)=$Z25,INDIRECT("'SpxSp (step-b)'!$" &amp; 'SpxSp (step-b)'!$BC$23 &amp; CC$16),"")</f>
        <v/>
      </c>
      <c r="CD25" s="1317" t="str">
        <f ca="1">IF(INDIRECT("'SpxSp (step-b)'!$B" &amp; CD$16)=$Z25,INDIRECT("'SpxSp (step-b)'!$" &amp; 'SpxSp (step-b)'!$BC$23 &amp; CD$16),"")</f>
        <v/>
      </c>
      <c r="CE25" s="1317" t="str">
        <f ca="1">IF(INDIRECT("'SpxSp (step-b)'!$B" &amp; CE$16)=$Z25,INDIRECT("'SpxSp (step-b)'!$" &amp; 'SpxSp (step-b)'!$BC$23 &amp; CE$16),"")</f>
        <v/>
      </c>
      <c r="CF25" s="1317" t="str">
        <f ca="1">IF(INDIRECT("'SpxSp (step-b)'!$B" &amp; CF$16)=$Z25,INDIRECT("'SpxSp (step-b)'!$" &amp; 'SpxSp (step-b)'!$BC$23 &amp; CF$16),"")</f>
        <v/>
      </c>
      <c r="CG25" s="1317" t="str">
        <f ca="1">IF(INDIRECT("'SpxSp (step-b)'!$B" &amp; CG$16)=$Z25,INDIRECT("'SpxSp (step-b)'!$" &amp; 'SpxSp (step-b)'!$BC$23 &amp; CG$16),"")</f>
        <v/>
      </c>
      <c r="CH25" s="1317" t="str">
        <f ca="1">IF(INDIRECT("'SpxSp (step-b)'!$B" &amp; CH$16)=$Z25,INDIRECT("'SpxSp (step-b)'!$" &amp; 'SpxSp (step-b)'!$BC$23 &amp; CH$16),"")</f>
        <v/>
      </c>
      <c r="CI25" s="1317" t="str">
        <f ca="1">IF(INDIRECT("'SpxSp (step-b)'!$B" &amp; CI$16)=$Z25,INDIRECT("'SpxSp (step-b)'!$" &amp; 'SpxSp (step-b)'!$BC$23 &amp; CI$16),"")</f>
        <v/>
      </c>
      <c r="CJ25" s="1317" t="str">
        <f ca="1">IF(INDIRECT("'SpxSp (step-b)'!$B" &amp; CJ$16)=$Z25,INDIRECT("'SpxSp (step-b)'!$" &amp; 'SpxSp (step-b)'!$BC$23 &amp; CJ$16),"")</f>
        <v/>
      </c>
      <c r="CK25" s="1317" t="str">
        <f ca="1">IF(INDIRECT("'SpxSp (step-b)'!$B" &amp; CK$16)=$Z25,INDIRECT("'SpxSp (step-b)'!$" &amp; 'SpxSp (step-b)'!$BC$23 &amp; CK$16),"")</f>
        <v/>
      </c>
      <c r="CL25" s="1317" t="str">
        <f ca="1">IF(INDIRECT("'SpxSp (step-b)'!$B" &amp; CL$16)=$Z25,INDIRECT("'SpxSp (step-b)'!$" &amp; 'SpxSp (step-b)'!$BC$23 &amp; CL$16),"")</f>
        <v/>
      </c>
      <c r="CM25" s="1317" t="str">
        <f ca="1">IF(INDIRECT("'SpxSp (step-b)'!$B" &amp; CM$16)=$Z25,INDIRECT("'SpxSp (step-b)'!$" &amp; 'SpxSp (step-b)'!$BC$23 &amp; CM$16),"")</f>
        <v/>
      </c>
      <c r="CN25" s="1317" t="str">
        <f ca="1">IF(INDIRECT("'SpxSp (step-b)'!$B" &amp; CN$16)=$Z25,INDIRECT("'SpxSp (step-b)'!$" &amp; 'SpxSp (step-b)'!$BC$23 &amp; CN$16),"")</f>
        <v/>
      </c>
      <c r="CO25" s="1317" t="str">
        <f ca="1">IF(INDIRECT("'SpxSp (step-b)'!$B" &amp; CO$16)=$Z25,INDIRECT("'SpxSp (step-b)'!$" &amp; 'SpxSp (step-b)'!$BC$23 &amp; CO$16),"")</f>
        <v/>
      </c>
      <c r="CP25" s="1317" t="str">
        <f ca="1">IF(INDIRECT("'SpxSp (step-b)'!$B" &amp; CP$16)=$Z25,INDIRECT("'SpxSp (step-b)'!$" &amp; 'SpxSp (step-b)'!$BC$23 &amp; CP$16),"")</f>
        <v/>
      </c>
      <c r="CQ25" s="1317" t="str">
        <f ca="1">IF(INDIRECT("'SpxSp (step-b)'!$B" &amp; CQ$16)=$Z25,INDIRECT("'SpxSp (step-b)'!$" &amp; 'SpxSp (step-b)'!$BC$23 &amp; CQ$16),"")</f>
        <v/>
      </c>
      <c r="CR25" s="1317" t="str">
        <f ca="1">IF(INDIRECT("'SpxSp (step-b)'!$B" &amp; CR$16)=$Z25,INDIRECT("'SpxSp (step-b)'!$" &amp; 'SpxSp (step-b)'!$BC$23 &amp; CR$16),"")</f>
        <v/>
      </c>
      <c r="CS25" s="1317" t="str">
        <f ca="1">IF(INDIRECT("'SpxSp (step-b)'!$B" &amp; CS$16)=$Z25,INDIRECT("'SpxSp (step-b)'!$" &amp; 'SpxSp (step-b)'!$BC$23 &amp; CS$16),"")</f>
        <v/>
      </c>
      <c r="CT25" s="1317" t="str">
        <f ca="1">IF(INDIRECT("'SpxSp (step-b)'!$B" &amp; CT$16)=$Z25,INDIRECT("'SpxSp (step-b)'!$" &amp; 'SpxSp (step-b)'!$BC$23 &amp; CT$16),"")</f>
        <v/>
      </c>
      <c r="CU25" s="1317" t="str">
        <f ca="1">IF(INDIRECT("'SpxSp (step-b)'!$B" &amp; CU$16)=$Z25,INDIRECT("'SpxSp (step-b)'!$" &amp; 'SpxSp (step-b)'!$BC$23 &amp; CU$16),"")</f>
        <v/>
      </c>
      <c r="CV25" s="1317" t="str">
        <f ca="1">IF(INDIRECT("'SpxSp (step-b)'!$B" &amp; CV$16)=$Z25,INDIRECT("'SpxSp (step-b)'!$" &amp; 'SpxSp (step-b)'!$BC$23 &amp; CV$16),"")</f>
        <v/>
      </c>
      <c r="CW25" s="1317" t="str">
        <f ca="1">IF(INDIRECT("'SpxSp (step-b)'!$B" &amp; CW$16)=$Z25,INDIRECT("'SpxSp (step-b)'!$" &amp; 'SpxSp (step-b)'!$BC$23 &amp; CW$16),"")</f>
        <v/>
      </c>
      <c r="CX25" s="1317" t="str">
        <f ca="1">IF(INDIRECT("'SpxSp (step-b)'!$B" &amp; CX$16)=$Z25,INDIRECT("'SpxSp (step-b)'!$" &amp; 'SpxSp (step-b)'!$BC$23 &amp; CX$16),"")</f>
        <v/>
      </c>
      <c r="CY25" s="1317" t="str">
        <f ca="1">IF(INDIRECT("'SpxSp (step-b)'!$B" &amp; CY$16)=$Z25,INDIRECT("'SpxSp (step-b)'!$" &amp; 'SpxSp (step-b)'!$BC$23 &amp; CY$16),"")</f>
        <v/>
      </c>
      <c r="CZ25" s="1317" t="str">
        <f ca="1">IF(INDIRECT("'SpxSp (step-b)'!$B" &amp; CZ$16)=$Z25,INDIRECT("'SpxSp (step-b)'!$" &amp; 'SpxSp (step-b)'!$BC$23 &amp; CZ$16),"")</f>
        <v/>
      </c>
      <c r="DA25" s="1317" t="str">
        <f ca="1">IF(INDIRECT("'SpxSp (step-b)'!$B" &amp; DA$16)=$Z25,INDIRECT("'SpxSp (step-b)'!$" &amp; 'SpxSp (step-b)'!$BC$23 &amp; DA$16),"")</f>
        <v/>
      </c>
      <c r="DB25" s="1317" t="str">
        <f ca="1">IF(INDIRECT("'SpxSp (step-b)'!$B" &amp; DB$16)=$Z25,INDIRECT("'SpxSp (step-b)'!$" &amp; 'SpxSp (step-b)'!$BC$23 &amp; DB$16),"")</f>
        <v/>
      </c>
      <c r="DC25" s="1317" t="str">
        <f ca="1">IF(INDIRECT("'SpxSp (step-b)'!$B" &amp; DC$16)=$Z25,INDIRECT("'SpxSp (step-b)'!$" &amp; 'SpxSp (step-b)'!$BC$23 &amp; DC$16),"")</f>
        <v/>
      </c>
      <c r="DD25" s="1317" t="str">
        <f ca="1">IF(INDIRECT("'SpxSp (step-b)'!$B" &amp; DD$16)=$Z25,INDIRECT("'SpxSp (step-b)'!$" &amp; 'SpxSp (step-b)'!$BC$23 &amp; DD$16),"")</f>
        <v/>
      </c>
      <c r="DE25" s="1317" t="str">
        <f ca="1">IF(INDIRECT("'SpxSp (step-b)'!$B" &amp; DE$16)=$Z25,INDIRECT("'SpxSp (step-b)'!$" &amp; 'SpxSp (step-b)'!$BC$23 &amp; DE$16),"")</f>
        <v/>
      </c>
      <c r="DF25" s="1317" t="str">
        <f ca="1">IF(INDIRECT("'SpxSp (step-b)'!$B" &amp; DF$16)=$Z25,INDIRECT("'SpxSp (step-b)'!$" &amp; 'SpxSp (step-b)'!$BC$23 &amp; DF$16),"")</f>
        <v/>
      </c>
      <c r="DG25" s="1317" t="str">
        <f ca="1">IF(INDIRECT("'SpxSp (step-b)'!$B" &amp; DG$16)=$Z25,INDIRECT("'SpxSp (step-b)'!$" &amp; 'SpxSp (step-b)'!$BC$23 &amp; DG$16),"")</f>
        <v/>
      </c>
      <c r="DH25" s="1317" t="str">
        <f ca="1">IF(INDIRECT("'SpxSp (step-b)'!$B" &amp; DH$16)=$Z25,INDIRECT("'SpxSp (step-b)'!$" &amp; 'SpxSp (step-b)'!$BC$23 &amp; DH$16),"")</f>
        <v/>
      </c>
      <c r="DI25" s="1317" t="str">
        <f ca="1">IF(INDIRECT("'SpxSp (step-b)'!$B" &amp; DI$16)=$Z25,INDIRECT("'SpxSp (step-b)'!$" &amp; 'SpxSp (step-b)'!$BC$23 &amp; DI$16),"")</f>
        <v/>
      </c>
      <c r="DJ25" s="1317" t="str">
        <f ca="1">IF(INDIRECT("'SpxSp (step-b)'!$B" &amp; DJ$16)=$Z25,INDIRECT("'SpxSp (step-b)'!$" &amp; 'SpxSp (step-b)'!$BC$23 &amp; DJ$16),"")</f>
        <v/>
      </c>
      <c r="DK25" s="1317" t="str">
        <f ca="1">IF(INDIRECT("'SpxSp (step-b)'!$B" &amp; DK$16)=$Z25,INDIRECT("'SpxSp (step-b)'!$" &amp; 'SpxSp (step-b)'!$BC$23 &amp; DK$16),"")</f>
        <v/>
      </c>
      <c r="DL25" s="1317" t="str">
        <f ca="1">IF(INDIRECT("'SpxSp (step-b)'!$B" &amp; DL$16)=$Z25,INDIRECT("'SpxSp (step-b)'!$" &amp; 'SpxSp (step-b)'!$BC$23 &amp; DL$16),"")</f>
        <v/>
      </c>
      <c r="DM25" s="1317" t="str">
        <f ca="1">IF(INDIRECT("'SpxSp (step-b)'!$B" &amp; DM$16)=$Z25,INDIRECT("'SpxSp (step-b)'!$" &amp; 'SpxSp (step-b)'!$BC$23 &amp; DM$16),"")</f>
        <v/>
      </c>
      <c r="DN25" s="1318" t="str">
        <f t="shared" ca="1" si="32"/>
        <v/>
      </c>
      <c r="DO25" s="1246" t="s">
        <v>1201</v>
      </c>
    </row>
    <row r="26" spans="2:119" ht="40" x14ac:dyDescent="0.2">
      <c r="B26" s="1450" t="str">
        <f t="shared" si="13"/>
        <v/>
      </c>
      <c r="C26" s="1451"/>
      <c r="D26" s="1451"/>
      <c r="E26" s="1451"/>
      <c r="F26" s="1452"/>
      <c r="G26" s="1319" t="str">
        <f t="shared" si="31"/>
        <v/>
      </c>
      <c r="H26" s="1320" t="str">
        <f t="shared" si="14"/>
        <v/>
      </c>
      <c r="I26" s="1321" t="str">
        <f t="shared" si="33"/>
        <v/>
      </c>
      <c r="J26" s="1296"/>
      <c r="K26" s="1322" t="str">
        <f>IFERROR(IF(OR(B26="",H26=0),"",VLOOKUP(B26,'SpxSp (step-c)'!B$18:O$67,6,FALSE)),"")</f>
        <v/>
      </c>
      <c r="L26" s="1323" t="str">
        <f ca="1">IFERROR(F(OR(B26="",H26=0),"",VLOOKUP($B26,'SpxSp (step-c)'!$B$18:O$67,12,FALSE)),"")</f>
        <v/>
      </c>
      <c r="M26" s="1321" t="str">
        <f ca="1">IF(AND(B26&lt;&gt;"",L26=""),"NA",IFERROR(VLOOKUP($B26,'SpxSp (step-c)'!$B$18:P$67,13,FALSE),""))</f>
        <v/>
      </c>
      <c r="N26" s="1324"/>
      <c r="O26" s="1322" t="str">
        <f>IFERROR(IF(OR(B26="",H26=0),"",VLOOKUP($B26,'SpxSp (step-d)'!$B$18:$P$67,12,FALSE)),"")</f>
        <v/>
      </c>
      <c r="P26" s="1323" t="str">
        <f>IFERROR(IF(OR(B26="",H26=0),"",VLOOKUP($B26,'SpxSp (step-d)'!$B$18:$P$67,13,FALSE)),"")</f>
        <v/>
      </c>
      <c r="Q26" s="1323" t="str">
        <f>IFERROR(IF(OR(B26="",H26=0),"",VLOOKUP($B26,'SpxSp (step-d)'!$B$18:$P$67,14,FALSE)),"")</f>
        <v/>
      </c>
      <c r="R26" s="1321" t="str">
        <f>IF(AND(B26&lt;&gt;"",P26=""),"NA",IFERROR(VLOOKUP(B26,'SpxSp (step-d)'!$B$18:$V$67,15,FALSE),""))</f>
        <v/>
      </c>
      <c r="S26" s="1296"/>
      <c r="T26" s="1325" t="str">
        <f t="shared" si="34"/>
        <v/>
      </c>
      <c r="U26" s="1326" t="str">
        <f t="shared" si="17"/>
        <v/>
      </c>
      <c r="Y26" s="1302">
        <v>9</v>
      </c>
      <c r="Z26" s="1303" t="str">
        <f>'SpxSp (step-a)'!B30</f>
        <v/>
      </c>
      <c r="AA26" s="1303" t="str">
        <f>'SpxSp (step-a)'!H30</f>
        <v/>
      </c>
      <c r="AB26" s="1290" t="str">
        <f>VLOOKUP($Z26,'SpxSp (step-a)'!$B$22:$O$71,AB$14,FALSE)</f>
        <v/>
      </c>
      <c r="AD26" s="1290" t="str">
        <f>IF(Z26="","",IFERROR(VLOOKUP($Z26,'SpxSp (step-a)'!$B$22:$O$71,AD$14,FALSE),0))</f>
        <v/>
      </c>
      <c r="AE26" s="1290" t="str">
        <f>IF(Z26="","",IFERROR(VLOOKUP($Z26,'SpxSp (step-a)'!$B$22:$O$71,AE$14,FALSE),0))</f>
        <v/>
      </c>
      <c r="AG26" s="1290" t="str">
        <f t="shared" ref="AG26:AG67" si="36">IF(OR($AP26=0,$Z26=0),0,AD26)</f>
        <v/>
      </c>
      <c r="AI26" s="1290" t="str">
        <f>IF($Z26="","",SUMIFS('SpxSp (step-b)'!L$26:L$75,'SpxSp (step-b)'!B$26:B$75,Z26,'SpxSp (step-b)'!N$26:N$75,"New"))</f>
        <v/>
      </c>
      <c r="AJ26" s="1290" t="str">
        <f>IF($Z26="","",SUMIFS('SpxSp (step-b)'!$L$26:$L$75,'SpxSp (step-b)'!$B$26:$B$75,$Z26,'SpxSp (step-b)'!N$26:N$75,""))</f>
        <v/>
      </c>
      <c r="AK26" s="1290" t="str">
        <f>IF($Z26="","",SUMIFS('SpxSp (step-b)'!$J$26:$J$75,'SpxSp (step-b)'!$B$26:$B$75,$Z26,'SpxSp (step-b)'!$N$26:$N$75,"New")+SUMIFS('SpxSp (step-b)'!$J$26:$J$75,'SpxSp (step-b)'!$B$26:$B$75,$Z26,'SpxSp (step-b)'!$N$26:$N$75,""))</f>
        <v/>
      </c>
      <c r="AL26" s="1290" t="str">
        <f>IF($Z26="","",SUMIFS('SpxSp (step-b)'!$L$26:$L$75,'SpxSp (step-b)'!$B$26:$B$75,$Z26,'SpxSp (step-b)'!$N$26:$N$75,"Existing Remains"))</f>
        <v/>
      </c>
      <c r="AM26" s="1290" t="str">
        <f>IF($Z26="","",SUMIFS('SpxSp (step-b)'!$L$26:$L$75,'SpxSp (step-b)'!$B$26:$B$75,$Z26,'SpxSp (step-b)'!$N$26:$N$75,"Existing Removed"))</f>
        <v/>
      </c>
      <c r="AN26" s="1290" t="str">
        <f>IF($Z26="","",SUMIFS('SpxSp (step-b)'!$J$26:$J$75,'SpxSp (step-b)'!$B$26:$B$75,$Z26,'SpxSp (step-b)'!$N$26:$N$75,"Existing Removed"))</f>
        <v/>
      </c>
      <c r="AO26" s="1290" t="str">
        <f>IF($Z26="","",AL26+AM26)</f>
        <v/>
      </c>
      <c r="AP26" s="1290" t="str">
        <f t="shared" si="18"/>
        <v/>
      </c>
      <c r="AQ26" s="1304"/>
      <c r="AR26" s="1305" t="str">
        <f t="shared" si="19"/>
        <v/>
      </c>
      <c r="AS26" s="1306" t="str">
        <f t="shared" si="20"/>
        <v/>
      </c>
      <c r="AT26" s="1307"/>
      <c r="AU26" s="1308" t="str">
        <f t="shared" si="21"/>
        <v/>
      </c>
      <c r="AV26" s="1309" t="str">
        <f t="shared" si="6"/>
        <v/>
      </c>
      <c r="AW26" s="1309" t="str">
        <f t="shared" si="22"/>
        <v/>
      </c>
      <c r="AX26" s="1310" t="str">
        <f t="shared" si="23"/>
        <v/>
      </c>
      <c r="AY26" s="1307"/>
      <c r="AZ26" s="1311" t="str">
        <f t="shared" si="24"/>
        <v/>
      </c>
      <c r="BA26" s="1309" t="str">
        <f t="shared" si="25"/>
        <v/>
      </c>
      <c r="BB26" s="1310" t="str">
        <f t="shared" si="26"/>
        <v/>
      </c>
      <c r="BC26" s="1312"/>
      <c r="BD26" s="1313" t="str">
        <f t="shared" si="35"/>
        <v/>
      </c>
      <c r="BE26" s="1290" t="str">
        <f t="shared" si="27"/>
        <v/>
      </c>
      <c r="BF26" s="1290" t="str">
        <f t="shared" si="28"/>
        <v/>
      </c>
      <c r="BH26" s="1315" t="str">
        <f t="shared" si="10"/>
        <v/>
      </c>
      <c r="BI26" s="1315"/>
      <c r="BJ26" s="1303" t="str">
        <f>IF(OR(BH26="Fail",BH26="Fail LPA",BH26=""),"",'SpxSp (step-a)'!CM30)</f>
        <v/>
      </c>
      <c r="BK26" s="1290">
        <f t="shared" si="30"/>
        <v>0</v>
      </c>
      <c r="BN26" s="178">
        <v>9</v>
      </c>
      <c r="BO26" s="1316" t="str">
        <f t="shared" ca="1" si="29"/>
        <v/>
      </c>
      <c r="BP26" s="1317" t="str">
        <f ca="1">IF(INDIRECT("'SpxSp (step-b)'!$B" &amp; BP$16)=$Z26,INDIRECT("'SpxSp (step-b)'!$" &amp; 'SpxSp (step-b)'!$BC$23 &amp; BP$16),"")</f>
        <v/>
      </c>
      <c r="BQ26" s="1317" t="str">
        <f ca="1">IF(INDIRECT("'SpxSp (step-b)'!$B" &amp; BQ$16)=$Z26,INDIRECT("'SpxSp (step-b)'!$" &amp; 'SpxSp (step-b)'!$BC$23 &amp; BQ$16),"")</f>
        <v/>
      </c>
      <c r="BR26" s="1317" t="str">
        <f ca="1">IF(INDIRECT("'SpxSp (step-b)'!$B" &amp; BR$16)=$Z26,INDIRECT("'SpxSp (step-b)'!$" &amp; 'SpxSp (step-b)'!$BC$23 &amp; BR$16),"")</f>
        <v/>
      </c>
      <c r="BS26" s="1317" t="str">
        <f ca="1">IF(INDIRECT("'SpxSp (step-b)'!$B" &amp; BS$16)=$Z26,INDIRECT("'SpxSp (step-b)'!$" &amp; 'SpxSp (step-b)'!$BC$23 &amp; BS$16),"")</f>
        <v/>
      </c>
      <c r="BT26" s="1317" t="str">
        <f ca="1">IF(INDIRECT("'SpxSp (step-b)'!$B" &amp; BT$16)=$Z26,INDIRECT("'SpxSp (step-b)'!$" &amp; 'SpxSp (step-b)'!$BC$23 &amp; BT$16),"")</f>
        <v/>
      </c>
      <c r="BU26" s="1317" t="str">
        <f ca="1">IF(INDIRECT("'SpxSp (step-b)'!$B" &amp; BU$16)=$Z26,INDIRECT("'SpxSp (step-b)'!$" &amp; 'SpxSp (step-b)'!$BC$23 &amp; BU$16),"")</f>
        <v/>
      </c>
      <c r="BV26" s="1317" t="str">
        <f ca="1">IF(INDIRECT("'SpxSp (step-b)'!$B" &amp; BV$16)=$Z26,INDIRECT("'SpxSp (step-b)'!$" &amp; 'SpxSp (step-b)'!$BC$23 &amp; BV$16),"")</f>
        <v/>
      </c>
      <c r="BW26" s="1317" t="str">
        <f ca="1">IF(INDIRECT("'SpxSp (step-b)'!$B" &amp; BW$16)=$Z26,INDIRECT("'SpxSp (step-b)'!$" &amp; 'SpxSp (step-b)'!$BC$23 &amp; BW$16),"")</f>
        <v/>
      </c>
      <c r="BX26" s="1317" t="str">
        <f ca="1">IF(INDIRECT("'SpxSp (step-b)'!$B" &amp; BX$16)=$Z26,INDIRECT("'SpxSp (step-b)'!$" &amp; 'SpxSp (step-b)'!$BC$23 &amp; BX$16),"")</f>
        <v/>
      </c>
      <c r="BY26" s="1317" t="str">
        <f ca="1">IF(INDIRECT("'SpxSp (step-b)'!$B" &amp; BY$16)=$Z26,INDIRECT("'SpxSp (step-b)'!$" &amp; 'SpxSp (step-b)'!$BC$23 &amp; BY$16),"")</f>
        <v/>
      </c>
      <c r="BZ26" s="1317" t="str">
        <f ca="1">IF(INDIRECT("'SpxSp (step-b)'!$B" &amp; BZ$16)=$Z26,INDIRECT("'SpxSp (step-b)'!$" &amp; 'SpxSp (step-b)'!$BC$23 &amp; BZ$16),"")</f>
        <v/>
      </c>
      <c r="CA26" s="1317" t="str">
        <f ca="1">IF(INDIRECT("'SpxSp (step-b)'!$B" &amp; CA$16)=$Z26,INDIRECT("'SpxSp (step-b)'!$" &amp; 'SpxSp (step-b)'!$BC$23 &amp; CA$16),"")</f>
        <v/>
      </c>
      <c r="CB26" s="1317" t="str">
        <f ca="1">IF(INDIRECT("'SpxSp (step-b)'!$B" &amp; CB$16)=$Z26,INDIRECT("'SpxSp (step-b)'!$" &amp; 'SpxSp (step-b)'!$BC$23 &amp; CB$16),"")</f>
        <v/>
      </c>
      <c r="CC26" s="1317" t="str">
        <f ca="1">IF(INDIRECT("'SpxSp (step-b)'!$B" &amp; CC$16)=$Z26,INDIRECT("'SpxSp (step-b)'!$" &amp; 'SpxSp (step-b)'!$BC$23 &amp; CC$16),"")</f>
        <v/>
      </c>
      <c r="CD26" s="1317" t="str">
        <f ca="1">IF(INDIRECT("'SpxSp (step-b)'!$B" &amp; CD$16)=$Z26,INDIRECT("'SpxSp (step-b)'!$" &amp; 'SpxSp (step-b)'!$BC$23 &amp; CD$16),"")</f>
        <v/>
      </c>
      <c r="CE26" s="1317" t="str">
        <f ca="1">IF(INDIRECT("'SpxSp (step-b)'!$B" &amp; CE$16)=$Z26,INDIRECT("'SpxSp (step-b)'!$" &amp; 'SpxSp (step-b)'!$BC$23 &amp; CE$16),"")</f>
        <v/>
      </c>
      <c r="CF26" s="1317" t="str">
        <f ca="1">IF(INDIRECT("'SpxSp (step-b)'!$B" &amp; CF$16)=$Z26,INDIRECT("'SpxSp (step-b)'!$" &amp; 'SpxSp (step-b)'!$BC$23 &amp; CF$16),"")</f>
        <v/>
      </c>
      <c r="CG26" s="1317" t="str">
        <f ca="1">IF(INDIRECT("'SpxSp (step-b)'!$B" &amp; CG$16)=$Z26,INDIRECT("'SpxSp (step-b)'!$" &amp; 'SpxSp (step-b)'!$BC$23 &amp; CG$16),"")</f>
        <v/>
      </c>
      <c r="CH26" s="1317" t="str">
        <f ca="1">IF(INDIRECT("'SpxSp (step-b)'!$B" &amp; CH$16)=$Z26,INDIRECT("'SpxSp (step-b)'!$" &amp; 'SpxSp (step-b)'!$BC$23 &amp; CH$16),"")</f>
        <v/>
      </c>
      <c r="CI26" s="1317" t="str">
        <f ca="1">IF(INDIRECT("'SpxSp (step-b)'!$B" &amp; CI$16)=$Z26,INDIRECT("'SpxSp (step-b)'!$" &amp; 'SpxSp (step-b)'!$BC$23 &amp; CI$16),"")</f>
        <v/>
      </c>
      <c r="CJ26" s="1317" t="str">
        <f ca="1">IF(INDIRECT("'SpxSp (step-b)'!$B" &amp; CJ$16)=$Z26,INDIRECT("'SpxSp (step-b)'!$" &amp; 'SpxSp (step-b)'!$BC$23 &amp; CJ$16),"")</f>
        <v/>
      </c>
      <c r="CK26" s="1317" t="str">
        <f ca="1">IF(INDIRECT("'SpxSp (step-b)'!$B" &amp; CK$16)=$Z26,INDIRECT("'SpxSp (step-b)'!$" &amp; 'SpxSp (step-b)'!$BC$23 &amp; CK$16),"")</f>
        <v/>
      </c>
      <c r="CL26" s="1317" t="str">
        <f ca="1">IF(INDIRECT("'SpxSp (step-b)'!$B" &amp; CL$16)=$Z26,INDIRECT("'SpxSp (step-b)'!$" &amp; 'SpxSp (step-b)'!$BC$23 &amp; CL$16),"")</f>
        <v/>
      </c>
      <c r="CM26" s="1317" t="str">
        <f ca="1">IF(INDIRECT("'SpxSp (step-b)'!$B" &amp; CM$16)=$Z26,INDIRECT("'SpxSp (step-b)'!$" &amp; 'SpxSp (step-b)'!$BC$23 &amp; CM$16),"")</f>
        <v/>
      </c>
      <c r="CN26" s="1317" t="str">
        <f ca="1">IF(INDIRECT("'SpxSp (step-b)'!$B" &amp; CN$16)=$Z26,INDIRECT("'SpxSp (step-b)'!$" &amp; 'SpxSp (step-b)'!$BC$23 &amp; CN$16),"")</f>
        <v/>
      </c>
      <c r="CO26" s="1317" t="str">
        <f ca="1">IF(INDIRECT("'SpxSp (step-b)'!$B" &amp; CO$16)=$Z26,INDIRECT("'SpxSp (step-b)'!$" &amp; 'SpxSp (step-b)'!$BC$23 &amp; CO$16),"")</f>
        <v/>
      </c>
      <c r="CP26" s="1317" t="str">
        <f ca="1">IF(INDIRECT("'SpxSp (step-b)'!$B" &amp; CP$16)=$Z26,INDIRECT("'SpxSp (step-b)'!$" &amp; 'SpxSp (step-b)'!$BC$23 &amp; CP$16),"")</f>
        <v/>
      </c>
      <c r="CQ26" s="1317" t="str">
        <f ca="1">IF(INDIRECT("'SpxSp (step-b)'!$B" &amp; CQ$16)=$Z26,INDIRECT("'SpxSp (step-b)'!$" &amp; 'SpxSp (step-b)'!$BC$23 &amp; CQ$16),"")</f>
        <v/>
      </c>
      <c r="CR26" s="1317" t="str">
        <f ca="1">IF(INDIRECT("'SpxSp (step-b)'!$B" &amp; CR$16)=$Z26,INDIRECT("'SpxSp (step-b)'!$" &amp; 'SpxSp (step-b)'!$BC$23 &amp; CR$16),"")</f>
        <v/>
      </c>
      <c r="CS26" s="1317" t="str">
        <f ca="1">IF(INDIRECT("'SpxSp (step-b)'!$B" &amp; CS$16)=$Z26,INDIRECT("'SpxSp (step-b)'!$" &amp; 'SpxSp (step-b)'!$BC$23 &amp; CS$16),"")</f>
        <v/>
      </c>
      <c r="CT26" s="1317" t="str">
        <f ca="1">IF(INDIRECT("'SpxSp (step-b)'!$B" &amp; CT$16)=$Z26,INDIRECT("'SpxSp (step-b)'!$" &amp; 'SpxSp (step-b)'!$BC$23 &amp; CT$16),"")</f>
        <v/>
      </c>
      <c r="CU26" s="1317" t="str">
        <f ca="1">IF(INDIRECT("'SpxSp (step-b)'!$B" &amp; CU$16)=$Z26,INDIRECT("'SpxSp (step-b)'!$" &amp; 'SpxSp (step-b)'!$BC$23 &amp; CU$16),"")</f>
        <v/>
      </c>
      <c r="CV26" s="1317" t="str">
        <f ca="1">IF(INDIRECT("'SpxSp (step-b)'!$B" &amp; CV$16)=$Z26,INDIRECT("'SpxSp (step-b)'!$" &amp; 'SpxSp (step-b)'!$BC$23 &amp; CV$16),"")</f>
        <v/>
      </c>
      <c r="CW26" s="1317" t="str">
        <f ca="1">IF(INDIRECT("'SpxSp (step-b)'!$B" &amp; CW$16)=$Z26,INDIRECT("'SpxSp (step-b)'!$" &amp; 'SpxSp (step-b)'!$BC$23 &amp; CW$16),"")</f>
        <v/>
      </c>
      <c r="CX26" s="1317" t="str">
        <f ca="1">IF(INDIRECT("'SpxSp (step-b)'!$B" &amp; CX$16)=$Z26,INDIRECT("'SpxSp (step-b)'!$" &amp; 'SpxSp (step-b)'!$BC$23 &amp; CX$16),"")</f>
        <v/>
      </c>
      <c r="CY26" s="1317" t="str">
        <f ca="1">IF(INDIRECT("'SpxSp (step-b)'!$B" &amp; CY$16)=$Z26,INDIRECT("'SpxSp (step-b)'!$" &amp; 'SpxSp (step-b)'!$BC$23 &amp; CY$16),"")</f>
        <v/>
      </c>
      <c r="CZ26" s="1317" t="str">
        <f ca="1">IF(INDIRECT("'SpxSp (step-b)'!$B" &amp; CZ$16)=$Z26,INDIRECT("'SpxSp (step-b)'!$" &amp; 'SpxSp (step-b)'!$BC$23 &amp; CZ$16),"")</f>
        <v/>
      </c>
      <c r="DA26" s="1317" t="str">
        <f ca="1">IF(INDIRECT("'SpxSp (step-b)'!$B" &amp; DA$16)=$Z26,INDIRECT("'SpxSp (step-b)'!$" &amp; 'SpxSp (step-b)'!$BC$23 &amp; DA$16),"")</f>
        <v/>
      </c>
      <c r="DB26" s="1317" t="str">
        <f ca="1">IF(INDIRECT("'SpxSp (step-b)'!$B" &amp; DB$16)=$Z26,INDIRECT("'SpxSp (step-b)'!$" &amp; 'SpxSp (step-b)'!$BC$23 &amp; DB$16),"")</f>
        <v/>
      </c>
      <c r="DC26" s="1317" t="str">
        <f ca="1">IF(INDIRECT("'SpxSp (step-b)'!$B" &amp; DC$16)=$Z26,INDIRECT("'SpxSp (step-b)'!$" &amp; 'SpxSp (step-b)'!$BC$23 &amp; DC$16),"")</f>
        <v/>
      </c>
      <c r="DD26" s="1317" t="str">
        <f ca="1">IF(INDIRECT("'SpxSp (step-b)'!$B" &amp; DD$16)=$Z26,INDIRECT("'SpxSp (step-b)'!$" &amp; 'SpxSp (step-b)'!$BC$23 &amp; DD$16),"")</f>
        <v/>
      </c>
      <c r="DE26" s="1317" t="str">
        <f ca="1">IF(INDIRECT("'SpxSp (step-b)'!$B" &amp; DE$16)=$Z26,INDIRECT("'SpxSp (step-b)'!$" &amp; 'SpxSp (step-b)'!$BC$23 &amp; DE$16),"")</f>
        <v/>
      </c>
      <c r="DF26" s="1317" t="str">
        <f ca="1">IF(INDIRECT("'SpxSp (step-b)'!$B" &amp; DF$16)=$Z26,INDIRECT("'SpxSp (step-b)'!$" &amp; 'SpxSp (step-b)'!$BC$23 &amp; DF$16),"")</f>
        <v/>
      </c>
      <c r="DG26" s="1317" t="str">
        <f ca="1">IF(INDIRECT("'SpxSp (step-b)'!$B" &amp; DG$16)=$Z26,INDIRECT("'SpxSp (step-b)'!$" &amp; 'SpxSp (step-b)'!$BC$23 &amp; DG$16),"")</f>
        <v/>
      </c>
      <c r="DH26" s="1317" t="str">
        <f ca="1">IF(INDIRECT("'SpxSp (step-b)'!$B" &amp; DH$16)=$Z26,INDIRECT("'SpxSp (step-b)'!$" &amp; 'SpxSp (step-b)'!$BC$23 &amp; DH$16),"")</f>
        <v/>
      </c>
      <c r="DI26" s="1317" t="str">
        <f ca="1">IF(INDIRECT("'SpxSp (step-b)'!$B" &amp; DI$16)=$Z26,INDIRECT("'SpxSp (step-b)'!$" &amp; 'SpxSp (step-b)'!$BC$23 &amp; DI$16),"")</f>
        <v/>
      </c>
      <c r="DJ26" s="1317" t="str">
        <f ca="1">IF(INDIRECT("'SpxSp (step-b)'!$B" &amp; DJ$16)=$Z26,INDIRECT("'SpxSp (step-b)'!$" &amp; 'SpxSp (step-b)'!$BC$23 &amp; DJ$16),"")</f>
        <v/>
      </c>
      <c r="DK26" s="1317" t="str">
        <f ca="1">IF(INDIRECT("'SpxSp (step-b)'!$B" &amp; DK$16)=$Z26,INDIRECT("'SpxSp (step-b)'!$" &amp; 'SpxSp (step-b)'!$BC$23 &amp; DK$16),"")</f>
        <v/>
      </c>
      <c r="DL26" s="1317" t="str">
        <f ca="1">IF(INDIRECT("'SpxSp (step-b)'!$B" &amp; DL$16)=$Z26,INDIRECT("'SpxSp (step-b)'!$" &amp; 'SpxSp (step-b)'!$BC$23 &amp; DL$16),"")</f>
        <v/>
      </c>
      <c r="DM26" s="1317" t="str">
        <f ca="1">IF(INDIRECT("'SpxSp (step-b)'!$B" &amp; DM$16)=$Z26,INDIRECT("'SpxSp (step-b)'!$" &amp; 'SpxSp (step-b)'!$BC$23 &amp; DM$16),"")</f>
        <v/>
      </c>
      <c r="DN26" s="1318" t="str">
        <f t="shared" ca="1" si="32"/>
        <v/>
      </c>
      <c r="DO26" s="1246" t="s">
        <v>1201</v>
      </c>
    </row>
    <row r="27" spans="2:119" ht="40" x14ac:dyDescent="0.2">
      <c r="B27" s="1450" t="str">
        <f t="shared" si="13"/>
        <v/>
      </c>
      <c r="C27" s="1451"/>
      <c r="D27" s="1451"/>
      <c r="E27" s="1451"/>
      <c r="F27" s="1452"/>
      <c r="G27" s="1319" t="str">
        <f t="shared" si="31"/>
        <v/>
      </c>
      <c r="H27" s="1320" t="str">
        <f t="shared" si="14"/>
        <v/>
      </c>
      <c r="I27" s="1321" t="str">
        <f t="shared" si="33"/>
        <v/>
      </c>
      <c r="J27" s="1296"/>
      <c r="K27" s="1322" t="str">
        <f>IFERROR(IF(OR(B27="",H27=0),"",VLOOKUP(B27,'SpxSp (step-c)'!B$18:O$67,6,FALSE)),"")</f>
        <v/>
      </c>
      <c r="L27" s="1323" t="str">
        <f ca="1">IFERROR(F(OR(B27="",H27=0),"",VLOOKUP($B27,'SpxSp (step-c)'!$B$18:O$67,12,FALSE)),"")</f>
        <v/>
      </c>
      <c r="M27" s="1321" t="str">
        <f ca="1">IF(AND(B27&lt;&gt;"",L27=""),"NA",IFERROR(VLOOKUP($B27,'SpxSp (step-c)'!$B$18:P$67,13,FALSE),""))</f>
        <v/>
      </c>
      <c r="N27" s="1324"/>
      <c r="O27" s="1322" t="str">
        <f>IFERROR(IF(OR(B27="",H27=0),"",VLOOKUP($B27,'SpxSp (step-d)'!$B$18:$P$67,12,FALSE)),"")</f>
        <v/>
      </c>
      <c r="P27" s="1323" t="str">
        <f>IFERROR(IF(OR(B27="",H27=0),"",VLOOKUP($B27,'SpxSp (step-d)'!$B$18:$P$67,13,FALSE)),"")</f>
        <v/>
      </c>
      <c r="Q27" s="1323" t="str">
        <f>IFERROR(IF(OR(B27="",H27=0),"",VLOOKUP($B27,'SpxSp (step-d)'!$B$18:$P$67,14,FALSE)),"")</f>
        <v/>
      </c>
      <c r="R27" s="1321" t="str">
        <f>IF(AND(B27&lt;&gt;"",P27=""),"NA",IFERROR(VLOOKUP(B27,'SpxSp (step-d)'!$B$18:$V$67,15,FALSE),""))</f>
        <v/>
      </c>
      <c r="S27" s="1296"/>
      <c r="T27" s="1325" t="str">
        <f t="shared" si="34"/>
        <v/>
      </c>
      <c r="U27" s="1326" t="str">
        <f t="shared" si="17"/>
        <v/>
      </c>
      <c r="Y27" s="1302">
        <v>10</v>
      </c>
      <c r="Z27" s="1303" t="str">
        <f>'SpxSp (step-a)'!B31</f>
        <v/>
      </c>
      <c r="AA27" s="1303" t="str">
        <f>'SpxSp (step-a)'!H31</f>
        <v/>
      </c>
      <c r="AB27" s="1290" t="str">
        <f>VLOOKUP($Z27,'SpxSp (step-a)'!$B$22:$O$71,AB$14,FALSE)</f>
        <v/>
      </c>
      <c r="AD27" s="1290" t="str">
        <f>IF(Z27="","",IFERROR(VLOOKUP($Z27,'SpxSp (step-a)'!$B$22:$O$71,AD$14,FALSE),0))</f>
        <v/>
      </c>
      <c r="AE27" s="1290" t="str">
        <f>IF(Z27="","",IFERROR(VLOOKUP($Z27,'SpxSp (step-a)'!$B$22:$O$71,AE$14,FALSE),0))</f>
        <v/>
      </c>
      <c r="AG27" s="1290" t="str">
        <f t="shared" si="36"/>
        <v/>
      </c>
      <c r="AI27" s="1290" t="str">
        <f>IF($Z27="","",SUMIFS('SpxSp (step-b)'!L$26:L$75,'SpxSp (step-b)'!B$26:B$75,Z27,'SpxSp (step-b)'!N$26:N$75,"New"))</f>
        <v/>
      </c>
      <c r="AJ27" s="1290" t="str">
        <f>IF($Z27="","",SUMIFS('SpxSp (step-b)'!$L$26:$L$75,'SpxSp (step-b)'!$B$26:$B$75,$Z27,'SpxSp (step-b)'!N$26:N$75,""))</f>
        <v/>
      </c>
      <c r="AK27" s="1290" t="str">
        <f>IF($Z27="","",SUMIFS('SpxSp (step-b)'!$J$26:$J$75,'SpxSp (step-b)'!$B$26:$B$75,$Z27,'SpxSp (step-b)'!$N$26:$N$75,"New")+SUMIFS('SpxSp (step-b)'!$J$26:$J$75,'SpxSp (step-b)'!$B$26:$B$75,$Z27,'SpxSp (step-b)'!$N$26:$N$75,""))</f>
        <v/>
      </c>
      <c r="AL27" s="1290" t="str">
        <f>IF($Z27="","",SUMIFS('SpxSp (step-b)'!$L$26:$L$75,'SpxSp (step-b)'!$B$26:$B$75,$Z27,'SpxSp (step-b)'!$N$26:$N$75,"Existing Remains"))</f>
        <v/>
      </c>
      <c r="AM27" s="1290" t="str">
        <f>IF($Z27="","",SUMIFS('SpxSp (step-b)'!$L$26:$L$75,'SpxSp (step-b)'!$B$26:$B$75,$Z27,'SpxSp (step-b)'!$N$26:$N$75,"Existing Removed"))</f>
        <v/>
      </c>
      <c r="AN27" s="1290" t="str">
        <f>IF($Z27="","",SUMIFS('SpxSp (step-b)'!$J$26:$J$75,'SpxSp (step-b)'!$B$26:$B$75,$Z27,'SpxSp (step-b)'!$N$26:$N$75,"Existing Removed"))</f>
        <v/>
      </c>
      <c r="AO27" s="1290" t="str">
        <f t="shared" ref="AO27:AO67" si="37">IF($Z27="","",AL27+AM27)</f>
        <v/>
      </c>
      <c r="AP27" s="1290" t="str">
        <f t="shared" si="18"/>
        <v/>
      </c>
      <c r="AQ27" s="1304"/>
      <c r="AR27" s="1305" t="str">
        <f t="shared" si="19"/>
        <v/>
      </c>
      <c r="AS27" s="1306" t="str">
        <f t="shared" si="20"/>
        <v/>
      </c>
      <c r="AT27" s="1307"/>
      <c r="AU27" s="1308" t="str">
        <f t="shared" si="21"/>
        <v/>
      </c>
      <c r="AV27" s="1309" t="str">
        <f t="shared" si="6"/>
        <v/>
      </c>
      <c r="AW27" s="1309" t="str">
        <f t="shared" si="22"/>
        <v/>
      </c>
      <c r="AX27" s="1310" t="str">
        <f t="shared" si="23"/>
        <v/>
      </c>
      <c r="AY27" s="1307"/>
      <c r="AZ27" s="1311" t="str">
        <f t="shared" si="24"/>
        <v/>
      </c>
      <c r="BA27" s="1309" t="str">
        <f t="shared" si="25"/>
        <v/>
      </c>
      <c r="BB27" s="1310" t="str">
        <f t="shared" si="26"/>
        <v/>
      </c>
      <c r="BC27" s="1312"/>
      <c r="BD27" s="1313" t="str">
        <f t="shared" si="35"/>
        <v/>
      </c>
      <c r="BE27" s="1290" t="str">
        <f t="shared" si="27"/>
        <v/>
      </c>
      <c r="BF27" s="1290" t="str">
        <f t="shared" si="28"/>
        <v/>
      </c>
      <c r="BH27" s="1315" t="str">
        <f t="shared" si="10"/>
        <v/>
      </c>
      <c r="BI27" s="1315"/>
      <c r="BJ27" s="1303" t="str">
        <f>IF(OR(BH27="Fail",BH27="Fail LPA",BH27=""),"",'SpxSp (step-a)'!CM31)</f>
        <v/>
      </c>
      <c r="BK27" s="1290">
        <f t="shared" si="30"/>
        <v>0</v>
      </c>
      <c r="BN27" s="178">
        <v>10</v>
      </c>
      <c r="BO27" s="1316" t="str">
        <f t="shared" ca="1" si="29"/>
        <v/>
      </c>
      <c r="BP27" s="1317" t="str">
        <f ca="1">IF(INDIRECT("'SpxSp (step-b)'!$B" &amp; BP$16)=$Z27,INDIRECT("'SpxSp (step-b)'!$" &amp; 'SpxSp (step-b)'!$BC$23 &amp; BP$16),"")</f>
        <v/>
      </c>
      <c r="BQ27" s="1317" t="str">
        <f ca="1">IF(INDIRECT("'SpxSp (step-b)'!$B" &amp; BQ$16)=$Z27,INDIRECT("'SpxSp (step-b)'!$" &amp; 'SpxSp (step-b)'!$BC$23 &amp; BQ$16),"")</f>
        <v/>
      </c>
      <c r="BR27" s="1317" t="str">
        <f ca="1">IF(INDIRECT("'SpxSp (step-b)'!$B" &amp; BR$16)=$Z27,INDIRECT("'SpxSp (step-b)'!$" &amp; 'SpxSp (step-b)'!$BC$23 &amp; BR$16),"")</f>
        <v/>
      </c>
      <c r="BS27" s="1317" t="str">
        <f ca="1">IF(INDIRECT("'SpxSp (step-b)'!$B" &amp; BS$16)=$Z27,INDIRECT("'SpxSp (step-b)'!$" &amp; 'SpxSp (step-b)'!$BC$23 &amp; BS$16),"")</f>
        <v/>
      </c>
      <c r="BT27" s="1317" t="str">
        <f ca="1">IF(INDIRECT("'SpxSp (step-b)'!$B" &amp; BT$16)=$Z27,INDIRECT("'SpxSp (step-b)'!$" &amp; 'SpxSp (step-b)'!$BC$23 &amp; BT$16),"")</f>
        <v/>
      </c>
      <c r="BU27" s="1317" t="str">
        <f ca="1">IF(INDIRECT("'SpxSp (step-b)'!$B" &amp; BU$16)=$Z27,INDIRECT("'SpxSp (step-b)'!$" &amp; 'SpxSp (step-b)'!$BC$23 &amp; BU$16),"")</f>
        <v/>
      </c>
      <c r="BV27" s="1317" t="str">
        <f ca="1">IF(INDIRECT("'SpxSp (step-b)'!$B" &amp; BV$16)=$Z27,INDIRECT("'SpxSp (step-b)'!$" &amp; 'SpxSp (step-b)'!$BC$23 &amp; BV$16),"")</f>
        <v/>
      </c>
      <c r="BW27" s="1317" t="str">
        <f ca="1">IF(INDIRECT("'SpxSp (step-b)'!$B" &amp; BW$16)=$Z27,INDIRECT("'SpxSp (step-b)'!$" &amp; 'SpxSp (step-b)'!$BC$23 &amp; BW$16),"")</f>
        <v/>
      </c>
      <c r="BX27" s="1317" t="str">
        <f ca="1">IF(INDIRECT("'SpxSp (step-b)'!$B" &amp; BX$16)=$Z27,INDIRECT("'SpxSp (step-b)'!$" &amp; 'SpxSp (step-b)'!$BC$23 &amp; BX$16),"")</f>
        <v/>
      </c>
      <c r="BY27" s="1317" t="str">
        <f ca="1">IF(INDIRECT("'SpxSp (step-b)'!$B" &amp; BY$16)=$Z27,INDIRECT("'SpxSp (step-b)'!$" &amp; 'SpxSp (step-b)'!$BC$23 &amp; BY$16),"")</f>
        <v/>
      </c>
      <c r="BZ27" s="1317" t="str">
        <f ca="1">IF(INDIRECT("'SpxSp (step-b)'!$B" &amp; BZ$16)=$Z27,INDIRECT("'SpxSp (step-b)'!$" &amp; 'SpxSp (step-b)'!$BC$23 &amp; BZ$16),"")</f>
        <v/>
      </c>
      <c r="CA27" s="1317" t="str">
        <f ca="1">IF(INDIRECT("'SpxSp (step-b)'!$B" &amp; CA$16)=$Z27,INDIRECT("'SpxSp (step-b)'!$" &amp; 'SpxSp (step-b)'!$BC$23 &amp; CA$16),"")</f>
        <v/>
      </c>
      <c r="CB27" s="1317" t="str">
        <f ca="1">IF(INDIRECT("'SpxSp (step-b)'!$B" &amp; CB$16)=$Z27,INDIRECT("'SpxSp (step-b)'!$" &amp; 'SpxSp (step-b)'!$BC$23 &amp; CB$16),"")</f>
        <v/>
      </c>
      <c r="CC27" s="1317" t="str">
        <f ca="1">IF(INDIRECT("'SpxSp (step-b)'!$B" &amp; CC$16)=$Z27,INDIRECT("'SpxSp (step-b)'!$" &amp; 'SpxSp (step-b)'!$BC$23 &amp; CC$16),"")</f>
        <v/>
      </c>
      <c r="CD27" s="1317" t="str">
        <f ca="1">IF(INDIRECT("'SpxSp (step-b)'!$B" &amp; CD$16)=$Z27,INDIRECT("'SpxSp (step-b)'!$" &amp; 'SpxSp (step-b)'!$BC$23 &amp; CD$16),"")</f>
        <v/>
      </c>
      <c r="CE27" s="1317" t="str">
        <f ca="1">IF(INDIRECT("'SpxSp (step-b)'!$B" &amp; CE$16)=$Z27,INDIRECT("'SpxSp (step-b)'!$" &amp; 'SpxSp (step-b)'!$BC$23 &amp; CE$16),"")</f>
        <v/>
      </c>
      <c r="CF27" s="1317" t="str">
        <f ca="1">IF(INDIRECT("'SpxSp (step-b)'!$B" &amp; CF$16)=$Z27,INDIRECT("'SpxSp (step-b)'!$" &amp; 'SpxSp (step-b)'!$BC$23 &amp; CF$16),"")</f>
        <v/>
      </c>
      <c r="CG27" s="1317" t="str">
        <f ca="1">IF(INDIRECT("'SpxSp (step-b)'!$B" &amp; CG$16)=$Z27,INDIRECT("'SpxSp (step-b)'!$" &amp; 'SpxSp (step-b)'!$BC$23 &amp; CG$16),"")</f>
        <v/>
      </c>
      <c r="CH27" s="1317" t="str">
        <f ca="1">IF(INDIRECT("'SpxSp (step-b)'!$B" &amp; CH$16)=$Z27,INDIRECT("'SpxSp (step-b)'!$" &amp; 'SpxSp (step-b)'!$BC$23 &amp; CH$16),"")</f>
        <v/>
      </c>
      <c r="CI27" s="1317" t="str">
        <f ca="1">IF(INDIRECT("'SpxSp (step-b)'!$B" &amp; CI$16)=$Z27,INDIRECT("'SpxSp (step-b)'!$" &amp; 'SpxSp (step-b)'!$BC$23 &amp; CI$16),"")</f>
        <v/>
      </c>
      <c r="CJ27" s="1317" t="str">
        <f ca="1">IF(INDIRECT("'SpxSp (step-b)'!$B" &amp; CJ$16)=$Z27,INDIRECT("'SpxSp (step-b)'!$" &amp; 'SpxSp (step-b)'!$BC$23 &amp; CJ$16),"")</f>
        <v/>
      </c>
      <c r="CK27" s="1317" t="str">
        <f ca="1">IF(INDIRECT("'SpxSp (step-b)'!$B" &amp; CK$16)=$Z27,INDIRECT("'SpxSp (step-b)'!$" &amp; 'SpxSp (step-b)'!$BC$23 &amp; CK$16),"")</f>
        <v/>
      </c>
      <c r="CL27" s="1317" t="str">
        <f ca="1">IF(INDIRECT("'SpxSp (step-b)'!$B" &amp; CL$16)=$Z27,INDIRECT("'SpxSp (step-b)'!$" &amp; 'SpxSp (step-b)'!$BC$23 &amp; CL$16),"")</f>
        <v/>
      </c>
      <c r="CM27" s="1317" t="str">
        <f ca="1">IF(INDIRECT("'SpxSp (step-b)'!$B" &amp; CM$16)=$Z27,INDIRECT("'SpxSp (step-b)'!$" &amp; 'SpxSp (step-b)'!$BC$23 &amp; CM$16),"")</f>
        <v/>
      </c>
      <c r="CN27" s="1317" t="str">
        <f ca="1">IF(INDIRECT("'SpxSp (step-b)'!$B" &amp; CN$16)=$Z27,INDIRECT("'SpxSp (step-b)'!$" &amp; 'SpxSp (step-b)'!$BC$23 &amp; CN$16),"")</f>
        <v/>
      </c>
      <c r="CO27" s="1317" t="str">
        <f ca="1">IF(INDIRECT("'SpxSp (step-b)'!$B" &amp; CO$16)=$Z27,INDIRECT("'SpxSp (step-b)'!$" &amp; 'SpxSp (step-b)'!$BC$23 &amp; CO$16),"")</f>
        <v/>
      </c>
      <c r="CP27" s="1317" t="str">
        <f ca="1">IF(INDIRECT("'SpxSp (step-b)'!$B" &amp; CP$16)=$Z27,INDIRECT("'SpxSp (step-b)'!$" &amp; 'SpxSp (step-b)'!$BC$23 &amp; CP$16),"")</f>
        <v/>
      </c>
      <c r="CQ27" s="1317" t="str">
        <f ca="1">IF(INDIRECT("'SpxSp (step-b)'!$B" &amp; CQ$16)=$Z27,INDIRECT("'SpxSp (step-b)'!$" &amp; 'SpxSp (step-b)'!$BC$23 &amp; CQ$16),"")</f>
        <v/>
      </c>
      <c r="CR27" s="1317" t="str">
        <f ca="1">IF(INDIRECT("'SpxSp (step-b)'!$B" &amp; CR$16)=$Z27,INDIRECT("'SpxSp (step-b)'!$" &amp; 'SpxSp (step-b)'!$BC$23 &amp; CR$16),"")</f>
        <v/>
      </c>
      <c r="CS27" s="1317" t="str">
        <f ca="1">IF(INDIRECT("'SpxSp (step-b)'!$B" &amp; CS$16)=$Z27,INDIRECT("'SpxSp (step-b)'!$" &amp; 'SpxSp (step-b)'!$BC$23 &amp; CS$16),"")</f>
        <v/>
      </c>
      <c r="CT27" s="1317" t="str">
        <f ca="1">IF(INDIRECT("'SpxSp (step-b)'!$B" &amp; CT$16)=$Z27,INDIRECT("'SpxSp (step-b)'!$" &amp; 'SpxSp (step-b)'!$BC$23 &amp; CT$16),"")</f>
        <v/>
      </c>
      <c r="CU27" s="1317" t="str">
        <f ca="1">IF(INDIRECT("'SpxSp (step-b)'!$B" &amp; CU$16)=$Z27,INDIRECT("'SpxSp (step-b)'!$" &amp; 'SpxSp (step-b)'!$BC$23 &amp; CU$16),"")</f>
        <v/>
      </c>
      <c r="CV27" s="1317" t="str">
        <f ca="1">IF(INDIRECT("'SpxSp (step-b)'!$B" &amp; CV$16)=$Z27,INDIRECT("'SpxSp (step-b)'!$" &amp; 'SpxSp (step-b)'!$BC$23 &amp; CV$16),"")</f>
        <v/>
      </c>
      <c r="CW27" s="1317" t="str">
        <f ca="1">IF(INDIRECT("'SpxSp (step-b)'!$B" &amp; CW$16)=$Z27,INDIRECT("'SpxSp (step-b)'!$" &amp; 'SpxSp (step-b)'!$BC$23 &amp; CW$16),"")</f>
        <v/>
      </c>
      <c r="CX27" s="1317" t="str">
        <f ca="1">IF(INDIRECT("'SpxSp (step-b)'!$B" &amp; CX$16)=$Z27,INDIRECT("'SpxSp (step-b)'!$" &amp; 'SpxSp (step-b)'!$BC$23 &amp; CX$16),"")</f>
        <v/>
      </c>
      <c r="CY27" s="1317" t="str">
        <f ca="1">IF(INDIRECT("'SpxSp (step-b)'!$B" &amp; CY$16)=$Z27,INDIRECT("'SpxSp (step-b)'!$" &amp; 'SpxSp (step-b)'!$BC$23 &amp; CY$16),"")</f>
        <v/>
      </c>
      <c r="CZ27" s="1317" t="str">
        <f ca="1">IF(INDIRECT("'SpxSp (step-b)'!$B" &amp; CZ$16)=$Z27,INDIRECT("'SpxSp (step-b)'!$" &amp; 'SpxSp (step-b)'!$BC$23 &amp; CZ$16),"")</f>
        <v/>
      </c>
      <c r="DA27" s="1317" t="str">
        <f ca="1">IF(INDIRECT("'SpxSp (step-b)'!$B" &amp; DA$16)=$Z27,INDIRECT("'SpxSp (step-b)'!$" &amp; 'SpxSp (step-b)'!$BC$23 &amp; DA$16),"")</f>
        <v/>
      </c>
      <c r="DB27" s="1317" t="str">
        <f ca="1">IF(INDIRECT("'SpxSp (step-b)'!$B" &amp; DB$16)=$Z27,INDIRECT("'SpxSp (step-b)'!$" &amp; 'SpxSp (step-b)'!$BC$23 &amp; DB$16),"")</f>
        <v/>
      </c>
      <c r="DC27" s="1317" t="str">
        <f ca="1">IF(INDIRECT("'SpxSp (step-b)'!$B" &amp; DC$16)=$Z27,INDIRECT("'SpxSp (step-b)'!$" &amp; 'SpxSp (step-b)'!$BC$23 &amp; DC$16),"")</f>
        <v/>
      </c>
      <c r="DD27" s="1317" t="str">
        <f ca="1">IF(INDIRECT("'SpxSp (step-b)'!$B" &amp; DD$16)=$Z27,INDIRECT("'SpxSp (step-b)'!$" &amp; 'SpxSp (step-b)'!$BC$23 &amp; DD$16),"")</f>
        <v/>
      </c>
      <c r="DE27" s="1317" t="str">
        <f ca="1">IF(INDIRECT("'SpxSp (step-b)'!$B" &amp; DE$16)=$Z27,INDIRECT("'SpxSp (step-b)'!$" &amp; 'SpxSp (step-b)'!$BC$23 &amp; DE$16),"")</f>
        <v/>
      </c>
      <c r="DF27" s="1317" t="str">
        <f ca="1">IF(INDIRECT("'SpxSp (step-b)'!$B" &amp; DF$16)=$Z27,INDIRECT("'SpxSp (step-b)'!$" &amp; 'SpxSp (step-b)'!$BC$23 &amp; DF$16),"")</f>
        <v/>
      </c>
      <c r="DG27" s="1317" t="str">
        <f ca="1">IF(INDIRECT("'SpxSp (step-b)'!$B" &amp; DG$16)=$Z27,INDIRECT("'SpxSp (step-b)'!$" &amp; 'SpxSp (step-b)'!$BC$23 &amp; DG$16),"")</f>
        <v/>
      </c>
      <c r="DH27" s="1317" t="str">
        <f ca="1">IF(INDIRECT("'SpxSp (step-b)'!$B" &amp; DH$16)=$Z27,INDIRECT("'SpxSp (step-b)'!$" &amp; 'SpxSp (step-b)'!$BC$23 &amp; DH$16),"")</f>
        <v/>
      </c>
      <c r="DI27" s="1317" t="str">
        <f ca="1">IF(INDIRECT("'SpxSp (step-b)'!$B" &amp; DI$16)=$Z27,INDIRECT("'SpxSp (step-b)'!$" &amp; 'SpxSp (step-b)'!$BC$23 &amp; DI$16),"")</f>
        <v/>
      </c>
      <c r="DJ27" s="1317" t="str">
        <f ca="1">IF(INDIRECT("'SpxSp (step-b)'!$B" &amp; DJ$16)=$Z27,INDIRECT("'SpxSp (step-b)'!$" &amp; 'SpxSp (step-b)'!$BC$23 &amp; DJ$16),"")</f>
        <v/>
      </c>
      <c r="DK27" s="1317" t="str">
        <f ca="1">IF(INDIRECT("'SpxSp (step-b)'!$B" &amp; DK$16)=$Z27,INDIRECT("'SpxSp (step-b)'!$" &amp; 'SpxSp (step-b)'!$BC$23 &amp; DK$16),"")</f>
        <v/>
      </c>
      <c r="DL27" s="1317" t="str">
        <f ca="1">IF(INDIRECT("'SpxSp (step-b)'!$B" &amp; DL$16)=$Z27,INDIRECT("'SpxSp (step-b)'!$" &amp; 'SpxSp (step-b)'!$BC$23 &amp; DL$16),"")</f>
        <v/>
      </c>
      <c r="DM27" s="1317" t="str">
        <f ca="1">IF(INDIRECT("'SpxSp (step-b)'!$B" &amp; DM$16)=$Z27,INDIRECT("'SpxSp (step-b)'!$" &amp; 'SpxSp (step-b)'!$BC$23 &amp; DM$16),"")</f>
        <v/>
      </c>
      <c r="DN27" s="1318" t="str">
        <f t="shared" ca="1" si="32"/>
        <v/>
      </c>
      <c r="DO27" s="1246" t="s">
        <v>1201</v>
      </c>
    </row>
    <row r="28" spans="2:119" ht="40" x14ac:dyDescent="0.2">
      <c r="B28" s="1450" t="str">
        <f t="shared" si="13"/>
        <v/>
      </c>
      <c r="C28" s="1451"/>
      <c r="D28" s="1451"/>
      <c r="E28" s="1451"/>
      <c r="F28" s="1452"/>
      <c r="G28" s="1319" t="str">
        <f t="shared" si="31"/>
        <v/>
      </c>
      <c r="H28" s="1320" t="str">
        <f t="shared" si="14"/>
        <v/>
      </c>
      <c r="I28" s="1321" t="str">
        <f t="shared" si="33"/>
        <v/>
      </c>
      <c r="J28" s="1296"/>
      <c r="K28" s="1322" t="str">
        <f>IFERROR(IF(OR(B28="",H28=0),"",VLOOKUP(B28,'SpxSp (step-c)'!B$18:O$67,6,FALSE)),"")</f>
        <v/>
      </c>
      <c r="L28" s="1323" t="str">
        <f ca="1">IFERROR(F(OR(B28="",H28=0),"",VLOOKUP($B28,'SpxSp (step-c)'!$B$18:O$67,12,FALSE)),"")</f>
        <v/>
      </c>
      <c r="M28" s="1321" t="str">
        <f ca="1">IF(AND(B28&lt;&gt;"",L28=""),"NA",IFERROR(VLOOKUP($B28,'SpxSp (step-c)'!$B$18:P$67,13,FALSE),""))</f>
        <v/>
      </c>
      <c r="N28" s="1324"/>
      <c r="O28" s="1322" t="str">
        <f>IFERROR(IF(OR(B28="",H28=0),"",VLOOKUP($B28,'SpxSp (step-d)'!$B$18:$P$67,12,FALSE)),"")</f>
        <v/>
      </c>
      <c r="P28" s="1323" t="str">
        <f>IFERROR(IF(OR(B28="",H28=0),"",VLOOKUP($B28,'SpxSp (step-d)'!$B$18:$P$67,13,FALSE)),"")</f>
        <v/>
      </c>
      <c r="Q28" s="1323" t="str">
        <f>IFERROR(IF(OR(B28="",H28=0),"",VLOOKUP($B28,'SpxSp (step-d)'!$B$18:$P$67,14,FALSE)),"")</f>
        <v/>
      </c>
      <c r="R28" s="1321" t="str">
        <f>IF(AND(B28&lt;&gt;"",P28=""),"NA",IFERROR(VLOOKUP(B28,'SpxSp (step-d)'!$B$18:$V$67,15,FALSE),""))</f>
        <v/>
      </c>
      <c r="S28" s="1296"/>
      <c r="T28" s="1325" t="str">
        <f t="shared" si="34"/>
        <v/>
      </c>
      <c r="U28" s="1326" t="str">
        <f t="shared" si="17"/>
        <v/>
      </c>
      <c r="Y28" s="1302">
        <v>11</v>
      </c>
      <c r="Z28" s="1303" t="str">
        <f>'SpxSp (step-a)'!B32</f>
        <v/>
      </c>
      <c r="AA28" s="1303" t="str">
        <f>'SpxSp (step-a)'!H32</f>
        <v/>
      </c>
      <c r="AB28" s="1290" t="str">
        <f>VLOOKUP($Z28,'SpxSp (step-a)'!$B$22:$O$71,AB$14,FALSE)</f>
        <v/>
      </c>
      <c r="AD28" s="1290" t="str">
        <f>IF(Z28="","",IFERROR(VLOOKUP($Z28,'SpxSp (step-a)'!$B$22:$O$71,AD$14,FALSE),0))</f>
        <v/>
      </c>
      <c r="AE28" s="1290" t="str">
        <f>IF(Z28="","",IFERROR(VLOOKUP($Z28,'SpxSp (step-a)'!$B$22:$O$71,AE$14,FALSE),0))</f>
        <v/>
      </c>
      <c r="AG28" s="1290" t="str">
        <f t="shared" si="36"/>
        <v/>
      </c>
      <c r="AI28" s="1290" t="str">
        <f>IF($Z28="","",SUMIFS('SpxSp (step-b)'!L$26:L$75,'SpxSp (step-b)'!B$26:B$75,Z28,'SpxSp (step-b)'!N$26:N$75,"New"))</f>
        <v/>
      </c>
      <c r="AJ28" s="1290" t="str">
        <f>IF($Z28="","",SUMIFS('SpxSp (step-b)'!$L$26:$L$75,'SpxSp (step-b)'!$B$26:$B$75,$Z28,'SpxSp (step-b)'!N$26:N$75,""))</f>
        <v/>
      </c>
      <c r="AK28" s="1290" t="str">
        <f>IF($Z28="","",SUMIFS('SpxSp (step-b)'!$J$26:$J$75,'SpxSp (step-b)'!$B$26:$B$75,$Z28,'SpxSp (step-b)'!$N$26:$N$75,"New")+SUMIFS('SpxSp (step-b)'!$J$26:$J$75,'SpxSp (step-b)'!$B$26:$B$75,$Z28,'SpxSp (step-b)'!$N$26:$N$75,""))</f>
        <v/>
      </c>
      <c r="AL28" s="1290" t="str">
        <f>IF($Z28="","",SUMIFS('SpxSp (step-b)'!$L$26:$L$75,'SpxSp (step-b)'!$B$26:$B$75,$Z28,'SpxSp (step-b)'!$N$26:$N$75,"Existing Remains"))</f>
        <v/>
      </c>
      <c r="AM28" s="1290" t="str">
        <f>IF($Z28="","",SUMIFS('SpxSp (step-b)'!$L$26:$L$75,'SpxSp (step-b)'!$B$26:$B$75,$Z28,'SpxSp (step-b)'!$N$26:$N$75,"Existing Removed"))</f>
        <v/>
      </c>
      <c r="AN28" s="1290" t="str">
        <f>IF($Z28="","",SUMIFS('SpxSp (step-b)'!$J$26:$J$75,'SpxSp (step-b)'!$B$26:$B$75,$Z28,'SpxSp (step-b)'!$N$26:$N$75,"Existing Removed"))</f>
        <v/>
      </c>
      <c r="AO28" s="1290" t="str">
        <f t="shared" si="37"/>
        <v/>
      </c>
      <c r="AP28" s="1290" t="str">
        <f t="shared" si="18"/>
        <v/>
      </c>
      <c r="AQ28" s="1304"/>
      <c r="AR28" s="1305" t="str">
        <f t="shared" si="19"/>
        <v/>
      </c>
      <c r="AS28" s="1306" t="str">
        <f t="shared" si="20"/>
        <v/>
      </c>
      <c r="AT28" s="1307"/>
      <c r="AU28" s="1308" t="str">
        <f t="shared" si="21"/>
        <v/>
      </c>
      <c r="AV28" s="1309" t="str">
        <f t="shared" si="6"/>
        <v/>
      </c>
      <c r="AW28" s="1309" t="str">
        <f t="shared" si="22"/>
        <v/>
      </c>
      <c r="AX28" s="1310" t="str">
        <f t="shared" si="23"/>
        <v/>
      </c>
      <c r="AY28" s="1307"/>
      <c r="AZ28" s="1311" t="str">
        <f t="shared" si="24"/>
        <v/>
      </c>
      <c r="BA28" s="1309" t="str">
        <f t="shared" si="25"/>
        <v/>
      </c>
      <c r="BB28" s="1310" t="str">
        <f t="shared" si="26"/>
        <v/>
      </c>
      <c r="BC28" s="1312"/>
      <c r="BD28" s="1313" t="str">
        <f t="shared" si="35"/>
        <v/>
      </c>
      <c r="BE28" s="1290" t="str">
        <f t="shared" si="27"/>
        <v/>
      </c>
      <c r="BF28" s="1290" t="str">
        <f t="shared" si="28"/>
        <v/>
      </c>
      <c r="BH28" s="1315" t="str">
        <f t="shared" si="10"/>
        <v/>
      </c>
      <c r="BI28" s="1315"/>
      <c r="BJ28" s="1303" t="str">
        <f>IF(OR(BH28="Fail",BH28="Fail LPA",BH28=""),"",'SpxSp (step-a)'!CM32)</f>
        <v/>
      </c>
      <c r="BK28" s="1290">
        <f t="shared" si="30"/>
        <v>0</v>
      </c>
      <c r="BN28" s="178">
        <v>11</v>
      </c>
      <c r="BO28" s="1316" t="str">
        <f t="shared" ca="1" si="29"/>
        <v/>
      </c>
      <c r="BP28" s="1317" t="str">
        <f ca="1">IF(INDIRECT("'SpxSp (step-b)'!$B" &amp; BP$16)=$Z28,INDIRECT("'SpxSp (step-b)'!$" &amp; 'SpxSp (step-b)'!$BC$23 &amp; BP$16),"")</f>
        <v/>
      </c>
      <c r="BQ28" s="1317" t="str">
        <f ca="1">IF(INDIRECT("'SpxSp (step-b)'!$B" &amp; BQ$16)=$Z28,INDIRECT("'SpxSp (step-b)'!$" &amp; 'SpxSp (step-b)'!$BC$23 &amp; BQ$16),"")</f>
        <v/>
      </c>
      <c r="BR28" s="1317" t="str">
        <f ca="1">IF(INDIRECT("'SpxSp (step-b)'!$B" &amp; BR$16)=$Z28,INDIRECT("'SpxSp (step-b)'!$" &amp; 'SpxSp (step-b)'!$BC$23 &amp; BR$16),"")</f>
        <v/>
      </c>
      <c r="BS28" s="1317" t="str">
        <f ca="1">IF(INDIRECT("'SpxSp (step-b)'!$B" &amp; BS$16)=$Z28,INDIRECT("'SpxSp (step-b)'!$" &amp; 'SpxSp (step-b)'!$BC$23 &amp; BS$16),"")</f>
        <v/>
      </c>
      <c r="BT28" s="1317" t="str">
        <f ca="1">IF(INDIRECT("'SpxSp (step-b)'!$B" &amp; BT$16)=$Z28,INDIRECT("'SpxSp (step-b)'!$" &amp; 'SpxSp (step-b)'!$BC$23 &amp; BT$16),"")</f>
        <v/>
      </c>
      <c r="BU28" s="1317" t="str">
        <f ca="1">IF(INDIRECT("'SpxSp (step-b)'!$B" &amp; BU$16)=$Z28,INDIRECT("'SpxSp (step-b)'!$" &amp; 'SpxSp (step-b)'!$BC$23 &amp; BU$16),"")</f>
        <v/>
      </c>
      <c r="BV28" s="1317" t="str">
        <f ca="1">IF(INDIRECT("'SpxSp (step-b)'!$B" &amp; BV$16)=$Z28,INDIRECT("'SpxSp (step-b)'!$" &amp; 'SpxSp (step-b)'!$BC$23 &amp; BV$16),"")</f>
        <v/>
      </c>
      <c r="BW28" s="1317" t="str">
        <f ca="1">IF(INDIRECT("'SpxSp (step-b)'!$B" &amp; BW$16)=$Z28,INDIRECT("'SpxSp (step-b)'!$" &amp; 'SpxSp (step-b)'!$BC$23 &amp; BW$16),"")</f>
        <v/>
      </c>
      <c r="BX28" s="1317" t="str">
        <f ca="1">IF(INDIRECT("'SpxSp (step-b)'!$B" &amp; BX$16)=$Z28,INDIRECT("'SpxSp (step-b)'!$" &amp; 'SpxSp (step-b)'!$BC$23 &amp; BX$16),"")</f>
        <v/>
      </c>
      <c r="BY28" s="1317" t="str">
        <f ca="1">IF(INDIRECT("'SpxSp (step-b)'!$B" &amp; BY$16)=$Z28,INDIRECT("'SpxSp (step-b)'!$" &amp; 'SpxSp (step-b)'!$BC$23 &amp; BY$16),"")</f>
        <v/>
      </c>
      <c r="BZ28" s="1317" t="str">
        <f ca="1">IF(INDIRECT("'SpxSp (step-b)'!$B" &amp; BZ$16)=$Z28,INDIRECT("'SpxSp (step-b)'!$" &amp; 'SpxSp (step-b)'!$BC$23 &amp; BZ$16),"")</f>
        <v/>
      </c>
      <c r="CA28" s="1317" t="str">
        <f ca="1">IF(INDIRECT("'SpxSp (step-b)'!$B" &amp; CA$16)=$Z28,INDIRECT("'SpxSp (step-b)'!$" &amp; 'SpxSp (step-b)'!$BC$23 &amp; CA$16),"")</f>
        <v/>
      </c>
      <c r="CB28" s="1317" t="str">
        <f ca="1">IF(INDIRECT("'SpxSp (step-b)'!$B" &amp; CB$16)=$Z28,INDIRECT("'SpxSp (step-b)'!$" &amp; 'SpxSp (step-b)'!$BC$23 &amp; CB$16),"")</f>
        <v/>
      </c>
      <c r="CC28" s="1317" t="str">
        <f ca="1">IF(INDIRECT("'SpxSp (step-b)'!$B" &amp; CC$16)=$Z28,INDIRECT("'SpxSp (step-b)'!$" &amp; 'SpxSp (step-b)'!$BC$23 &amp; CC$16),"")</f>
        <v/>
      </c>
      <c r="CD28" s="1317" t="str">
        <f ca="1">IF(INDIRECT("'SpxSp (step-b)'!$B" &amp; CD$16)=$Z28,INDIRECT("'SpxSp (step-b)'!$" &amp; 'SpxSp (step-b)'!$BC$23 &amp; CD$16),"")</f>
        <v/>
      </c>
      <c r="CE28" s="1317" t="str">
        <f ca="1">IF(INDIRECT("'SpxSp (step-b)'!$B" &amp; CE$16)=$Z28,INDIRECT("'SpxSp (step-b)'!$" &amp; 'SpxSp (step-b)'!$BC$23 &amp; CE$16),"")</f>
        <v/>
      </c>
      <c r="CF28" s="1317" t="str">
        <f ca="1">IF(INDIRECT("'SpxSp (step-b)'!$B" &amp; CF$16)=$Z28,INDIRECT("'SpxSp (step-b)'!$" &amp; 'SpxSp (step-b)'!$BC$23 &amp; CF$16),"")</f>
        <v/>
      </c>
      <c r="CG28" s="1317" t="str">
        <f ca="1">IF(INDIRECT("'SpxSp (step-b)'!$B" &amp; CG$16)=$Z28,INDIRECT("'SpxSp (step-b)'!$" &amp; 'SpxSp (step-b)'!$BC$23 &amp; CG$16),"")</f>
        <v/>
      </c>
      <c r="CH28" s="1317" t="str">
        <f ca="1">IF(INDIRECT("'SpxSp (step-b)'!$B" &amp; CH$16)=$Z28,INDIRECT("'SpxSp (step-b)'!$" &amp; 'SpxSp (step-b)'!$BC$23 &amp; CH$16),"")</f>
        <v/>
      </c>
      <c r="CI28" s="1317" t="str">
        <f ca="1">IF(INDIRECT("'SpxSp (step-b)'!$B" &amp; CI$16)=$Z28,INDIRECT("'SpxSp (step-b)'!$" &amp; 'SpxSp (step-b)'!$BC$23 &amp; CI$16),"")</f>
        <v/>
      </c>
      <c r="CJ28" s="1317" t="str">
        <f ca="1">IF(INDIRECT("'SpxSp (step-b)'!$B" &amp; CJ$16)=$Z28,INDIRECT("'SpxSp (step-b)'!$" &amp; 'SpxSp (step-b)'!$BC$23 &amp; CJ$16),"")</f>
        <v/>
      </c>
      <c r="CK28" s="1317" t="str">
        <f ca="1">IF(INDIRECT("'SpxSp (step-b)'!$B" &amp; CK$16)=$Z28,INDIRECT("'SpxSp (step-b)'!$" &amp; 'SpxSp (step-b)'!$BC$23 &amp; CK$16),"")</f>
        <v/>
      </c>
      <c r="CL28" s="1317" t="str">
        <f ca="1">IF(INDIRECT("'SpxSp (step-b)'!$B" &amp; CL$16)=$Z28,INDIRECT("'SpxSp (step-b)'!$" &amp; 'SpxSp (step-b)'!$BC$23 &amp; CL$16),"")</f>
        <v/>
      </c>
      <c r="CM28" s="1317" t="str">
        <f ca="1">IF(INDIRECT("'SpxSp (step-b)'!$B" &amp; CM$16)=$Z28,INDIRECT("'SpxSp (step-b)'!$" &amp; 'SpxSp (step-b)'!$BC$23 &amp; CM$16),"")</f>
        <v/>
      </c>
      <c r="CN28" s="1317" t="str">
        <f ca="1">IF(INDIRECT("'SpxSp (step-b)'!$B" &amp; CN$16)=$Z28,INDIRECT("'SpxSp (step-b)'!$" &amp; 'SpxSp (step-b)'!$BC$23 &amp; CN$16),"")</f>
        <v/>
      </c>
      <c r="CO28" s="1317" t="str">
        <f ca="1">IF(INDIRECT("'SpxSp (step-b)'!$B" &amp; CO$16)=$Z28,INDIRECT("'SpxSp (step-b)'!$" &amp; 'SpxSp (step-b)'!$BC$23 &amp; CO$16),"")</f>
        <v/>
      </c>
      <c r="CP28" s="1317" t="str">
        <f ca="1">IF(INDIRECT("'SpxSp (step-b)'!$B" &amp; CP$16)=$Z28,INDIRECT("'SpxSp (step-b)'!$" &amp; 'SpxSp (step-b)'!$BC$23 &amp; CP$16),"")</f>
        <v/>
      </c>
      <c r="CQ28" s="1317" t="str">
        <f ca="1">IF(INDIRECT("'SpxSp (step-b)'!$B" &amp; CQ$16)=$Z28,INDIRECT("'SpxSp (step-b)'!$" &amp; 'SpxSp (step-b)'!$BC$23 &amp; CQ$16),"")</f>
        <v/>
      </c>
      <c r="CR28" s="1317" t="str">
        <f ca="1">IF(INDIRECT("'SpxSp (step-b)'!$B" &amp; CR$16)=$Z28,INDIRECT("'SpxSp (step-b)'!$" &amp; 'SpxSp (step-b)'!$BC$23 &amp; CR$16),"")</f>
        <v/>
      </c>
      <c r="CS28" s="1317" t="str">
        <f ca="1">IF(INDIRECT("'SpxSp (step-b)'!$B" &amp; CS$16)=$Z28,INDIRECT("'SpxSp (step-b)'!$" &amp; 'SpxSp (step-b)'!$BC$23 &amp; CS$16),"")</f>
        <v/>
      </c>
      <c r="CT28" s="1317" t="str">
        <f ca="1">IF(INDIRECT("'SpxSp (step-b)'!$B" &amp; CT$16)=$Z28,INDIRECT("'SpxSp (step-b)'!$" &amp; 'SpxSp (step-b)'!$BC$23 &amp; CT$16),"")</f>
        <v/>
      </c>
      <c r="CU28" s="1317" t="str">
        <f ca="1">IF(INDIRECT("'SpxSp (step-b)'!$B" &amp; CU$16)=$Z28,INDIRECT("'SpxSp (step-b)'!$" &amp; 'SpxSp (step-b)'!$BC$23 &amp; CU$16),"")</f>
        <v/>
      </c>
      <c r="CV28" s="1317" t="str">
        <f ca="1">IF(INDIRECT("'SpxSp (step-b)'!$B" &amp; CV$16)=$Z28,INDIRECT("'SpxSp (step-b)'!$" &amp; 'SpxSp (step-b)'!$BC$23 &amp; CV$16),"")</f>
        <v/>
      </c>
      <c r="CW28" s="1317" t="str">
        <f ca="1">IF(INDIRECT("'SpxSp (step-b)'!$B" &amp; CW$16)=$Z28,INDIRECT("'SpxSp (step-b)'!$" &amp; 'SpxSp (step-b)'!$BC$23 &amp; CW$16),"")</f>
        <v/>
      </c>
      <c r="CX28" s="1317" t="str">
        <f ca="1">IF(INDIRECT("'SpxSp (step-b)'!$B" &amp; CX$16)=$Z28,INDIRECT("'SpxSp (step-b)'!$" &amp; 'SpxSp (step-b)'!$BC$23 &amp; CX$16),"")</f>
        <v/>
      </c>
      <c r="CY28" s="1317" t="str">
        <f ca="1">IF(INDIRECT("'SpxSp (step-b)'!$B" &amp; CY$16)=$Z28,INDIRECT("'SpxSp (step-b)'!$" &amp; 'SpxSp (step-b)'!$BC$23 &amp; CY$16),"")</f>
        <v/>
      </c>
      <c r="CZ28" s="1317" t="str">
        <f ca="1">IF(INDIRECT("'SpxSp (step-b)'!$B" &amp; CZ$16)=$Z28,INDIRECT("'SpxSp (step-b)'!$" &amp; 'SpxSp (step-b)'!$BC$23 &amp; CZ$16),"")</f>
        <v/>
      </c>
      <c r="DA28" s="1317" t="str">
        <f ca="1">IF(INDIRECT("'SpxSp (step-b)'!$B" &amp; DA$16)=$Z28,INDIRECT("'SpxSp (step-b)'!$" &amp; 'SpxSp (step-b)'!$BC$23 &amp; DA$16),"")</f>
        <v/>
      </c>
      <c r="DB28" s="1317" t="str">
        <f ca="1">IF(INDIRECT("'SpxSp (step-b)'!$B" &amp; DB$16)=$Z28,INDIRECT("'SpxSp (step-b)'!$" &amp; 'SpxSp (step-b)'!$BC$23 &amp; DB$16),"")</f>
        <v/>
      </c>
      <c r="DC28" s="1317" t="str">
        <f ca="1">IF(INDIRECT("'SpxSp (step-b)'!$B" &amp; DC$16)=$Z28,INDIRECT("'SpxSp (step-b)'!$" &amp; 'SpxSp (step-b)'!$BC$23 &amp; DC$16),"")</f>
        <v/>
      </c>
      <c r="DD28" s="1317" t="str">
        <f ca="1">IF(INDIRECT("'SpxSp (step-b)'!$B" &amp; DD$16)=$Z28,INDIRECT("'SpxSp (step-b)'!$" &amp; 'SpxSp (step-b)'!$BC$23 &amp; DD$16),"")</f>
        <v/>
      </c>
      <c r="DE28" s="1317" t="str">
        <f ca="1">IF(INDIRECT("'SpxSp (step-b)'!$B" &amp; DE$16)=$Z28,INDIRECT("'SpxSp (step-b)'!$" &amp; 'SpxSp (step-b)'!$BC$23 &amp; DE$16),"")</f>
        <v/>
      </c>
      <c r="DF28" s="1317" t="str">
        <f ca="1">IF(INDIRECT("'SpxSp (step-b)'!$B" &amp; DF$16)=$Z28,INDIRECT("'SpxSp (step-b)'!$" &amp; 'SpxSp (step-b)'!$BC$23 &amp; DF$16),"")</f>
        <v/>
      </c>
      <c r="DG28" s="1317" t="str">
        <f ca="1">IF(INDIRECT("'SpxSp (step-b)'!$B" &amp; DG$16)=$Z28,INDIRECT("'SpxSp (step-b)'!$" &amp; 'SpxSp (step-b)'!$BC$23 &amp; DG$16),"")</f>
        <v/>
      </c>
      <c r="DH28" s="1317" t="str">
        <f ca="1">IF(INDIRECT("'SpxSp (step-b)'!$B" &amp; DH$16)=$Z28,INDIRECT("'SpxSp (step-b)'!$" &amp; 'SpxSp (step-b)'!$BC$23 &amp; DH$16),"")</f>
        <v/>
      </c>
      <c r="DI28" s="1317" t="str">
        <f ca="1">IF(INDIRECT("'SpxSp (step-b)'!$B" &amp; DI$16)=$Z28,INDIRECT("'SpxSp (step-b)'!$" &amp; 'SpxSp (step-b)'!$BC$23 &amp; DI$16),"")</f>
        <v/>
      </c>
      <c r="DJ28" s="1317" t="str">
        <f ca="1">IF(INDIRECT("'SpxSp (step-b)'!$B" &amp; DJ$16)=$Z28,INDIRECT("'SpxSp (step-b)'!$" &amp; 'SpxSp (step-b)'!$BC$23 &amp; DJ$16),"")</f>
        <v/>
      </c>
      <c r="DK28" s="1317" t="str">
        <f ca="1">IF(INDIRECT("'SpxSp (step-b)'!$B" &amp; DK$16)=$Z28,INDIRECT("'SpxSp (step-b)'!$" &amp; 'SpxSp (step-b)'!$BC$23 &amp; DK$16),"")</f>
        <v/>
      </c>
      <c r="DL28" s="1317" t="str">
        <f ca="1">IF(INDIRECT("'SpxSp (step-b)'!$B" &amp; DL$16)=$Z28,INDIRECT("'SpxSp (step-b)'!$" &amp; 'SpxSp (step-b)'!$BC$23 &amp; DL$16),"")</f>
        <v/>
      </c>
      <c r="DM28" s="1317" t="str">
        <f ca="1">IF(INDIRECT("'SpxSp (step-b)'!$B" &amp; DM$16)=$Z28,INDIRECT("'SpxSp (step-b)'!$" &amp; 'SpxSp (step-b)'!$BC$23 &amp; DM$16),"")</f>
        <v/>
      </c>
      <c r="DN28" s="1318" t="str">
        <f t="shared" ca="1" si="32"/>
        <v/>
      </c>
      <c r="DO28" s="1246" t="s">
        <v>1201</v>
      </c>
    </row>
    <row r="29" spans="2:119" ht="40" x14ac:dyDescent="0.2">
      <c r="B29" s="1450" t="str">
        <f t="shared" si="13"/>
        <v/>
      </c>
      <c r="C29" s="1451"/>
      <c r="D29" s="1451"/>
      <c r="E29" s="1451"/>
      <c r="F29" s="1452"/>
      <c r="G29" s="1319" t="str">
        <f t="shared" si="31"/>
        <v/>
      </c>
      <c r="H29" s="1320" t="str">
        <f t="shared" si="14"/>
        <v/>
      </c>
      <c r="I29" s="1321" t="str">
        <f t="shared" si="33"/>
        <v/>
      </c>
      <c r="J29" s="1296"/>
      <c r="K29" s="1322" t="str">
        <f>IFERROR(IF(OR(B29="",H29=0),"",VLOOKUP(B29,'SpxSp (step-c)'!B$18:O$67,6,FALSE)),"")</f>
        <v/>
      </c>
      <c r="L29" s="1323" t="str">
        <f ca="1">IFERROR(F(OR(B29="",H29=0),"",VLOOKUP($B29,'SpxSp (step-c)'!$B$18:O$67,12,FALSE)),"")</f>
        <v/>
      </c>
      <c r="M29" s="1321" t="str">
        <f ca="1">IF(AND(B29&lt;&gt;"",L29=""),"NA",IFERROR(VLOOKUP($B29,'SpxSp (step-c)'!$B$18:P$67,13,FALSE),""))</f>
        <v/>
      </c>
      <c r="N29" s="1324"/>
      <c r="O29" s="1322" t="str">
        <f>IFERROR(IF(OR(B29="",H29=0),"",VLOOKUP($B29,'SpxSp (step-d)'!$B$18:$P$67,12,FALSE)),"")</f>
        <v/>
      </c>
      <c r="P29" s="1323" t="str">
        <f>IFERROR(IF(OR(B29="",H29=0),"",VLOOKUP($B29,'SpxSp (step-d)'!$B$18:$P$67,13,FALSE)),"")</f>
        <v/>
      </c>
      <c r="Q29" s="1323" t="str">
        <f>IFERROR(IF(OR(B29="",H29=0),"",VLOOKUP($B29,'SpxSp (step-d)'!$B$18:$P$67,14,FALSE)),"")</f>
        <v/>
      </c>
      <c r="R29" s="1321" t="str">
        <f>IF(AND(B29&lt;&gt;"",P29=""),"NA",IFERROR(VLOOKUP(B29,'SpxSp (step-d)'!$B$18:$V$67,15,FALSE),""))</f>
        <v/>
      </c>
      <c r="S29" s="1296"/>
      <c r="T29" s="1325" t="str">
        <f t="shared" si="34"/>
        <v/>
      </c>
      <c r="U29" s="1326" t="str">
        <f t="shared" si="17"/>
        <v/>
      </c>
      <c r="Y29" s="1302">
        <v>12</v>
      </c>
      <c r="Z29" s="1303" t="str">
        <f>'SpxSp (step-a)'!B33</f>
        <v/>
      </c>
      <c r="AA29" s="1303" t="str">
        <f>'SpxSp (step-a)'!H33</f>
        <v/>
      </c>
      <c r="AB29" s="1290" t="str">
        <f>VLOOKUP($Z29,'SpxSp (step-a)'!$B$22:$O$71,AB$14,FALSE)</f>
        <v/>
      </c>
      <c r="AD29" s="1290" t="str">
        <f>IF(Z29="","",IFERROR(VLOOKUP($Z29,'SpxSp (step-a)'!$B$22:$O$71,AD$14,FALSE),0))</f>
        <v/>
      </c>
      <c r="AE29" s="1290" t="str">
        <f>IF(Z29="","",IFERROR(VLOOKUP($Z29,'SpxSp (step-a)'!$B$22:$O$71,AE$14,FALSE),0))</f>
        <v/>
      </c>
      <c r="AG29" s="1290" t="str">
        <f t="shared" si="36"/>
        <v/>
      </c>
      <c r="AI29" s="1290" t="str">
        <f>IF($Z29="","",SUMIFS('SpxSp (step-b)'!L$26:L$75,'SpxSp (step-b)'!B$26:B$75,Z29,'SpxSp (step-b)'!N$26:N$75,"New"))</f>
        <v/>
      </c>
      <c r="AJ29" s="1290" t="str">
        <f>IF($Z29="","",SUMIFS('SpxSp (step-b)'!$L$26:$L$75,'SpxSp (step-b)'!$B$26:$B$75,$Z29,'SpxSp (step-b)'!N$26:N$75,""))</f>
        <v/>
      </c>
      <c r="AK29" s="1290" t="str">
        <f>IF($Z29="","",SUMIFS('SpxSp (step-b)'!$J$26:$J$75,'SpxSp (step-b)'!$B$26:$B$75,$Z29,'SpxSp (step-b)'!$N$26:$N$75,"New")+SUMIFS('SpxSp (step-b)'!$J$26:$J$75,'SpxSp (step-b)'!$B$26:$B$75,$Z29,'SpxSp (step-b)'!$N$26:$N$75,""))</f>
        <v/>
      </c>
      <c r="AL29" s="1290" t="str">
        <f>IF($Z29="","",SUMIFS('SpxSp (step-b)'!$L$26:$L$75,'SpxSp (step-b)'!$B$26:$B$75,$Z29,'SpxSp (step-b)'!$N$26:$N$75,"Existing Remains"))</f>
        <v/>
      </c>
      <c r="AM29" s="1290" t="str">
        <f>IF($Z29="","",SUMIFS('SpxSp (step-b)'!$L$26:$L$75,'SpxSp (step-b)'!$B$26:$B$75,$Z29,'SpxSp (step-b)'!$N$26:$N$75,"Existing Removed"))</f>
        <v/>
      </c>
      <c r="AN29" s="1290" t="str">
        <f>IF($Z29="","",SUMIFS('SpxSp (step-b)'!$J$26:$J$75,'SpxSp (step-b)'!$B$26:$B$75,$Z29,'SpxSp (step-b)'!$N$26:$N$75,"Existing Removed"))</f>
        <v/>
      </c>
      <c r="AO29" s="1290" t="str">
        <f t="shared" si="37"/>
        <v/>
      </c>
      <c r="AP29" s="1290" t="str">
        <f t="shared" si="18"/>
        <v/>
      </c>
      <c r="AQ29" s="1304"/>
      <c r="AR29" s="1305" t="str">
        <f t="shared" si="19"/>
        <v/>
      </c>
      <c r="AS29" s="1306" t="str">
        <f t="shared" si="20"/>
        <v/>
      </c>
      <c r="AT29" s="1307"/>
      <c r="AU29" s="1308" t="str">
        <f t="shared" si="21"/>
        <v/>
      </c>
      <c r="AV29" s="1309" t="str">
        <f t="shared" si="6"/>
        <v/>
      </c>
      <c r="AW29" s="1309" t="str">
        <f t="shared" si="22"/>
        <v/>
      </c>
      <c r="AX29" s="1310" t="str">
        <f t="shared" si="23"/>
        <v/>
      </c>
      <c r="AY29" s="1307"/>
      <c r="AZ29" s="1311" t="str">
        <f t="shared" si="24"/>
        <v/>
      </c>
      <c r="BA29" s="1309" t="str">
        <f t="shared" si="25"/>
        <v/>
      </c>
      <c r="BB29" s="1310" t="str">
        <f t="shared" si="26"/>
        <v/>
      </c>
      <c r="BC29" s="1312"/>
      <c r="BD29" s="1313" t="str">
        <f t="shared" si="35"/>
        <v/>
      </c>
      <c r="BE29" s="1290" t="str">
        <f t="shared" si="27"/>
        <v/>
      </c>
      <c r="BF29" s="1290" t="str">
        <f t="shared" si="28"/>
        <v/>
      </c>
      <c r="BH29" s="1315" t="str">
        <f t="shared" si="10"/>
        <v/>
      </c>
      <c r="BI29" s="1315"/>
      <c r="BJ29" s="1303" t="str">
        <f>IF(OR(BH29="Fail",BH29="Fail LPA",BH29=""),"",'SpxSp (step-a)'!CM33)</f>
        <v/>
      </c>
      <c r="BK29" s="1290">
        <f t="shared" si="30"/>
        <v>0</v>
      </c>
      <c r="BN29" s="178">
        <v>12</v>
      </c>
      <c r="BO29" s="1316" t="str">
        <f t="shared" ca="1" si="29"/>
        <v/>
      </c>
      <c r="BP29" s="1317" t="str">
        <f ca="1">IF(INDIRECT("'SpxSp (step-b)'!$B" &amp; BP$16)=$Z29,INDIRECT("'SpxSp (step-b)'!$" &amp; 'SpxSp (step-b)'!$BC$23 &amp; BP$16),"")</f>
        <v/>
      </c>
      <c r="BQ29" s="1317" t="str">
        <f ca="1">IF(INDIRECT("'SpxSp (step-b)'!$B" &amp; BQ$16)=$Z29,INDIRECT("'SpxSp (step-b)'!$" &amp; 'SpxSp (step-b)'!$BC$23 &amp; BQ$16),"")</f>
        <v/>
      </c>
      <c r="BR29" s="1317" t="str">
        <f ca="1">IF(INDIRECT("'SpxSp (step-b)'!$B" &amp; BR$16)=$Z29,INDIRECT("'SpxSp (step-b)'!$" &amp; 'SpxSp (step-b)'!$BC$23 &amp; BR$16),"")</f>
        <v/>
      </c>
      <c r="BS29" s="1317" t="str">
        <f ca="1">IF(INDIRECT("'SpxSp (step-b)'!$B" &amp; BS$16)=$Z29,INDIRECT("'SpxSp (step-b)'!$" &amp; 'SpxSp (step-b)'!$BC$23 &amp; BS$16),"")</f>
        <v/>
      </c>
      <c r="BT29" s="1317" t="str">
        <f ca="1">IF(INDIRECT("'SpxSp (step-b)'!$B" &amp; BT$16)=$Z29,INDIRECT("'SpxSp (step-b)'!$" &amp; 'SpxSp (step-b)'!$BC$23 &amp; BT$16),"")</f>
        <v/>
      </c>
      <c r="BU29" s="1317" t="str">
        <f ca="1">IF(INDIRECT("'SpxSp (step-b)'!$B" &amp; BU$16)=$Z29,INDIRECT("'SpxSp (step-b)'!$" &amp; 'SpxSp (step-b)'!$BC$23 &amp; BU$16),"")</f>
        <v/>
      </c>
      <c r="BV29" s="1317" t="str">
        <f ca="1">IF(INDIRECT("'SpxSp (step-b)'!$B" &amp; BV$16)=$Z29,INDIRECT("'SpxSp (step-b)'!$" &amp; 'SpxSp (step-b)'!$BC$23 &amp; BV$16),"")</f>
        <v/>
      </c>
      <c r="BW29" s="1317" t="str">
        <f ca="1">IF(INDIRECT("'SpxSp (step-b)'!$B" &amp; BW$16)=$Z29,INDIRECT("'SpxSp (step-b)'!$" &amp; 'SpxSp (step-b)'!$BC$23 &amp; BW$16),"")</f>
        <v/>
      </c>
      <c r="BX29" s="1317" t="str">
        <f ca="1">IF(INDIRECT("'SpxSp (step-b)'!$B" &amp; BX$16)=$Z29,INDIRECT("'SpxSp (step-b)'!$" &amp; 'SpxSp (step-b)'!$BC$23 &amp; BX$16),"")</f>
        <v/>
      </c>
      <c r="BY29" s="1317" t="str">
        <f ca="1">IF(INDIRECT("'SpxSp (step-b)'!$B" &amp; BY$16)=$Z29,INDIRECT("'SpxSp (step-b)'!$" &amp; 'SpxSp (step-b)'!$BC$23 &amp; BY$16),"")</f>
        <v/>
      </c>
      <c r="BZ29" s="1317" t="str">
        <f ca="1">IF(INDIRECT("'SpxSp (step-b)'!$B" &amp; BZ$16)=$Z29,INDIRECT("'SpxSp (step-b)'!$" &amp; 'SpxSp (step-b)'!$BC$23 &amp; BZ$16),"")</f>
        <v/>
      </c>
      <c r="CA29" s="1317" t="str">
        <f ca="1">IF(INDIRECT("'SpxSp (step-b)'!$B" &amp; CA$16)=$Z29,INDIRECT("'SpxSp (step-b)'!$" &amp; 'SpxSp (step-b)'!$BC$23 &amp; CA$16),"")</f>
        <v/>
      </c>
      <c r="CB29" s="1317" t="str">
        <f ca="1">IF(INDIRECT("'SpxSp (step-b)'!$B" &amp; CB$16)=$Z29,INDIRECT("'SpxSp (step-b)'!$" &amp; 'SpxSp (step-b)'!$BC$23 &amp; CB$16),"")</f>
        <v/>
      </c>
      <c r="CC29" s="1317" t="str">
        <f ca="1">IF(INDIRECT("'SpxSp (step-b)'!$B" &amp; CC$16)=$Z29,INDIRECT("'SpxSp (step-b)'!$" &amp; 'SpxSp (step-b)'!$BC$23 &amp; CC$16),"")</f>
        <v/>
      </c>
      <c r="CD29" s="1317" t="str">
        <f ca="1">IF(INDIRECT("'SpxSp (step-b)'!$B" &amp; CD$16)=$Z29,INDIRECT("'SpxSp (step-b)'!$" &amp; 'SpxSp (step-b)'!$BC$23 &amp; CD$16),"")</f>
        <v/>
      </c>
      <c r="CE29" s="1317" t="str">
        <f ca="1">IF(INDIRECT("'SpxSp (step-b)'!$B" &amp; CE$16)=$Z29,INDIRECT("'SpxSp (step-b)'!$" &amp; 'SpxSp (step-b)'!$BC$23 &amp; CE$16),"")</f>
        <v/>
      </c>
      <c r="CF29" s="1317" t="str">
        <f ca="1">IF(INDIRECT("'SpxSp (step-b)'!$B" &amp; CF$16)=$Z29,INDIRECT("'SpxSp (step-b)'!$" &amp; 'SpxSp (step-b)'!$BC$23 &amp; CF$16),"")</f>
        <v/>
      </c>
      <c r="CG29" s="1317" t="str">
        <f ca="1">IF(INDIRECT("'SpxSp (step-b)'!$B" &amp; CG$16)=$Z29,INDIRECT("'SpxSp (step-b)'!$" &amp; 'SpxSp (step-b)'!$BC$23 &amp; CG$16),"")</f>
        <v/>
      </c>
      <c r="CH29" s="1317" t="str">
        <f ca="1">IF(INDIRECT("'SpxSp (step-b)'!$B" &amp; CH$16)=$Z29,INDIRECT("'SpxSp (step-b)'!$" &amp; 'SpxSp (step-b)'!$BC$23 &amp; CH$16),"")</f>
        <v/>
      </c>
      <c r="CI29" s="1317" t="str">
        <f ca="1">IF(INDIRECT("'SpxSp (step-b)'!$B" &amp; CI$16)=$Z29,INDIRECT("'SpxSp (step-b)'!$" &amp; 'SpxSp (step-b)'!$BC$23 &amp; CI$16),"")</f>
        <v/>
      </c>
      <c r="CJ29" s="1317" t="str">
        <f ca="1">IF(INDIRECT("'SpxSp (step-b)'!$B" &amp; CJ$16)=$Z29,INDIRECT("'SpxSp (step-b)'!$" &amp; 'SpxSp (step-b)'!$BC$23 &amp; CJ$16),"")</f>
        <v/>
      </c>
      <c r="CK29" s="1317" t="str">
        <f ca="1">IF(INDIRECT("'SpxSp (step-b)'!$B" &amp; CK$16)=$Z29,INDIRECT("'SpxSp (step-b)'!$" &amp; 'SpxSp (step-b)'!$BC$23 &amp; CK$16),"")</f>
        <v/>
      </c>
      <c r="CL29" s="1317" t="str">
        <f ca="1">IF(INDIRECT("'SpxSp (step-b)'!$B" &amp; CL$16)=$Z29,INDIRECT("'SpxSp (step-b)'!$" &amp; 'SpxSp (step-b)'!$BC$23 &amp; CL$16),"")</f>
        <v/>
      </c>
      <c r="CM29" s="1317" t="str">
        <f ca="1">IF(INDIRECT("'SpxSp (step-b)'!$B" &amp; CM$16)=$Z29,INDIRECT("'SpxSp (step-b)'!$" &amp; 'SpxSp (step-b)'!$BC$23 &amp; CM$16),"")</f>
        <v/>
      </c>
      <c r="CN29" s="1317" t="str">
        <f ca="1">IF(INDIRECT("'SpxSp (step-b)'!$B" &amp; CN$16)=$Z29,INDIRECT("'SpxSp (step-b)'!$" &amp; 'SpxSp (step-b)'!$BC$23 &amp; CN$16),"")</f>
        <v/>
      </c>
      <c r="CO29" s="1317" t="str">
        <f ca="1">IF(INDIRECT("'SpxSp (step-b)'!$B" &amp; CO$16)=$Z29,INDIRECT("'SpxSp (step-b)'!$" &amp; 'SpxSp (step-b)'!$BC$23 &amp; CO$16),"")</f>
        <v/>
      </c>
      <c r="CP29" s="1317" t="str">
        <f ca="1">IF(INDIRECT("'SpxSp (step-b)'!$B" &amp; CP$16)=$Z29,INDIRECT("'SpxSp (step-b)'!$" &amp; 'SpxSp (step-b)'!$BC$23 &amp; CP$16),"")</f>
        <v/>
      </c>
      <c r="CQ29" s="1317" t="str">
        <f ca="1">IF(INDIRECT("'SpxSp (step-b)'!$B" &amp; CQ$16)=$Z29,INDIRECT("'SpxSp (step-b)'!$" &amp; 'SpxSp (step-b)'!$BC$23 &amp; CQ$16),"")</f>
        <v/>
      </c>
      <c r="CR29" s="1317" t="str">
        <f ca="1">IF(INDIRECT("'SpxSp (step-b)'!$B" &amp; CR$16)=$Z29,INDIRECT("'SpxSp (step-b)'!$" &amp; 'SpxSp (step-b)'!$BC$23 &amp; CR$16),"")</f>
        <v/>
      </c>
      <c r="CS29" s="1317" t="str">
        <f ca="1">IF(INDIRECT("'SpxSp (step-b)'!$B" &amp; CS$16)=$Z29,INDIRECT("'SpxSp (step-b)'!$" &amp; 'SpxSp (step-b)'!$BC$23 &amp; CS$16),"")</f>
        <v/>
      </c>
      <c r="CT29" s="1317" t="str">
        <f ca="1">IF(INDIRECT("'SpxSp (step-b)'!$B" &amp; CT$16)=$Z29,INDIRECT("'SpxSp (step-b)'!$" &amp; 'SpxSp (step-b)'!$BC$23 &amp; CT$16),"")</f>
        <v/>
      </c>
      <c r="CU29" s="1317" t="str">
        <f ca="1">IF(INDIRECT("'SpxSp (step-b)'!$B" &amp; CU$16)=$Z29,INDIRECT("'SpxSp (step-b)'!$" &amp; 'SpxSp (step-b)'!$BC$23 &amp; CU$16),"")</f>
        <v/>
      </c>
      <c r="CV29" s="1317" t="str">
        <f ca="1">IF(INDIRECT("'SpxSp (step-b)'!$B" &amp; CV$16)=$Z29,INDIRECT("'SpxSp (step-b)'!$" &amp; 'SpxSp (step-b)'!$BC$23 &amp; CV$16),"")</f>
        <v/>
      </c>
      <c r="CW29" s="1317" t="str">
        <f ca="1">IF(INDIRECT("'SpxSp (step-b)'!$B" &amp; CW$16)=$Z29,INDIRECT("'SpxSp (step-b)'!$" &amp; 'SpxSp (step-b)'!$BC$23 &amp; CW$16),"")</f>
        <v/>
      </c>
      <c r="CX29" s="1317" t="str">
        <f ca="1">IF(INDIRECT("'SpxSp (step-b)'!$B" &amp; CX$16)=$Z29,INDIRECT("'SpxSp (step-b)'!$" &amp; 'SpxSp (step-b)'!$BC$23 &amp; CX$16),"")</f>
        <v/>
      </c>
      <c r="CY29" s="1317" t="str">
        <f ca="1">IF(INDIRECT("'SpxSp (step-b)'!$B" &amp; CY$16)=$Z29,INDIRECT("'SpxSp (step-b)'!$" &amp; 'SpxSp (step-b)'!$BC$23 &amp; CY$16),"")</f>
        <v/>
      </c>
      <c r="CZ29" s="1317" t="str">
        <f ca="1">IF(INDIRECT("'SpxSp (step-b)'!$B" &amp; CZ$16)=$Z29,INDIRECT("'SpxSp (step-b)'!$" &amp; 'SpxSp (step-b)'!$BC$23 &amp; CZ$16),"")</f>
        <v/>
      </c>
      <c r="DA29" s="1317" t="str">
        <f ca="1">IF(INDIRECT("'SpxSp (step-b)'!$B" &amp; DA$16)=$Z29,INDIRECT("'SpxSp (step-b)'!$" &amp; 'SpxSp (step-b)'!$BC$23 &amp; DA$16),"")</f>
        <v/>
      </c>
      <c r="DB29" s="1317" t="str">
        <f ca="1">IF(INDIRECT("'SpxSp (step-b)'!$B" &amp; DB$16)=$Z29,INDIRECT("'SpxSp (step-b)'!$" &amp; 'SpxSp (step-b)'!$BC$23 &amp; DB$16),"")</f>
        <v/>
      </c>
      <c r="DC29" s="1317" t="str">
        <f ca="1">IF(INDIRECT("'SpxSp (step-b)'!$B" &amp; DC$16)=$Z29,INDIRECT("'SpxSp (step-b)'!$" &amp; 'SpxSp (step-b)'!$BC$23 &amp; DC$16),"")</f>
        <v/>
      </c>
      <c r="DD29" s="1317" t="str">
        <f ca="1">IF(INDIRECT("'SpxSp (step-b)'!$B" &amp; DD$16)=$Z29,INDIRECT("'SpxSp (step-b)'!$" &amp; 'SpxSp (step-b)'!$BC$23 &amp; DD$16),"")</f>
        <v/>
      </c>
      <c r="DE29" s="1317" t="str">
        <f ca="1">IF(INDIRECT("'SpxSp (step-b)'!$B" &amp; DE$16)=$Z29,INDIRECT("'SpxSp (step-b)'!$" &amp; 'SpxSp (step-b)'!$BC$23 &amp; DE$16),"")</f>
        <v/>
      </c>
      <c r="DF29" s="1317" t="str">
        <f ca="1">IF(INDIRECT("'SpxSp (step-b)'!$B" &amp; DF$16)=$Z29,INDIRECT("'SpxSp (step-b)'!$" &amp; 'SpxSp (step-b)'!$BC$23 &amp; DF$16),"")</f>
        <v/>
      </c>
      <c r="DG29" s="1317" t="str">
        <f ca="1">IF(INDIRECT("'SpxSp (step-b)'!$B" &amp; DG$16)=$Z29,INDIRECT("'SpxSp (step-b)'!$" &amp; 'SpxSp (step-b)'!$BC$23 &amp; DG$16),"")</f>
        <v/>
      </c>
      <c r="DH29" s="1317" t="str">
        <f ca="1">IF(INDIRECT("'SpxSp (step-b)'!$B" &amp; DH$16)=$Z29,INDIRECT("'SpxSp (step-b)'!$" &amp; 'SpxSp (step-b)'!$BC$23 &amp; DH$16),"")</f>
        <v/>
      </c>
      <c r="DI29" s="1317" t="str">
        <f ca="1">IF(INDIRECT("'SpxSp (step-b)'!$B" &amp; DI$16)=$Z29,INDIRECT("'SpxSp (step-b)'!$" &amp; 'SpxSp (step-b)'!$BC$23 &amp; DI$16),"")</f>
        <v/>
      </c>
      <c r="DJ29" s="1317" t="str">
        <f ca="1">IF(INDIRECT("'SpxSp (step-b)'!$B" &amp; DJ$16)=$Z29,INDIRECT("'SpxSp (step-b)'!$" &amp; 'SpxSp (step-b)'!$BC$23 &amp; DJ$16),"")</f>
        <v/>
      </c>
      <c r="DK29" s="1317" t="str">
        <f ca="1">IF(INDIRECT("'SpxSp (step-b)'!$B" &amp; DK$16)=$Z29,INDIRECT("'SpxSp (step-b)'!$" &amp; 'SpxSp (step-b)'!$BC$23 &amp; DK$16),"")</f>
        <v/>
      </c>
      <c r="DL29" s="1317" t="str">
        <f ca="1">IF(INDIRECT("'SpxSp (step-b)'!$B" &amp; DL$16)=$Z29,INDIRECT("'SpxSp (step-b)'!$" &amp; 'SpxSp (step-b)'!$BC$23 &amp; DL$16),"")</f>
        <v/>
      </c>
      <c r="DM29" s="1317" t="str">
        <f ca="1">IF(INDIRECT("'SpxSp (step-b)'!$B" &amp; DM$16)=$Z29,INDIRECT("'SpxSp (step-b)'!$" &amp; 'SpxSp (step-b)'!$BC$23 &amp; DM$16),"")</f>
        <v/>
      </c>
      <c r="DN29" s="1318" t="str">
        <f t="shared" ca="1" si="32"/>
        <v/>
      </c>
      <c r="DO29" s="1246" t="s">
        <v>1201</v>
      </c>
    </row>
    <row r="30" spans="2:119" ht="40" x14ac:dyDescent="0.2">
      <c r="B30" s="1450" t="str">
        <f t="shared" si="13"/>
        <v/>
      </c>
      <c r="C30" s="1451"/>
      <c r="D30" s="1451"/>
      <c r="E30" s="1451"/>
      <c r="F30" s="1452"/>
      <c r="G30" s="1319" t="str">
        <f t="shared" si="31"/>
        <v/>
      </c>
      <c r="H30" s="1320" t="str">
        <f t="shared" si="14"/>
        <v/>
      </c>
      <c r="I30" s="1321" t="str">
        <f t="shared" si="33"/>
        <v/>
      </c>
      <c r="J30" s="1296"/>
      <c r="K30" s="1322" t="str">
        <f>IFERROR(IF(OR(B30="",H30=0),"",VLOOKUP(B30,'SpxSp (step-c)'!B$18:O$67,6,FALSE)),"")</f>
        <v/>
      </c>
      <c r="L30" s="1323" t="str">
        <f ca="1">IFERROR(F(OR(B30="",H30=0),"",VLOOKUP($B30,'SpxSp (step-c)'!$B$18:O$67,12,FALSE)),"")</f>
        <v/>
      </c>
      <c r="M30" s="1321" t="str">
        <f ca="1">IF(AND(B30&lt;&gt;"",L30=""),"NA",IFERROR(VLOOKUP($B30,'SpxSp (step-c)'!$B$18:P$67,13,FALSE),""))</f>
        <v/>
      </c>
      <c r="N30" s="1324"/>
      <c r="O30" s="1322" t="str">
        <f>IFERROR(IF(OR(B30="",H30=0),"",VLOOKUP($B30,'SpxSp (step-d)'!$B$18:$P$67,12,FALSE)),"")</f>
        <v/>
      </c>
      <c r="P30" s="1323" t="str">
        <f>IFERROR(IF(OR(B30="",H30=0),"",VLOOKUP($B30,'SpxSp (step-d)'!$B$18:$P$67,13,FALSE)),"")</f>
        <v/>
      </c>
      <c r="Q30" s="1323" t="str">
        <f>IFERROR(IF(OR(B30="",H30=0),"",VLOOKUP($B30,'SpxSp (step-d)'!$B$18:$P$67,14,FALSE)),"")</f>
        <v/>
      </c>
      <c r="R30" s="1321" t="str">
        <f>IF(AND(B30&lt;&gt;"",P30=""),"NA",IFERROR(VLOOKUP(B30,'SpxSp (step-d)'!$B$18:$V$67,15,FALSE),""))</f>
        <v/>
      </c>
      <c r="S30" s="1296"/>
      <c r="T30" s="1325" t="str">
        <f t="shared" si="34"/>
        <v/>
      </c>
      <c r="U30" s="1326" t="str">
        <f t="shared" si="17"/>
        <v/>
      </c>
      <c r="Y30" s="1302">
        <v>13</v>
      </c>
      <c r="Z30" s="1303" t="str">
        <f>'SpxSp (step-a)'!B34</f>
        <v/>
      </c>
      <c r="AA30" s="1303" t="str">
        <f>'SpxSp (step-a)'!H34</f>
        <v/>
      </c>
      <c r="AB30" s="1290" t="str">
        <f>VLOOKUP($Z30,'SpxSp (step-a)'!$B$22:$O$71,AB$14,FALSE)</f>
        <v/>
      </c>
      <c r="AD30" s="1290" t="str">
        <f>IF(Z30="","",IFERROR(VLOOKUP($Z30,'SpxSp (step-a)'!$B$22:$O$71,AD$14,FALSE),0))</f>
        <v/>
      </c>
      <c r="AE30" s="1290" t="str">
        <f>IF(Z30="","",IFERROR(VLOOKUP($Z30,'SpxSp (step-a)'!$B$22:$O$71,AE$14,FALSE),0))</f>
        <v/>
      </c>
      <c r="AG30" s="1290" t="str">
        <f t="shared" si="36"/>
        <v/>
      </c>
      <c r="AI30" s="1290" t="str">
        <f>IF($Z30="","",SUMIFS('SpxSp (step-b)'!L$26:L$75,'SpxSp (step-b)'!B$26:B$75,Z30,'SpxSp (step-b)'!N$26:N$75,"New"))</f>
        <v/>
      </c>
      <c r="AJ30" s="1290" t="str">
        <f>IF($Z30="","",SUMIFS('SpxSp (step-b)'!$L$26:$L$75,'SpxSp (step-b)'!$B$26:$B$75,$Z30,'SpxSp (step-b)'!N$26:N$75,""))</f>
        <v/>
      </c>
      <c r="AK30" s="1290" t="str">
        <f>IF($Z30="","",SUMIFS('SpxSp (step-b)'!$J$26:$J$75,'SpxSp (step-b)'!$B$26:$B$75,$Z30,'SpxSp (step-b)'!$N$26:$N$75,"New")+SUMIFS('SpxSp (step-b)'!$J$26:$J$75,'SpxSp (step-b)'!$B$26:$B$75,$Z30,'SpxSp (step-b)'!$N$26:$N$75,""))</f>
        <v/>
      </c>
      <c r="AL30" s="1290" t="str">
        <f>IF($Z30="","",SUMIFS('SpxSp (step-b)'!$L$26:$L$75,'SpxSp (step-b)'!$B$26:$B$75,$Z30,'SpxSp (step-b)'!$N$26:$N$75,"Existing Remains"))</f>
        <v/>
      </c>
      <c r="AM30" s="1290" t="str">
        <f>IF($Z30="","",SUMIFS('SpxSp (step-b)'!$L$26:$L$75,'SpxSp (step-b)'!$B$26:$B$75,$Z30,'SpxSp (step-b)'!$N$26:$N$75,"Existing Removed"))</f>
        <v/>
      </c>
      <c r="AN30" s="1290" t="str">
        <f>IF($Z30="","",SUMIFS('SpxSp (step-b)'!$J$26:$J$75,'SpxSp (step-b)'!$B$26:$B$75,$Z30,'SpxSp (step-b)'!$N$26:$N$75,"Existing Removed"))</f>
        <v/>
      </c>
      <c r="AO30" s="1290" t="str">
        <f t="shared" si="37"/>
        <v/>
      </c>
      <c r="AP30" s="1290" t="str">
        <f t="shared" si="18"/>
        <v/>
      </c>
      <c r="AQ30" s="1304"/>
      <c r="AR30" s="1305" t="str">
        <f t="shared" si="19"/>
        <v/>
      </c>
      <c r="AS30" s="1306" t="str">
        <f t="shared" si="20"/>
        <v/>
      </c>
      <c r="AT30" s="1307"/>
      <c r="AU30" s="1308" t="str">
        <f t="shared" si="21"/>
        <v/>
      </c>
      <c r="AV30" s="1309" t="str">
        <f t="shared" si="6"/>
        <v/>
      </c>
      <c r="AW30" s="1309" t="str">
        <f t="shared" si="22"/>
        <v/>
      </c>
      <c r="AX30" s="1310" t="str">
        <f t="shared" si="23"/>
        <v/>
      </c>
      <c r="AY30" s="1307"/>
      <c r="AZ30" s="1311" t="str">
        <f t="shared" si="24"/>
        <v/>
      </c>
      <c r="BA30" s="1309" t="str">
        <f t="shared" si="25"/>
        <v/>
      </c>
      <c r="BB30" s="1310" t="str">
        <f t="shared" si="26"/>
        <v/>
      </c>
      <c r="BC30" s="1312"/>
      <c r="BD30" s="1313" t="str">
        <f t="shared" si="35"/>
        <v/>
      </c>
      <c r="BE30" s="1290" t="str">
        <f t="shared" si="27"/>
        <v/>
      </c>
      <c r="BF30" s="1290" t="str">
        <f t="shared" si="28"/>
        <v/>
      </c>
      <c r="BH30" s="1315" t="str">
        <f t="shared" si="10"/>
        <v/>
      </c>
      <c r="BI30" s="1315"/>
      <c r="BJ30" s="1303" t="str">
        <f>IF(OR(BH30="Fail",BH30="Fail LPA",BH30=""),"",'SpxSp (step-a)'!CM34)</f>
        <v/>
      </c>
      <c r="BK30" s="1290">
        <f t="shared" si="30"/>
        <v>0</v>
      </c>
      <c r="BN30" s="178">
        <v>13</v>
      </c>
      <c r="BO30" s="1316" t="str">
        <f t="shared" ca="1" si="29"/>
        <v/>
      </c>
      <c r="BP30" s="1317" t="str">
        <f ca="1">IF(INDIRECT("'SpxSp (step-b)'!$B" &amp; BP$16)=$Z30,INDIRECT("'SpxSp (step-b)'!$" &amp; 'SpxSp (step-b)'!$BC$23 &amp; BP$16),"")</f>
        <v/>
      </c>
      <c r="BQ30" s="1317" t="str">
        <f ca="1">IF(INDIRECT("'SpxSp (step-b)'!$B" &amp; BQ$16)=$Z30,INDIRECT("'SpxSp (step-b)'!$" &amp; 'SpxSp (step-b)'!$BC$23 &amp; BQ$16),"")</f>
        <v/>
      </c>
      <c r="BR30" s="1317" t="str">
        <f ca="1">IF(INDIRECT("'SpxSp (step-b)'!$B" &amp; BR$16)=$Z30,INDIRECT("'SpxSp (step-b)'!$" &amp; 'SpxSp (step-b)'!$BC$23 &amp; BR$16),"")</f>
        <v/>
      </c>
      <c r="BS30" s="1317" t="str">
        <f ca="1">IF(INDIRECT("'SpxSp (step-b)'!$B" &amp; BS$16)=$Z30,INDIRECT("'SpxSp (step-b)'!$" &amp; 'SpxSp (step-b)'!$BC$23 &amp; BS$16),"")</f>
        <v/>
      </c>
      <c r="BT30" s="1317" t="str">
        <f ca="1">IF(INDIRECT("'SpxSp (step-b)'!$B" &amp; BT$16)=$Z30,INDIRECT("'SpxSp (step-b)'!$" &amp; 'SpxSp (step-b)'!$BC$23 &amp; BT$16),"")</f>
        <v/>
      </c>
      <c r="BU30" s="1317" t="str">
        <f ca="1">IF(INDIRECT("'SpxSp (step-b)'!$B" &amp; BU$16)=$Z30,INDIRECT("'SpxSp (step-b)'!$" &amp; 'SpxSp (step-b)'!$BC$23 &amp; BU$16),"")</f>
        <v/>
      </c>
      <c r="BV30" s="1317" t="str">
        <f ca="1">IF(INDIRECT("'SpxSp (step-b)'!$B" &amp; BV$16)=$Z30,INDIRECT("'SpxSp (step-b)'!$" &amp; 'SpxSp (step-b)'!$BC$23 &amp; BV$16),"")</f>
        <v/>
      </c>
      <c r="BW30" s="1317" t="str">
        <f ca="1">IF(INDIRECT("'SpxSp (step-b)'!$B" &amp; BW$16)=$Z30,INDIRECT("'SpxSp (step-b)'!$" &amp; 'SpxSp (step-b)'!$BC$23 &amp; BW$16),"")</f>
        <v/>
      </c>
      <c r="BX30" s="1317" t="str">
        <f ca="1">IF(INDIRECT("'SpxSp (step-b)'!$B" &amp; BX$16)=$Z30,INDIRECT("'SpxSp (step-b)'!$" &amp; 'SpxSp (step-b)'!$BC$23 &amp; BX$16),"")</f>
        <v/>
      </c>
      <c r="BY30" s="1317" t="str">
        <f ca="1">IF(INDIRECT("'SpxSp (step-b)'!$B" &amp; BY$16)=$Z30,INDIRECT("'SpxSp (step-b)'!$" &amp; 'SpxSp (step-b)'!$BC$23 &amp; BY$16),"")</f>
        <v/>
      </c>
      <c r="BZ30" s="1317" t="str">
        <f ca="1">IF(INDIRECT("'SpxSp (step-b)'!$B" &amp; BZ$16)=$Z30,INDIRECT("'SpxSp (step-b)'!$" &amp; 'SpxSp (step-b)'!$BC$23 &amp; BZ$16),"")</f>
        <v/>
      </c>
      <c r="CA30" s="1317" t="str">
        <f ca="1">IF(INDIRECT("'SpxSp (step-b)'!$B" &amp; CA$16)=$Z30,INDIRECT("'SpxSp (step-b)'!$" &amp; 'SpxSp (step-b)'!$BC$23 &amp; CA$16),"")</f>
        <v/>
      </c>
      <c r="CB30" s="1317" t="str">
        <f ca="1">IF(INDIRECT("'SpxSp (step-b)'!$B" &amp; CB$16)=$Z30,INDIRECT("'SpxSp (step-b)'!$" &amp; 'SpxSp (step-b)'!$BC$23 &amp; CB$16),"")</f>
        <v/>
      </c>
      <c r="CC30" s="1317" t="str">
        <f ca="1">IF(INDIRECT("'SpxSp (step-b)'!$B" &amp; CC$16)=$Z30,INDIRECT("'SpxSp (step-b)'!$" &amp; 'SpxSp (step-b)'!$BC$23 &amp; CC$16),"")</f>
        <v/>
      </c>
      <c r="CD30" s="1317" t="str">
        <f ca="1">IF(INDIRECT("'SpxSp (step-b)'!$B" &amp; CD$16)=$Z30,INDIRECT("'SpxSp (step-b)'!$" &amp; 'SpxSp (step-b)'!$BC$23 &amp; CD$16),"")</f>
        <v/>
      </c>
      <c r="CE30" s="1317" t="str">
        <f ca="1">IF(INDIRECT("'SpxSp (step-b)'!$B" &amp; CE$16)=$Z30,INDIRECT("'SpxSp (step-b)'!$" &amp; 'SpxSp (step-b)'!$BC$23 &amp; CE$16),"")</f>
        <v/>
      </c>
      <c r="CF30" s="1317" t="str">
        <f ca="1">IF(INDIRECT("'SpxSp (step-b)'!$B" &amp; CF$16)=$Z30,INDIRECT("'SpxSp (step-b)'!$" &amp; 'SpxSp (step-b)'!$BC$23 &amp; CF$16),"")</f>
        <v/>
      </c>
      <c r="CG30" s="1317" t="str">
        <f ca="1">IF(INDIRECT("'SpxSp (step-b)'!$B" &amp; CG$16)=$Z30,INDIRECT("'SpxSp (step-b)'!$" &amp; 'SpxSp (step-b)'!$BC$23 &amp; CG$16),"")</f>
        <v/>
      </c>
      <c r="CH30" s="1317" t="str">
        <f ca="1">IF(INDIRECT("'SpxSp (step-b)'!$B" &amp; CH$16)=$Z30,INDIRECT("'SpxSp (step-b)'!$" &amp; 'SpxSp (step-b)'!$BC$23 &amp; CH$16),"")</f>
        <v/>
      </c>
      <c r="CI30" s="1317" t="str">
        <f ca="1">IF(INDIRECT("'SpxSp (step-b)'!$B" &amp; CI$16)=$Z30,INDIRECT("'SpxSp (step-b)'!$" &amp; 'SpxSp (step-b)'!$BC$23 &amp; CI$16),"")</f>
        <v/>
      </c>
      <c r="CJ30" s="1317" t="str">
        <f ca="1">IF(INDIRECT("'SpxSp (step-b)'!$B" &amp; CJ$16)=$Z30,INDIRECT("'SpxSp (step-b)'!$" &amp; 'SpxSp (step-b)'!$BC$23 &amp; CJ$16),"")</f>
        <v/>
      </c>
      <c r="CK30" s="1317" t="str">
        <f ca="1">IF(INDIRECT("'SpxSp (step-b)'!$B" &amp; CK$16)=$Z30,INDIRECT("'SpxSp (step-b)'!$" &amp; 'SpxSp (step-b)'!$BC$23 &amp; CK$16),"")</f>
        <v/>
      </c>
      <c r="CL30" s="1317" t="str">
        <f ca="1">IF(INDIRECT("'SpxSp (step-b)'!$B" &amp; CL$16)=$Z30,INDIRECT("'SpxSp (step-b)'!$" &amp; 'SpxSp (step-b)'!$BC$23 &amp; CL$16),"")</f>
        <v/>
      </c>
      <c r="CM30" s="1317" t="str">
        <f ca="1">IF(INDIRECT("'SpxSp (step-b)'!$B" &amp; CM$16)=$Z30,INDIRECT("'SpxSp (step-b)'!$" &amp; 'SpxSp (step-b)'!$BC$23 &amp; CM$16),"")</f>
        <v/>
      </c>
      <c r="CN30" s="1317" t="str">
        <f ca="1">IF(INDIRECT("'SpxSp (step-b)'!$B" &amp; CN$16)=$Z30,INDIRECT("'SpxSp (step-b)'!$" &amp; 'SpxSp (step-b)'!$BC$23 &amp; CN$16),"")</f>
        <v/>
      </c>
      <c r="CO30" s="1317" t="str">
        <f ca="1">IF(INDIRECT("'SpxSp (step-b)'!$B" &amp; CO$16)=$Z30,INDIRECT("'SpxSp (step-b)'!$" &amp; 'SpxSp (step-b)'!$BC$23 &amp; CO$16),"")</f>
        <v/>
      </c>
      <c r="CP30" s="1317" t="str">
        <f ca="1">IF(INDIRECT("'SpxSp (step-b)'!$B" &amp; CP$16)=$Z30,INDIRECT("'SpxSp (step-b)'!$" &amp; 'SpxSp (step-b)'!$BC$23 &amp; CP$16),"")</f>
        <v/>
      </c>
      <c r="CQ30" s="1317" t="str">
        <f ca="1">IF(INDIRECT("'SpxSp (step-b)'!$B" &amp; CQ$16)=$Z30,INDIRECT("'SpxSp (step-b)'!$" &amp; 'SpxSp (step-b)'!$BC$23 &amp; CQ$16),"")</f>
        <v/>
      </c>
      <c r="CR30" s="1317" t="str">
        <f ca="1">IF(INDIRECT("'SpxSp (step-b)'!$B" &amp; CR$16)=$Z30,INDIRECT("'SpxSp (step-b)'!$" &amp; 'SpxSp (step-b)'!$BC$23 &amp; CR$16),"")</f>
        <v/>
      </c>
      <c r="CS30" s="1317" t="str">
        <f ca="1">IF(INDIRECT("'SpxSp (step-b)'!$B" &amp; CS$16)=$Z30,INDIRECT("'SpxSp (step-b)'!$" &amp; 'SpxSp (step-b)'!$BC$23 &amp; CS$16),"")</f>
        <v/>
      </c>
      <c r="CT30" s="1317" t="str">
        <f ca="1">IF(INDIRECT("'SpxSp (step-b)'!$B" &amp; CT$16)=$Z30,INDIRECT("'SpxSp (step-b)'!$" &amp; 'SpxSp (step-b)'!$BC$23 &amp; CT$16),"")</f>
        <v/>
      </c>
      <c r="CU30" s="1317" t="str">
        <f ca="1">IF(INDIRECT("'SpxSp (step-b)'!$B" &amp; CU$16)=$Z30,INDIRECT("'SpxSp (step-b)'!$" &amp; 'SpxSp (step-b)'!$BC$23 &amp; CU$16),"")</f>
        <v/>
      </c>
      <c r="CV30" s="1317" t="str">
        <f ca="1">IF(INDIRECT("'SpxSp (step-b)'!$B" &amp; CV$16)=$Z30,INDIRECT("'SpxSp (step-b)'!$" &amp; 'SpxSp (step-b)'!$BC$23 &amp; CV$16),"")</f>
        <v/>
      </c>
      <c r="CW30" s="1317" t="str">
        <f ca="1">IF(INDIRECT("'SpxSp (step-b)'!$B" &amp; CW$16)=$Z30,INDIRECT("'SpxSp (step-b)'!$" &amp; 'SpxSp (step-b)'!$BC$23 &amp; CW$16),"")</f>
        <v/>
      </c>
      <c r="CX30" s="1317" t="str">
        <f ca="1">IF(INDIRECT("'SpxSp (step-b)'!$B" &amp; CX$16)=$Z30,INDIRECT("'SpxSp (step-b)'!$" &amp; 'SpxSp (step-b)'!$BC$23 &amp; CX$16),"")</f>
        <v/>
      </c>
      <c r="CY30" s="1317" t="str">
        <f ca="1">IF(INDIRECT("'SpxSp (step-b)'!$B" &amp; CY$16)=$Z30,INDIRECT("'SpxSp (step-b)'!$" &amp; 'SpxSp (step-b)'!$BC$23 &amp; CY$16),"")</f>
        <v/>
      </c>
      <c r="CZ30" s="1317" t="str">
        <f ca="1">IF(INDIRECT("'SpxSp (step-b)'!$B" &amp; CZ$16)=$Z30,INDIRECT("'SpxSp (step-b)'!$" &amp; 'SpxSp (step-b)'!$BC$23 &amp; CZ$16),"")</f>
        <v/>
      </c>
      <c r="DA30" s="1317" t="str">
        <f ca="1">IF(INDIRECT("'SpxSp (step-b)'!$B" &amp; DA$16)=$Z30,INDIRECT("'SpxSp (step-b)'!$" &amp; 'SpxSp (step-b)'!$BC$23 &amp; DA$16),"")</f>
        <v/>
      </c>
      <c r="DB30" s="1317" t="str">
        <f ca="1">IF(INDIRECT("'SpxSp (step-b)'!$B" &amp; DB$16)=$Z30,INDIRECT("'SpxSp (step-b)'!$" &amp; 'SpxSp (step-b)'!$BC$23 &amp; DB$16),"")</f>
        <v/>
      </c>
      <c r="DC30" s="1317" t="str">
        <f ca="1">IF(INDIRECT("'SpxSp (step-b)'!$B" &amp; DC$16)=$Z30,INDIRECT("'SpxSp (step-b)'!$" &amp; 'SpxSp (step-b)'!$BC$23 &amp; DC$16),"")</f>
        <v/>
      </c>
      <c r="DD30" s="1317" t="str">
        <f ca="1">IF(INDIRECT("'SpxSp (step-b)'!$B" &amp; DD$16)=$Z30,INDIRECT("'SpxSp (step-b)'!$" &amp; 'SpxSp (step-b)'!$BC$23 &amp; DD$16),"")</f>
        <v/>
      </c>
      <c r="DE30" s="1317" t="str">
        <f ca="1">IF(INDIRECT("'SpxSp (step-b)'!$B" &amp; DE$16)=$Z30,INDIRECT("'SpxSp (step-b)'!$" &amp; 'SpxSp (step-b)'!$BC$23 &amp; DE$16),"")</f>
        <v/>
      </c>
      <c r="DF30" s="1317" t="str">
        <f ca="1">IF(INDIRECT("'SpxSp (step-b)'!$B" &amp; DF$16)=$Z30,INDIRECT("'SpxSp (step-b)'!$" &amp; 'SpxSp (step-b)'!$BC$23 &amp; DF$16),"")</f>
        <v/>
      </c>
      <c r="DG30" s="1317" t="str">
        <f ca="1">IF(INDIRECT("'SpxSp (step-b)'!$B" &amp; DG$16)=$Z30,INDIRECT("'SpxSp (step-b)'!$" &amp; 'SpxSp (step-b)'!$BC$23 &amp; DG$16),"")</f>
        <v/>
      </c>
      <c r="DH30" s="1317" t="str">
        <f ca="1">IF(INDIRECT("'SpxSp (step-b)'!$B" &amp; DH$16)=$Z30,INDIRECT("'SpxSp (step-b)'!$" &amp; 'SpxSp (step-b)'!$BC$23 &amp; DH$16),"")</f>
        <v/>
      </c>
      <c r="DI30" s="1317" t="str">
        <f ca="1">IF(INDIRECT("'SpxSp (step-b)'!$B" &amp; DI$16)=$Z30,INDIRECT("'SpxSp (step-b)'!$" &amp; 'SpxSp (step-b)'!$BC$23 &amp; DI$16),"")</f>
        <v/>
      </c>
      <c r="DJ30" s="1317" t="str">
        <f ca="1">IF(INDIRECT("'SpxSp (step-b)'!$B" &amp; DJ$16)=$Z30,INDIRECT("'SpxSp (step-b)'!$" &amp; 'SpxSp (step-b)'!$BC$23 &amp; DJ$16),"")</f>
        <v/>
      </c>
      <c r="DK30" s="1317" t="str">
        <f ca="1">IF(INDIRECT("'SpxSp (step-b)'!$B" &amp; DK$16)=$Z30,INDIRECT("'SpxSp (step-b)'!$" &amp; 'SpxSp (step-b)'!$BC$23 &amp; DK$16),"")</f>
        <v/>
      </c>
      <c r="DL30" s="1317" t="str">
        <f ca="1">IF(INDIRECT("'SpxSp (step-b)'!$B" &amp; DL$16)=$Z30,INDIRECT("'SpxSp (step-b)'!$" &amp; 'SpxSp (step-b)'!$BC$23 &amp; DL$16),"")</f>
        <v/>
      </c>
      <c r="DM30" s="1317" t="str">
        <f ca="1">IF(INDIRECT("'SpxSp (step-b)'!$B" &amp; DM$16)=$Z30,INDIRECT("'SpxSp (step-b)'!$" &amp; 'SpxSp (step-b)'!$BC$23 &amp; DM$16),"")</f>
        <v/>
      </c>
      <c r="DN30" s="1318" t="str">
        <f t="shared" ca="1" si="32"/>
        <v/>
      </c>
      <c r="DO30" s="1246" t="s">
        <v>1201</v>
      </c>
    </row>
    <row r="31" spans="2:119" ht="40" x14ac:dyDescent="0.2">
      <c r="B31" s="1450" t="str">
        <f t="shared" si="13"/>
        <v/>
      </c>
      <c r="C31" s="1451"/>
      <c r="D31" s="1451"/>
      <c r="E31" s="1451"/>
      <c r="F31" s="1452"/>
      <c r="G31" s="1319" t="str">
        <f t="shared" si="31"/>
        <v/>
      </c>
      <c r="H31" s="1320" t="str">
        <f t="shared" si="14"/>
        <v/>
      </c>
      <c r="I31" s="1321" t="str">
        <f t="shared" si="33"/>
        <v/>
      </c>
      <c r="J31" s="1296"/>
      <c r="K31" s="1322" t="str">
        <f>IFERROR(IF(OR(B31="",H31=0),"",VLOOKUP(B31,'SpxSp (step-c)'!B$18:O$67,6,FALSE)),"")</f>
        <v/>
      </c>
      <c r="L31" s="1323" t="str">
        <f ca="1">IFERROR(F(OR(B31="",H31=0),"",VLOOKUP($B31,'SpxSp (step-c)'!$B$18:O$67,12,FALSE)),"")</f>
        <v/>
      </c>
      <c r="M31" s="1321" t="str">
        <f ca="1">IF(AND(B31&lt;&gt;"",L31=""),"NA",IFERROR(VLOOKUP($B31,'SpxSp (step-c)'!$B$18:P$67,13,FALSE),""))</f>
        <v/>
      </c>
      <c r="N31" s="1324"/>
      <c r="O31" s="1322" t="str">
        <f>IFERROR(IF(OR(B31="",H31=0),"",VLOOKUP($B31,'SpxSp (step-d)'!$B$18:$P$67,12,FALSE)),"")</f>
        <v/>
      </c>
      <c r="P31" s="1323" t="str">
        <f>IFERROR(IF(OR(B31="",H31=0),"",VLOOKUP($B31,'SpxSp (step-d)'!$B$18:$P$67,13,FALSE)),"")</f>
        <v/>
      </c>
      <c r="Q31" s="1323" t="str">
        <f>IFERROR(IF(OR(B31="",H31=0),"",VLOOKUP($B31,'SpxSp (step-d)'!$B$18:$P$67,14,FALSE)),"")</f>
        <v/>
      </c>
      <c r="R31" s="1321" t="str">
        <f>IF(AND(B31&lt;&gt;"",P31=""),"NA",IFERROR(VLOOKUP(B31,'SpxSp (step-d)'!$B$18:$V$67,15,FALSE),""))</f>
        <v/>
      </c>
      <c r="S31" s="1296"/>
      <c r="T31" s="1325" t="str">
        <f t="shared" si="34"/>
        <v/>
      </c>
      <c r="U31" s="1326" t="str">
        <f t="shared" si="17"/>
        <v/>
      </c>
      <c r="Y31" s="1302">
        <v>14</v>
      </c>
      <c r="Z31" s="1303" t="str">
        <f>'SpxSp (step-a)'!B35</f>
        <v/>
      </c>
      <c r="AA31" s="1303" t="str">
        <f>'SpxSp (step-a)'!H35</f>
        <v/>
      </c>
      <c r="AB31" s="1290" t="str">
        <f>VLOOKUP($Z31,'SpxSp (step-a)'!$B$22:$O$71,AB$14,FALSE)</f>
        <v/>
      </c>
      <c r="AD31" s="1290" t="str">
        <f>IF(Z31="","",IFERROR(VLOOKUP($Z31,'SpxSp (step-a)'!$B$22:$O$71,AD$14,FALSE),0))</f>
        <v/>
      </c>
      <c r="AE31" s="1290" t="str">
        <f>IF(Z31="","",IFERROR(VLOOKUP($Z31,'SpxSp (step-a)'!$B$22:$O$71,AE$14,FALSE),0))</f>
        <v/>
      </c>
      <c r="AG31" s="1290" t="str">
        <f t="shared" si="36"/>
        <v/>
      </c>
      <c r="AI31" s="1290" t="str">
        <f>IF($Z31="","",SUMIFS('SpxSp (step-b)'!L$26:L$75,'SpxSp (step-b)'!B$26:B$75,Z31,'SpxSp (step-b)'!N$26:N$75,"New"))</f>
        <v/>
      </c>
      <c r="AJ31" s="1290" t="str">
        <f>IF($Z31="","",SUMIFS('SpxSp (step-b)'!$L$26:$L$75,'SpxSp (step-b)'!$B$26:$B$75,$Z31,'SpxSp (step-b)'!N$26:N$75,""))</f>
        <v/>
      </c>
      <c r="AK31" s="1290" t="str">
        <f>IF($Z31="","",SUMIFS('SpxSp (step-b)'!$J$26:$J$75,'SpxSp (step-b)'!$B$26:$B$75,$Z31,'SpxSp (step-b)'!$N$26:$N$75,"New")+SUMIFS('SpxSp (step-b)'!$J$26:$J$75,'SpxSp (step-b)'!$B$26:$B$75,$Z31,'SpxSp (step-b)'!$N$26:$N$75,""))</f>
        <v/>
      </c>
      <c r="AL31" s="1290" t="str">
        <f>IF($Z31="","",SUMIFS('SpxSp (step-b)'!$L$26:$L$75,'SpxSp (step-b)'!$B$26:$B$75,$Z31,'SpxSp (step-b)'!$N$26:$N$75,"Existing Remains"))</f>
        <v/>
      </c>
      <c r="AM31" s="1290" t="str">
        <f>IF($Z31="","",SUMIFS('SpxSp (step-b)'!$L$26:$L$75,'SpxSp (step-b)'!$B$26:$B$75,$Z31,'SpxSp (step-b)'!$N$26:$N$75,"Existing Removed"))</f>
        <v/>
      </c>
      <c r="AN31" s="1290" t="str">
        <f>IF($Z31="","",SUMIFS('SpxSp (step-b)'!$J$26:$J$75,'SpxSp (step-b)'!$B$26:$B$75,$Z31,'SpxSp (step-b)'!$N$26:$N$75,"Existing Removed"))</f>
        <v/>
      </c>
      <c r="AO31" s="1290" t="str">
        <f t="shared" si="37"/>
        <v/>
      </c>
      <c r="AP31" s="1290" t="str">
        <f t="shared" si="18"/>
        <v/>
      </c>
      <c r="AQ31" s="1304"/>
      <c r="AR31" s="1305" t="str">
        <f t="shared" si="19"/>
        <v/>
      </c>
      <c r="AS31" s="1306" t="str">
        <f t="shared" si="20"/>
        <v/>
      </c>
      <c r="AT31" s="1307"/>
      <c r="AU31" s="1308" t="str">
        <f t="shared" si="21"/>
        <v/>
      </c>
      <c r="AV31" s="1309" t="str">
        <f t="shared" si="6"/>
        <v/>
      </c>
      <c r="AW31" s="1309" t="str">
        <f t="shared" si="22"/>
        <v/>
      </c>
      <c r="AX31" s="1310" t="str">
        <f t="shared" si="23"/>
        <v/>
      </c>
      <c r="AY31" s="1307"/>
      <c r="AZ31" s="1311" t="str">
        <f t="shared" si="24"/>
        <v/>
      </c>
      <c r="BA31" s="1309" t="str">
        <f t="shared" si="25"/>
        <v/>
      </c>
      <c r="BB31" s="1310" t="str">
        <f t="shared" si="26"/>
        <v/>
      </c>
      <c r="BC31" s="1312"/>
      <c r="BD31" s="1313" t="str">
        <f t="shared" si="35"/>
        <v/>
      </c>
      <c r="BE31" s="1290" t="str">
        <f t="shared" si="27"/>
        <v/>
      </c>
      <c r="BF31" s="1290" t="str">
        <f t="shared" si="28"/>
        <v/>
      </c>
      <c r="BH31" s="1315" t="str">
        <f t="shared" si="10"/>
        <v/>
      </c>
      <c r="BI31" s="1315"/>
      <c r="BJ31" s="1303" t="str">
        <f>IF(OR(BH31="Fail",BH31="Fail LPA",BH31=""),"",'SpxSp (step-a)'!CM35)</f>
        <v/>
      </c>
      <c r="BK31" s="1290">
        <f t="shared" si="30"/>
        <v>0</v>
      </c>
      <c r="BN31" s="178">
        <v>14</v>
      </c>
      <c r="BO31" s="1316" t="str">
        <f t="shared" ca="1" si="29"/>
        <v/>
      </c>
      <c r="BP31" s="1317" t="str">
        <f ca="1">IF(INDIRECT("'SpxSp (step-b)'!$B" &amp; BP$16)=$Z31,INDIRECT("'SpxSp (step-b)'!$" &amp; 'SpxSp (step-b)'!$BC$23 &amp; BP$16),"")</f>
        <v/>
      </c>
      <c r="BQ31" s="1317" t="str">
        <f ca="1">IF(INDIRECT("'SpxSp (step-b)'!$B" &amp; BQ$16)=$Z31,INDIRECT("'SpxSp (step-b)'!$" &amp; 'SpxSp (step-b)'!$BC$23 &amp; BQ$16),"")</f>
        <v/>
      </c>
      <c r="BR31" s="1317" t="str">
        <f ca="1">IF(INDIRECT("'SpxSp (step-b)'!$B" &amp; BR$16)=$Z31,INDIRECT("'SpxSp (step-b)'!$" &amp; 'SpxSp (step-b)'!$BC$23 &amp; BR$16),"")</f>
        <v/>
      </c>
      <c r="BS31" s="1317" t="str">
        <f ca="1">IF(INDIRECT("'SpxSp (step-b)'!$B" &amp; BS$16)=$Z31,INDIRECT("'SpxSp (step-b)'!$" &amp; 'SpxSp (step-b)'!$BC$23 &amp; BS$16),"")</f>
        <v/>
      </c>
      <c r="BT31" s="1317" t="str">
        <f ca="1">IF(INDIRECT("'SpxSp (step-b)'!$B" &amp; BT$16)=$Z31,INDIRECT("'SpxSp (step-b)'!$" &amp; 'SpxSp (step-b)'!$BC$23 &amp; BT$16),"")</f>
        <v/>
      </c>
      <c r="BU31" s="1317" t="str">
        <f ca="1">IF(INDIRECT("'SpxSp (step-b)'!$B" &amp; BU$16)=$Z31,INDIRECT("'SpxSp (step-b)'!$" &amp; 'SpxSp (step-b)'!$BC$23 &amp; BU$16),"")</f>
        <v/>
      </c>
      <c r="BV31" s="1317" t="str">
        <f ca="1">IF(INDIRECT("'SpxSp (step-b)'!$B" &amp; BV$16)=$Z31,INDIRECT("'SpxSp (step-b)'!$" &amp; 'SpxSp (step-b)'!$BC$23 &amp; BV$16),"")</f>
        <v/>
      </c>
      <c r="BW31" s="1317" t="str">
        <f ca="1">IF(INDIRECT("'SpxSp (step-b)'!$B" &amp; BW$16)=$Z31,INDIRECT("'SpxSp (step-b)'!$" &amp; 'SpxSp (step-b)'!$BC$23 &amp; BW$16),"")</f>
        <v/>
      </c>
      <c r="BX31" s="1317" t="str">
        <f ca="1">IF(INDIRECT("'SpxSp (step-b)'!$B" &amp; BX$16)=$Z31,INDIRECT("'SpxSp (step-b)'!$" &amp; 'SpxSp (step-b)'!$BC$23 &amp; BX$16),"")</f>
        <v/>
      </c>
      <c r="BY31" s="1317" t="str">
        <f ca="1">IF(INDIRECT("'SpxSp (step-b)'!$B" &amp; BY$16)=$Z31,INDIRECT("'SpxSp (step-b)'!$" &amp; 'SpxSp (step-b)'!$BC$23 &amp; BY$16),"")</f>
        <v/>
      </c>
      <c r="BZ31" s="1317" t="str">
        <f ca="1">IF(INDIRECT("'SpxSp (step-b)'!$B" &amp; BZ$16)=$Z31,INDIRECT("'SpxSp (step-b)'!$" &amp; 'SpxSp (step-b)'!$BC$23 &amp; BZ$16),"")</f>
        <v/>
      </c>
      <c r="CA31" s="1317" t="str">
        <f ca="1">IF(INDIRECT("'SpxSp (step-b)'!$B" &amp; CA$16)=$Z31,INDIRECT("'SpxSp (step-b)'!$" &amp; 'SpxSp (step-b)'!$BC$23 &amp; CA$16),"")</f>
        <v/>
      </c>
      <c r="CB31" s="1317" t="str">
        <f ca="1">IF(INDIRECT("'SpxSp (step-b)'!$B" &amp; CB$16)=$Z31,INDIRECT("'SpxSp (step-b)'!$" &amp; 'SpxSp (step-b)'!$BC$23 &amp; CB$16),"")</f>
        <v/>
      </c>
      <c r="CC31" s="1317" t="str">
        <f ca="1">IF(INDIRECT("'SpxSp (step-b)'!$B" &amp; CC$16)=$Z31,INDIRECT("'SpxSp (step-b)'!$" &amp; 'SpxSp (step-b)'!$BC$23 &amp; CC$16),"")</f>
        <v/>
      </c>
      <c r="CD31" s="1317" t="str">
        <f ca="1">IF(INDIRECT("'SpxSp (step-b)'!$B" &amp; CD$16)=$Z31,INDIRECT("'SpxSp (step-b)'!$" &amp; 'SpxSp (step-b)'!$BC$23 &amp; CD$16),"")</f>
        <v/>
      </c>
      <c r="CE31" s="1317" t="str">
        <f ca="1">IF(INDIRECT("'SpxSp (step-b)'!$B" &amp; CE$16)=$Z31,INDIRECT("'SpxSp (step-b)'!$" &amp; 'SpxSp (step-b)'!$BC$23 &amp; CE$16),"")</f>
        <v/>
      </c>
      <c r="CF31" s="1317" t="str">
        <f ca="1">IF(INDIRECT("'SpxSp (step-b)'!$B" &amp; CF$16)=$Z31,INDIRECT("'SpxSp (step-b)'!$" &amp; 'SpxSp (step-b)'!$BC$23 &amp; CF$16),"")</f>
        <v/>
      </c>
      <c r="CG31" s="1317" t="str">
        <f ca="1">IF(INDIRECT("'SpxSp (step-b)'!$B" &amp; CG$16)=$Z31,INDIRECT("'SpxSp (step-b)'!$" &amp; 'SpxSp (step-b)'!$BC$23 &amp; CG$16),"")</f>
        <v/>
      </c>
      <c r="CH31" s="1317" t="str">
        <f ca="1">IF(INDIRECT("'SpxSp (step-b)'!$B" &amp; CH$16)=$Z31,INDIRECT("'SpxSp (step-b)'!$" &amp; 'SpxSp (step-b)'!$BC$23 &amp; CH$16),"")</f>
        <v/>
      </c>
      <c r="CI31" s="1317" t="str">
        <f ca="1">IF(INDIRECT("'SpxSp (step-b)'!$B" &amp; CI$16)=$Z31,INDIRECT("'SpxSp (step-b)'!$" &amp; 'SpxSp (step-b)'!$BC$23 &amp; CI$16),"")</f>
        <v/>
      </c>
      <c r="CJ31" s="1317" t="str">
        <f ca="1">IF(INDIRECT("'SpxSp (step-b)'!$B" &amp; CJ$16)=$Z31,INDIRECT("'SpxSp (step-b)'!$" &amp; 'SpxSp (step-b)'!$BC$23 &amp; CJ$16),"")</f>
        <v/>
      </c>
      <c r="CK31" s="1317" t="str">
        <f ca="1">IF(INDIRECT("'SpxSp (step-b)'!$B" &amp; CK$16)=$Z31,INDIRECT("'SpxSp (step-b)'!$" &amp; 'SpxSp (step-b)'!$BC$23 &amp; CK$16),"")</f>
        <v/>
      </c>
      <c r="CL31" s="1317" t="str">
        <f ca="1">IF(INDIRECT("'SpxSp (step-b)'!$B" &amp; CL$16)=$Z31,INDIRECT("'SpxSp (step-b)'!$" &amp; 'SpxSp (step-b)'!$BC$23 &amp; CL$16),"")</f>
        <v/>
      </c>
      <c r="CM31" s="1317" t="str">
        <f ca="1">IF(INDIRECT("'SpxSp (step-b)'!$B" &amp; CM$16)=$Z31,INDIRECT("'SpxSp (step-b)'!$" &amp; 'SpxSp (step-b)'!$BC$23 &amp; CM$16),"")</f>
        <v/>
      </c>
      <c r="CN31" s="1317" t="str">
        <f ca="1">IF(INDIRECT("'SpxSp (step-b)'!$B" &amp; CN$16)=$Z31,INDIRECT("'SpxSp (step-b)'!$" &amp; 'SpxSp (step-b)'!$BC$23 &amp; CN$16),"")</f>
        <v/>
      </c>
      <c r="CO31" s="1317" t="str">
        <f ca="1">IF(INDIRECT("'SpxSp (step-b)'!$B" &amp; CO$16)=$Z31,INDIRECT("'SpxSp (step-b)'!$" &amp; 'SpxSp (step-b)'!$BC$23 &amp; CO$16),"")</f>
        <v/>
      </c>
      <c r="CP31" s="1317" t="str">
        <f ca="1">IF(INDIRECT("'SpxSp (step-b)'!$B" &amp; CP$16)=$Z31,INDIRECT("'SpxSp (step-b)'!$" &amp; 'SpxSp (step-b)'!$BC$23 &amp; CP$16),"")</f>
        <v/>
      </c>
      <c r="CQ31" s="1317" t="str">
        <f ca="1">IF(INDIRECT("'SpxSp (step-b)'!$B" &amp; CQ$16)=$Z31,INDIRECT("'SpxSp (step-b)'!$" &amp; 'SpxSp (step-b)'!$BC$23 &amp; CQ$16),"")</f>
        <v/>
      </c>
      <c r="CR31" s="1317" t="str">
        <f ca="1">IF(INDIRECT("'SpxSp (step-b)'!$B" &amp; CR$16)=$Z31,INDIRECT("'SpxSp (step-b)'!$" &amp; 'SpxSp (step-b)'!$BC$23 &amp; CR$16),"")</f>
        <v/>
      </c>
      <c r="CS31" s="1317" t="str">
        <f ca="1">IF(INDIRECT("'SpxSp (step-b)'!$B" &amp; CS$16)=$Z31,INDIRECT("'SpxSp (step-b)'!$" &amp; 'SpxSp (step-b)'!$BC$23 &amp; CS$16),"")</f>
        <v/>
      </c>
      <c r="CT31" s="1317" t="str">
        <f ca="1">IF(INDIRECT("'SpxSp (step-b)'!$B" &amp; CT$16)=$Z31,INDIRECT("'SpxSp (step-b)'!$" &amp; 'SpxSp (step-b)'!$BC$23 &amp; CT$16),"")</f>
        <v/>
      </c>
      <c r="CU31" s="1317" t="str">
        <f ca="1">IF(INDIRECT("'SpxSp (step-b)'!$B" &amp; CU$16)=$Z31,INDIRECT("'SpxSp (step-b)'!$" &amp; 'SpxSp (step-b)'!$BC$23 &amp; CU$16),"")</f>
        <v/>
      </c>
      <c r="CV31" s="1317" t="str">
        <f ca="1">IF(INDIRECT("'SpxSp (step-b)'!$B" &amp; CV$16)=$Z31,INDIRECT("'SpxSp (step-b)'!$" &amp; 'SpxSp (step-b)'!$BC$23 &amp; CV$16),"")</f>
        <v/>
      </c>
      <c r="CW31" s="1317" t="str">
        <f ca="1">IF(INDIRECT("'SpxSp (step-b)'!$B" &amp; CW$16)=$Z31,INDIRECT("'SpxSp (step-b)'!$" &amp; 'SpxSp (step-b)'!$BC$23 &amp; CW$16),"")</f>
        <v/>
      </c>
      <c r="CX31" s="1317" t="str">
        <f ca="1">IF(INDIRECT("'SpxSp (step-b)'!$B" &amp; CX$16)=$Z31,INDIRECT("'SpxSp (step-b)'!$" &amp; 'SpxSp (step-b)'!$BC$23 &amp; CX$16),"")</f>
        <v/>
      </c>
      <c r="CY31" s="1317" t="str">
        <f ca="1">IF(INDIRECT("'SpxSp (step-b)'!$B" &amp; CY$16)=$Z31,INDIRECT("'SpxSp (step-b)'!$" &amp; 'SpxSp (step-b)'!$BC$23 &amp; CY$16),"")</f>
        <v/>
      </c>
      <c r="CZ31" s="1317" t="str">
        <f ca="1">IF(INDIRECT("'SpxSp (step-b)'!$B" &amp; CZ$16)=$Z31,INDIRECT("'SpxSp (step-b)'!$" &amp; 'SpxSp (step-b)'!$BC$23 &amp; CZ$16),"")</f>
        <v/>
      </c>
      <c r="DA31" s="1317" t="str">
        <f ca="1">IF(INDIRECT("'SpxSp (step-b)'!$B" &amp; DA$16)=$Z31,INDIRECT("'SpxSp (step-b)'!$" &amp; 'SpxSp (step-b)'!$BC$23 &amp; DA$16),"")</f>
        <v/>
      </c>
      <c r="DB31" s="1317" t="str">
        <f ca="1">IF(INDIRECT("'SpxSp (step-b)'!$B" &amp; DB$16)=$Z31,INDIRECT("'SpxSp (step-b)'!$" &amp; 'SpxSp (step-b)'!$BC$23 &amp; DB$16),"")</f>
        <v/>
      </c>
      <c r="DC31" s="1317" t="str">
        <f ca="1">IF(INDIRECT("'SpxSp (step-b)'!$B" &amp; DC$16)=$Z31,INDIRECT("'SpxSp (step-b)'!$" &amp; 'SpxSp (step-b)'!$BC$23 &amp; DC$16),"")</f>
        <v/>
      </c>
      <c r="DD31" s="1317" t="str">
        <f ca="1">IF(INDIRECT("'SpxSp (step-b)'!$B" &amp; DD$16)=$Z31,INDIRECT("'SpxSp (step-b)'!$" &amp; 'SpxSp (step-b)'!$BC$23 &amp; DD$16),"")</f>
        <v/>
      </c>
      <c r="DE31" s="1317" t="str">
        <f ca="1">IF(INDIRECT("'SpxSp (step-b)'!$B" &amp; DE$16)=$Z31,INDIRECT("'SpxSp (step-b)'!$" &amp; 'SpxSp (step-b)'!$BC$23 &amp; DE$16),"")</f>
        <v/>
      </c>
      <c r="DF31" s="1317" t="str">
        <f ca="1">IF(INDIRECT("'SpxSp (step-b)'!$B" &amp; DF$16)=$Z31,INDIRECT("'SpxSp (step-b)'!$" &amp; 'SpxSp (step-b)'!$BC$23 &amp; DF$16),"")</f>
        <v/>
      </c>
      <c r="DG31" s="1317" t="str">
        <f ca="1">IF(INDIRECT("'SpxSp (step-b)'!$B" &amp; DG$16)=$Z31,INDIRECT("'SpxSp (step-b)'!$" &amp; 'SpxSp (step-b)'!$BC$23 &amp; DG$16),"")</f>
        <v/>
      </c>
      <c r="DH31" s="1317" t="str">
        <f ca="1">IF(INDIRECT("'SpxSp (step-b)'!$B" &amp; DH$16)=$Z31,INDIRECT("'SpxSp (step-b)'!$" &amp; 'SpxSp (step-b)'!$BC$23 &amp; DH$16),"")</f>
        <v/>
      </c>
      <c r="DI31" s="1317" t="str">
        <f ca="1">IF(INDIRECT("'SpxSp (step-b)'!$B" &amp; DI$16)=$Z31,INDIRECT("'SpxSp (step-b)'!$" &amp; 'SpxSp (step-b)'!$BC$23 &amp; DI$16),"")</f>
        <v/>
      </c>
      <c r="DJ31" s="1317" t="str">
        <f ca="1">IF(INDIRECT("'SpxSp (step-b)'!$B" &amp; DJ$16)=$Z31,INDIRECT("'SpxSp (step-b)'!$" &amp; 'SpxSp (step-b)'!$BC$23 &amp; DJ$16),"")</f>
        <v/>
      </c>
      <c r="DK31" s="1317" t="str">
        <f ca="1">IF(INDIRECT("'SpxSp (step-b)'!$B" &amp; DK$16)=$Z31,INDIRECT("'SpxSp (step-b)'!$" &amp; 'SpxSp (step-b)'!$BC$23 &amp; DK$16),"")</f>
        <v/>
      </c>
      <c r="DL31" s="1317" t="str">
        <f ca="1">IF(INDIRECT("'SpxSp (step-b)'!$B" &amp; DL$16)=$Z31,INDIRECT("'SpxSp (step-b)'!$" &amp; 'SpxSp (step-b)'!$BC$23 &amp; DL$16),"")</f>
        <v/>
      </c>
      <c r="DM31" s="1317" t="str">
        <f ca="1">IF(INDIRECT("'SpxSp (step-b)'!$B" &amp; DM$16)=$Z31,INDIRECT("'SpxSp (step-b)'!$" &amp; 'SpxSp (step-b)'!$BC$23 &amp; DM$16),"")</f>
        <v/>
      </c>
      <c r="DN31" s="1318" t="str">
        <f t="shared" ca="1" si="32"/>
        <v/>
      </c>
      <c r="DO31" s="1246" t="s">
        <v>1201</v>
      </c>
    </row>
    <row r="32" spans="2:119" ht="40" x14ac:dyDescent="0.2">
      <c r="B32" s="1450" t="str">
        <f t="shared" si="13"/>
        <v/>
      </c>
      <c r="C32" s="1451"/>
      <c r="D32" s="1451"/>
      <c r="E32" s="1451"/>
      <c r="F32" s="1452"/>
      <c r="G32" s="1319" t="str">
        <f t="shared" si="31"/>
        <v/>
      </c>
      <c r="H32" s="1320" t="str">
        <f t="shared" si="14"/>
        <v/>
      </c>
      <c r="I32" s="1321" t="str">
        <f t="shared" si="33"/>
        <v/>
      </c>
      <c r="J32" s="1296"/>
      <c r="K32" s="1322" t="str">
        <f>IFERROR(IF(OR(B32="",H32=0),"",VLOOKUP(B32,'SpxSp (step-c)'!B$18:O$67,6,FALSE)),"")</f>
        <v/>
      </c>
      <c r="L32" s="1323" t="str">
        <f ca="1">IFERROR(F(OR(B32="",H32=0),"",VLOOKUP($B32,'SpxSp (step-c)'!$B$18:O$67,12,FALSE)),"")</f>
        <v/>
      </c>
      <c r="M32" s="1321" t="str">
        <f ca="1">IF(AND(B32&lt;&gt;"",L32=""),"NA",IFERROR(VLOOKUP($B32,'SpxSp (step-c)'!$B$18:P$67,13,FALSE),""))</f>
        <v/>
      </c>
      <c r="N32" s="1324"/>
      <c r="O32" s="1322" t="str">
        <f>IFERROR(IF(OR(B32="",H32=0),"",VLOOKUP($B32,'SpxSp (step-d)'!$B$18:$P$67,12,FALSE)),"")</f>
        <v/>
      </c>
      <c r="P32" s="1323" t="str">
        <f>IFERROR(IF(OR(B32="",H32=0),"",VLOOKUP($B32,'SpxSp (step-d)'!$B$18:$P$67,13,FALSE)),"")</f>
        <v/>
      </c>
      <c r="Q32" s="1323" t="str">
        <f>IFERROR(IF(OR(B32="",H32=0),"",VLOOKUP($B32,'SpxSp (step-d)'!$B$18:$P$67,14,FALSE)),"")</f>
        <v/>
      </c>
      <c r="R32" s="1321" t="str">
        <f>IF(AND(B32&lt;&gt;"",P32=""),"NA",IFERROR(VLOOKUP(B32,'SpxSp (step-d)'!$B$18:$V$67,15,FALSE),""))</f>
        <v/>
      </c>
      <c r="S32" s="1296"/>
      <c r="T32" s="1325" t="str">
        <f t="shared" si="34"/>
        <v/>
      </c>
      <c r="U32" s="1326" t="str">
        <f t="shared" si="17"/>
        <v/>
      </c>
      <c r="Y32" s="1302">
        <v>15</v>
      </c>
      <c r="Z32" s="1303" t="str">
        <f>'SpxSp (step-a)'!B36</f>
        <v/>
      </c>
      <c r="AA32" s="1303" t="str">
        <f>'SpxSp (step-a)'!H36</f>
        <v/>
      </c>
      <c r="AB32" s="1290" t="str">
        <f>VLOOKUP($Z32,'SpxSp (step-a)'!$B$22:$O$71,AB$14,FALSE)</f>
        <v/>
      </c>
      <c r="AD32" s="1290" t="str">
        <f>IF(Z32="","",IFERROR(VLOOKUP($Z32,'SpxSp (step-a)'!$B$22:$O$71,AD$14,FALSE),0))</f>
        <v/>
      </c>
      <c r="AE32" s="1290" t="str">
        <f>IF(Z32="","",IFERROR(VLOOKUP($Z32,'SpxSp (step-a)'!$B$22:$O$71,AE$14,FALSE),0))</f>
        <v/>
      </c>
      <c r="AG32" s="1290" t="str">
        <f t="shared" si="36"/>
        <v/>
      </c>
      <c r="AI32" s="1290" t="str">
        <f>IF($Z32="","",SUMIFS('SpxSp (step-b)'!L$26:L$75,'SpxSp (step-b)'!B$26:B$75,Z32,'SpxSp (step-b)'!N$26:N$75,"New"))</f>
        <v/>
      </c>
      <c r="AJ32" s="1290" t="str">
        <f>IF($Z32="","",SUMIFS('SpxSp (step-b)'!$L$26:$L$75,'SpxSp (step-b)'!$B$26:$B$75,$Z32,'SpxSp (step-b)'!N$26:N$75,""))</f>
        <v/>
      </c>
      <c r="AK32" s="1290" t="str">
        <f>IF($Z32="","",SUMIFS('SpxSp (step-b)'!$J$26:$J$75,'SpxSp (step-b)'!$B$26:$B$75,$Z32,'SpxSp (step-b)'!$N$26:$N$75,"New")+SUMIFS('SpxSp (step-b)'!$J$26:$J$75,'SpxSp (step-b)'!$B$26:$B$75,$Z32,'SpxSp (step-b)'!$N$26:$N$75,""))</f>
        <v/>
      </c>
      <c r="AL32" s="1290" t="str">
        <f>IF($Z32="","",SUMIFS('SpxSp (step-b)'!$L$26:$L$75,'SpxSp (step-b)'!$B$26:$B$75,$Z32,'SpxSp (step-b)'!$N$26:$N$75,"Existing Remains"))</f>
        <v/>
      </c>
      <c r="AM32" s="1290" t="str">
        <f>IF($Z32="","",SUMIFS('SpxSp (step-b)'!$L$26:$L$75,'SpxSp (step-b)'!$B$26:$B$75,$Z32,'SpxSp (step-b)'!$N$26:$N$75,"Existing Removed"))</f>
        <v/>
      </c>
      <c r="AN32" s="1290" t="str">
        <f>IF($Z32="","",SUMIFS('SpxSp (step-b)'!$J$26:$J$75,'SpxSp (step-b)'!$B$26:$B$75,$Z32,'SpxSp (step-b)'!$N$26:$N$75,"Existing Removed"))</f>
        <v/>
      </c>
      <c r="AO32" s="1290" t="str">
        <f t="shared" si="37"/>
        <v/>
      </c>
      <c r="AP32" s="1290" t="str">
        <f t="shared" si="18"/>
        <v/>
      </c>
      <c r="AQ32" s="1304"/>
      <c r="AR32" s="1305" t="str">
        <f t="shared" si="19"/>
        <v/>
      </c>
      <c r="AS32" s="1306" t="str">
        <f t="shared" si="20"/>
        <v/>
      </c>
      <c r="AT32" s="1307"/>
      <c r="AU32" s="1308" t="str">
        <f t="shared" si="21"/>
        <v/>
      </c>
      <c r="AV32" s="1309" t="str">
        <f t="shared" si="6"/>
        <v/>
      </c>
      <c r="AW32" s="1309" t="str">
        <f t="shared" si="22"/>
        <v/>
      </c>
      <c r="AX32" s="1310" t="str">
        <f t="shared" si="23"/>
        <v/>
      </c>
      <c r="AY32" s="1307"/>
      <c r="AZ32" s="1311" t="str">
        <f t="shared" si="24"/>
        <v/>
      </c>
      <c r="BA32" s="1309" t="str">
        <f t="shared" si="25"/>
        <v/>
      </c>
      <c r="BB32" s="1310" t="str">
        <f t="shared" si="26"/>
        <v/>
      </c>
      <c r="BC32" s="1312"/>
      <c r="BD32" s="1313" t="str">
        <f t="shared" si="35"/>
        <v/>
      </c>
      <c r="BE32" s="1290" t="str">
        <f t="shared" si="27"/>
        <v/>
      </c>
      <c r="BF32" s="1290" t="str">
        <f t="shared" si="28"/>
        <v/>
      </c>
      <c r="BH32" s="1315" t="str">
        <f t="shared" si="10"/>
        <v/>
      </c>
      <c r="BI32" s="1315"/>
      <c r="BJ32" s="1303" t="str">
        <f>IF(OR(BH32="Fail",BH32="Fail LPA",BH32=""),"",'SpxSp (step-a)'!CM36)</f>
        <v/>
      </c>
      <c r="BK32" s="1290">
        <f t="shared" si="30"/>
        <v>0</v>
      </c>
      <c r="BN32" s="178">
        <v>15</v>
      </c>
      <c r="BO32" s="1316" t="str">
        <f t="shared" ca="1" si="29"/>
        <v/>
      </c>
      <c r="BP32" s="1317" t="str">
        <f ca="1">IF(INDIRECT("'SpxSp (step-b)'!$B" &amp; BP$16)=$Z32,INDIRECT("'SpxSp (step-b)'!$" &amp; 'SpxSp (step-b)'!$BC$23 &amp; BP$16),"")</f>
        <v/>
      </c>
      <c r="BQ32" s="1317" t="str">
        <f ca="1">IF(INDIRECT("'SpxSp (step-b)'!$B" &amp; BQ$16)=$Z32,INDIRECT("'SpxSp (step-b)'!$" &amp; 'SpxSp (step-b)'!$BC$23 &amp; BQ$16),"")</f>
        <v/>
      </c>
      <c r="BR32" s="1317" t="str">
        <f ca="1">IF(INDIRECT("'SpxSp (step-b)'!$B" &amp; BR$16)=$Z32,INDIRECT("'SpxSp (step-b)'!$" &amp; 'SpxSp (step-b)'!$BC$23 &amp; BR$16),"")</f>
        <v/>
      </c>
      <c r="BS32" s="1317" t="str">
        <f ca="1">IF(INDIRECT("'SpxSp (step-b)'!$B" &amp; BS$16)=$Z32,INDIRECT("'SpxSp (step-b)'!$" &amp; 'SpxSp (step-b)'!$BC$23 &amp; BS$16),"")</f>
        <v/>
      </c>
      <c r="BT32" s="1317" t="str">
        <f ca="1">IF(INDIRECT("'SpxSp (step-b)'!$B" &amp; BT$16)=$Z32,INDIRECT("'SpxSp (step-b)'!$" &amp; 'SpxSp (step-b)'!$BC$23 &amp; BT$16),"")</f>
        <v/>
      </c>
      <c r="BU32" s="1317" t="str">
        <f ca="1">IF(INDIRECT("'SpxSp (step-b)'!$B" &amp; BU$16)=$Z32,INDIRECT("'SpxSp (step-b)'!$" &amp; 'SpxSp (step-b)'!$BC$23 &amp; BU$16),"")</f>
        <v/>
      </c>
      <c r="BV32" s="1317" t="str">
        <f ca="1">IF(INDIRECT("'SpxSp (step-b)'!$B" &amp; BV$16)=$Z32,INDIRECT("'SpxSp (step-b)'!$" &amp; 'SpxSp (step-b)'!$BC$23 &amp; BV$16),"")</f>
        <v/>
      </c>
      <c r="BW32" s="1317" t="str">
        <f ca="1">IF(INDIRECT("'SpxSp (step-b)'!$B" &amp; BW$16)=$Z32,INDIRECT("'SpxSp (step-b)'!$" &amp; 'SpxSp (step-b)'!$BC$23 &amp; BW$16),"")</f>
        <v/>
      </c>
      <c r="BX32" s="1317" t="str">
        <f ca="1">IF(INDIRECT("'SpxSp (step-b)'!$B" &amp; BX$16)=$Z32,INDIRECT("'SpxSp (step-b)'!$" &amp; 'SpxSp (step-b)'!$BC$23 &amp; BX$16),"")</f>
        <v/>
      </c>
      <c r="BY32" s="1317" t="str">
        <f ca="1">IF(INDIRECT("'SpxSp (step-b)'!$B" &amp; BY$16)=$Z32,INDIRECT("'SpxSp (step-b)'!$" &amp; 'SpxSp (step-b)'!$BC$23 &amp; BY$16),"")</f>
        <v/>
      </c>
      <c r="BZ32" s="1317" t="str">
        <f ca="1">IF(INDIRECT("'SpxSp (step-b)'!$B" &amp; BZ$16)=$Z32,INDIRECT("'SpxSp (step-b)'!$" &amp; 'SpxSp (step-b)'!$BC$23 &amp; BZ$16),"")</f>
        <v/>
      </c>
      <c r="CA32" s="1317" t="str">
        <f ca="1">IF(INDIRECT("'SpxSp (step-b)'!$B" &amp; CA$16)=$Z32,INDIRECT("'SpxSp (step-b)'!$" &amp; 'SpxSp (step-b)'!$BC$23 &amp; CA$16),"")</f>
        <v/>
      </c>
      <c r="CB32" s="1317" t="str">
        <f ca="1">IF(INDIRECT("'SpxSp (step-b)'!$B" &amp; CB$16)=$Z32,INDIRECT("'SpxSp (step-b)'!$" &amp; 'SpxSp (step-b)'!$BC$23 &amp; CB$16),"")</f>
        <v/>
      </c>
      <c r="CC32" s="1317" t="str">
        <f ca="1">IF(INDIRECT("'SpxSp (step-b)'!$B" &amp; CC$16)=$Z32,INDIRECT("'SpxSp (step-b)'!$" &amp; 'SpxSp (step-b)'!$BC$23 &amp; CC$16),"")</f>
        <v/>
      </c>
      <c r="CD32" s="1317" t="str">
        <f ca="1">IF(INDIRECT("'SpxSp (step-b)'!$B" &amp; CD$16)=$Z32,INDIRECT("'SpxSp (step-b)'!$" &amp; 'SpxSp (step-b)'!$BC$23 &amp; CD$16),"")</f>
        <v/>
      </c>
      <c r="CE32" s="1317" t="str">
        <f ca="1">IF(INDIRECT("'SpxSp (step-b)'!$B" &amp; CE$16)=$Z32,INDIRECT("'SpxSp (step-b)'!$" &amp; 'SpxSp (step-b)'!$BC$23 &amp; CE$16),"")</f>
        <v/>
      </c>
      <c r="CF32" s="1317" t="str">
        <f ca="1">IF(INDIRECT("'SpxSp (step-b)'!$B" &amp; CF$16)=$Z32,INDIRECT("'SpxSp (step-b)'!$" &amp; 'SpxSp (step-b)'!$BC$23 &amp; CF$16),"")</f>
        <v/>
      </c>
      <c r="CG32" s="1317" t="str">
        <f ca="1">IF(INDIRECT("'SpxSp (step-b)'!$B" &amp; CG$16)=$Z32,INDIRECT("'SpxSp (step-b)'!$" &amp; 'SpxSp (step-b)'!$BC$23 &amp; CG$16),"")</f>
        <v/>
      </c>
      <c r="CH32" s="1317" t="str">
        <f ca="1">IF(INDIRECT("'SpxSp (step-b)'!$B" &amp; CH$16)=$Z32,INDIRECT("'SpxSp (step-b)'!$" &amp; 'SpxSp (step-b)'!$BC$23 &amp; CH$16),"")</f>
        <v/>
      </c>
      <c r="CI32" s="1317" t="str">
        <f ca="1">IF(INDIRECT("'SpxSp (step-b)'!$B" &amp; CI$16)=$Z32,INDIRECT("'SpxSp (step-b)'!$" &amp; 'SpxSp (step-b)'!$BC$23 &amp; CI$16),"")</f>
        <v/>
      </c>
      <c r="CJ32" s="1317" t="str">
        <f ca="1">IF(INDIRECT("'SpxSp (step-b)'!$B" &amp; CJ$16)=$Z32,INDIRECT("'SpxSp (step-b)'!$" &amp; 'SpxSp (step-b)'!$BC$23 &amp; CJ$16),"")</f>
        <v/>
      </c>
      <c r="CK32" s="1317" t="str">
        <f ca="1">IF(INDIRECT("'SpxSp (step-b)'!$B" &amp; CK$16)=$Z32,INDIRECT("'SpxSp (step-b)'!$" &amp; 'SpxSp (step-b)'!$BC$23 &amp; CK$16),"")</f>
        <v/>
      </c>
      <c r="CL32" s="1317" t="str">
        <f ca="1">IF(INDIRECT("'SpxSp (step-b)'!$B" &amp; CL$16)=$Z32,INDIRECT("'SpxSp (step-b)'!$" &amp; 'SpxSp (step-b)'!$BC$23 &amp; CL$16),"")</f>
        <v/>
      </c>
      <c r="CM32" s="1317" t="str">
        <f ca="1">IF(INDIRECT("'SpxSp (step-b)'!$B" &amp; CM$16)=$Z32,INDIRECT("'SpxSp (step-b)'!$" &amp; 'SpxSp (step-b)'!$BC$23 &amp; CM$16),"")</f>
        <v/>
      </c>
      <c r="CN32" s="1317" t="str">
        <f ca="1">IF(INDIRECT("'SpxSp (step-b)'!$B" &amp; CN$16)=$Z32,INDIRECT("'SpxSp (step-b)'!$" &amp; 'SpxSp (step-b)'!$BC$23 &amp; CN$16),"")</f>
        <v/>
      </c>
      <c r="CO32" s="1317" t="str">
        <f ca="1">IF(INDIRECT("'SpxSp (step-b)'!$B" &amp; CO$16)=$Z32,INDIRECT("'SpxSp (step-b)'!$" &amp; 'SpxSp (step-b)'!$BC$23 &amp; CO$16),"")</f>
        <v/>
      </c>
      <c r="CP32" s="1317" t="str">
        <f ca="1">IF(INDIRECT("'SpxSp (step-b)'!$B" &amp; CP$16)=$Z32,INDIRECT("'SpxSp (step-b)'!$" &amp; 'SpxSp (step-b)'!$BC$23 &amp; CP$16),"")</f>
        <v/>
      </c>
      <c r="CQ32" s="1317" t="str">
        <f ca="1">IF(INDIRECT("'SpxSp (step-b)'!$B" &amp; CQ$16)=$Z32,INDIRECT("'SpxSp (step-b)'!$" &amp; 'SpxSp (step-b)'!$BC$23 &amp; CQ$16),"")</f>
        <v/>
      </c>
      <c r="CR32" s="1317" t="str">
        <f ca="1">IF(INDIRECT("'SpxSp (step-b)'!$B" &amp; CR$16)=$Z32,INDIRECT("'SpxSp (step-b)'!$" &amp; 'SpxSp (step-b)'!$BC$23 &amp; CR$16),"")</f>
        <v/>
      </c>
      <c r="CS32" s="1317" t="str">
        <f ca="1">IF(INDIRECT("'SpxSp (step-b)'!$B" &amp; CS$16)=$Z32,INDIRECT("'SpxSp (step-b)'!$" &amp; 'SpxSp (step-b)'!$BC$23 &amp; CS$16),"")</f>
        <v/>
      </c>
      <c r="CT32" s="1317" t="str">
        <f ca="1">IF(INDIRECT("'SpxSp (step-b)'!$B" &amp; CT$16)=$Z32,INDIRECT("'SpxSp (step-b)'!$" &amp; 'SpxSp (step-b)'!$BC$23 &amp; CT$16),"")</f>
        <v/>
      </c>
      <c r="CU32" s="1317" t="str">
        <f ca="1">IF(INDIRECT("'SpxSp (step-b)'!$B" &amp; CU$16)=$Z32,INDIRECT("'SpxSp (step-b)'!$" &amp; 'SpxSp (step-b)'!$BC$23 &amp; CU$16),"")</f>
        <v/>
      </c>
      <c r="CV32" s="1317" t="str">
        <f ca="1">IF(INDIRECT("'SpxSp (step-b)'!$B" &amp; CV$16)=$Z32,INDIRECT("'SpxSp (step-b)'!$" &amp; 'SpxSp (step-b)'!$BC$23 &amp; CV$16),"")</f>
        <v/>
      </c>
      <c r="CW32" s="1317" t="str">
        <f ca="1">IF(INDIRECT("'SpxSp (step-b)'!$B" &amp; CW$16)=$Z32,INDIRECT("'SpxSp (step-b)'!$" &amp; 'SpxSp (step-b)'!$BC$23 &amp; CW$16),"")</f>
        <v/>
      </c>
      <c r="CX32" s="1317" t="str">
        <f ca="1">IF(INDIRECT("'SpxSp (step-b)'!$B" &amp; CX$16)=$Z32,INDIRECT("'SpxSp (step-b)'!$" &amp; 'SpxSp (step-b)'!$BC$23 &amp; CX$16),"")</f>
        <v/>
      </c>
      <c r="CY32" s="1317" t="str">
        <f ca="1">IF(INDIRECT("'SpxSp (step-b)'!$B" &amp; CY$16)=$Z32,INDIRECT("'SpxSp (step-b)'!$" &amp; 'SpxSp (step-b)'!$BC$23 &amp; CY$16),"")</f>
        <v/>
      </c>
      <c r="CZ32" s="1317" t="str">
        <f ca="1">IF(INDIRECT("'SpxSp (step-b)'!$B" &amp; CZ$16)=$Z32,INDIRECT("'SpxSp (step-b)'!$" &amp; 'SpxSp (step-b)'!$BC$23 &amp; CZ$16),"")</f>
        <v/>
      </c>
      <c r="DA32" s="1317" t="str">
        <f ca="1">IF(INDIRECT("'SpxSp (step-b)'!$B" &amp; DA$16)=$Z32,INDIRECT("'SpxSp (step-b)'!$" &amp; 'SpxSp (step-b)'!$BC$23 &amp; DA$16),"")</f>
        <v/>
      </c>
      <c r="DB32" s="1317" t="str">
        <f ca="1">IF(INDIRECT("'SpxSp (step-b)'!$B" &amp; DB$16)=$Z32,INDIRECT("'SpxSp (step-b)'!$" &amp; 'SpxSp (step-b)'!$BC$23 &amp; DB$16),"")</f>
        <v/>
      </c>
      <c r="DC32" s="1317" t="str">
        <f ca="1">IF(INDIRECT("'SpxSp (step-b)'!$B" &amp; DC$16)=$Z32,INDIRECT("'SpxSp (step-b)'!$" &amp; 'SpxSp (step-b)'!$BC$23 &amp; DC$16),"")</f>
        <v/>
      </c>
      <c r="DD32" s="1317" t="str">
        <f ca="1">IF(INDIRECT("'SpxSp (step-b)'!$B" &amp; DD$16)=$Z32,INDIRECT("'SpxSp (step-b)'!$" &amp; 'SpxSp (step-b)'!$BC$23 &amp; DD$16),"")</f>
        <v/>
      </c>
      <c r="DE32" s="1317" t="str">
        <f ca="1">IF(INDIRECT("'SpxSp (step-b)'!$B" &amp; DE$16)=$Z32,INDIRECT("'SpxSp (step-b)'!$" &amp; 'SpxSp (step-b)'!$BC$23 &amp; DE$16),"")</f>
        <v/>
      </c>
      <c r="DF32" s="1317" t="str">
        <f ca="1">IF(INDIRECT("'SpxSp (step-b)'!$B" &amp; DF$16)=$Z32,INDIRECT("'SpxSp (step-b)'!$" &amp; 'SpxSp (step-b)'!$BC$23 &amp; DF$16),"")</f>
        <v/>
      </c>
      <c r="DG32" s="1317" t="str">
        <f ca="1">IF(INDIRECT("'SpxSp (step-b)'!$B" &amp; DG$16)=$Z32,INDIRECT("'SpxSp (step-b)'!$" &amp; 'SpxSp (step-b)'!$BC$23 &amp; DG$16),"")</f>
        <v/>
      </c>
      <c r="DH32" s="1317" t="str">
        <f ca="1">IF(INDIRECT("'SpxSp (step-b)'!$B" &amp; DH$16)=$Z32,INDIRECT("'SpxSp (step-b)'!$" &amp; 'SpxSp (step-b)'!$BC$23 &amp; DH$16),"")</f>
        <v/>
      </c>
      <c r="DI32" s="1317" t="str">
        <f ca="1">IF(INDIRECT("'SpxSp (step-b)'!$B" &amp; DI$16)=$Z32,INDIRECT("'SpxSp (step-b)'!$" &amp; 'SpxSp (step-b)'!$BC$23 &amp; DI$16),"")</f>
        <v/>
      </c>
      <c r="DJ32" s="1317" t="str">
        <f ca="1">IF(INDIRECT("'SpxSp (step-b)'!$B" &amp; DJ$16)=$Z32,INDIRECT("'SpxSp (step-b)'!$" &amp; 'SpxSp (step-b)'!$BC$23 &amp; DJ$16),"")</f>
        <v/>
      </c>
      <c r="DK32" s="1317" t="str">
        <f ca="1">IF(INDIRECT("'SpxSp (step-b)'!$B" &amp; DK$16)=$Z32,INDIRECT("'SpxSp (step-b)'!$" &amp; 'SpxSp (step-b)'!$BC$23 &amp; DK$16),"")</f>
        <v/>
      </c>
      <c r="DL32" s="1317" t="str">
        <f ca="1">IF(INDIRECT("'SpxSp (step-b)'!$B" &amp; DL$16)=$Z32,INDIRECT("'SpxSp (step-b)'!$" &amp; 'SpxSp (step-b)'!$BC$23 &amp; DL$16),"")</f>
        <v/>
      </c>
      <c r="DM32" s="1317" t="str">
        <f ca="1">IF(INDIRECT("'SpxSp (step-b)'!$B" &amp; DM$16)=$Z32,INDIRECT("'SpxSp (step-b)'!$" &amp; 'SpxSp (step-b)'!$BC$23 &amp; DM$16),"")</f>
        <v/>
      </c>
      <c r="DN32" s="1318" t="str">
        <f t="shared" ca="1" si="32"/>
        <v/>
      </c>
      <c r="DO32" s="1246" t="s">
        <v>1201</v>
      </c>
    </row>
    <row r="33" spans="2:119" ht="40" x14ac:dyDescent="0.2">
      <c r="B33" s="1450" t="str">
        <f t="shared" si="13"/>
        <v/>
      </c>
      <c r="C33" s="1451"/>
      <c r="D33" s="1451"/>
      <c r="E33" s="1451"/>
      <c r="F33" s="1452"/>
      <c r="G33" s="1319" t="str">
        <f t="shared" si="31"/>
        <v/>
      </c>
      <c r="H33" s="1320" t="str">
        <f t="shared" si="14"/>
        <v/>
      </c>
      <c r="I33" s="1321" t="str">
        <f t="shared" si="33"/>
        <v/>
      </c>
      <c r="J33" s="1296"/>
      <c r="K33" s="1322" t="str">
        <f>IFERROR(IF(OR(B33="",H33=0),"",VLOOKUP(B33,'SpxSp (step-c)'!B$18:O$67,6,FALSE)),"")</f>
        <v/>
      </c>
      <c r="L33" s="1323" t="str">
        <f ca="1">IFERROR(F(OR(B33="",H33=0),"",VLOOKUP($B33,'SpxSp (step-c)'!$B$18:O$67,12,FALSE)),"")</f>
        <v/>
      </c>
      <c r="M33" s="1321" t="str">
        <f ca="1">IF(AND(B33&lt;&gt;"",L33=""),"NA",IFERROR(VLOOKUP($B33,'SpxSp (step-c)'!$B$18:P$67,13,FALSE),""))</f>
        <v/>
      </c>
      <c r="N33" s="1324"/>
      <c r="O33" s="1322" t="str">
        <f>IFERROR(IF(OR(B33="",H33=0),"",VLOOKUP($B33,'SpxSp (step-d)'!$B$18:$P$67,12,FALSE)),"")</f>
        <v/>
      </c>
      <c r="P33" s="1323" t="str">
        <f>IFERROR(IF(OR(B33="",H33=0),"",VLOOKUP($B33,'SpxSp (step-d)'!$B$18:$P$67,13,FALSE)),"")</f>
        <v/>
      </c>
      <c r="Q33" s="1323" t="str">
        <f>IFERROR(IF(OR(B33="",H33=0),"",VLOOKUP($B33,'SpxSp (step-d)'!$B$18:$P$67,14,FALSE)),"")</f>
        <v/>
      </c>
      <c r="R33" s="1321" t="str">
        <f>IF(AND(B33&lt;&gt;"",P33=""),"NA",IFERROR(VLOOKUP(B33,'SpxSp (step-d)'!$B$18:$V$67,15,FALSE),""))</f>
        <v/>
      </c>
      <c r="S33" s="1296"/>
      <c r="T33" s="1325" t="str">
        <f t="shared" si="34"/>
        <v/>
      </c>
      <c r="U33" s="1326" t="str">
        <f t="shared" si="17"/>
        <v/>
      </c>
      <c r="Y33" s="1302">
        <v>16</v>
      </c>
      <c r="Z33" s="1303" t="str">
        <f>'SpxSp (step-a)'!B37</f>
        <v/>
      </c>
      <c r="AA33" s="1303" t="str">
        <f>'SpxSp (step-a)'!H37</f>
        <v/>
      </c>
      <c r="AB33" s="1290" t="str">
        <f>VLOOKUP($Z33,'SpxSp (step-a)'!$B$22:$O$71,AB$14,FALSE)</f>
        <v/>
      </c>
      <c r="AD33" s="1290" t="str">
        <f>IF(Z33="","",IFERROR(VLOOKUP($Z33,'SpxSp (step-a)'!$B$22:$O$71,AD$14,FALSE),0))</f>
        <v/>
      </c>
      <c r="AE33" s="1290" t="str">
        <f>IF(Z33="","",IFERROR(VLOOKUP($Z33,'SpxSp (step-a)'!$B$22:$O$71,AE$14,FALSE),0))</f>
        <v/>
      </c>
      <c r="AG33" s="1290" t="str">
        <f t="shared" si="36"/>
        <v/>
      </c>
      <c r="AI33" s="1290" t="str">
        <f>IF($Z33="","",SUMIFS('SpxSp (step-b)'!L$26:L$75,'SpxSp (step-b)'!B$26:B$75,Z33,'SpxSp (step-b)'!N$26:N$75,"New"))</f>
        <v/>
      </c>
      <c r="AJ33" s="1290" t="str">
        <f>IF($Z33="","",SUMIFS('SpxSp (step-b)'!$L$26:$L$75,'SpxSp (step-b)'!$B$26:$B$75,$Z33,'SpxSp (step-b)'!N$26:N$75,""))</f>
        <v/>
      </c>
      <c r="AK33" s="1290" t="str">
        <f>IF($Z33="","",SUMIFS('SpxSp (step-b)'!$J$26:$J$75,'SpxSp (step-b)'!$B$26:$B$75,$Z33,'SpxSp (step-b)'!$N$26:$N$75,"New")+SUMIFS('SpxSp (step-b)'!$J$26:$J$75,'SpxSp (step-b)'!$B$26:$B$75,$Z33,'SpxSp (step-b)'!$N$26:$N$75,""))</f>
        <v/>
      </c>
      <c r="AL33" s="1290" t="str">
        <f>IF($Z33="","",SUMIFS('SpxSp (step-b)'!$L$26:$L$75,'SpxSp (step-b)'!$B$26:$B$75,$Z33,'SpxSp (step-b)'!$N$26:$N$75,"Existing Remains"))</f>
        <v/>
      </c>
      <c r="AM33" s="1290" t="str">
        <f>IF($Z33="","",SUMIFS('SpxSp (step-b)'!$L$26:$L$75,'SpxSp (step-b)'!$B$26:$B$75,$Z33,'SpxSp (step-b)'!$N$26:$N$75,"Existing Removed"))</f>
        <v/>
      </c>
      <c r="AN33" s="1290" t="str">
        <f>IF($Z33="","",SUMIFS('SpxSp (step-b)'!$J$26:$J$75,'SpxSp (step-b)'!$B$26:$B$75,$Z33,'SpxSp (step-b)'!$N$26:$N$75,"Existing Removed"))</f>
        <v/>
      </c>
      <c r="AO33" s="1290" t="str">
        <f t="shared" si="37"/>
        <v/>
      </c>
      <c r="AP33" s="1290" t="str">
        <f t="shared" si="18"/>
        <v/>
      </c>
      <c r="AQ33" s="1304"/>
      <c r="AR33" s="1305" t="str">
        <f t="shared" si="19"/>
        <v/>
      </c>
      <c r="AS33" s="1306" t="str">
        <f t="shared" si="20"/>
        <v/>
      </c>
      <c r="AT33" s="1307"/>
      <c r="AU33" s="1308" t="str">
        <f t="shared" si="21"/>
        <v/>
      </c>
      <c r="AV33" s="1309" t="str">
        <f t="shared" si="6"/>
        <v/>
      </c>
      <c r="AW33" s="1309" t="str">
        <f t="shared" si="22"/>
        <v/>
      </c>
      <c r="AX33" s="1310" t="str">
        <f t="shared" si="23"/>
        <v/>
      </c>
      <c r="AY33" s="1307"/>
      <c r="AZ33" s="1311" t="str">
        <f t="shared" si="24"/>
        <v/>
      </c>
      <c r="BA33" s="1309" t="str">
        <f t="shared" si="25"/>
        <v/>
      </c>
      <c r="BB33" s="1310" t="str">
        <f t="shared" si="26"/>
        <v/>
      </c>
      <c r="BC33" s="1312"/>
      <c r="BD33" s="1313" t="str">
        <f t="shared" si="35"/>
        <v/>
      </c>
      <c r="BE33" s="1290" t="str">
        <f t="shared" si="27"/>
        <v/>
      </c>
      <c r="BF33" s="1290" t="str">
        <f t="shared" si="28"/>
        <v/>
      </c>
      <c r="BH33" s="1315" t="str">
        <f t="shared" si="10"/>
        <v/>
      </c>
      <c r="BI33" s="1315"/>
      <c r="BJ33" s="1303" t="str">
        <f>IF(OR(BH33="Fail",BH33="Fail LPA",BH33=""),"",'SpxSp (step-a)'!CM37)</f>
        <v/>
      </c>
      <c r="BK33" s="1290">
        <f t="shared" si="30"/>
        <v>0</v>
      </c>
      <c r="BN33" s="178">
        <v>16</v>
      </c>
      <c r="BO33" s="1316" t="str">
        <f t="shared" ca="1" si="29"/>
        <v/>
      </c>
      <c r="BP33" s="1317" t="str">
        <f ca="1">IF(INDIRECT("'SpxSp (step-b)'!$B" &amp; BP$16)=$Z33,INDIRECT("'SpxSp (step-b)'!$" &amp; 'SpxSp (step-b)'!$BC$23 &amp; BP$16),"")</f>
        <v/>
      </c>
      <c r="BQ33" s="1317" t="str">
        <f ca="1">IF(INDIRECT("'SpxSp (step-b)'!$B" &amp; BQ$16)=$Z33,INDIRECT("'SpxSp (step-b)'!$" &amp; 'SpxSp (step-b)'!$BC$23 &amp; BQ$16),"")</f>
        <v/>
      </c>
      <c r="BR33" s="1317" t="str">
        <f ca="1">IF(INDIRECT("'SpxSp (step-b)'!$B" &amp; BR$16)=$Z33,INDIRECT("'SpxSp (step-b)'!$" &amp; 'SpxSp (step-b)'!$BC$23 &amp; BR$16),"")</f>
        <v/>
      </c>
      <c r="BS33" s="1317" t="str">
        <f ca="1">IF(INDIRECT("'SpxSp (step-b)'!$B" &amp; BS$16)=$Z33,INDIRECT("'SpxSp (step-b)'!$" &amp; 'SpxSp (step-b)'!$BC$23 &amp; BS$16),"")</f>
        <v/>
      </c>
      <c r="BT33" s="1317" t="str">
        <f ca="1">IF(INDIRECT("'SpxSp (step-b)'!$B" &amp; BT$16)=$Z33,INDIRECT("'SpxSp (step-b)'!$" &amp; 'SpxSp (step-b)'!$BC$23 &amp; BT$16),"")</f>
        <v/>
      </c>
      <c r="BU33" s="1317" t="str">
        <f ca="1">IF(INDIRECT("'SpxSp (step-b)'!$B" &amp; BU$16)=$Z33,INDIRECT("'SpxSp (step-b)'!$" &amp; 'SpxSp (step-b)'!$BC$23 &amp; BU$16),"")</f>
        <v/>
      </c>
      <c r="BV33" s="1317" t="str">
        <f ca="1">IF(INDIRECT("'SpxSp (step-b)'!$B" &amp; BV$16)=$Z33,INDIRECT("'SpxSp (step-b)'!$" &amp; 'SpxSp (step-b)'!$BC$23 &amp; BV$16),"")</f>
        <v/>
      </c>
      <c r="BW33" s="1317" t="str">
        <f ca="1">IF(INDIRECT("'SpxSp (step-b)'!$B" &amp; BW$16)=$Z33,INDIRECT("'SpxSp (step-b)'!$" &amp; 'SpxSp (step-b)'!$BC$23 &amp; BW$16),"")</f>
        <v/>
      </c>
      <c r="BX33" s="1317" t="str">
        <f ca="1">IF(INDIRECT("'SpxSp (step-b)'!$B" &amp; BX$16)=$Z33,INDIRECT("'SpxSp (step-b)'!$" &amp; 'SpxSp (step-b)'!$BC$23 &amp; BX$16),"")</f>
        <v/>
      </c>
      <c r="BY33" s="1317" t="str">
        <f ca="1">IF(INDIRECT("'SpxSp (step-b)'!$B" &amp; BY$16)=$Z33,INDIRECT("'SpxSp (step-b)'!$" &amp; 'SpxSp (step-b)'!$BC$23 &amp; BY$16),"")</f>
        <v/>
      </c>
      <c r="BZ33" s="1317" t="str">
        <f ca="1">IF(INDIRECT("'SpxSp (step-b)'!$B" &amp; BZ$16)=$Z33,INDIRECT("'SpxSp (step-b)'!$" &amp; 'SpxSp (step-b)'!$BC$23 &amp; BZ$16),"")</f>
        <v/>
      </c>
      <c r="CA33" s="1317" t="str">
        <f ca="1">IF(INDIRECT("'SpxSp (step-b)'!$B" &amp; CA$16)=$Z33,INDIRECT("'SpxSp (step-b)'!$" &amp; 'SpxSp (step-b)'!$BC$23 &amp; CA$16),"")</f>
        <v/>
      </c>
      <c r="CB33" s="1317" t="str">
        <f ca="1">IF(INDIRECT("'SpxSp (step-b)'!$B" &amp; CB$16)=$Z33,INDIRECT("'SpxSp (step-b)'!$" &amp; 'SpxSp (step-b)'!$BC$23 &amp; CB$16),"")</f>
        <v/>
      </c>
      <c r="CC33" s="1317" t="str">
        <f ca="1">IF(INDIRECT("'SpxSp (step-b)'!$B" &amp; CC$16)=$Z33,INDIRECT("'SpxSp (step-b)'!$" &amp; 'SpxSp (step-b)'!$BC$23 &amp; CC$16),"")</f>
        <v/>
      </c>
      <c r="CD33" s="1317" t="str">
        <f ca="1">IF(INDIRECT("'SpxSp (step-b)'!$B" &amp; CD$16)=$Z33,INDIRECT("'SpxSp (step-b)'!$" &amp; 'SpxSp (step-b)'!$BC$23 &amp; CD$16),"")</f>
        <v/>
      </c>
      <c r="CE33" s="1317" t="str">
        <f ca="1">IF(INDIRECT("'SpxSp (step-b)'!$B" &amp; CE$16)=$Z33,INDIRECT("'SpxSp (step-b)'!$" &amp; 'SpxSp (step-b)'!$BC$23 &amp; CE$16),"")</f>
        <v/>
      </c>
      <c r="CF33" s="1317" t="str">
        <f ca="1">IF(INDIRECT("'SpxSp (step-b)'!$B" &amp; CF$16)=$Z33,INDIRECT("'SpxSp (step-b)'!$" &amp; 'SpxSp (step-b)'!$BC$23 &amp; CF$16),"")</f>
        <v/>
      </c>
      <c r="CG33" s="1317" t="str">
        <f ca="1">IF(INDIRECT("'SpxSp (step-b)'!$B" &amp; CG$16)=$Z33,INDIRECT("'SpxSp (step-b)'!$" &amp; 'SpxSp (step-b)'!$BC$23 &amp; CG$16),"")</f>
        <v/>
      </c>
      <c r="CH33" s="1317" t="str">
        <f ca="1">IF(INDIRECT("'SpxSp (step-b)'!$B" &amp; CH$16)=$Z33,INDIRECT("'SpxSp (step-b)'!$" &amp; 'SpxSp (step-b)'!$BC$23 &amp; CH$16),"")</f>
        <v/>
      </c>
      <c r="CI33" s="1317" t="str">
        <f ca="1">IF(INDIRECT("'SpxSp (step-b)'!$B" &amp; CI$16)=$Z33,INDIRECT("'SpxSp (step-b)'!$" &amp; 'SpxSp (step-b)'!$BC$23 &amp; CI$16),"")</f>
        <v/>
      </c>
      <c r="CJ33" s="1317" t="str">
        <f ca="1">IF(INDIRECT("'SpxSp (step-b)'!$B" &amp; CJ$16)=$Z33,INDIRECT("'SpxSp (step-b)'!$" &amp; 'SpxSp (step-b)'!$BC$23 &amp; CJ$16),"")</f>
        <v/>
      </c>
      <c r="CK33" s="1317" t="str">
        <f ca="1">IF(INDIRECT("'SpxSp (step-b)'!$B" &amp; CK$16)=$Z33,INDIRECT("'SpxSp (step-b)'!$" &amp; 'SpxSp (step-b)'!$BC$23 &amp; CK$16),"")</f>
        <v/>
      </c>
      <c r="CL33" s="1317" t="str">
        <f ca="1">IF(INDIRECT("'SpxSp (step-b)'!$B" &amp; CL$16)=$Z33,INDIRECT("'SpxSp (step-b)'!$" &amp; 'SpxSp (step-b)'!$BC$23 &amp; CL$16),"")</f>
        <v/>
      </c>
      <c r="CM33" s="1317" t="str">
        <f ca="1">IF(INDIRECT("'SpxSp (step-b)'!$B" &amp; CM$16)=$Z33,INDIRECT("'SpxSp (step-b)'!$" &amp; 'SpxSp (step-b)'!$BC$23 &amp; CM$16),"")</f>
        <v/>
      </c>
      <c r="CN33" s="1317" t="str">
        <f ca="1">IF(INDIRECT("'SpxSp (step-b)'!$B" &amp; CN$16)=$Z33,INDIRECT("'SpxSp (step-b)'!$" &amp; 'SpxSp (step-b)'!$BC$23 &amp; CN$16),"")</f>
        <v/>
      </c>
      <c r="CO33" s="1317" t="str">
        <f ca="1">IF(INDIRECT("'SpxSp (step-b)'!$B" &amp; CO$16)=$Z33,INDIRECT("'SpxSp (step-b)'!$" &amp; 'SpxSp (step-b)'!$BC$23 &amp; CO$16),"")</f>
        <v/>
      </c>
      <c r="CP33" s="1317" t="str">
        <f ca="1">IF(INDIRECT("'SpxSp (step-b)'!$B" &amp; CP$16)=$Z33,INDIRECT("'SpxSp (step-b)'!$" &amp; 'SpxSp (step-b)'!$BC$23 &amp; CP$16),"")</f>
        <v/>
      </c>
      <c r="CQ33" s="1317" t="str">
        <f ca="1">IF(INDIRECT("'SpxSp (step-b)'!$B" &amp; CQ$16)=$Z33,INDIRECT("'SpxSp (step-b)'!$" &amp; 'SpxSp (step-b)'!$BC$23 &amp; CQ$16),"")</f>
        <v/>
      </c>
      <c r="CR33" s="1317" t="str">
        <f ca="1">IF(INDIRECT("'SpxSp (step-b)'!$B" &amp; CR$16)=$Z33,INDIRECT("'SpxSp (step-b)'!$" &amp; 'SpxSp (step-b)'!$BC$23 &amp; CR$16),"")</f>
        <v/>
      </c>
      <c r="CS33" s="1317" t="str">
        <f ca="1">IF(INDIRECT("'SpxSp (step-b)'!$B" &amp; CS$16)=$Z33,INDIRECT("'SpxSp (step-b)'!$" &amp; 'SpxSp (step-b)'!$BC$23 &amp; CS$16),"")</f>
        <v/>
      </c>
      <c r="CT33" s="1317" t="str">
        <f ca="1">IF(INDIRECT("'SpxSp (step-b)'!$B" &amp; CT$16)=$Z33,INDIRECT("'SpxSp (step-b)'!$" &amp; 'SpxSp (step-b)'!$BC$23 &amp; CT$16),"")</f>
        <v/>
      </c>
      <c r="CU33" s="1317" t="str">
        <f ca="1">IF(INDIRECT("'SpxSp (step-b)'!$B" &amp; CU$16)=$Z33,INDIRECT("'SpxSp (step-b)'!$" &amp; 'SpxSp (step-b)'!$BC$23 &amp; CU$16),"")</f>
        <v/>
      </c>
      <c r="CV33" s="1317" t="str">
        <f ca="1">IF(INDIRECT("'SpxSp (step-b)'!$B" &amp; CV$16)=$Z33,INDIRECT("'SpxSp (step-b)'!$" &amp; 'SpxSp (step-b)'!$BC$23 &amp; CV$16),"")</f>
        <v/>
      </c>
      <c r="CW33" s="1317" t="str">
        <f ca="1">IF(INDIRECT("'SpxSp (step-b)'!$B" &amp; CW$16)=$Z33,INDIRECT("'SpxSp (step-b)'!$" &amp; 'SpxSp (step-b)'!$BC$23 &amp; CW$16),"")</f>
        <v/>
      </c>
      <c r="CX33" s="1317" t="str">
        <f ca="1">IF(INDIRECT("'SpxSp (step-b)'!$B" &amp; CX$16)=$Z33,INDIRECT("'SpxSp (step-b)'!$" &amp; 'SpxSp (step-b)'!$BC$23 &amp; CX$16),"")</f>
        <v/>
      </c>
      <c r="CY33" s="1317" t="str">
        <f ca="1">IF(INDIRECT("'SpxSp (step-b)'!$B" &amp; CY$16)=$Z33,INDIRECT("'SpxSp (step-b)'!$" &amp; 'SpxSp (step-b)'!$BC$23 &amp; CY$16),"")</f>
        <v/>
      </c>
      <c r="CZ33" s="1317" t="str">
        <f ca="1">IF(INDIRECT("'SpxSp (step-b)'!$B" &amp; CZ$16)=$Z33,INDIRECT("'SpxSp (step-b)'!$" &amp; 'SpxSp (step-b)'!$BC$23 &amp; CZ$16),"")</f>
        <v/>
      </c>
      <c r="DA33" s="1317" t="str">
        <f ca="1">IF(INDIRECT("'SpxSp (step-b)'!$B" &amp; DA$16)=$Z33,INDIRECT("'SpxSp (step-b)'!$" &amp; 'SpxSp (step-b)'!$BC$23 &amp; DA$16),"")</f>
        <v/>
      </c>
      <c r="DB33" s="1317" t="str">
        <f ca="1">IF(INDIRECT("'SpxSp (step-b)'!$B" &amp; DB$16)=$Z33,INDIRECT("'SpxSp (step-b)'!$" &amp; 'SpxSp (step-b)'!$BC$23 &amp; DB$16),"")</f>
        <v/>
      </c>
      <c r="DC33" s="1317" t="str">
        <f ca="1">IF(INDIRECT("'SpxSp (step-b)'!$B" &amp; DC$16)=$Z33,INDIRECT("'SpxSp (step-b)'!$" &amp; 'SpxSp (step-b)'!$BC$23 &amp; DC$16),"")</f>
        <v/>
      </c>
      <c r="DD33" s="1317" t="str">
        <f ca="1">IF(INDIRECT("'SpxSp (step-b)'!$B" &amp; DD$16)=$Z33,INDIRECT("'SpxSp (step-b)'!$" &amp; 'SpxSp (step-b)'!$BC$23 &amp; DD$16),"")</f>
        <v/>
      </c>
      <c r="DE33" s="1317" t="str">
        <f ca="1">IF(INDIRECT("'SpxSp (step-b)'!$B" &amp; DE$16)=$Z33,INDIRECT("'SpxSp (step-b)'!$" &amp; 'SpxSp (step-b)'!$BC$23 &amp; DE$16),"")</f>
        <v/>
      </c>
      <c r="DF33" s="1317" t="str">
        <f ca="1">IF(INDIRECT("'SpxSp (step-b)'!$B" &amp; DF$16)=$Z33,INDIRECT("'SpxSp (step-b)'!$" &amp; 'SpxSp (step-b)'!$BC$23 &amp; DF$16),"")</f>
        <v/>
      </c>
      <c r="DG33" s="1317" t="str">
        <f ca="1">IF(INDIRECT("'SpxSp (step-b)'!$B" &amp; DG$16)=$Z33,INDIRECT("'SpxSp (step-b)'!$" &amp; 'SpxSp (step-b)'!$BC$23 &amp; DG$16),"")</f>
        <v/>
      </c>
      <c r="DH33" s="1317" t="str">
        <f ca="1">IF(INDIRECT("'SpxSp (step-b)'!$B" &amp; DH$16)=$Z33,INDIRECT("'SpxSp (step-b)'!$" &amp; 'SpxSp (step-b)'!$BC$23 &amp; DH$16),"")</f>
        <v/>
      </c>
      <c r="DI33" s="1317" t="str">
        <f ca="1">IF(INDIRECT("'SpxSp (step-b)'!$B" &amp; DI$16)=$Z33,INDIRECT("'SpxSp (step-b)'!$" &amp; 'SpxSp (step-b)'!$BC$23 &amp; DI$16),"")</f>
        <v/>
      </c>
      <c r="DJ33" s="1317" t="str">
        <f ca="1">IF(INDIRECT("'SpxSp (step-b)'!$B" &amp; DJ$16)=$Z33,INDIRECT("'SpxSp (step-b)'!$" &amp; 'SpxSp (step-b)'!$BC$23 &amp; DJ$16),"")</f>
        <v/>
      </c>
      <c r="DK33" s="1317" t="str">
        <f ca="1">IF(INDIRECT("'SpxSp (step-b)'!$B" &amp; DK$16)=$Z33,INDIRECT("'SpxSp (step-b)'!$" &amp; 'SpxSp (step-b)'!$BC$23 &amp; DK$16),"")</f>
        <v/>
      </c>
      <c r="DL33" s="1317" t="str">
        <f ca="1">IF(INDIRECT("'SpxSp (step-b)'!$B" &amp; DL$16)=$Z33,INDIRECT("'SpxSp (step-b)'!$" &amp; 'SpxSp (step-b)'!$BC$23 &amp; DL$16),"")</f>
        <v/>
      </c>
      <c r="DM33" s="1317" t="str">
        <f ca="1">IF(INDIRECT("'SpxSp (step-b)'!$B" &amp; DM$16)=$Z33,INDIRECT("'SpxSp (step-b)'!$" &amp; 'SpxSp (step-b)'!$BC$23 &amp; DM$16),"")</f>
        <v/>
      </c>
      <c r="DN33" s="1318" t="str">
        <f t="shared" ca="1" si="32"/>
        <v/>
      </c>
      <c r="DO33" s="1246" t="s">
        <v>1201</v>
      </c>
    </row>
    <row r="34" spans="2:119" ht="40" x14ac:dyDescent="0.2">
      <c r="B34" s="1450" t="str">
        <f t="shared" si="13"/>
        <v/>
      </c>
      <c r="C34" s="1451"/>
      <c r="D34" s="1451"/>
      <c r="E34" s="1451"/>
      <c r="F34" s="1452"/>
      <c r="G34" s="1319" t="str">
        <f t="shared" si="31"/>
        <v/>
      </c>
      <c r="H34" s="1320" t="str">
        <f t="shared" si="14"/>
        <v/>
      </c>
      <c r="I34" s="1321" t="str">
        <f t="shared" si="33"/>
        <v/>
      </c>
      <c r="J34" s="1296"/>
      <c r="K34" s="1322" t="str">
        <f>IFERROR(IF(OR(B34="",H34=0),"",VLOOKUP(B34,'SpxSp (step-c)'!B$18:O$67,6,FALSE)),"")</f>
        <v/>
      </c>
      <c r="L34" s="1323" t="str">
        <f ca="1">IFERROR(F(OR(B34="",H34=0),"",VLOOKUP($B34,'SpxSp (step-c)'!$B$18:O$67,12,FALSE)),"")</f>
        <v/>
      </c>
      <c r="M34" s="1321" t="str">
        <f ca="1">IF(AND(B34&lt;&gt;"",L34=""),"NA",IFERROR(VLOOKUP($B34,'SpxSp (step-c)'!$B$18:P$67,13,FALSE),""))</f>
        <v/>
      </c>
      <c r="N34" s="1324"/>
      <c r="O34" s="1322" t="str">
        <f>IFERROR(IF(OR(B34="",H34=0),"",VLOOKUP($B34,'SpxSp (step-d)'!$B$18:$P$67,12,FALSE)),"")</f>
        <v/>
      </c>
      <c r="P34" s="1323" t="str">
        <f>IFERROR(IF(OR(B34="",H34=0),"",VLOOKUP($B34,'SpxSp (step-d)'!$B$18:$P$67,13,FALSE)),"")</f>
        <v/>
      </c>
      <c r="Q34" s="1323" t="str">
        <f>IFERROR(IF(OR(B34="",H34=0),"",VLOOKUP($B34,'SpxSp (step-d)'!$B$18:$P$67,14,FALSE)),"")</f>
        <v/>
      </c>
      <c r="R34" s="1321" t="str">
        <f>IF(AND(B34&lt;&gt;"",P34=""),"NA",IFERROR(VLOOKUP(B34,'SpxSp (step-d)'!$B$18:$V$67,15,FALSE),""))</f>
        <v/>
      </c>
      <c r="S34" s="1296"/>
      <c r="T34" s="1325" t="str">
        <f t="shared" si="34"/>
        <v/>
      </c>
      <c r="U34" s="1326" t="str">
        <f t="shared" si="17"/>
        <v/>
      </c>
      <c r="Y34" s="1302">
        <v>17</v>
      </c>
      <c r="Z34" s="1303" t="str">
        <f>'SpxSp (step-a)'!B38</f>
        <v/>
      </c>
      <c r="AA34" s="1303" t="str">
        <f>'SpxSp (step-a)'!H38</f>
        <v/>
      </c>
      <c r="AB34" s="1290" t="str">
        <f>VLOOKUP($Z34,'SpxSp (step-a)'!$B$22:$O$71,AB$14,FALSE)</f>
        <v/>
      </c>
      <c r="AD34" s="1290" t="str">
        <f>IF(Z34="","",IFERROR(VLOOKUP($Z34,'SpxSp (step-a)'!$B$22:$O$71,AD$14,FALSE),0))</f>
        <v/>
      </c>
      <c r="AE34" s="1290" t="str">
        <f>IF(Z34="","",IFERROR(VLOOKUP($Z34,'SpxSp (step-a)'!$B$22:$O$71,AE$14,FALSE),0))</f>
        <v/>
      </c>
      <c r="AG34" s="1290" t="str">
        <f t="shared" si="36"/>
        <v/>
      </c>
      <c r="AI34" s="1290" t="str">
        <f>IF($Z34="","",SUMIFS('SpxSp (step-b)'!L$26:L$75,'SpxSp (step-b)'!B$26:B$75,Z34,'SpxSp (step-b)'!N$26:N$75,"New"))</f>
        <v/>
      </c>
      <c r="AJ34" s="1290" t="str">
        <f>IF($Z34="","",SUMIFS('SpxSp (step-b)'!$L$26:$L$75,'SpxSp (step-b)'!$B$26:$B$75,$Z34,'SpxSp (step-b)'!N$26:N$75,""))</f>
        <v/>
      </c>
      <c r="AK34" s="1290" t="str">
        <f>IF($Z34="","",SUMIFS('SpxSp (step-b)'!$J$26:$J$75,'SpxSp (step-b)'!$B$26:$B$75,$Z34,'SpxSp (step-b)'!$N$26:$N$75,"New")+SUMIFS('SpxSp (step-b)'!$J$26:$J$75,'SpxSp (step-b)'!$B$26:$B$75,$Z34,'SpxSp (step-b)'!$N$26:$N$75,""))</f>
        <v/>
      </c>
      <c r="AL34" s="1290" t="str">
        <f>IF($Z34="","",SUMIFS('SpxSp (step-b)'!$L$26:$L$75,'SpxSp (step-b)'!$B$26:$B$75,$Z34,'SpxSp (step-b)'!$N$26:$N$75,"Existing Remains"))</f>
        <v/>
      </c>
      <c r="AM34" s="1290" t="str">
        <f>IF($Z34="","",SUMIFS('SpxSp (step-b)'!$L$26:$L$75,'SpxSp (step-b)'!$B$26:$B$75,$Z34,'SpxSp (step-b)'!$N$26:$N$75,"Existing Removed"))</f>
        <v/>
      </c>
      <c r="AN34" s="1290" t="str">
        <f>IF($Z34="","",SUMIFS('SpxSp (step-b)'!$J$26:$J$75,'SpxSp (step-b)'!$B$26:$B$75,$Z34,'SpxSp (step-b)'!$N$26:$N$75,"Existing Removed"))</f>
        <v/>
      </c>
      <c r="AO34" s="1290" t="str">
        <f t="shared" si="37"/>
        <v/>
      </c>
      <c r="AP34" s="1290" t="str">
        <f t="shared" si="18"/>
        <v/>
      </c>
      <c r="AQ34" s="1304"/>
      <c r="AR34" s="1305" t="str">
        <f t="shared" si="19"/>
        <v/>
      </c>
      <c r="AS34" s="1306" t="str">
        <f t="shared" si="20"/>
        <v/>
      </c>
      <c r="AT34" s="1307"/>
      <c r="AU34" s="1308" t="str">
        <f t="shared" si="21"/>
        <v/>
      </c>
      <c r="AV34" s="1309" t="str">
        <f t="shared" si="6"/>
        <v/>
      </c>
      <c r="AW34" s="1309" t="str">
        <f t="shared" si="22"/>
        <v/>
      </c>
      <c r="AX34" s="1310" t="str">
        <f t="shared" si="23"/>
        <v/>
      </c>
      <c r="AY34" s="1307"/>
      <c r="AZ34" s="1311" t="str">
        <f t="shared" si="24"/>
        <v/>
      </c>
      <c r="BA34" s="1309" t="str">
        <f t="shared" si="25"/>
        <v/>
      </c>
      <c r="BB34" s="1310" t="str">
        <f t="shared" si="26"/>
        <v/>
      </c>
      <c r="BC34" s="1312"/>
      <c r="BD34" s="1313" t="str">
        <f t="shared" si="35"/>
        <v/>
      </c>
      <c r="BE34" s="1290" t="str">
        <f t="shared" si="27"/>
        <v/>
      </c>
      <c r="BF34" s="1290" t="str">
        <f t="shared" si="28"/>
        <v/>
      </c>
      <c r="BH34" s="1315" t="str">
        <f t="shared" si="10"/>
        <v/>
      </c>
      <c r="BI34" s="1315"/>
      <c r="BJ34" s="1303" t="str">
        <f>IF(OR(BH34="Fail",BH34="Fail LPA",BH34=""),"",'SpxSp (step-a)'!CM38)</f>
        <v/>
      </c>
      <c r="BK34" s="1290">
        <f t="shared" si="30"/>
        <v>0</v>
      </c>
      <c r="BN34" s="178">
        <v>17</v>
      </c>
      <c r="BO34" s="1316" t="str">
        <f t="shared" ca="1" si="29"/>
        <v/>
      </c>
      <c r="BP34" s="1317" t="str">
        <f ca="1">IF(INDIRECT("'SpxSp (step-b)'!$B" &amp; BP$16)=$Z34,INDIRECT("'SpxSp (step-b)'!$" &amp; 'SpxSp (step-b)'!$BC$23 &amp; BP$16),"")</f>
        <v/>
      </c>
      <c r="BQ34" s="1317" t="str">
        <f ca="1">IF(INDIRECT("'SpxSp (step-b)'!$B" &amp; BQ$16)=$Z34,INDIRECT("'SpxSp (step-b)'!$" &amp; 'SpxSp (step-b)'!$BC$23 &amp; BQ$16),"")</f>
        <v/>
      </c>
      <c r="BR34" s="1317" t="str">
        <f ca="1">IF(INDIRECT("'SpxSp (step-b)'!$B" &amp; BR$16)=$Z34,INDIRECT("'SpxSp (step-b)'!$" &amp; 'SpxSp (step-b)'!$BC$23 &amp; BR$16),"")</f>
        <v/>
      </c>
      <c r="BS34" s="1317" t="str">
        <f ca="1">IF(INDIRECT("'SpxSp (step-b)'!$B" &amp; BS$16)=$Z34,INDIRECT("'SpxSp (step-b)'!$" &amp; 'SpxSp (step-b)'!$BC$23 &amp; BS$16),"")</f>
        <v/>
      </c>
      <c r="BT34" s="1317" t="str">
        <f ca="1">IF(INDIRECT("'SpxSp (step-b)'!$B" &amp; BT$16)=$Z34,INDIRECT("'SpxSp (step-b)'!$" &amp; 'SpxSp (step-b)'!$BC$23 &amp; BT$16),"")</f>
        <v/>
      </c>
      <c r="BU34" s="1317" t="str">
        <f ca="1">IF(INDIRECT("'SpxSp (step-b)'!$B" &amp; BU$16)=$Z34,INDIRECT("'SpxSp (step-b)'!$" &amp; 'SpxSp (step-b)'!$BC$23 &amp; BU$16),"")</f>
        <v/>
      </c>
      <c r="BV34" s="1317" t="str">
        <f ca="1">IF(INDIRECT("'SpxSp (step-b)'!$B" &amp; BV$16)=$Z34,INDIRECT("'SpxSp (step-b)'!$" &amp; 'SpxSp (step-b)'!$BC$23 &amp; BV$16),"")</f>
        <v/>
      </c>
      <c r="BW34" s="1317" t="str">
        <f ca="1">IF(INDIRECT("'SpxSp (step-b)'!$B" &amp; BW$16)=$Z34,INDIRECT("'SpxSp (step-b)'!$" &amp; 'SpxSp (step-b)'!$BC$23 &amp; BW$16),"")</f>
        <v/>
      </c>
      <c r="BX34" s="1317" t="str">
        <f ca="1">IF(INDIRECT("'SpxSp (step-b)'!$B" &amp; BX$16)=$Z34,INDIRECT("'SpxSp (step-b)'!$" &amp; 'SpxSp (step-b)'!$BC$23 &amp; BX$16),"")</f>
        <v/>
      </c>
      <c r="BY34" s="1317" t="str">
        <f ca="1">IF(INDIRECT("'SpxSp (step-b)'!$B" &amp; BY$16)=$Z34,INDIRECT("'SpxSp (step-b)'!$" &amp; 'SpxSp (step-b)'!$BC$23 &amp; BY$16),"")</f>
        <v/>
      </c>
      <c r="BZ34" s="1317" t="str">
        <f ca="1">IF(INDIRECT("'SpxSp (step-b)'!$B" &amp; BZ$16)=$Z34,INDIRECT("'SpxSp (step-b)'!$" &amp; 'SpxSp (step-b)'!$BC$23 &amp; BZ$16),"")</f>
        <v/>
      </c>
      <c r="CA34" s="1317" t="str">
        <f ca="1">IF(INDIRECT("'SpxSp (step-b)'!$B" &amp; CA$16)=$Z34,INDIRECT("'SpxSp (step-b)'!$" &amp; 'SpxSp (step-b)'!$BC$23 &amp; CA$16),"")</f>
        <v/>
      </c>
      <c r="CB34" s="1317" t="str">
        <f ca="1">IF(INDIRECT("'SpxSp (step-b)'!$B" &amp; CB$16)=$Z34,INDIRECT("'SpxSp (step-b)'!$" &amp; 'SpxSp (step-b)'!$BC$23 &amp; CB$16),"")</f>
        <v/>
      </c>
      <c r="CC34" s="1317" t="str">
        <f ca="1">IF(INDIRECT("'SpxSp (step-b)'!$B" &amp; CC$16)=$Z34,INDIRECT("'SpxSp (step-b)'!$" &amp; 'SpxSp (step-b)'!$BC$23 &amp; CC$16),"")</f>
        <v/>
      </c>
      <c r="CD34" s="1317" t="str">
        <f ca="1">IF(INDIRECT("'SpxSp (step-b)'!$B" &amp; CD$16)=$Z34,INDIRECT("'SpxSp (step-b)'!$" &amp; 'SpxSp (step-b)'!$BC$23 &amp; CD$16),"")</f>
        <v/>
      </c>
      <c r="CE34" s="1317" t="str">
        <f ca="1">IF(INDIRECT("'SpxSp (step-b)'!$B" &amp; CE$16)=$Z34,INDIRECT("'SpxSp (step-b)'!$" &amp; 'SpxSp (step-b)'!$BC$23 &amp; CE$16),"")</f>
        <v/>
      </c>
      <c r="CF34" s="1317" t="str">
        <f ca="1">IF(INDIRECT("'SpxSp (step-b)'!$B" &amp; CF$16)=$Z34,INDIRECT("'SpxSp (step-b)'!$" &amp; 'SpxSp (step-b)'!$BC$23 &amp; CF$16),"")</f>
        <v/>
      </c>
      <c r="CG34" s="1317" t="str">
        <f ca="1">IF(INDIRECT("'SpxSp (step-b)'!$B" &amp; CG$16)=$Z34,INDIRECT("'SpxSp (step-b)'!$" &amp; 'SpxSp (step-b)'!$BC$23 &amp; CG$16),"")</f>
        <v/>
      </c>
      <c r="CH34" s="1317" t="str">
        <f ca="1">IF(INDIRECT("'SpxSp (step-b)'!$B" &amp; CH$16)=$Z34,INDIRECT("'SpxSp (step-b)'!$" &amp; 'SpxSp (step-b)'!$BC$23 &amp; CH$16),"")</f>
        <v/>
      </c>
      <c r="CI34" s="1317" t="str">
        <f ca="1">IF(INDIRECT("'SpxSp (step-b)'!$B" &amp; CI$16)=$Z34,INDIRECT("'SpxSp (step-b)'!$" &amp; 'SpxSp (step-b)'!$BC$23 &amp; CI$16),"")</f>
        <v/>
      </c>
      <c r="CJ34" s="1317" t="str">
        <f ca="1">IF(INDIRECT("'SpxSp (step-b)'!$B" &amp; CJ$16)=$Z34,INDIRECT("'SpxSp (step-b)'!$" &amp; 'SpxSp (step-b)'!$BC$23 &amp; CJ$16),"")</f>
        <v/>
      </c>
      <c r="CK34" s="1317" t="str">
        <f ca="1">IF(INDIRECT("'SpxSp (step-b)'!$B" &amp; CK$16)=$Z34,INDIRECT("'SpxSp (step-b)'!$" &amp; 'SpxSp (step-b)'!$BC$23 &amp; CK$16),"")</f>
        <v/>
      </c>
      <c r="CL34" s="1317" t="str">
        <f ca="1">IF(INDIRECT("'SpxSp (step-b)'!$B" &amp; CL$16)=$Z34,INDIRECT("'SpxSp (step-b)'!$" &amp; 'SpxSp (step-b)'!$BC$23 &amp; CL$16),"")</f>
        <v/>
      </c>
      <c r="CM34" s="1317" t="str">
        <f ca="1">IF(INDIRECT("'SpxSp (step-b)'!$B" &amp; CM$16)=$Z34,INDIRECT("'SpxSp (step-b)'!$" &amp; 'SpxSp (step-b)'!$BC$23 &amp; CM$16),"")</f>
        <v/>
      </c>
      <c r="CN34" s="1317" t="str">
        <f ca="1">IF(INDIRECT("'SpxSp (step-b)'!$B" &amp; CN$16)=$Z34,INDIRECT("'SpxSp (step-b)'!$" &amp; 'SpxSp (step-b)'!$BC$23 &amp; CN$16),"")</f>
        <v/>
      </c>
      <c r="CO34" s="1317" t="str">
        <f ca="1">IF(INDIRECT("'SpxSp (step-b)'!$B" &amp; CO$16)=$Z34,INDIRECT("'SpxSp (step-b)'!$" &amp; 'SpxSp (step-b)'!$BC$23 &amp; CO$16),"")</f>
        <v/>
      </c>
      <c r="CP34" s="1317" t="str">
        <f ca="1">IF(INDIRECT("'SpxSp (step-b)'!$B" &amp; CP$16)=$Z34,INDIRECT("'SpxSp (step-b)'!$" &amp; 'SpxSp (step-b)'!$BC$23 &amp; CP$16),"")</f>
        <v/>
      </c>
      <c r="CQ34" s="1317" t="str">
        <f ca="1">IF(INDIRECT("'SpxSp (step-b)'!$B" &amp; CQ$16)=$Z34,INDIRECT("'SpxSp (step-b)'!$" &amp; 'SpxSp (step-b)'!$BC$23 &amp; CQ$16),"")</f>
        <v/>
      </c>
      <c r="CR34" s="1317" t="str">
        <f ca="1">IF(INDIRECT("'SpxSp (step-b)'!$B" &amp; CR$16)=$Z34,INDIRECT("'SpxSp (step-b)'!$" &amp; 'SpxSp (step-b)'!$BC$23 &amp; CR$16),"")</f>
        <v/>
      </c>
      <c r="CS34" s="1317" t="str">
        <f ca="1">IF(INDIRECT("'SpxSp (step-b)'!$B" &amp; CS$16)=$Z34,INDIRECT("'SpxSp (step-b)'!$" &amp; 'SpxSp (step-b)'!$BC$23 &amp; CS$16),"")</f>
        <v/>
      </c>
      <c r="CT34" s="1317" t="str">
        <f ca="1">IF(INDIRECT("'SpxSp (step-b)'!$B" &amp; CT$16)=$Z34,INDIRECT("'SpxSp (step-b)'!$" &amp; 'SpxSp (step-b)'!$BC$23 &amp; CT$16),"")</f>
        <v/>
      </c>
      <c r="CU34" s="1317" t="str">
        <f ca="1">IF(INDIRECT("'SpxSp (step-b)'!$B" &amp; CU$16)=$Z34,INDIRECT("'SpxSp (step-b)'!$" &amp; 'SpxSp (step-b)'!$BC$23 &amp; CU$16),"")</f>
        <v/>
      </c>
      <c r="CV34" s="1317" t="str">
        <f ca="1">IF(INDIRECT("'SpxSp (step-b)'!$B" &amp; CV$16)=$Z34,INDIRECT("'SpxSp (step-b)'!$" &amp; 'SpxSp (step-b)'!$BC$23 &amp; CV$16),"")</f>
        <v/>
      </c>
      <c r="CW34" s="1317" t="str">
        <f ca="1">IF(INDIRECT("'SpxSp (step-b)'!$B" &amp; CW$16)=$Z34,INDIRECT("'SpxSp (step-b)'!$" &amp; 'SpxSp (step-b)'!$BC$23 &amp; CW$16),"")</f>
        <v/>
      </c>
      <c r="CX34" s="1317" t="str">
        <f ca="1">IF(INDIRECT("'SpxSp (step-b)'!$B" &amp; CX$16)=$Z34,INDIRECT("'SpxSp (step-b)'!$" &amp; 'SpxSp (step-b)'!$BC$23 &amp; CX$16),"")</f>
        <v/>
      </c>
      <c r="CY34" s="1317" t="str">
        <f ca="1">IF(INDIRECT("'SpxSp (step-b)'!$B" &amp; CY$16)=$Z34,INDIRECT("'SpxSp (step-b)'!$" &amp; 'SpxSp (step-b)'!$BC$23 &amp; CY$16),"")</f>
        <v/>
      </c>
      <c r="CZ34" s="1317" t="str">
        <f ca="1">IF(INDIRECT("'SpxSp (step-b)'!$B" &amp; CZ$16)=$Z34,INDIRECT("'SpxSp (step-b)'!$" &amp; 'SpxSp (step-b)'!$BC$23 &amp; CZ$16),"")</f>
        <v/>
      </c>
      <c r="DA34" s="1317" t="str">
        <f ca="1">IF(INDIRECT("'SpxSp (step-b)'!$B" &amp; DA$16)=$Z34,INDIRECT("'SpxSp (step-b)'!$" &amp; 'SpxSp (step-b)'!$BC$23 &amp; DA$16),"")</f>
        <v/>
      </c>
      <c r="DB34" s="1317" t="str">
        <f ca="1">IF(INDIRECT("'SpxSp (step-b)'!$B" &amp; DB$16)=$Z34,INDIRECT("'SpxSp (step-b)'!$" &amp; 'SpxSp (step-b)'!$BC$23 &amp; DB$16),"")</f>
        <v/>
      </c>
      <c r="DC34" s="1317" t="str">
        <f ca="1">IF(INDIRECT("'SpxSp (step-b)'!$B" &amp; DC$16)=$Z34,INDIRECT("'SpxSp (step-b)'!$" &amp; 'SpxSp (step-b)'!$BC$23 &amp; DC$16),"")</f>
        <v/>
      </c>
      <c r="DD34" s="1317" t="str">
        <f ca="1">IF(INDIRECT("'SpxSp (step-b)'!$B" &amp; DD$16)=$Z34,INDIRECT("'SpxSp (step-b)'!$" &amp; 'SpxSp (step-b)'!$BC$23 &amp; DD$16),"")</f>
        <v/>
      </c>
      <c r="DE34" s="1317" t="str">
        <f ca="1">IF(INDIRECT("'SpxSp (step-b)'!$B" &amp; DE$16)=$Z34,INDIRECT("'SpxSp (step-b)'!$" &amp; 'SpxSp (step-b)'!$BC$23 &amp; DE$16),"")</f>
        <v/>
      </c>
      <c r="DF34" s="1317" t="str">
        <f ca="1">IF(INDIRECT("'SpxSp (step-b)'!$B" &amp; DF$16)=$Z34,INDIRECT("'SpxSp (step-b)'!$" &amp; 'SpxSp (step-b)'!$BC$23 &amp; DF$16),"")</f>
        <v/>
      </c>
      <c r="DG34" s="1317" t="str">
        <f ca="1">IF(INDIRECT("'SpxSp (step-b)'!$B" &amp; DG$16)=$Z34,INDIRECT("'SpxSp (step-b)'!$" &amp; 'SpxSp (step-b)'!$BC$23 &amp; DG$16),"")</f>
        <v/>
      </c>
      <c r="DH34" s="1317" t="str">
        <f ca="1">IF(INDIRECT("'SpxSp (step-b)'!$B" &amp; DH$16)=$Z34,INDIRECT("'SpxSp (step-b)'!$" &amp; 'SpxSp (step-b)'!$BC$23 &amp; DH$16),"")</f>
        <v/>
      </c>
      <c r="DI34" s="1317" t="str">
        <f ca="1">IF(INDIRECT("'SpxSp (step-b)'!$B" &amp; DI$16)=$Z34,INDIRECT("'SpxSp (step-b)'!$" &amp; 'SpxSp (step-b)'!$BC$23 &amp; DI$16),"")</f>
        <v/>
      </c>
      <c r="DJ34" s="1317" t="str">
        <f ca="1">IF(INDIRECT("'SpxSp (step-b)'!$B" &amp; DJ$16)=$Z34,INDIRECT("'SpxSp (step-b)'!$" &amp; 'SpxSp (step-b)'!$BC$23 &amp; DJ$16),"")</f>
        <v/>
      </c>
      <c r="DK34" s="1317" t="str">
        <f ca="1">IF(INDIRECT("'SpxSp (step-b)'!$B" &amp; DK$16)=$Z34,INDIRECT("'SpxSp (step-b)'!$" &amp; 'SpxSp (step-b)'!$BC$23 &amp; DK$16),"")</f>
        <v/>
      </c>
      <c r="DL34" s="1317" t="str">
        <f ca="1">IF(INDIRECT("'SpxSp (step-b)'!$B" &amp; DL$16)=$Z34,INDIRECT("'SpxSp (step-b)'!$" &amp; 'SpxSp (step-b)'!$BC$23 &amp; DL$16),"")</f>
        <v/>
      </c>
      <c r="DM34" s="1317" t="str">
        <f ca="1">IF(INDIRECT("'SpxSp (step-b)'!$B" &amp; DM$16)=$Z34,INDIRECT("'SpxSp (step-b)'!$" &amp; 'SpxSp (step-b)'!$BC$23 &amp; DM$16),"")</f>
        <v/>
      </c>
      <c r="DN34" s="1318" t="str">
        <f t="shared" ca="1" si="32"/>
        <v/>
      </c>
      <c r="DO34" s="1246" t="s">
        <v>1201</v>
      </c>
    </row>
    <row r="35" spans="2:119" ht="40" x14ac:dyDescent="0.2">
      <c r="B35" s="1450" t="str">
        <f t="shared" si="13"/>
        <v/>
      </c>
      <c r="C35" s="1451"/>
      <c r="D35" s="1451"/>
      <c r="E35" s="1451"/>
      <c r="F35" s="1452"/>
      <c r="G35" s="1319" t="str">
        <f t="shared" si="31"/>
        <v/>
      </c>
      <c r="H35" s="1320" t="str">
        <f t="shared" si="14"/>
        <v/>
      </c>
      <c r="I35" s="1321" t="str">
        <f t="shared" si="33"/>
        <v/>
      </c>
      <c r="J35" s="1296"/>
      <c r="K35" s="1322" t="str">
        <f>IFERROR(IF(OR(B35="",H35=0),"",VLOOKUP(B35,'SpxSp (step-c)'!B$18:O$67,6,FALSE)),"")</f>
        <v/>
      </c>
      <c r="L35" s="1323" t="str">
        <f ca="1">IFERROR(F(OR(B35="",H35=0),"",VLOOKUP($B35,'SpxSp (step-c)'!$B$18:O$67,12,FALSE)),"")</f>
        <v/>
      </c>
      <c r="M35" s="1321" t="str">
        <f ca="1">IF(AND(B35&lt;&gt;"",L35=""),"NA",IFERROR(VLOOKUP($B35,'SpxSp (step-c)'!$B$18:P$67,13,FALSE),""))</f>
        <v/>
      </c>
      <c r="N35" s="1324"/>
      <c r="O35" s="1322" t="str">
        <f>IFERROR(IF(OR(B35="",H35=0),"",VLOOKUP($B35,'SpxSp (step-d)'!$B$18:$P$67,12,FALSE)),"")</f>
        <v/>
      </c>
      <c r="P35" s="1323" t="str">
        <f>IFERROR(IF(OR(B35="",H35=0),"",VLOOKUP($B35,'SpxSp (step-d)'!$B$18:$P$67,13,FALSE)),"")</f>
        <v/>
      </c>
      <c r="Q35" s="1323" t="str">
        <f>IFERROR(IF(OR(B35="",H35=0),"",VLOOKUP($B35,'SpxSp (step-d)'!$B$18:$P$67,14,FALSE)),"")</f>
        <v/>
      </c>
      <c r="R35" s="1321" t="str">
        <f>IF(AND(B35&lt;&gt;"",P35=""),"NA",IFERROR(VLOOKUP(B35,'SpxSp (step-d)'!$B$18:$V$67,15,FALSE),""))</f>
        <v/>
      </c>
      <c r="S35" s="1296"/>
      <c r="T35" s="1325" t="str">
        <f t="shared" si="34"/>
        <v/>
      </c>
      <c r="U35" s="1326" t="str">
        <f t="shared" si="17"/>
        <v/>
      </c>
      <c r="Y35" s="1302">
        <v>18</v>
      </c>
      <c r="Z35" s="1303" t="str">
        <f>'SpxSp (step-a)'!B39</f>
        <v/>
      </c>
      <c r="AA35" s="1303" t="str">
        <f>'SpxSp (step-a)'!H39</f>
        <v/>
      </c>
      <c r="AB35" s="1290" t="str">
        <f>VLOOKUP($Z35,'SpxSp (step-a)'!$B$22:$O$71,AB$14,FALSE)</f>
        <v/>
      </c>
      <c r="AD35" s="1290" t="str">
        <f>IF(Z35="","",IFERROR(VLOOKUP($Z35,'SpxSp (step-a)'!$B$22:$O$71,AD$14,FALSE),0))</f>
        <v/>
      </c>
      <c r="AE35" s="1290" t="str">
        <f>IF(Z35="","",IFERROR(VLOOKUP($Z35,'SpxSp (step-a)'!$B$22:$O$71,AE$14,FALSE),0))</f>
        <v/>
      </c>
      <c r="AG35" s="1290" t="str">
        <f t="shared" si="36"/>
        <v/>
      </c>
      <c r="AI35" s="1290" t="str">
        <f>IF($Z35="","",SUMIFS('SpxSp (step-b)'!L$26:L$75,'SpxSp (step-b)'!B$26:B$75,Z35,'SpxSp (step-b)'!N$26:N$75,"New"))</f>
        <v/>
      </c>
      <c r="AJ35" s="1290" t="str">
        <f>IF($Z35="","",SUMIFS('SpxSp (step-b)'!$L$26:$L$75,'SpxSp (step-b)'!$B$26:$B$75,$Z35,'SpxSp (step-b)'!N$26:N$75,""))</f>
        <v/>
      </c>
      <c r="AK35" s="1290" t="str">
        <f>IF($Z35="","",SUMIFS('SpxSp (step-b)'!$J$26:$J$75,'SpxSp (step-b)'!$B$26:$B$75,$Z35,'SpxSp (step-b)'!$N$26:$N$75,"New")+SUMIFS('SpxSp (step-b)'!$J$26:$J$75,'SpxSp (step-b)'!$B$26:$B$75,$Z35,'SpxSp (step-b)'!$N$26:$N$75,""))</f>
        <v/>
      </c>
      <c r="AL35" s="1290" t="str">
        <f>IF($Z35="","",SUMIFS('SpxSp (step-b)'!$L$26:$L$75,'SpxSp (step-b)'!$B$26:$B$75,$Z35,'SpxSp (step-b)'!$N$26:$N$75,"Existing Remains"))</f>
        <v/>
      </c>
      <c r="AM35" s="1290" t="str">
        <f>IF($Z35="","",SUMIFS('SpxSp (step-b)'!$L$26:$L$75,'SpxSp (step-b)'!$B$26:$B$75,$Z35,'SpxSp (step-b)'!$N$26:$N$75,"Existing Removed"))</f>
        <v/>
      </c>
      <c r="AN35" s="1290" t="str">
        <f>IF($Z35="","",SUMIFS('SpxSp (step-b)'!$J$26:$J$75,'SpxSp (step-b)'!$B$26:$B$75,$Z35,'SpxSp (step-b)'!$N$26:$N$75,"Existing Removed"))</f>
        <v/>
      </c>
      <c r="AO35" s="1290" t="str">
        <f t="shared" si="37"/>
        <v/>
      </c>
      <c r="AP35" s="1290" t="str">
        <f t="shared" si="18"/>
        <v/>
      </c>
      <c r="AQ35" s="1304"/>
      <c r="AR35" s="1305" t="str">
        <f t="shared" si="19"/>
        <v/>
      </c>
      <c r="AS35" s="1306" t="str">
        <f t="shared" si="20"/>
        <v/>
      </c>
      <c r="AT35" s="1307"/>
      <c r="AU35" s="1308" t="str">
        <f t="shared" si="21"/>
        <v/>
      </c>
      <c r="AV35" s="1309" t="str">
        <f t="shared" si="6"/>
        <v/>
      </c>
      <c r="AW35" s="1309" t="str">
        <f t="shared" si="22"/>
        <v/>
      </c>
      <c r="AX35" s="1310" t="str">
        <f t="shared" si="23"/>
        <v/>
      </c>
      <c r="AY35" s="1307"/>
      <c r="AZ35" s="1311" t="str">
        <f t="shared" si="24"/>
        <v/>
      </c>
      <c r="BA35" s="1309" t="str">
        <f t="shared" si="25"/>
        <v/>
      </c>
      <c r="BB35" s="1310" t="str">
        <f t="shared" si="26"/>
        <v/>
      </c>
      <c r="BC35" s="1312"/>
      <c r="BD35" s="1313" t="str">
        <f t="shared" si="35"/>
        <v/>
      </c>
      <c r="BE35" s="1290" t="str">
        <f t="shared" si="27"/>
        <v/>
      </c>
      <c r="BF35" s="1290" t="str">
        <f t="shared" si="28"/>
        <v/>
      </c>
      <c r="BH35" s="1315" t="str">
        <f t="shared" si="10"/>
        <v/>
      </c>
      <c r="BI35" s="1315"/>
      <c r="BJ35" s="1303" t="str">
        <f>IF(OR(BH35="Fail",BH35="Fail LPA",BH35=""),"",'SpxSp (step-a)'!CM39)</f>
        <v/>
      </c>
      <c r="BK35" s="1290">
        <f t="shared" si="30"/>
        <v>0</v>
      </c>
      <c r="BN35" s="178">
        <v>18</v>
      </c>
      <c r="BO35" s="1316" t="str">
        <f t="shared" ca="1" si="29"/>
        <v/>
      </c>
      <c r="BP35" s="1317" t="str">
        <f ca="1">IF(INDIRECT("'SpxSp (step-b)'!$B" &amp; BP$16)=$Z35,INDIRECT("'SpxSp (step-b)'!$" &amp; 'SpxSp (step-b)'!$BC$23 &amp; BP$16),"")</f>
        <v/>
      </c>
      <c r="BQ35" s="1317" t="str">
        <f ca="1">IF(INDIRECT("'SpxSp (step-b)'!$B" &amp; BQ$16)=$Z35,INDIRECT("'SpxSp (step-b)'!$" &amp; 'SpxSp (step-b)'!$BC$23 &amp; BQ$16),"")</f>
        <v/>
      </c>
      <c r="BR35" s="1317" t="str">
        <f ca="1">IF(INDIRECT("'SpxSp (step-b)'!$B" &amp; BR$16)=$Z35,INDIRECT("'SpxSp (step-b)'!$" &amp; 'SpxSp (step-b)'!$BC$23 &amp; BR$16),"")</f>
        <v/>
      </c>
      <c r="BS35" s="1317" t="str">
        <f ca="1">IF(INDIRECT("'SpxSp (step-b)'!$B" &amp; BS$16)=$Z35,INDIRECT("'SpxSp (step-b)'!$" &amp; 'SpxSp (step-b)'!$BC$23 &amp; BS$16),"")</f>
        <v/>
      </c>
      <c r="BT35" s="1317" t="str">
        <f ca="1">IF(INDIRECT("'SpxSp (step-b)'!$B" &amp; BT$16)=$Z35,INDIRECT("'SpxSp (step-b)'!$" &amp; 'SpxSp (step-b)'!$BC$23 &amp; BT$16),"")</f>
        <v/>
      </c>
      <c r="BU35" s="1317" t="str">
        <f ca="1">IF(INDIRECT("'SpxSp (step-b)'!$B" &amp; BU$16)=$Z35,INDIRECT("'SpxSp (step-b)'!$" &amp; 'SpxSp (step-b)'!$BC$23 &amp; BU$16),"")</f>
        <v/>
      </c>
      <c r="BV35" s="1317" t="str">
        <f ca="1">IF(INDIRECT("'SpxSp (step-b)'!$B" &amp; BV$16)=$Z35,INDIRECT("'SpxSp (step-b)'!$" &amp; 'SpxSp (step-b)'!$BC$23 &amp; BV$16),"")</f>
        <v/>
      </c>
      <c r="BW35" s="1317" t="str">
        <f ca="1">IF(INDIRECT("'SpxSp (step-b)'!$B" &amp; BW$16)=$Z35,INDIRECT("'SpxSp (step-b)'!$" &amp; 'SpxSp (step-b)'!$BC$23 &amp; BW$16),"")</f>
        <v/>
      </c>
      <c r="BX35" s="1317" t="str">
        <f ca="1">IF(INDIRECT("'SpxSp (step-b)'!$B" &amp; BX$16)=$Z35,INDIRECT("'SpxSp (step-b)'!$" &amp; 'SpxSp (step-b)'!$BC$23 &amp; BX$16),"")</f>
        <v/>
      </c>
      <c r="BY35" s="1317" t="str">
        <f ca="1">IF(INDIRECT("'SpxSp (step-b)'!$B" &amp; BY$16)=$Z35,INDIRECT("'SpxSp (step-b)'!$" &amp; 'SpxSp (step-b)'!$BC$23 &amp; BY$16),"")</f>
        <v/>
      </c>
      <c r="BZ35" s="1317" t="str">
        <f ca="1">IF(INDIRECT("'SpxSp (step-b)'!$B" &amp; BZ$16)=$Z35,INDIRECT("'SpxSp (step-b)'!$" &amp; 'SpxSp (step-b)'!$BC$23 &amp; BZ$16),"")</f>
        <v/>
      </c>
      <c r="CA35" s="1317" t="str">
        <f ca="1">IF(INDIRECT("'SpxSp (step-b)'!$B" &amp; CA$16)=$Z35,INDIRECT("'SpxSp (step-b)'!$" &amp; 'SpxSp (step-b)'!$BC$23 &amp; CA$16),"")</f>
        <v/>
      </c>
      <c r="CB35" s="1317" t="str">
        <f ca="1">IF(INDIRECT("'SpxSp (step-b)'!$B" &amp; CB$16)=$Z35,INDIRECT("'SpxSp (step-b)'!$" &amp; 'SpxSp (step-b)'!$BC$23 &amp; CB$16),"")</f>
        <v/>
      </c>
      <c r="CC35" s="1317" t="str">
        <f ca="1">IF(INDIRECT("'SpxSp (step-b)'!$B" &amp; CC$16)=$Z35,INDIRECT("'SpxSp (step-b)'!$" &amp; 'SpxSp (step-b)'!$BC$23 &amp; CC$16),"")</f>
        <v/>
      </c>
      <c r="CD35" s="1317" t="str">
        <f ca="1">IF(INDIRECT("'SpxSp (step-b)'!$B" &amp; CD$16)=$Z35,INDIRECT("'SpxSp (step-b)'!$" &amp; 'SpxSp (step-b)'!$BC$23 &amp; CD$16),"")</f>
        <v/>
      </c>
      <c r="CE35" s="1317" t="str">
        <f ca="1">IF(INDIRECT("'SpxSp (step-b)'!$B" &amp; CE$16)=$Z35,INDIRECT("'SpxSp (step-b)'!$" &amp; 'SpxSp (step-b)'!$BC$23 &amp; CE$16),"")</f>
        <v/>
      </c>
      <c r="CF35" s="1317" t="str">
        <f ca="1">IF(INDIRECT("'SpxSp (step-b)'!$B" &amp; CF$16)=$Z35,INDIRECT("'SpxSp (step-b)'!$" &amp; 'SpxSp (step-b)'!$BC$23 &amp; CF$16),"")</f>
        <v/>
      </c>
      <c r="CG35" s="1317" t="str">
        <f ca="1">IF(INDIRECT("'SpxSp (step-b)'!$B" &amp; CG$16)=$Z35,INDIRECT("'SpxSp (step-b)'!$" &amp; 'SpxSp (step-b)'!$BC$23 &amp; CG$16),"")</f>
        <v/>
      </c>
      <c r="CH35" s="1317" t="str">
        <f ca="1">IF(INDIRECT("'SpxSp (step-b)'!$B" &amp; CH$16)=$Z35,INDIRECT("'SpxSp (step-b)'!$" &amp; 'SpxSp (step-b)'!$BC$23 &amp; CH$16),"")</f>
        <v/>
      </c>
      <c r="CI35" s="1317" t="str">
        <f ca="1">IF(INDIRECT("'SpxSp (step-b)'!$B" &amp; CI$16)=$Z35,INDIRECT("'SpxSp (step-b)'!$" &amp; 'SpxSp (step-b)'!$BC$23 &amp; CI$16),"")</f>
        <v/>
      </c>
      <c r="CJ35" s="1317" t="str">
        <f ca="1">IF(INDIRECT("'SpxSp (step-b)'!$B" &amp; CJ$16)=$Z35,INDIRECT("'SpxSp (step-b)'!$" &amp; 'SpxSp (step-b)'!$BC$23 &amp; CJ$16),"")</f>
        <v/>
      </c>
      <c r="CK35" s="1317" t="str">
        <f ca="1">IF(INDIRECT("'SpxSp (step-b)'!$B" &amp; CK$16)=$Z35,INDIRECT("'SpxSp (step-b)'!$" &amp; 'SpxSp (step-b)'!$BC$23 &amp; CK$16),"")</f>
        <v/>
      </c>
      <c r="CL35" s="1317" t="str">
        <f ca="1">IF(INDIRECT("'SpxSp (step-b)'!$B" &amp; CL$16)=$Z35,INDIRECT("'SpxSp (step-b)'!$" &amp; 'SpxSp (step-b)'!$BC$23 &amp; CL$16),"")</f>
        <v/>
      </c>
      <c r="CM35" s="1317" t="str">
        <f ca="1">IF(INDIRECT("'SpxSp (step-b)'!$B" &amp; CM$16)=$Z35,INDIRECT("'SpxSp (step-b)'!$" &amp; 'SpxSp (step-b)'!$BC$23 &amp; CM$16),"")</f>
        <v/>
      </c>
      <c r="CN35" s="1317" t="str">
        <f ca="1">IF(INDIRECT("'SpxSp (step-b)'!$B" &amp; CN$16)=$Z35,INDIRECT("'SpxSp (step-b)'!$" &amp; 'SpxSp (step-b)'!$BC$23 &amp; CN$16),"")</f>
        <v/>
      </c>
      <c r="CO35" s="1317" t="str">
        <f ca="1">IF(INDIRECT("'SpxSp (step-b)'!$B" &amp; CO$16)=$Z35,INDIRECT("'SpxSp (step-b)'!$" &amp; 'SpxSp (step-b)'!$BC$23 &amp; CO$16),"")</f>
        <v/>
      </c>
      <c r="CP35" s="1317" t="str">
        <f ca="1">IF(INDIRECT("'SpxSp (step-b)'!$B" &amp; CP$16)=$Z35,INDIRECT("'SpxSp (step-b)'!$" &amp; 'SpxSp (step-b)'!$BC$23 &amp; CP$16),"")</f>
        <v/>
      </c>
      <c r="CQ35" s="1317" t="str">
        <f ca="1">IF(INDIRECT("'SpxSp (step-b)'!$B" &amp; CQ$16)=$Z35,INDIRECT("'SpxSp (step-b)'!$" &amp; 'SpxSp (step-b)'!$BC$23 &amp; CQ$16),"")</f>
        <v/>
      </c>
      <c r="CR35" s="1317" t="str">
        <f ca="1">IF(INDIRECT("'SpxSp (step-b)'!$B" &amp; CR$16)=$Z35,INDIRECT("'SpxSp (step-b)'!$" &amp; 'SpxSp (step-b)'!$BC$23 &amp; CR$16),"")</f>
        <v/>
      </c>
      <c r="CS35" s="1317" t="str">
        <f ca="1">IF(INDIRECT("'SpxSp (step-b)'!$B" &amp; CS$16)=$Z35,INDIRECT("'SpxSp (step-b)'!$" &amp; 'SpxSp (step-b)'!$BC$23 &amp; CS$16),"")</f>
        <v/>
      </c>
      <c r="CT35" s="1317" t="str">
        <f ca="1">IF(INDIRECT("'SpxSp (step-b)'!$B" &amp; CT$16)=$Z35,INDIRECT("'SpxSp (step-b)'!$" &amp; 'SpxSp (step-b)'!$BC$23 &amp; CT$16),"")</f>
        <v/>
      </c>
      <c r="CU35" s="1317" t="str">
        <f ca="1">IF(INDIRECT("'SpxSp (step-b)'!$B" &amp; CU$16)=$Z35,INDIRECT("'SpxSp (step-b)'!$" &amp; 'SpxSp (step-b)'!$BC$23 &amp; CU$16),"")</f>
        <v/>
      </c>
      <c r="CV35" s="1317" t="str">
        <f ca="1">IF(INDIRECT("'SpxSp (step-b)'!$B" &amp; CV$16)=$Z35,INDIRECT("'SpxSp (step-b)'!$" &amp; 'SpxSp (step-b)'!$BC$23 &amp; CV$16),"")</f>
        <v/>
      </c>
      <c r="CW35" s="1317" t="str">
        <f ca="1">IF(INDIRECT("'SpxSp (step-b)'!$B" &amp; CW$16)=$Z35,INDIRECT("'SpxSp (step-b)'!$" &amp; 'SpxSp (step-b)'!$BC$23 &amp; CW$16),"")</f>
        <v/>
      </c>
      <c r="CX35" s="1317" t="str">
        <f ca="1">IF(INDIRECT("'SpxSp (step-b)'!$B" &amp; CX$16)=$Z35,INDIRECT("'SpxSp (step-b)'!$" &amp; 'SpxSp (step-b)'!$BC$23 &amp; CX$16),"")</f>
        <v/>
      </c>
      <c r="CY35" s="1317" t="str">
        <f ca="1">IF(INDIRECT("'SpxSp (step-b)'!$B" &amp; CY$16)=$Z35,INDIRECT("'SpxSp (step-b)'!$" &amp; 'SpxSp (step-b)'!$BC$23 &amp; CY$16),"")</f>
        <v/>
      </c>
      <c r="CZ35" s="1317" t="str">
        <f ca="1">IF(INDIRECT("'SpxSp (step-b)'!$B" &amp; CZ$16)=$Z35,INDIRECT("'SpxSp (step-b)'!$" &amp; 'SpxSp (step-b)'!$BC$23 &amp; CZ$16),"")</f>
        <v/>
      </c>
      <c r="DA35" s="1317" t="str">
        <f ca="1">IF(INDIRECT("'SpxSp (step-b)'!$B" &amp; DA$16)=$Z35,INDIRECT("'SpxSp (step-b)'!$" &amp; 'SpxSp (step-b)'!$BC$23 &amp; DA$16),"")</f>
        <v/>
      </c>
      <c r="DB35" s="1317" t="str">
        <f ca="1">IF(INDIRECT("'SpxSp (step-b)'!$B" &amp; DB$16)=$Z35,INDIRECT("'SpxSp (step-b)'!$" &amp; 'SpxSp (step-b)'!$BC$23 &amp; DB$16),"")</f>
        <v/>
      </c>
      <c r="DC35" s="1317" t="str">
        <f ca="1">IF(INDIRECT("'SpxSp (step-b)'!$B" &amp; DC$16)=$Z35,INDIRECT("'SpxSp (step-b)'!$" &amp; 'SpxSp (step-b)'!$BC$23 &amp; DC$16),"")</f>
        <v/>
      </c>
      <c r="DD35" s="1317" t="str">
        <f ca="1">IF(INDIRECT("'SpxSp (step-b)'!$B" &amp; DD$16)=$Z35,INDIRECT("'SpxSp (step-b)'!$" &amp; 'SpxSp (step-b)'!$BC$23 &amp; DD$16),"")</f>
        <v/>
      </c>
      <c r="DE35" s="1317" t="str">
        <f ca="1">IF(INDIRECT("'SpxSp (step-b)'!$B" &amp; DE$16)=$Z35,INDIRECT("'SpxSp (step-b)'!$" &amp; 'SpxSp (step-b)'!$BC$23 &amp; DE$16),"")</f>
        <v/>
      </c>
      <c r="DF35" s="1317" t="str">
        <f ca="1">IF(INDIRECT("'SpxSp (step-b)'!$B" &amp; DF$16)=$Z35,INDIRECT("'SpxSp (step-b)'!$" &amp; 'SpxSp (step-b)'!$BC$23 &amp; DF$16),"")</f>
        <v/>
      </c>
      <c r="DG35" s="1317" t="str">
        <f ca="1">IF(INDIRECT("'SpxSp (step-b)'!$B" &amp; DG$16)=$Z35,INDIRECT("'SpxSp (step-b)'!$" &amp; 'SpxSp (step-b)'!$BC$23 &amp; DG$16),"")</f>
        <v/>
      </c>
      <c r="DH35" s="1317" t="str">
        <f ca="1">IF(INDIRECT("'SpxSp (step-b)'!$B" &amp; DH$16)=$Z35,INDIRECT("'SpxSp (step-b)'!$" &amp; 'SpxSp (step-b)'!$BC$23 &amp; DH$16),"")</f>
        <v/>
      </c>
      <c r="DI35" s="1317" t="str">
        <f ca="1">IF(INDIRECT("'SpxSp (step-b)'!$B" &amp; DI$16)=$Z35,INDIRECT("'SpxSp (step-b)'!$" &amp; 'SpxSp (step-b)'!$BC$23 &amp; DI$16),"")</f>
        <v/>
      </c>
      <c r="DJ35" s="1317" t="str">
        <f ca="1">IF(INDIRECT("'SpxSp (step-b)'!$B" &amp; DJ$16)=$Z35,INDIRECT("'SpxSp (step-b)'!$" &amp; 'SpxSp (step-b)'!$BC$23 &amp; DJ$16),"")</f>
        <v/>
      </c>
      <c r="DK35" s="1317" t="str">
        <f ca="1">IF(INDIRECT("'SpxSp (step-b)'!$B" &amp; DK$16)=$Z35,INDIRECT("'SpxSp (step-b)'!$" &amp; 'SpxSp (step-b)'!$BC$23 &amp; DK$16),"")</f>
        <v/>
      </c>
      <c r="DL35" s="1317" t="str">
        <f ca="1">IF(INDIRECT("'SpxSp (step-b)'!$B" &amp; DL$16)=$Z35,INDIRECT("'SpxSp (step-b)'!$" &amp; 'SpxSp (step-b)'!$BC$23 &amp; DL$16),"")</f>
        <v/>
      </c>
      <c r="DM35" s="1317" t="str">
        <f ca="1">IF(INDIRECT("'SpxSp (step-b)'!$B" &amp; DM$16)=$Z35,INDIRECT("'SpxSp (step-b)'!$" &amp; 'SpxSp (step-b)'!$BC$23 &amp; DM$16),"")</f>
        <v/>
      </c>
      <c r="DN35" s="1318" t="str">
        <f t="shared" ca="1" si="32"/>
        <v/>
      </c>
      <c r="DO35" s="1246" t="s">
        <v>1201</v>
      </c>
    </row>
    <row r="36" spans="2:119" ht="40" x14ac:dyDescent="0.2">
      <c r="B36" s="1450" t="str">
        <f t="shared" si="13"/>
        <v/>
      </c>
      <c r="C36" s="1451"/>
      <c r="D36" s="1451"/>
      <c r="E36" s="1451"/>
      <c r="F36" s="1452"/>
      <c r="G36" s="1319" t="str">
        <f t="shared" si="31"/>
        <v/>
      </c>
      <c r="H36" s="1320" t="str">
        <f t="shared" si="14"/>
        <v/>
      </c>
      <c r="I36" s="1321" t="str">
        <f t="shared" si="33"/>
        <v/>
      </c>
      <c r="J36" s="1296"/>
      <c r="K36" s="1322" t="str">
        <f>IFERROR(IF(OR(B36="",H36=0),"",VLOOKUP(B36,'SpxSp (step-c)'!B$18:O$67,6,FALSE)),"")</f>
        <v/>
      </c>
      <c r="L36" s="1323" t="str">
        <f ca="1">IFERROR(F(OR(B36="",H36=0),"",VLOOKUP($B36,'SpxSp (step-c)'!$B$18:O$67,12,FALSE)),"")</f>
        <v/>
      </c>
      <c r="M36" s="1321" t="str">
        <f ca="1">IF(AND(B36&lt;&gt;"",L36=""),"NA",IFERROR(VLOOKUP($B36,'SpxSp (step-c)'!$B$18:P$67,13,FALSE),""))</f>
        <v/>
      </c>
      <c r="N36" s="1324"/>
      <c r="O36" s="1322" t="str">
        <f>IFERROR(IF(OR(B36="",H36=0),"",VLOOKUP($B36,'SpxSp (step-d)'!$B$18:$P$67,12,FALSE)),"")</f>
        <v/>
      </c>
      <c r="P36" s="1323" t="str">
        <f>IFERROR(IF(OR(B36="",H36=0),"",VLOOKUP($B36,'SpxSp (step-d)'!$B$18:$P$67,13,FALSE)),"")</f>
        <v/>
      </c>
      <c r="Q36" s="1323" t="str">
        <f>IFERROR(IF(OR(B36="",H36=0),"",VLOOKUP($B36,'SpxSp (step-d)'!$B$18:$P$67,14,FALSE)),"")</f>
        <v/>
      </c>
      <c r="R36" s="1321" t="str">
        <f>IF(AND(B36&lt;&gt;"",P36=""),"NA",IFERROR(VLOOKUP(B36,'SpxSp (step-d)'!$B$18:$V$67,15,FALSE),""))</f>
        <v/>
      </c>
      <c r="S36" s="1296"/>
      <c r="T36" s="1325" t="str">
        <f t="shared" si="34"/>
        <v/>
      </c>
      <c r="U36" s="1326" t="str">
        <f t="shared" si="17"/>
        <v/>
      </c>
      <c r="Y36" s="1302">
        <v>19</v>
      </c>
      <c r="Z36" s="1303" t="str">
        <f>'SpxSp (step-a)'!B40</f>
        <v/>
      </c>
      <c r="AA36" s="1303" t="str">
        <f>'SpxSp (step-a)'!H40</f>
        <v/>
      </c>
      <c r="AB36" s="1290" t="str">
        <f>VLOOKUP($Z36,'SpxSp (step-a)'!$B$22:$O$71,AB$14,FALSE)</f>
        <v/>
      </c>
      <c r="AD36" s="1290" t="str">
        <f>IF(Z36="","",IFERROR(VLOOKUP($Z36,'SpxSp (step-a)'!$B$22:$O$71,AD$14,FALSE),0))</f>
        <v/>
      </c>
      <c r="AE36" s="1290" t="str">
        <f>IF(Z36="","",IFERROR(VLOOKUP($Z36,'SpxSp (step-a)'!$B$22:$O$71,AE$14,FALSE),0))</f>
        <v/>
      </c>
      <c r="AG36" s="1290" t="str">
        <f t="shared" si="36"/>
        <v/>
      </c>
      <c r="AI36" s="1290" t="str">
        <f>IF($Z36="","",SUMIFS('SpxSp (step-b)'!L$26:L$75,'SpxSp (step-b)'!B$26:B$75,Z36,'SpxSp (step-b)'!N$26:N$75,"New"))</f>
        <v/>
      </c>
      <c r="AJ36" s="1290" t="str">
        <f>IF($Z36="","",SUMIFS('SpxSp (step-b)'!$L$26:$L$75,'SpxSp (step-b)'!$B$26:$B$75,$Z36,'SpxSp (step-b)'!N$26:N$75,""))</f>
        <v/>
      </c>
      <c r="AK36" s="1290" t="str">
        <f>IF($Z36="","",SUMIFS('SpxSp (step-b)'!$J$26:$J$75,'SpxSp (step-b)'!$B$26:$B$75,$Z36,'SpxSp (step-b)'!$N$26:$N$75,"New")+SUMIFS('SpxSp (step-b)'!$J$26:$J$75,'SpxSp (step-b)'!$B$26:$B$75,$Z36,'SpxSp (step-b)'!$N$26:$N$75,""))</f>
        <v/>
      </c>
      <c r="AL36" s="1290" t="str">
        <f>IF($Z36="","",SUMIFS('SpxSp (step-b)'!$L$26:$L$75,'SpxSp (step-b)'!$B$26:$B$75,$Z36,'SpxSp (step-b)'!$N$26:$N$75,"Existing Remains"))</f>
        <v/>
      </c>
      <c r="AM36" s="1290" t="str">
        <f>IF($Z36="","",SUMIFS('SpxSp (step-b)'!$L$26:$L$75,'SpxSp (step-b)'!$B$26:$B$75,$Z36,'SpxSp (step-b)'!$N$26:$N$75,"Existing Removed"))</f>
        <v/>
      </c>
      <c r="AN36" s="1290" t="str">
        <f>IF($Z36="","",SUMIFS('SpxSp (step-b)'!$J$26:$J$75,'SpxSp (step-b)'!$B$26:$B$75,$Z36,'SpxSp (step-b)'!$N$26:$N$75,"Existing Removed"))</f>
        <v/>
      </c>
      <c r="AO36" s="1290" t="str">
        <f t="shared" si="37"/>
        <v/>
      </c>
      <c r="AP36" s="1290" t="str">
        <f t="shared" si="18"/>
        <v/>
      </c>
      <c r="AQ36" s="1304"/>
      <c r="AR36" s="1305" t="str">
        <f t="shared" si="19"/>
        <v/>
      </c>
      <c r="AS36" s="1306" t="str">
        <f t="shared" si="20"/>
        <v/>
      </c>
      <c r="AT36" s="1307"/>
      <c r="AU36" s="1308" t="str">
        <f t="shared" si="21"/>
        <v/>
      </c>
      <c r="AV36" s="1309" t="str">
        <f t="shared" si="6"/>
        <v/>
      </c>
      <c r="AW36" s="1309" t="str">
        <f t="shared" si="22"/>
        <v/>
      </c>
      <c r="AX36" s="1310" t="str">
        <f t="shared" si="23"/>
        <v/>
      </c>
      <c r="AY36" s="1307"/>
      <c r="AZ36" s="1311" t="str">
        <f t="shared" si="24"/>
        <v/>
      </c>
      <c r="BA36" s="1309" t="str">
        <f t="shared" si="25"/>
        <v/>
      </c>
      <c r="BB36" s="1310" t="str">
        <f t="shared" si="26"/>
        <v/>
      </c>
      <c r="BC36" s="1312"/>
      <c r="BD36" s="1313" t="str">
        <f t="shared" si="35"/>
        <v/>
      </c>
      <c r="BE36" s="1290" t="str">
        <f t="shared" si="27"/>
        <v/>
      </c>
      <c r="BF36" s="1290" t="str">
        <f t="shared" si="28"/>
        <v/>
      </c>
      <c r="BH36" s="1315" t="str">
        <f t="shared" si="10"/>
        <v/>
      </c>
      <c r="BI36" s="1315"/>
      <c r="BJ36" s="1303" t="str">
        <f>IF(OR(BH36="Fail",BH36="Fail LPA",BH36=""),"",'SpxSp (step-a)'!CM40)</f>
        <v/>
      </c>
      <c r="BK36" s="1290">
        <f t="shared" si="30"/>
        <v>0</v>
      </c>
      <c r="BN36" s="178">
        <v>19</v>
      </c>
      <c r="BO36" s="1316" t="str">
        <f t="shared" ca="1" si="29"/>
        <v/>
      </c>
      <c r="BP36" s="1317" t="str">
        <f ca="1">IF(INDIRECT("'SpxSp (step-b)'!$B" &amp; BP$16)=$Z36,INDIRECT("'SpxSp (step-b)'!$" &amp; 'SpxSp (step-b)'!$BC$23 &amp; BP$16),"")</f>
        <v/>
      </c>
      <c r="BQ36" s="1317" t="str">
        <f ca="1">IF(INDIRECT("'SpxSp (step-b)'!$B" &amp; BQ$16)=$Z36,INDIRECT("'SpxSp (step-b)'!$" &amp; 'SpxSp (step-b)'!$BC$23 &amp; BQ$16),"")</f>
        <v/>
      </c>
      <c r="BR36" s="1317" t="str">
        <f ca="1">IF(INDIRECT("'SpxSp (step-b)'!$B" &amp; BR$16)=$Z36,INDIRECT("'SpxSp (step-b)'!$" &amp; 'SpxSp (step-b)'!$BC$23 &amp; BR$16),"")</f>
        <v/>
      </c>
      <c r="BS36" s="1317" t="str">
        <f ca="1">IF(INDIRECT("'SpxSp (step-b)'!$B" &amp; BS$16)=$Z36,INDIRECT("'SpxSp (step-b)'!$" &amp; 'SpxSp (step-b)'!$BC$23 &amp; BS$16),"")</f>
        <v/>
      </c>
      <c r="BT36" s="1317" t="str">
        <f ca="1">IF(INDIRECT("'SpxSp (step-b)'!$B" &amp; BT$16)=$Z36,INDIRECT("'SpxSp (step-b)'!$" &amp; 'SpxSp (step-b)'!$BC$23 &amp; BT$16),"")</f>
        <v/>
      </c>
      <c r="BU36" s="1317" t="str">
        <f ca="1">IF(INDIRECT("'SpxSp (step-b)'!$B" &amp; BU$16)=$Z36,INDIRECT("'SpxSp (step-b)'!$" &amp; 'SpxSp (step-b)'!$BC$23 &amp; BU$16),"")</f>
        <v/>
      </c>
      <c r="BV36" s="1317" t="str">
        <f ca="1">IF(INDIRECT("'SpxSp (step-b)'!$B" &amp; BV$16)=$Z36,INDIRECT("'SpxSp (step-b)'!$" &amp; 'SpxSp (step-b)'!$BC$23 &amp; BV$16),"")</f>
        <v/>
      </c>
      <c r="BW36" s="1317" t="str">
        <f ca="1">IF(INDIRECT("'SpxSp (step-b)'!$B" &amp; BW$16)=$Z36,INDIRECT("'SpxSp (step-b)'!$" &amp; 'SpxSp (step-b)'!$BC$23 &amp; BW$16),"")</f>
        <v/>
      </c>
      <c r="BX36" s="1317" t="str">
        <f ca="1">IF(INDIRECT("'SpxSp (step-b)'!$B" &amp; BX$16)=$Z36,INDIRECT("'SpxSp (step-b)'!$" &amp; 'SpxSp (step-b)'!$BC$23 &amp; BX$16),"")</f>
        <v/>
      </c>
      <c r="BY36" s="1317" t="str">
        <f ca="1">IF(INDIRECT("'SpxSp (step-b)'!$B" &amp; BY$16)=$Z36,INDIRECT("'SpxSp (step-b)'!$" &amp; 'SpxSp (step-b)'!$BC$23 &amp; BY$16),"")</f>
        <v/>
      </c>
      <c r="BZ36" s="1317" t="str">
        <f ca="1">IF(INDIRECT("'SpxSp (step-b)'!$B" &amp; BZ$16)=$Z36,INDIRECT("'SpxSp (step-b)'!$" &amp; 'SpxSp (step-b)'!$BC$23 &amp; BZ$16),"")</f>
        <v/>
      </c>
      <c r="CA36" s="1317" t="str">
        <f ca="1">IF(INDIRECT("'SpxSp (step-b)'!$B" &amp; CA$16)=$Z36,INDIRECT("'SpxSp (step-b)'!$" &amp; 'SpxSp (step-b)'!$BC$23 &amp; CA$16),"")</f>
        <v/>
      </c>
      <c r="CB36" s="1317" t="str">
        <f ca="1">IF(INDIRECT("'SpxSp (step-b)'!$B" &amp; CB$16)=$Z36,INDIRECT("'SpxSp (step-b)'!$" &amp; 'SpxSp (step-b)'!$BC$23 &amp; CB$16),"")</f>
        <v/>
      </c>
      <c r="CC36" s="1317" t="str">
        <f ca="1">IF(INDIRECT("'SpxSp (step-b)'!$B" &amp; CC$16)=$Z36,INDIRECT("'SpxSp (step-b)'!$" &amp; 'SpxSp (step-b)'!$BC$23 &amp; CC$16),"")</f>
        <v/>
      </c>
      <c r="CD36" s="1317" t="str">
        <f ca="1">IF(INDIRECT("'SpxSp (step-b)'!$B" &amp; CD$16)=$Z36,INDIRECT("'SpxSp (step-b)'!$" &amp; 'SpxSp (step-b)'!$BC$23 &amp; CD$16),"")</f>
        <v/>
      </c>
      <c r="CE36" s="1317" t="str">
        <f ca="1">IF(INDIRECT("'SpxSp (step-b)'!$B" &amp; CE$16)=$Z36,INDIRECT("'SpxSp (step-b)'!$" &amp; 'SpxSp (step-b)'!$BC$23 &amp; CE$16),"")</f>
        <v/>
      </c>
      <c r="CF36" s="1317" t="str">
        <f ca="1">IF(INDIRECT("'SpxSp (step-b)'!$B" &amp; CF$16)=$Z36,INDIRECT("'SpxSp (step-b)'!$" &amp; 'SpxSp (step-b)'!$BC$23 &amp; CF$16),"")</f>
        <v/>
      </c>
      <c r="CG36" s="1317" t="str">
        <f ca="1">IF(INDIRECT("'SpxSp (step-b)'!$B" &amp; CG$16)=$Z36,INDIRECT("'SpxSp (step-b)'!$" &amp; 'SpxSp (step-b)'!$BC$23 &amp; CG$16),"")</f>
        <v/>
      </c>
      <c r="CH36" s="1317" t="str">
        <f ca="1">IF(INDIRECT("'SpxSp (step-b)'!$B" &amp; CH$16)=$Z36,INDIRECT("'SpxSp (step-b)'!$" &amp; 'SpxSp (step-b)'!$BC$23 &amp; CH$16),"")</f>
        <v/>
      </c>
      <c r="CI36" s="1317" t="str">
        <f ca="1">IF(INDIRECT("'SpxSp (step-b)'!$B" &amp; CI$16)=$Z36,INDIRECT("'SpxSp (step-b)'!$" &amp; 'SpxSp (step-b)'!$BC$23 &amp; CI$16),"")</f>
        <v/>
      </c>
      <c r="CJ36" s="1317" t="str">
        <f ca="1">IF(INDIRECT("'SpxSp (step-b)'!$B" &amp; CJ$16)=$Z36,INDIRECT("'SpxSp (step-b)'!$" &amp; 'SpxSp (step-b)'!$BC$23 &amp; CJ$16),"")</f>
        <v/>
      </c>
      <c r="CK36" s="1317" t="str">
        <f ca="1">IF(INDIRECT("'SpxSp (step-b)'!$B" &amp; CK$16)=$Z36,INDIRECT("'SpxSp (step-b)'!$" &amp; 'SpxSp (step-b)'!$BC$23 &amp; CK$16),"")</f>
        <v/>
      </c>
      <c r="CL36" s="1317" t="str">
        <f ca="1">IF(INDIRECT("'SpxSp (step-b)'!$B" &amp; CL$16)=$Z36,INDIRECT("'SpxSp (step-b)'!$" &amp; 'SpxSp (step-b)'!$BC$23 &amp; CL$16),"")</f>
        <v/>
      </c>
      <c r="CM36" s="1317" t="str">
        <f ca="1">IF(INDIRECT("'SpxSp (step-b)'!$B" &amp; CM$16)=$Z36,INDIRECT("'SpxSp (step-b)'!$" &amp; 'SpxSp (step-b)'!$BC$23 &amp; CM$16),"")</f>
        <v/>
      </c>
      <c r="CN36" s="1317" t="str">
        <f ca="1">IF(INDIRECT("'SpxSp (step-b)'!$B" &amp; CN$16)=$Z36,INDIRECT("'SpxSp (step-b)'!$" &amp; 'SpxSp (step-b)'!$BC$23 &amp; CN$16),"")</f>
        <v/>
      </c>
      <c r="CO36" s="1317" t="str">
        <f ca="1">IF(INDIRECT("'SpxSp (step-b)'!$B" &amp; CO$16)=$Z36,INDIRECT("'SpxSp (step-b)'!$" &amp; 'SpxSp (step-b)'!$BC$23 &amp; CO$16),"")</f>
        <v/>
      </c>
      <c r="CP36" s="1317" t="str">
        <f ca="1">IF(INDIRECT("'SpxSp (step-b)'!$B" &amp; CP$16)=$Z36,INDIRECT("'SpxSp (step-b)'!$" &amp; 'SpxSp (step-b)'!$BC$23 &amp; CP$16),"")</f>
        <v/>
      </c>
      <c r="CQ36" s="1317" t="str">
        <f ca="1">IF(INDIRECT("'SpxSp (step-b)'!$B" &amp; CQ$16)=$Z36,INDIRECT("'SpxSp (step-b)'!$" &amp; 'SpxSp (step-b)'!$BC$23 &amp; CQ$16),"")</f>
        <v/>
      </c>
      <c r="CR36" s="1317" t="str">
        <f ca="1">IF(INDIRECT("'SpxSp (step-b)'!$B" &amp; CR$16)=$Z36,INDIRECT("'SpxSp (step-b)'!$" &amp; 'SpxSp (step-b)'!$BC$23 &amp; CR$16),"")</f>
        <v/>
      </c>
      <c r="CS36" s="1317" t="str">
        <f ca="1">IF(INDIRECT("'SpxSp (step-b)'!$B" &amp; CS$16)=$Z36,INDIRECT("'SpxSp (step-b)'!$" &amp; 'SpxSp (step-b)'!$BC$23 &amp; CS$16),"")</f>
        <v/>
      </c>
      <c r="CT36" s="1317" t="str">
        <f ca="1">IF(INDIRECT("'SpxSp (step-b)'!$B" &amp; CT$16)=$Z36,INDIRECT("'SpxSp (step-b)'!$" &amp; 'SpxSp (step-b)'!$BC$23 &amp; CT$16),"")</f>
        <v/>
      </c>
      <c r="CU36" s="1317" t="str">
        <f ca="1">IF(INDIRECT("'SpxSp (step-b)'!$B" &amp; CU$16)=$Z36,INDIRECT("'SpxSp (step-b)'!$" &amp; 'SpxSp (step-b)'!$BC$23 &amp; CU$16),"")</f>
        <v/>
      </c>
      <c r="CV36" s="1317" t="str">
        <f ca="1">IF(INDIRECT("'SpxSp (step-b)'!$B" &amp; CV$16)=$Z36,INDIRECT("'SpxSp (step-b)'!$" &amp; 'SpxSp (step-b)'!$BC$23 &amp; CV$16),"")</f>
        <v/>
      </c>
      <c r="CW36" s="1317" t="str">
        <f ca="1">IF(INDIRECT("'SpxSp (step-b)'!$B" &amp; CW$16)=$Z36,INDIRECT("'SpxSp (step-b)'!$" &amp; 'SpxSp (step-b)'!$BC$23 &amp; CW$16),"")</f>
        <v/>
      </c>
      <c r="CX36" s="1317" t="str">
        <f ca="1">IF(INDIRECT("'SpxSp (step-b)'!$B" &amp; CX$16)=$Z36,INDIRECT("'SpxSp (step-b)'!$" &amp; 'SpxSp (step-b)'!$BC$23 &amp; CX$16),"")</f>
        <v/>
      </c>
      <c r="CY36" s="1317" t="str">
        <f ca="1">IF(INDIRECT("'SpxSp (step-b)'!$B" &amp; CY$16)=$Z36,INDIRECT("'SpxSp (step-b)'!$" &amp; 'SpxSp (step-b)'!$BC$23 &amp; CY$16),"")</f>
        <v/>
      </c>
      <c r="CZ36" s="1317" t="str">
        <f ca="1">IF(INDIRECT("'SpxSp (step-b)'!$B" &amp; CZ$16)=$Z36,INDIRECT("'SpxSp (step-b)'!$" &amp; 'SpxSp (step-b)'!$BC$23 &amp; CZ$16),"")</f>
        <v/>
      </c>
      <c r="DA36" s="1317" t="str">
        <f ca="1">IF(INDIRECT("'SpxSp (step-b)'!$B" &amp; DA$16)=$Z36,INDIRECT("'SpxSp (step-b)'!$" &amp; 'SpxSp (step-b)'!$BC$23 &amp; DA$16),"")</f>
        <v/>
      </c>
      <c r="DB36" s="1317" t="str">
        <f ca="1">IF(INDIRECT("'SpxSp (step-b)'!$B" &amp; DB$16)=$Z36,INDIRECT("'SpxSp (step-b)'!$" &amp; 'SpxSp (step-b)'!$BC$23 &amp; DB$16),"")</f>
        <v/>
      </c>
      <c r="DC36" s="1317" t="str">
        <f ca="1">IF(INDIRECT("'SpxSp (step-b)'!$B" &amp; DC$16)=$Z36,INDIRECT("'SpxSp (step-b)'!$" &amp; 'SpxSp (step-b)'!$BC$23 &amp; DC$16),"")</f>
        <v/>
      </c>
      <c r="DD36" s="1317" t="str">
        <f ca="1">IF(INDIRECT("'SpxSp (step-b)'!$B" &amp; DD$16)=$Z36,INDIRECT("'SpxSp (step-b)'!$" &amp; 'SpxSp (step-b)'!$BC$23 &amp; DD$16),"")</f>
        <v/>
      </c>
      <c r="DE36" s="1317" t="str">
        <f ca="1">IF(INDIRECT("'SpxSp (step-b)'!$B" &amp; DE$16)=$Z36,INDIRECT("'SpxSp (step-b)'!$" &amp; 'SpxSp (step-b)'!$BC$23 &amp; DE$16),"")</f>
        <v/>
      </c>
      <c r="DF36" s="1317" t="str">
        <f ca="1">IF(INDIRECT("'SpxSp (step-b)'!$B" &amp; DF$16)=$Z36,INDIRECT("'SpxSp (step-b)'!$" &amp; 'SpxSp (step-b)'!$BC$23 &amp; DF$16),"")</f>
        <v/>
      </c>
      <c r="DG36" s="1317" t="str">
        <f ca="1">IF(INDIRECT("'SpxSp (step-b)'!$B" &amp; DG$16)=$Z36,INDIRECT("'SpxSp (step-b)'!$" &amp; 'SpxSp (step-b)'!$BC$23 &amp; DG$16),"")</f>
        <v/>
      </c>
      <c r="DH36" s="1317" t="str">
        <f ca="1">IF(INDIRECT("'SpxSp (step-b)'!$B" &amp; DH$16)=$Z36,INDIRECT("'SpxSp (step-b)'!$" &amp; 'SpxSp (step-b)'!$BC$23 &amp; DH$16),"")</f>
        <v/>
      </c>
      <c r="DI36" s="1317" t="str">
        <f ca="1">IF(INDIRECT("'SpxSp (step-b)'!$B" &amp; DI$16)=$Z36,INDIRECT("'SpxSp (step-b)'!$" &amp; 'SpxSp (step-b)'!$BC$23 &amp; DI$16),"")</f>
        <v/>
      </c>
      <c r="DJ36" s="1317" t="str">
        <f ca="1">IF(INDIRECT("'SpxSp (step-b)'!$B" &amp; DJ$16)=$Z36,INDIRECT("'SpxSp (step-b)'!$" &amp; 'SpxSp (step-b)'!$BC$23 &amp; DJ$16),"")</f>
        <v/>
      </c>
      <c r="DK36" s="1317" t="str">
        <f ca="1">IF(INDIRECT("'SpxSp (step-b)'!$B" &amp; DK$16)=$Z36,INDIRECT("'SpxSp (step-b)'!$" &amp; 'SpxSp (step-b)'!$BC$23 &amp; DK$16),"")</f>
        <v/>
      </c>
      <c r="DL36" s="1317" t="str">
        <f ca="1">IF(INDIRECT("'SpxSp (step-b)'!$B" &amp; DL$16)=$Z36,INDIRECT("'SpxSp (step-b)'!$" &amp; 'SpxSp (step-b)'!$BC$23 &amp; DL$16),"")</f>
        <v/>
      </c>
      <c r="DM36" s="1317" t="str">
        <f ca="1">IF(INDIRECT("'SpxSp (step-b)'!$B" &amp; DM$16)=$Z36,INDIRECT("'SpxSp (step-b)'!$" &amp; 'SpxSp (step-b)'!$BC$23 &amp; DM$16),"")</f>
        <v/>
      </c>
      <c r="DN36" s="1318" t="str">
        <f t="shared" ca="1" si="32"/>
        <v/>
      </c>
      <c r="DO36" s="1246" t="s">
        <v>1201</v>
      </c>
    </row>
    <row r="37" spans="2:119" ht="40" x14ac:dyDescent="0.2">
      <c r="B37" s="1450" t="str">
        <f t="shared" si="13"/>
        <v/>
      </c>
      <c r="C37" s="1451"/>
      <c r="D37" s="1451"/>
      <c r="E37" s="1451"/>
      <c r="F37" s="1452"/>
      <c r="G37" s="1319" t="str">
        <f t="shared" si="31"/>
        <v/>
      </c>
      <c r="H37" s="1320" t="str">
        <f t="shared" si="14"/>
        <v/>
      </c>
      <c r="I37" s="1321" t="str">
        <f t="shared" si="33"/>
        <v/>
      </c>
      <c r="J37" s="1296"/>
      <c r="K37" s="1322" t="str">
        <f>IFERROR(IF(OR(B37="",H37=0),"",VLOOKUP(B37,'SpxSp (step-c)'!B$18:O$67,6,FALSE)),"")</f>
        <v/>
      </c>
      <c r="L37" s="1323" t="str">
        <f ca="1">IFERROR(F(OR(B37="",H37=0),"",VLOOKUP($B37,'SpxSp (step-c)'!$B$18:O$67,12,FALSE)),"")</f>
        <v/>
      </c>
      <c r="M37" s="1321" t="str">
        <f ca="1">IF(AND(B37&lt;&gt;"",L37=""),"NA",IFERROR(VLOOKUP($B37,'SpxSp (step-c)'!$B$18:P$67,13,FALSE),""))</f>
        <v/>
      </c>
      <c r="N37" s="1324"/>
      <c r="O37" s="1322" t="str">
        <f>IFERROR(IF(OR(B37="",H37=0),"",VLOOKUP($B37,'SpxSp (step-d)'!$B$18:$P$67,12,FALSE)),"")</f>
        <v/>
      </c>
      <c r="P37" s="1323" t="str">
        <f>IFERROR(IF(OR(B37="",H37=0),"",VLOOKUP($B37,'SpxSp (step-d)'!$B$18:$P$67,13,FALSE)),"")</f>
        <v/>
      </c>
      <c r="Q37" s="1323" t="str">
        <f>IFERROR(IF(OR(B37="",H37=0),"",VLOOKUP($B37,'SpxSp (step-d)'!$B$18:$P$67,14,FALSE)),"")</f>
        <v/>
      </c>
      <c r="R37" s="1321" t="str">
        <f>IF(AND(B37&lt;&gt;"",P37=""),"NA",IFERROR(VLOOKUP(B37,'SpxSp (step-d)'!$B$18:$V$67,15,FALSE),""))</f>
        <v/>
      </c>
      <c r="S37" s="1296"/>
      <c r="T37" s="1325" t="str">
        <f t="shared" si="34"/>
        <v/>
      </c>
      <c r="U37" s="1326" t="str">
        <f t="shared" si="17"/>
        <v/>
      </c>
      <c r="Y37" s="1302">
        <v>20</v>
      </c>
      <c r="Z37" s="1303" t="str">
        <f>'SpxSp (step-a)'!B41</f>
        <v/>
      </c>
      <c r="AA37" s="1303" t="str">
        <f>'SpxSp (step-a)'!H41</f>
        <v/>
      </c>
      <c r="AB37" s="1290" t="str">
        <f>VLOOKUP($Z37,'SpxSp (step-a)'!$B$22:$O$71,AB$14,FALSE)</f>
        <v/>
      </c>
      <c r="AD37" s="1290" t="str">
        <f>IF(Z37="","",IFERROR(VLOOKUP($Z37,'SpxSp (step-a)'!$B$22:$O$71,AD$14,FALSE),0))</f>
        <v/>
      </c>
      <c r="AE37" s="1290" t="str">
        <f>IF(Z37="","",IFERROR(VLOOKUP($Z37,'SpxSp (step-a)'!$B$22:$O$71,AE$14,FALSE),0))</f>
        <v/>
      </c>
      <c r="AG37" s="1290" t="str">
        <f t="shared" si="36"/>
        <v/>
      </c>
      <c r="AI37" s="1290" t="str">
        <f>IF($Z37="","",SUMIFS('SpxSp (step-b)'!L$26:L$75,'SpxSp (step-b)'!B$26:B$75,Z37,'SpxSp (step-b)'!N$26:N$75,"New"))</f>
        <v/>
      </c>
      <c r="AJ37" s="1290" t="str">
        <f>IF($Z37="","",SUMIFS('SpxSp (step-b)'!$L$26:$L$75,'SpxSp (step-b)'!$B$26:$B$75,$Z37,'SpxSp (step-b)'!N$26:N$75,""))</f>
        <v/>
      </c>
      <c r="AK37" s="1290" t="str">
        <f>IF($Z37="","",SUMIFS('SpxSp (step-b)'!$J$26:$J$75,'SpxSp (step-b)'!$B$26:$B$75,$Z37,'SpxSp (step-b)'!$N$26:$N$75,"New")+SUMIFS('SpxSp (step-b)'!$J$26:$J$75,'SpxSp (step-b)'!$B$26:$B$75,$Z37,'SpxSp (step-b)'!$N$26:$N$75,""))</f>
        <v/>
      </c>
      <c r="AL37" s="1290" t="str">
        <f>IF($Z37="","",SUMIFS('SpxSp (step-b)'!$L$26:$L$75,'SpxSp (step-b)'!$B$26:$B$75,$Z37,'SpxSp (step-b)'!$N$26:$N$75,"Existing Remains"))</f>
        <v/>
      </c>
      <c r="AM37" s="1290" t="str">
        <f>IF($Z37="","",SUMIFS('SpxSp (step-b)'!$L$26:$L$75,'SpxSp (step-b)'!$B$26:$B$75,$Z37,'SpxSp (step-b)'!$N$26:$N$75,"Existing Removed"))</f>
        <v/>
      </c>
      <c r="AN37" s="1290" t="str">
        <f>IF($Z37="","",SUMIFS('SpxSp (step-b)'!$J$26:$J$75,'SpxSp (step-b)'!$B$26:$B$75,$Z37,'SpxSp (step-b)'!$N$26:$N$75,"Existing Removed"))</f>
        <v/>
      </c>
      <c r="AO37" s="1290" t="str">
        <f t="shared" si="37"/>
        <v/>
      </c>
      <c r="AP37" s="1290" t="str">
        <f t="shared" si="18"/>
        <v/>
      </c>
      <c r="AQ37" s="1304"/>
      <c r="AR37" s="1305" t="str">
        <f t="shared" si="19"/>
        <v/>
      </c>
      <c r="AS37" s="1306" t="str">
        <f t="shared" si="20"/>
        <v/>
      </c>
      <c r="AT37" s="1307"/>
      <c r="AU37" s="1308" t="str">
        <f t="shared" si="21"/>
        <v/>
      </c>
      <c r="AV37" s="1309" t="str">
        <f t="shared" si="6"/>
        <v/>
      </c>
      <c r="AW37" s="1309" t="str">
        <f t="shared" si="22"/>
        <v/>
      </c>
      <c r="AX37" s="1310" t="str">
        <f t="shared" si="23"/>
        <v/>
      </c>
      <c r="AY37" s="1307"/>
      <c r="AZ37" s="1311" t="str">
        <f t="shared" si="24"/>
        <v/>
      </c>
      <c r="BA37" s="1309" t="str">
        <f t="shared" si="25"/>
        <v/>
      </c>
      <c r="BB37" s="1310" t="str">
        <f t="shared" si="26"/>
        <v/>
      </c>
      <c r="BC37" s="1312"/>
      <c r="BD37" s="1313" t="str">
        <f t="shared" si="35"/>
        <v/>
      </c>
      <c r="BE37" s="1290" t="str">
        <f t="shared" si="27"/>
        <v/>
      </c>
      <c r="BF37" s="1290" t="str">
        <f t="shared" si="28"/>
        <v/>
      </c>
      <c r="BH37" s="1315" t="str">
        <f t="shared" si="10"/>
        <v/>
      </c>
      <c r="BI37" s="1315"/>
      <c r="BJ37" s="1303" t="str">
        <f>IF(OR(BH37="Fail",BH37="Fail LPA",BH37=""),"",'SpxSp (step-a)'!CM41)</f>
        <v/>
      </c>
      <c r="BK37" s="1290">
        <f t="shared" si="30"/>
        <v>0</v>
      </c>
      <c r="BN37" s="178">
        <v>20</v>
      </c>
      <c r="BO37" s="1316" t="str">
        <f t="shared" ca="1" si="29"/>
        <v/>
      </c>
      <c r="BP37" s="1317" t="str">
        <f ca="1">IF(INDIRECT("'SpxSp (step-b)'!$B" &amp; BP$16)=$Z37,INDIRECT("'SpxSp (step-b)'!$" &amp; 'SpxSp (step-b)'!$BC$23 &amp; BP$16),"")</f>
        <v/>
      </c>
      <c r="BQ37" s="1317" t="str">
        <f ca="1">IF(INDIRECT("'SpxSp (step-b)'!$B" &amp; BQ$16)=$Z37,INDIRECT("'SpxSp (step-b)'!$" &amp; 'SpxSp (step-b)'!$BC$23 &amp; BQ$16),"")</f>
        <v/>
      </c>
      <c r="BR37" s="1317" t="str">
        <f ca="1">IF(INDIRECT("'SpxSp (step-b)'!$B" &amp; BR$16)=$Z37,INDIRECT("'SpxSp (step-b)'!$" &amp; 'SpxSp (step-b)'!$BC$23 &amp; BR$16),"")</f>
        <v/>
      </c>
      <c r="BS37" s="1317" t="str">
        <f ca="1">IF(INDIRECT("'SpxSp (step-b)'!$B" &amp; BS$16)=$Z37,INDIRECT("'SpxSp (step-b)'!$" &amp; 'SpxSp (step-b)'!$BC$23 &amp; BS$16),"")</f>
        <v/>
      </c>
      <c r="BT37" s="1317" t="str">
        <f ca="1">IF(INDIRECT("'SpxSp (step-b)'!$B" &amp; BT$16)=$Z37,INDIRECT("'SpxSp (step-b)'!$" &amp; 'SpxSp (step-b)'!$BC$23 &amp; BT$16),"")</f>
        <v/>
      </c>
      <c r="BU37" s="1317" t="str">
        <f ca="1">IF(INDIRECT("'SpxSp (step-b)'!$B" &amp; BU$16)=$Z37,INDIRECT("'SpxSp (step-b)'!$" &amp; 'SpxSp (step-b)'!$BC$23 &amp; BU$16),"")</f>
        <v/>
      </c>
      <c r="BV37" s="1317" t="str">
        <f ca="1">IF(INDIRECT("'SpxSp (step-b)'!$B" &amp; BV$16)=$Z37,INDIRECT("'SpxSp (step-b)'!$" &amp; 'SpxSp (step-b)'!$BC$23 &amp; BV$16),"")</f>
        <v/>
      </c>
      <c r="BW37" s="1317" t="str">
        <f ca="1">IF(INDIRECT("'SpxSp (step-b)'!$B" &amp; BW$16)=$Z37,INDIRECT("'SpxSp (step-b)'!$" &amp; 'SpxSp (step-b)'!$BC$23 &amp; BW$16),"")</f>
        <v/>
      </c>
      <c r="BX37" s="1317" t="str">
        <f ca="1">IF(INDIRECT("'SpxSp (step-b)'!$B" &amp; BX$16)=$Z37,INDIRECT("'SpxSp (step-b)'!$" &amp; 'SpxSp (step-b)'!$BC$23 &amp; BX$16),"")</f>
        <v/>
      </c>
      <c r="BY37" s="1317" t="str">
        <f ca="1">IF(INDIRECT("'SpxSp (step-b)'!$B" &amp; BY$16)=$Z37,INDIRECT("'SpxSp (step-b)'!$" &amp; 'SpxSp (step-b)'!$BC$23 &amp; BY$16),"")</f>
        <v/>
      </c>
      <c r="BZ37" s="1317" t="str">
        <f ca="1">IF(INDIRECT("'SpxSp (step-b)'!$B" &amp; BZ$16)=$Z37,INDIRECT("'SpxSp (step-b)'!$" &amp; 'SpxSp (step-b)'!$BC$23 &amp; BZ$16),"")</f>
        <v/>
      </c>
      <c r="CA37" s="1317" t="str">
        <f ca="1">IF(INDIRECT("'SpxSp (step-b)'!$B" &amp; CA$16)=$Z37,INDIRECT("'SpxSp (step-b)'!$" &amp; 'SpxSp (step-b)'!$BC$23 &amp; CA$16),"")</f>
        <v/>
      </c>
      <c r="CB37" s="1317" t="str">
        <f ca="1">IF(INDIRECT("'SpxSp (step-b)'!$B" &amp; CB$16)=$Z37,INDIRECT("'SpxSp (step-b)'!$" &amp; 'SpxSp (step-b)'!$BC$23 &amp; CB$16),"")</f>
        <v/>
      </c>
      <c r="CC37" s="1317" t="str">
        <f ca="1">IF(INDIRECT("'SpxSp (step-b)'!$B" &amp; CC$16)=$Z37,INDIRECT("'SpxSp (step-b)'!$" &amp; 'SpxSp (step-b)'!$BC$23 &amp; CC$16),"")</f>
        <v/>
      </c>
      <c r="CD37" s="1317" t="str">
        <f ca="1">IF(INDIRECT("'SpxSp (step-b)'!$B" &amp; CD$16)=$Z37,INDIRECT("'SpxSp (step-b)'!$" &amp; 'SpxSp (step-b)'!$BC$23 &amp; CD$16),"")</f>
        <v/>
      </c>
      <c r="CE37" s="1317" t="str">
        <f ca="1">IF(INDIRECT("'SpxSp (step-b)'!$B" &amp; CE$16)=$Z37,INDIRECT("'SpxSp (step-b)'!$" &amp; 'SpxSp (step-b)'!$BC$23 &amp; CE$16),"")</f>
        <v/>
      </c>
      <c r="CF37" s="1317" t="str">
        <f ca="1">IF(INDIRECT("'SpxSp (step-b)'!$B" &amp; CF$16)=$Z37,INDIRECT("'SpxSp (step-b)'!$" &amp; 'SpxSp (step-b)'!$BC$23 &amp; CF$16),"")</f>
        <v/>
      </c>
      <c r="CG37" s="1317" t="str">
        <f ca="1">IF(INDIRECT("'SpxSp (step-b)'!$B" &amp; CG$16)=$Z37,INDIRECT("'SpxSp (step-b)'!$" &amp; 'SpxSp (step-b)'!$BC$23 &amp; CG$16),"")</f>
        <v/>
      </c>
      <c r="CH37" s="1317" t="str">
        <f ca="1">IF(INDIRECT("'SpxSp (step-b)'!$B" &amp; CH$16)=$Z37,INDIRECT("'SpxSp (step-b)'!$" &amp; 'SpxSp (step-b)'!$BC$23 &amp; CH$16),"")</f>
        <v/>
      </c>
      <c r="CI37" s="1317" t="str">
        <f ca="1">IF(INDIRECT("'SpxSp (step-b)'!$B" &amp; CI$16)=$Z37,INDIRECT("'SpxSp (step-b)'!$" &amp; 'SpxSp (step-b)'!$BC$23 &amp; CI$16),"")</f>
        <v/>
      </c>
      <c r="CJ37" s="1317" t="str">
        <f ca="1">IF(INDIRECT("'SpxSp (step-b)'!$B" &amp; CJ$16)=$Z37,INDIRECT("'SpxSp (step-b)'!$" &amp; 'SpxSp (step-b)'!$BC$23 &amp; CJ$16),"")</f>
        <v/>
      </c>
      <c r="CK37" s="1317" t="str">
        <f ca="1">IF(INDIRECT("'SpxSp (step-b)'!$B" &amp; CK$16)=$Z37,INDIRECT("'SpxSp (step-b)'!$" &amp; 'SpxSp (step-b)'!$BC$23 &amp; CK$16),"")</f>
        <v/>
      </c>
      <c r="CL37" s="1317" t="str">
        <f ca="1">IF(INDIRECT("'SpxSp (step-b)'!$B" &amp; CL$16)=$Z37,INDIRECT("'SpxSp (step-b)'!$" &amp; 'SpxSp (step-b)'!$BC$23 &amp; CL$16),"")</f>
        <v/>
      </c>
      <c r="CM37" s="1317" t="str">
        <f ca="1">IF(INDIRECT("'SpxSp (step-b)'!$B" &amp; CM$16)=$Z37,INDIRECT("'SpxSp (step-b)'!$" &amp; 'SpxSp (step-b)'!$BC$23 &amp; CM$16),"")</f>
        <v/>
      </c>
      <c r="CN37" s="1317" t="str">
        <f ca="1">IF(INDIRECT("'SpxSp (step-b)'!$B" &amp; CN$16)=$Z37,INDIRECT("'SpxSp (step-b)'!$" &amp; 'SpxSp (step-b)'!$BC$23 &amp; CN$16),"")</f>
        <v/>
      </c>
      <c r="CO37" s="1317" t="str">
        <f ca="1">IF(INDIRECT("'SpxSp (step-b)'!$B" &amp; CO$16)=$Z37,INDIRECT("'SpxSp (step-b)'!$" &amp; 'SpxSp (step-b)'!$BC$23 &amp; CO$16),"")</f>
        <v/>
      </c>
      <c r="CP37" s="1317" t="str">
        <f ca="1">IF(INDIRECT("'SpxSp (step-b)'!$B" &amp; CP$16)=$Z37,INDIRECT("'SpxSp (step-b)'!$" &amp; 'SpxSp (step-b)'!$BC$23 &amp; CP$16),"")</f>
        <v/>
      </c>
      <c r="CQ37" s="1317" t="str">
        <f ca="1">IF(INDIRECT("'SpxSp (step-b)'!$B" &amp; CQ$16)=$Z37,INDIRECT("'SpxSp (step-b)'!$" &amp; 'SpxSp (step-b)'!$BC$23 &amp; CQ$16),"")</f>
        <v/>
      </c>
      <c r="CR37" s="1317" t="str">
        <f ca="1">IF(INDIRECT("'SpxSp (step-b)'!$B" &amp; CR$16)=$Z37,INDIRECT("'SpxSp (step-b)'!$" &amp; 'SpxSp (step-b)'!$BC$23 &amp; CR$16),"")</f>
        <v/>
      </c>
      <c r="CS37" s="1317" t="str">
        <f ca="1">IF(INDIRECT("'SpxSp (step-b)'!$B" &amp; CS$16)=$Z37,INDIRECT("'SpxSp (step-b)'!$" &amp; 'SpxSp (step-b)'!$BC$23 &amp; CS$16),"")</f>
        <v/>
      </c>
      <c r="CT37" s="1317" t="str">
        <f ca="1">IF(INDIRECT("'SpxSp (step-b)'!$B" &amp; CT$16)=$Z37,INDIRECT("'SpxSp (step-b)'!$" &amp; 'SpxSp (step-b)'!$BC$23 &amp; CT$16),"")</f>
        <v/>
      </c>
      <c r="CU37" s="1317" t="str">
        <f ca="1">IF(INDIRECT("'SpxSp (step-b)'!$B" &amp; CU$16)=$Z37,INDIRECT("'SpxSp (step-b)'!$" &amp; 'SpxSp (step-b)'!$BC$23 &amp; CU$16),"")</f>
        <v/>
      </c>
      <c r="CV37" s="1317" t="str">
        <f ca="1">IF(INDIRECT("'SpxSp (step-b)'!$B" &amp; CV$16)=$Z37,INDIRECT("'SpxSp (step-b)'!$" &amp; 'SpxSp (step-b)'!$BC$23 &amp; CV$16),"")</f>
        <v/>
      </c>
      <c r="CW37" s="1317" t="str">
        <f ca="1">IF(INDIRECT("'SpxSp (step-b)'!$B" &amp; CW$16)=$Z37,INDIRECT("'SpxSp (step-b)'!$" &amp; 'SpxSp (step-b)'!$BC$23 &amp; CW$16),"")</f>
        <v/>
      </c>
      <c r="CX37" s="1317" t="str">
        <f ca="1">IF(INDIRECT("'SpxSp (step-b)'!$B" &amp; CX$16)=$Z37,INDIRECT("'SpxSp (step-b)'!$" &amp; 'SpxSp (step-b)'!$BC$23 &amp; CX$16),"")</f>
        <v/>
      </c>
      <c r="CY37" s="1317" t="str">
        <f ca="1">IF(INDIRECT("'SpxSp (step-b)'!$B" &amp; CY$16)=$Z37,INDIRECT("'SpxSp (step-b)'!$" &amp; 'SpxSp (step-b)'!$BC$23 &amp; CY$16),"")</f>
        <v/>
      </c>
      <c r="CZ37" s="1317" t="str">
        <f ca="1">IF(INDIRECT("'SpxSp (step-b)'!$B" &amp; CZ$16)=$Z37,INDIRECT("'SpxSp (step-b)'!$" &amp; 'SpxSp (step-b)'!$BC$23 &amp; CZ$16),"")</f>
        <v/>
      </c>
      <c r="DA37" s="1317" t="str">
        <f ca="1">IF(INDIRECT("'SpxSp (step-b)'!$B" &amp; DA$16)=$Z37,INDIRECT("'SpxSp (step-b)'!$" &amp; 'SpxSp (step-b)'!$BC$23 &amp; DA$16),"")</f>
        <v/>
      </c>
      <c r="DB37" s="1317" t="str">
        <f ca="1">IF(INDIRECT("'SpxSp (step-b)'!$B" &amp; DB$16)=$Z37,INDIRECT("'SpxSp (step-b)'!$" &amp; 'SpxSp (step-b)'!$BC$23 &amp; DB$16),"")</f>
        <v/>
      </c>
      <c r="DC37" s="1317" t="str">
        <f ca="1">IF(INDIRECT("'SpxSp (step-b)'!$B" &amp; DC$16)=$Z37,INDIRECT("'SpxSp (step-b)'!$" &amp; 'SpxSp (step-b)'!$BC$23 &amp; DC$16),"")</f>
        <v/>
      </c>
      <c r="DD37" s="1317" t="str">
        <f ca="1">IF(INDIRECT("'SpxSp (step-b)'!$B" &amp; DD$16)=$Z37,INDIRECT("'SpxSp (step-b)'!$" &amp; 'SpxSp (step-b)'!$BC$23 &amp; DD$16),"")</f>
        <v/>
      </c>
      <c r="DE37" s="1317" t="str">
        <f ca="1">IF(INDIRECT("'SpxSp (step-b)'!$B" &amp; DE$16)=$Z37,INDIRECT("'SpxSp (step-b)'!$" &amp; 'SpxSp (step-b)'!$BC$23 &amp; DE$16),"")</f>
        <v/>
      </c>
      <c r="DF37" s="1317" t="str">
        <f ca="1">IF(INDIRECT("'SpxSp (step-b)'!$B" &amp; DF$16)=$Z37,INDIRECT("'SpxSp (step-b)'!$" &amp; 'SpxSp (step-b)'!$BC$23 &amp; DF$16),"")</f>
        <v/>
      </c>
      <c r="DG37" s="1317" t="str">
        <f ca="1">IF(INDIRECT("'SpxSp (step-b)'!$B" &amp; DG$16)=$Z37,INDIRECT("'SpxSp (step-b)'!$" &amp; 'SpxSp (step-b)'!$BC$23 &amp; DG$16),"")</f>
        <v/>
      </c>
      <c r="DH37" s="1317" t="str">
        <f ca="1">IF(INDIRECT("'SpxSp (step-b)'!$B" &amp; DH$16)=$Z37,INDIRECT("'SpxSp (step-b)'!$" &amp; 'SpxSp (step-b)'!$BC$23 &amp; DH$16),"")</f>
        <v/>
      </c>
      <c r="DI37" s="1317" t="str">
        <f ca="1">IF(INDIRECT("'SpxSp (step-b)'!$B" &amp; DI$16)=$Z37,INDIRECT("'SpxSp (step-b)'!$" &amp; 'SpxSp (step-b)'!$BC$23 &amp; DI$16),"")</f>
        <v/>
      </c>
      <c r="DJ37" s="1317" t="str">
        <f ca="1">IF(INDIRECT("'SpxSp (step-b)'!$B" &amp; DJ$16)=$Z37,INDIRECT("'SpxSp (step-b)'!$" &amp; 'SpxSp (step-b)'!$BC$23 &amp; DJ$16),"")</f>
        <v/>
      </c>
      <c r="DK37" s="1317" t="str">
        <f ca="1">IF(INDIRECT("'SpxSp (step-b)'!$B" &amp; DK$16)=$Z37,INDIRECT("'SpxSp (step-b)'!$" &amp; 'SpxSp (step-b)'!$BC$23 &amp; DK$16),"")</f>
        <v/>
      </c>
      <c r="DL37" s="1317" t="str">
        <f ca="1">IF(INDIRECT("'SpxSp (step-b)'!$B" &amp; DL$16)=$Z37,INDIRECT("'SpxSp (step-b)'!$" &amp; 'SpxSp (step-b)'!$BC$23 &amp; DL$16),"")</f>
        <v/>
      </c>
      <c r="DM37" s="1317" t="str">
        <f ca="1">IF(INDIRECT("'SpxSp (step-b)'!$B" &amp; DM$16)=$Z37,INDIRECT("'SpxSp (step-b)'!$" &amp; 'SpxSp (step-b)'!$BC$23 &amp; DM$16),"")</f>
        <v/>
      </c>
      <c r="DN37" s="1318" t="str">
        <f t="shared" ca="1" si="32"/>
        <v/>
      </c>
      <c r="DO37" s="1246" t="s">
        <v>1201</v>
      </c>
    </row>
    <row r="38" spans="2:119" ht="40" x14ac:dyDescent="0.2">
      <c r="B38" s="1450" t="str">
        <f t="shared" si="13"/>
        <v/>
      </c>
      <c r="C38" s="1451"/>
      <c r="D38" s="1451"/>
      <c r="E38" s="1451"/>
      <c r="F38" s="1452"/>
      <c r="G38" s="1319" t="str">
        <f t="shared" si="31"/>
        <v/>
      </c>
      <c r="H38" s="1320" t="str">
        <f t="shared" si="14"/>
        <v/>
      </c>
      <c r="I38" s="1321" t="str">
        <f t="shared" si="33"/>
        <v/>
      </c>
      <c r="J38" s="1296"/>
      <c r="K38" s="1322" t="str">
        <f>IFERROR(IF(OR(B38="",H38=0),"",VLOOKUP(B38,'SpxSp (step-c)'!B$18:O$67,6,FALSE)),"")</f>
        <v/>
      </c>
      <c r="L38" s="1323" t="str">
        <f ca="1">IFERROR(F(OR(B38="",H38=0),"",VLOOKUP($B38,'SpxSp (step-c)'!$B$18:O$67,12,FALSE)),"")</f>
        <v/>
      </c>
      <c r="M38" s="1321" t="str">
        <f ca="1">IF(AND(B38&lt;&gt;"",L38=""),"NA",IFERROR(VLOOKUP($B38,'SpxSp (step-c)'!$B$18:P$67,13,FALSE),""))</f>
        <v/>
      </c>
      <c r="N38" s="1324"/>
      <c r="O38" s="1322" t="str">
        <f>IFERROR(IF(OR(B38="",H38=0),"",VLOOKUP($B38,'SpxSp (step-d)'!$B$18:$P$67,12,FALSE)),"")</f>
        <v/>
      </c>
      <c r="P38" s="1323" t="str">
        <f>IFERROR(IF(OR(B38="",H38=0),"",VLOOKUP($B38,'SpxSp (step-d)'!$B$18:$P$67,13,FALSE)),"")</f>
        <v/>
      </c>
      <c r="Q38" s="1323" t="str">
        <f>IFERROR(IF(OR(B38="",H38=0),"",VLOOKUP($B38,'SpxSp (step-d)'!$B$18:$P$67,14,FALSE)),"")</f>
        <v/>
      </c>
      <c r="R38" s="1321" t="str">
        <f>IF(AND(B38&lt;&gt;"",P38=""),"NA",IFERROR(VLOOKUP(B38,'SpxSp (step-d)'!$B$18:$V$67,15,FALSE),""))</f>
        <v/>
      </c>
      <c r="S38" s="1296"/>
      <c r="T38" s="1325" t="str">
        <f t="shared" si="34"/>
        <v/>
      </c>
      <c r="U38" s="1326" t="str">
        <f t="shared" si="17"/>
        <v/>
      </c>
      <c r="Y38" s="1302">
        <v>21</v>
      </c>
      <c r="Z38" s="1303" t="str">
        <f>'SpxSp (step-a)'!B42</f>
        <v/>
      </c>
      <c r="AA38" s="1303" t="str">
        <f>'SpxSp (step-a)'!H42</f>
        <v/>
      </c>
      <c r="AB38" s="1290" t="str">
        <f>VLOOKUP($Z38,'SpxSp (step-a)'!$B$22:$O$71,AB$14,FALSE)</f>
        <v/>
      </c>
      <c r="AD38" s="1290" t="str">
        <f>IF(Z38="","",IFERROR(VLOOKUP($Z38,'SpxSp (step-a)'!$B$22:$O$71,AD$14,FALSE),0))</f>
        <v/>
      </c>
      <c r="AE38" s="1290" t="str">
        <f>IF(Z38="","",IFERROR(VLOOKUP($Z38,'SpxSp (step-a)'!$B$22:$O$71,AE$14,FALSE),0))</f>
        <v/>
      </c>
      <c r="AG38" s="1290" t="str">
        <f t="shared" si="36"/>
        <v/>
      </c>
      <c r="AI38" s="1290" t="str">
        <f>IF($Z38="","",SUMIFS('SpxSp (step-b)'!L$26:L$75,'SpxSp (step-b)'!B$26:B$75,Z38,'SpxSp (step-b)'!N$26:N$75,"New"))</f>
        <v/>
      </c>
      <c r="AJ38" s="1290" t="str">
        <f>IF($Z38="","",SUMIFS('SpxSp (step-b)'!$L$26:$L$75,'SpxSp (step-b)'!$B$26:$B$75,$Z38,'SpxSp (step-b)'!N$26:N$75,""))</f>
        <v/>
      </c>
      <c r="AK38" s="1290" t="str">
        <f>IF($Z38="","",SUMIFS('SpxSp (step-b)'!$J$26:$J$75,'SpxSp (step-b)'!$B$26:$B$75,$Z38,'SpxSp (step-b)'!$N$26:$N$75,"New")+SUMIFS('SpxSp (step-b)'!$J$26:$J$75,'SpxSp (step-b)'!$B$26:$B$75,$Z38,'SpxSp (step-b)'!$N$26:$N$75,""))</f>
        <v/>
      </c>
      <c r="AL38" s="1290" t="str">
        <f>IF($Z38="","",SUMIFS('SpxSp (step-b)'!$L$26:$L$75,'SpxSp (step-b)'!$B$26:$B$75,$Z38,'SpxSp (step-b)'!$N$26:$N$75,"Existing Remains"))</f>
        <v/>
      </c>
      <c r="AM38" s="1290" t="str">
        <f>IF($Z38="","",SUMIFS('SpxSp (step-b)'!$L$26:$L$75,'SpxSp (step-b)'!$B$26:$B$75,$Z38,'SpxSp (step-b)'!$N$26:$N$75,"Existing Removed"))</f>
        <v/>
      </c>
      <c r="AN38" s="1290" t="str">
        <f>IF($Z38="","",SUMIFS('SpxSp (step-b)'!$J$26:$J$75,'SpxSp (step-b)'!$B$26:$B$75,$Z38,'SpxSp (step-b)'!$N$26:$N$75,"Existing Removed"))</f>
        <v/>
      </c>
      <c r="AO38" s="1290" t="str">
        <f t="shared" si="37"/>
        <v/>
      </c>
      <c r="AP38" s="1290" t="str">
        <f t="shared" si="18"/>
        <v/>
      </c>
      <c r="AQ38" s="1304"/>
      <c r="AR38" s="1305" t="str">
        <f t="shared" si="19"/>
        <v/>
      </c>
      <c r="AS38" s="1306" t="str">
        <f t="shared" si="20"/>
        <v/>
      </c>
      <c r="AT38" s="1307"/>
      <c r="AU38" s="1308" t="str">
        <f t="shared" si="21"/>
        <v/>
      </c>
      <c r="AV38" s="1309" t="str">
        <f t="shared" si="6"/>
        <v/>
      </c>
      <c r="AW38" s="1309" t="str">
        <f t="shared" si="22"/>
        <v/>
      </c>
      <c r="AX38" s="1310" t="str">
        <f t="shared" si="23"/>
        <v/>
      </c>
      <c r="AY38" s="1307"/>
      <c r="AZ38" s="1311" t="str">
        <f t="shared" si="24"/>
        <v/>
      </c>
      <c r="BA38" s="1309" t="str">
        <f t="shared" si="25"/>
        <v/>
      </c>
      <c r="BB38" s="1310" t="str">
        <f t="shared" si="26"/>
        <v/>
      </c>
      <c r="BC38" s="1312"/>
      <c r="BD38" s="1313" t="str">
        <f t="shared" si="35"/>
        <v/>
      </c>
      <c r="BE38" s="1290" t="str">
        <f t="shared" si="27"/>
        <v/>
      </c>
      <c r="BF38" s="1290" t="str">
        <f t="shared" si="28"/>
        <v/>
      </c>
      <c r="BH38" s="1315" t="str">
        <f t="shared" si="10"/>
        <v/>
      </c>
      <c r="BI38" s="1315"/>
      <c r="BJ38" s="1303" t="str">
        <f>IF(OR(BH38="Fail",BH38="Fail LPA",BH38=""),"",'SpxSp (step-a)'!CM42)</f>
        <v/>
      </c>
      <c r="BK38" s="1290">
        <f t="shared" si="30"/>
        <v>0</v>
      </c>
      <c r="BN38" s="178">
        <v>21</v>
      </c>
      <c r="BO38" s="1316" t="str">
        <f t="shared" ca="1" si="29"/>
        <v/>
      </c>
      <c r="BP38" s="1317" t="str">
        <f ca="1">IF(INDIRECT("'SpxSp (step-b)'!$B" &amp; BP$16)=$Z38,INDIRECT("'SpxSp (step-b)'!$" &amp; 'SpxSp (step-b)'!$BC$23 &amp; BP$16),"")</f>
        <v/>
      </c>
      <c r="BQ38" s="1317" t="str">
        <f ca="1">IF(INDIRECT("'SpxSp (step-b)'!$B" &amp; BQ$16)=$Z38,INDIRECT("'SpxSp (step-b)'!$" &amp; 'SpxSp (step-b)'!$BC$23 &amp; BQ$16),"")</f>
        <v/>
      </c>
      <c r="BR38" s="1317" t="str">
        <f ca="1">IF(INDIRECT("'SpxSp (step-b)'!$B" &amp; BR$16)=$Z38,INDIRECT("'SpxSp (step-b)'!$" &amp; 'SpxSp (step-b)'!$BC$23 &amp; BR$16),"")</f>
        <v/>
      </c>
      <c r="BS38" s="1317" t="str">
        <f ca="1">IF(INDIRECT("'SpxSp (step-b)'!$B" &amp; BS$16)=$Z38,INDIRECT("'SpxSp (step-b)'!$" &amp; 'SpxSp (step-b)'!$BC$23 &amp; BS$16),"")</f>
        <v/>
      </c>
      <c r="BT38" s="1317" t="str">
        <f ca="1">IF(INDIRECT("'SpxSp (step-b)'!$B" &amp; BT$16)=$Z38,INDIRECT("'SpxSp (step-b)'!$" &amp; 'SpxSp (step-b)'!$BC$23 &amp; BT$16),"")</f>
        <v/>
      </c>
      <c r="BU38" s="1317" t="str">
        <f ca="1">IF(INDIRECT("'SpxSp (step-b)'!$B" &amp; BU$16)=$Z38,INDIRECT("'SpxSp (step-b)'!$" &amp; 'SpxSp (step-b)'!$BC$23 &amp; BU$16),"")</f>
        <v/>
      </c>
      <c r="BV38" s="1317" t="str">
        <f ca="1">IF(INDIRECT("'SpxSp (step-b)'!$B" &amp; BV$16)=$Z38,INDIRECT("'SpxSp (step-b)'!$" &amp; 'SpxSp (step-b)'!$BC$23 &amp; BV$16),"")</f>
        <v/>
      </c>
      <c r="BW38" s="1317" t="str">
        <f ca="1">IF(INDIRECT("'SpxSp (step-b)'!$B" &amp; BW$16)=$Z38,INDIRECT("'SpxSp (step-b)'!$" &amp; 'SpxSp (step-b)'!$BC$23 &amp; BW$16),"")</f>
        <v/>
      </c>
      <c r="BX38" s="1317" t="str">
        <f ca="1">IF(INDIRECT("'SpxSp (step-b)'!$B" &amp; BX$16)=$Z38,INDIRECT("'SpxSp (step-b)'!$" &amp; 'SpxSp (step-b)'!$BC$23 &amp; BX$16),"")</f>
        <v/>
      </c>
      <c r="BY38" s="1317" t="str">
        <f ca="1">IF(INDIRECT("'SpxSp (step-b)'!$B" &amp; BY$16)=$Z38,INDIRECT("'SpxSp (step-b)'!$" &amp; 'SpxSp (step-b)'!$BC$23 &amp; BY$16),"")</f>
        <v/>
      </c>
      <c r="BZ38" s="1317" t="str">
        <f ca="1">IF(INDIRECT("'SpxSp (step-b)'!$B" &amp; BZ$16)=$Z38,INDIRECT("'SpxSp (step-b)'!$" &amp; 'SpxSp (step-b)'!$BC$23 &amp; BZ$16),"")</f>
        <v/>
      </c>
      <c r="CA38" s="1317" t="str">
        <f ca="1">IF(INDIRECT("'SpxSp (step-b)'!$B" &amp; CA$16)=$Z38,INDIRECT("'SpxSp (step-b)'!$" &amp; 'SpxSp (step-b)'!$BC$23 &amp; CA$16),"")</f>
        <v/>
      </c>
      <c r="CB38" s="1317" t="str">
        <f ca="1">IF(INDIRECT("'SpxSp (step-b)'!$B" &amp; CB$16)=$Z38,INDIRECT("'SpxSp (step-b)'!$" &amp; 'SpxSp (step-b)'!$BC$23 &amp; CB$16),"")</f>
        <v/>
      </c>
      <c r="CC38" s="1317" t="str">
        <f ca="1">IF(INDIRECT("'SpxSp (step-b)'!$B" &amp; CC$16)=$Z38,INDIRECT("'SpxSp (step-b)'!$" &amp; 'SpxSp (step-b)'!$BC$23 &amp; CC$16),"")</f>
        <v/>
      </c>
      <c r="CD38" s="1317" t="str">
        <f ca="1">IF(INDIRECT("'SpxSp (step-b)'!$B" &amp; CD$16)=$Z38,INDIRECT("'SpxSp (step-b)'!$" &amp; 'SpxSp (step-b)'!$BC$23 &amp; CD$16),"")</f>
        <v/>
      </c>
      <c r="CE38" s="1317" t="str">
        <f ca="1">IF(INDIRECT("'SpxSp (step-b)'!$B" &amp; CE$16)=$Z38,INDIRECT("'SpxSp (step-b)'!$" &amp; 'SpxSp (step-b)'!$BC$23 &amp; CE$16),"")</f>
        <v/>
      </c>
      <c r="CF38" s="1317" t="str">
        <f ca="1">IF(INDIRECT("'SpxSp (step-b)'!$B" &amp; CF$16)=$Z38,INDIRECT("'SpxSp (step-b)'!$" &amp; 'SpxSp (step-b)'!$BC$23 &amp; CF$16),"")</f>
        <v/>
      </c>
      <c r="CG38" s="1317" t="str">
        <f ca="1">IF(INDIRECT("'SpxSp (step-b)'!$B" &amp; CG$16)=$Z38,INDIRECT("'SpxSp (step-b)'!$" &amp; 'SpxSp (step-b)'!$BC$23 &amp; CG$16),"")</f>
        <v/>
      </c>
      <c r="CH38" s="1317" t="str">
        <f ca="1">IF(INDIRECT("'SpxSp (step-b)'!$B" &amp; CH$16)=$Z38,INDIRECT("'SpxSp (step-b)'!$" &amp; 'SpxSp (step-b)'!$BC$23 &amp; CH$16),"")</f>
        <v/>
      </c>
      <c r="CI38" s="1317" t="str">
        <f ca="1">IF(INDIRECT("'SpxSp (step-b)'!$B" &amp; CI$16)=$Z38,INDIRECT("'SpxSp (step-b)'!$" &amp; 'SpxSp (step-b)'!$BC$23 &amp; CI$16),"")</f>
        <v/>
      </c>
      <c r="CJ38" s="1317" t="str">
        <f ca="1">IF(INDIRECT("'SpxSp (step-b)'!$B" &amp; CJ$16)=$Z38,INDIRECT("'SpxSp (step-b)'!$" &amp; 'SpxSp (step-b)'!$BC$23 &amp; CJ$16),"")</f>
        <v/>
      </c>
      <c r="CK38" s="1317" t="str">
        <f ca="1">IF(INDIRECT("'SpxSp (step-b)'!$B" &amp; CK$16)=$Z38,INDIRECT("'SpxSp (step-b)'!$" &amp; 'SpxSp (step-b)'!$BC$23 &amp; CK$16),"")</f>
        <v/>
      </c>
      <c r="CL38" s="1317" t="str">
        <f ca="1">IF(INDIRECT("'SpxSp (step-b)'!$B" &amp; CL$16)=$Z38,INDIRECT("'SpxSp (step-b)'!$" &amp; 'SpxSp (step-b)'!$BC$23 &amp; CL$16),"")</f>
        <v/>
      </c>
      <c r="CM38" s="1317" t="str">
        <f ca="1">IF(INDIRECT("'SpxSp (step-b)'!$B" &amp; CM$16)=$Z38,INDIRECT("'SpxSp (step-b)'!$" &amp; 'SpxSp (step-b)'!$BC$23 &amp; CM$16),"")</f>
        <v/>
      </c>
      <c r="CN38" s="1317" t="str">
        <f ca="1">IF(INDIRECT("'SpxSp (step-b)'!$B" &amp; CN$16)=$Z38,INDIRECT("'SpxSp (step-b)'!$" &amp; 'SpxSp (step-b)'!$BC$23 &amp; CN$16),"")</f>
        <v/>
      </c>
      <c r="CO38" s="1317" t="str">
        <f ca="1">IF(INDIRECT("'SpxSp (step-b)'!$B" &amp; CO$16)=$Z38,INDIRECT("'SpxSp (step-b)'!$" &amp; 'SpxSp (step-b)'!$BC$23 &amp; CO$16),"")</f>
        <v/>
      </c>
      <c r="CP38" s="1317" t="str">
        <f ca="1">IF(INDIRECT("'SpxSp (step-b)'!$B" &amp; CP$16)=$Z38,INDIRECT("'SpxSp (step-b)'!$" &amp; 'SpxSp (step-b)'!$BC$23 &amp; CP$16),"")</f>
        <v/>
      </c>
      <c r="CQ38" s="1317" t="str">
        <f ca="1">IF(INDIRECT("'SpxSp (step-b)'!$B" &amp; CQ$16)=$Z38,INDIRECT("'SpxSp (step-b)'!$" &amp; 'SpxSp (step-b)'!$BC$23 &amp; CQ$16),"")</f>
        <v/>
      </c>
      <c r="CR38" s="1317" t="str">
        <f ca="1">IF(INDIRECT("'SpxSp (step-b)'!$B" &amp; CR$16)=$Z38,INDIRECT("'SpxSp (step-b)'!$" &amp; 'SpxSp (step-b)'!$BC$23 &amp; CR$16),"")</f>
        <v/>
      </c>
      <c r="CS38" s="1317" t="str">
        <f ca="1">IF(INDIRECT("'SpxSp (step-b)'!$B" &amp; CS$16)=$Z38,INDIRECT("'SpxSp (step-b)'!$" &amp; 'SpxSp (step-b)'!$BC$23 &amp; CS$16),"")</f>
        <v/>
      </c>
      <c r="CT38" s="1317" t="str">
        <f ca="1">IF(INDIRECT("'SpxSp (step-b)'!$B" &amp; CT$16)=$Z38,INDIRECT("'SpxSp (step-b)'!$" &amp; 'SpxSp (step-b)'!$BC$23 &amp; CT$16),"")</f>
        <v/>
      </c>
      <c r="CU38" s="1317" t="str">
        <f ca="1">IF(INDIRECT("'SpxSp (step-b)'!$B" &amp; CU$16)=$Z38,INDIRECT("'SpxSp (step-b)'!$" &amp; 'SpxSp (step-b)'!$BC$23 &amp; CU$16),"")</f>
        <v/>
      </c>
      <c r="CV38" s="1317" t="str">
        <f ca="1">IF(INDIRECT("'SpxSp (step-b)'!$B" &amp; CV$16)=$Z38,INDIRECT("'SpxSp (step-b)'!$" &amp; 'SpxSp (step-b)'!$BC$23 &amp; CV$16),"")</f>
        <v/>
      </c>
      <c r="CW38" s="1317" t="str">
        <f ca="1">IF(INDIRECT("'SpxSp (step-b)'!$B" &amp; CW$16)=$Z38,INDIRECT("'SpxSp (step-b)'!$" &amp; 'SpxSp (step-b)'!$BC$23 &amp; CW$16),"")</f>
        <v/>
      </c>
      <c r="CX38" s="1317" t="str">
        <f ca="1">IF(INDIRECT("'SpxSp (step-b)'!$B" &amp; CX$16)=$Z38,INDIRECT("'SpxSp (step-b)'!$" &amp; 'SpxSp (step-b)'!$BC$23 &amp; CX$16),"")</f>
        <v/>
      </c>
      <c r="CY38" s="1317" t="str">
        <f ca="1">IF(INDIRECT("'SpxSp (step-b)'!$B" &amp; CY$16)=$Z38,INDIRECT("'SpxSp (step-b)'!$" &amp; 'SpxSp (step-b)'!$BC$23 &amp; CY$16),"")</f>
        <v/>
      </c>
      <c r="CZ38" s="1317" t="str">
        <f ca="1">IF(INDIRECT("'SpxSp (step-b)'!$B" &amp; CZ$16)=$Z38,INDIRECT("'SpxSp (step-b)'!$" &amp; 'SpxSp (step-b)'!$BC$23 &amp; CZ$16),"")</f>
        <v/>
      </c>
      <c r="DA38" s="1317" t="str">
        <f ca="1">IF(INDIRECT("'SpxSp (step-b)'!$B" &amp; DA$16)=$Z38,INDIRECT("'SpxSp (step-b)'!$" &amp; 'SpxSp (step-b)'!$BC$23 &amp; DA$16),"")</f>
        <v/>
      </c>
      <c r="DB38" s="1317" t="str">
        <f ca="1">IF(INDIRECT("'SpxSp (step-b)'!$B" &amp; DB$16)=$Z38,INDIRECT("'SpxSp (step-b)'!$" &amp; 'SpxSp (step-b)'!$BC$23 &amp; DB$16),"")</f>
        <v/>
      </c>
      <c r="DC38" s="1317" t="str">
        <f ca="1">IF(INDIRECT("'SpxSp (step-b)'!$B" &amp; DC$16)=$Z38,INDIRECT("'SpxSp (step-b)'!$" &amp; 'SpxSp (step-b)'!$BC$23 &amp; DC$16),"")</f>
        <v/>
      </c>
      <c r="DD38" s="1317" t="str">
        <f ca="1">IF(INDIRECT("'SpxSp (step-b)'!$B" &amp; DD$16)=$Z38,INDIRECT("'SpxSp (step-b)'!$" &amp; 'SpxSp (step-b)'!$BC$23 &amp; DD$16),"")</f>
        <v/>
      </c>
      <c r="DE38" s="1317" t="str">
        <f ca="1">IF(INDIRECT("'SpxSp (step-b)'!$B" &amp; DE$16)=$Z38,INDIRECT("'SpxSp (step-b)'!$" &amp; 'SpxSp (step-b)'!$BC$23 &amp; DE$16),"")</f>
        <v/>
      </c>
      <c r="DF38" s="1317" t="str">
        <f ca="1">IF(INDIRECT("'SpxSp (step-b)'!$B" &amp; DF$16)=$Z38,INDIRECT("'SpxSp (step-b)'!$" &amp; 'SpxSp (step-b)'!$BC$23 &amp; DF$16),"")</f>
        <v/>
      </c>
      <c r="DG38" s="1317" t="str">
        <f ca="1">IF(INDIRECT("'SpxSp (step-b)'!$B" &amp; DG$16)=$Z38,INDIRECT("'SpxSp (step-b)'!$" &amp; 'SpxSp (step-b)'!$BC$23 &amp; DG$16),"")</f>
        <v/>
      </c>
      <c r="DH38" s="1317" t="str">
        <f ca="1">IF(INDIRECT("'SpxSp (step-b)'!$B" &amp; DH$16)=$Z38,INDIRECT("'SpxSp (step-b)'!$" &amp; 'SpxSp (step-b)'!$BC$23 &amp; DH$16),"")</f>
        <v/>
      </c>
      <c r="DI38" s="1317" t="str">
        <f ca="1">IF(INDIRECT("'SpxSp (step-b)'!$B" &amp; DI$16)=$Z38,INDIRECT("'SpxSp (step-b)'!$" &amp; 'SpxSp (step-b)'!$BC$23 &amp; DI$16),"")</f>
        <v/>
      </c>
      <c r="DJ38" s="1317" t="str">
        <f ca="1">IF(INDIRECT("'SpxSp (step-b)'!$B" &amp; DJ$16)=$Z38,INDIRECT("'SpxSp (step-b)'!$" &amp; 'SpxSp (step-b)'!$BC$23 &amp; DJ$16),"")</f>
        <v/>
      </c>
      <c r="DK38" s="1317" t="str">
        <f ca="1">IF(INDIRECT("'SpxSp (step-b)'!$B" &amp; DK$16)=$Z38,INDIRECT("'SpxSp (step-b)'!$" &amp; 'SpxSp (step-b)'!$BC$23 &amp; DK$16),"")</f>
        <v/>
      </c>
      <c r="DL38" s="1317" t="str">
        <f ca="1">IF(INDIRECT("'SpxSp (step-b)'!$B" &amp; DL$16)=$Z38,INDIRECT("'SpxSp (step-b)'!$" &amp; 'SpxSp (step-b)'!$BC$23 &amp; DL$16),"")</f>
        <v/>
      </c>
      <c r="DM38" s="1317" t="str">
        <f ca="1">IF(INDIRECT("'SpxSp (step-b)'!$B" &amp; DM$16)=$Z38,INDIRECT("'SpxSp (step-b)'!$" &amp; 'SpxSp (step-b)'!$BC$23 &amp; DM$16),"")</f>
        <v/>
      </c>
      <c r="DN38" s="1318" t="str">
        <f t="shared" ca="1" si="32"/>
        <v/>
      </c>
      <c r="DO38" s="1246" t="s">
        <v>1201</v>
      </c>
    </row>
    <row r="39" spans="2:119" ht="40" x14ac:dyDescent="0.2">
      <c r="B39" s="1450" t="str">
        <f t="shared" si="13"/>
        <v/>
      </c>
      <c r="C39" s="1451"/>
      <c r="D39" s="1451"/>
      <c r="E39" s="1451"/>
      <c r="F39" s="1452"/>
      <c r="G39" s="1319" t="str">
        <f t="shared" si="31"/>
        <v/>
      </c>
      <c r="H39" s="1320" t="str">
        <f t="shared" si="14"/>
        <v/>
      </c>
      <c r="I39" s="1321" t="str">
        <f t="shared" si="33"/>
        <v/>
      </c>
      <c r="J39" s="1296"/>
      <c r="K39" s="1322" t="str">
        <f>IFERROR(IF(OR(B39="",H39=0),"",VLOOKUP(B39,'SpxSp (step-c)'!B$18:O$67,6,FALSE)),"")</f>
        <v/>
      </c>
      <c r="L39" s="1323" t="str">
        <f ca="1">IFERROR(F(OR(B39="",H39=0),"",VLOOKUP($B39,'SpxSp (step-c)'!$B$18:O$67,12,FALSE)),"")</f>
        <v/>
      </c>
      <c r="M39" s="1321" t="str">
        <f ca="1">IF(AND(B39&lt;&gt;"",L39=""),"NA",IFERROR(VLOOKUP($B39,'SpxSp (step-c)'!$B$18:P$67,13,FALSE),""))</f>
        <v/>
      </c>
      <c r="N39" s="1324"/>
      <c r="O39" s="1322" t="str">
        <f>IFERROR(IF(OR(B39="",H39=0),"",VLOOKUP($B39,'SpxSp (step-d)'!$B$18:$P$67,12,FALSE)),"")</f>
        <v/>
      </c>
      <c r="P39" s="1323" t="str">
        <f>IFERROR(IF(OR(B39="",H39=0),"",VLOOKUP($B39,'SpxSp (step-d)'!$B$18:$P$67,13,FALSE)),"")</f>
        <v/>
      </c>
      <c r="Q39" s="1323" t="str">
        <f>IFERROR(IF(OR(B39="",H39=0),"",VLOOKUP($B39,'SpxSp (step-d)'!$B$18:$P$67,14,FALSE)),"")</f>
        <v/>
      </c>
      <c r="R39" s="1321" t="str">
        <f>IF(AND(B39&lt;&gt;"",P39=""),"NA",IFERROR(VLOOKUP(B39,'SpxSp (step-d)'!$B$18:$V$67,15,FALSE),""))</f>
        <v/>
      </c>
      <c r="S39" s="1296"/>
      <c r="T39" s="1325" t="str">
        <f t="shared" si="34"/>
        <v/>
      </c>
      <c r="U39" s="1326" t="str">
        <f t="shared" si="17"/>
        <v/>
      </c>
      <c r="Y39" s="1302">
        <v>22</v>
      </c>
      <c r="Z39" s="1303" t="str">
        <f>'SpxSp (step-a)'!B43</f>
        <v/>
      </c>
      <c r="AA39" s="1303" t="str">
        <f>'SpxSp (step-a)'!H43</f>
        <v/>
      </c>
      <c r="AB39" s="1290" t="str">
        <f>VLOOKUP($Z39,'SpxSp (step-a)'!$B$22:$O$71,AB$14,FALSE)</f>
        <v/>
      </c>
      <c r="AD39" s="1290" t="str">
        <f>IF(Z39="","",IFERROR(VLOOKUP($Z39,'SpxSp (step-a)'!$B$22:$O$71,AD$14,FALSE),0))</f>
        <v/>
      </c>
      <c r="AE39" s="1290" t="str">
        <f>IF(Z39="","",IFERROR(VLOOKUP($Z39,'SpxSp (step-a)'!$B$22:$O$71,AE$14,FALSE),0))</f>
        <v/>
      </c>
      <c r="AG39" s="1290" t="str">
        <f t="shared" si="36"/>
        <v/>
      </c>
      <c r="AI39" s="1290" t="str">
        <f>IF($Z39="","",SUMIFS('SpxSp (step-b)'!L$26:L$75,'SpxSp (step-b)'!B$26:B$75,Z39,'SpxSp (step-b)'!N$26:N$75,"New"))</f>
        <v/>
      </c>
      <c r="AJ39" s="1290" t="str">
        <f>IF($Z39="","",SUMIFS('SpxSp (step-b)'!$L$26:$L$75,'SpxSp (step-b)'!$B$26:$B$75,$Z39,'SpxSp (step-b)'!N$26:N$75,""))</f>
        <v/>
      </c>
      <c r="AK39" s="1290" t="str">
        <f>IF($Z39="","",SUMIFS('SpxSp (step-b)'!$J$26:$J$75,'SpxSp (step-b)'!$B$26:$B$75,$Z39,'SpxSp (step-b)'!$N$26:$N$75,"New")+SUMIFS('SpxSp (step-b)'!$J$26:$J$75,'SpxSp (step-b)'!$B$26:$B$75,$Z39,'SpxSp (step-b)'!$N$26:$N$75,""))</f>
        <v/>
      </c>
      <c r="AL39" s="1290" t="str">
        <f>IF($Z39="","",SUMIFS('SpxSp (step-b)'!$L$26:$L$75,'SpxSp (step-b)'!$B$26:$B$75,$Z39,'SpxSp (step-b)'!$N$26:$N$75,"Existing Remains"))</f>
        <v/>
      </c>
      <c r="AM39" s="1290" t="str">
        <f>IF($Z39="","",SUMIFS('SpxSp (step-b)'!$L$26:$L$75,'SpxSp (step-b)'!$B$26:$B$75,$Z39,'SpxSp (step-b)'!$N$26:$N$75,"Existing Removed"))</f>
        <v/>
      </c>
      <c r="AN39" s="1290" t="str">
        <f>IF($Z39="","",SUMIFS('SpxSp (step-b)'!$J$26:$J$75,'SpxSp (step-b)'!$B$26:$B$75,$Z39,'SpxSp (step-b)'!$N$26:$N$75,"Existing Removed"))</f>
        <v/>
      </c>
      <c r="AO39" s="1290" t="str">
        <f t="shared" si="37"/>
        <v/>
      </c>
      <c r="AP39" s="1290" t="str">
        <f t="shared" si="18"/>
        <v/>
      </c>
      <c r="AQ39" s="1304"/>
      <c r="AR39" s="1305" t="str">
        <f t="shared" si="19"/>
        <v/>
      </c>
      <c r="AS39" s="1306" t="str">
        <f t="shared" si="20"/>
        <v/>
      </c>
      <c r="AT39" s="1307"/>
      <c r="AU39" s="1308" t="str">
        <f t="shared" si="21"/>
        <v/>
      </c>
      <c r="AV39" s="1309" t="str">
        <f t="shared" si="6"/>
        <v/>
      </c>
      <c r="AW39" s="1309" t="str">
        <f t="shared" si="22"/>
        <v/>
      </c>
      <c r="AX39" s="1310" t="str">
        <f t="shared" si="23"/>
        <v/>
      </c>
      <c r="AY39" s="1307"/>
      <c r="AZ39" s="1311" t="str">
        <f t="shared" si="24"/>
        <v/>
      </c>
      <c r="BA39" s="1309" t="str">
        <f t="shared" si="25"/>
        <v/>
      </c>
      <c r="BB39" s="1310" t="str">
        <f t="shared" si="26"/>
        <v/>
      </c>
      <c r="BC39" s="1312"/>
      <c r="BD39" s="1313" t="str">
        <f t="shared" si="35"/>
        <v/>
      </c>
      <c r="BE39" s="1290" t="str">
        <f t="shared" si="27"/>
        <v/>
      </c>
      <c r="BF39" s="1290" t="str">
        <f t="shared" si="28"/>
        <v/>
      </c>
      <c r="BH39" s="1315" t="str">
        <f t="shared" si="10"/>
        <v/>
      </c>
      <c r="BI39" s="1315"/>
      <c r="BJ39" s="1303" t="str">
        <f>IF(OR(BH39="Fail",BH39="Fail LPA",BH39=""),"",'SpxSp (step-a)'!CM43)</f>
        <v/>
      </c>
      <c r="BK39" s="1290">
        <f t="shared" si="30"/>
        <v>0</v>
      </c>
      <c r="BN39" s="178">
        <v>22</v>
      </c>
      <c r="BO39" s="1316" t="str">
        <f t="shared" ca="1" si="29"/>
        <v/>
      </c>
      <c r="BP39" s="1317" t="str">
        <f ca="1">IF(INDIRECT("'SpxSp (step-b)'!$B" &amp; BP$16)=$Z39,INDIRECT("'SpxSp (step-b)'!$" &amp; 'SpxSp (step-b)'!$BC$23 &amp; BP$16),"")</f>
        <v/>
      </c>
      <c r="BQ39" s="1317" t="str">
        <f ca="1">IF(INDIRECT("'SpxSp (step-b)'!$B" &amp; BQ$16)=$Z39,INDIRECT("'SpxSp (step-b)'!$" &amp; 'SpxSp (step-b)'!$BC$23 &amp; BQ$16),"")</f>
        <v/>
      </c>
      <c r="BR39" s="1317" t="str">
        <f ca="1">IF(INDIRECT("'SpxSp (step-b)'!$B" &amp; BR$16)=$Z39,INDIRECT("'SpxSp (step-b)'!$" &amp; 'SpxSp (step-b)'!$BC$23 &amp; BR$16),"")</f>
        <v/>
      </c>
      <c r="BS39" s="1317" t="str">
        <f ca="1">IF(INDIRECT("'SpxSp (step-b)'!$B" &amp; BS$16)=$Z39,INDIRECT("'SpxSp (step-b)'!$" &amp; 'SpxSp (step-b)'!$BC$23 &amp; BS$16),"")</f>
        <v/>
      </c>
      <c r="BT39" s="1317" t="str">
        <f ca="1">IF(INDIRECT("'SpxSp (step-b)'!$B" &amp; BT$16)=$Z39,INDIRECT("'SpxSp (step-b)'!$" &amp; 'SpxSp (step-b)'!$BC$23 &amp; BT$16),"")</f>
        <v/>
      </c>
      <c r="BU39" s="1317" t="str">
        <f ca="1">IF(INDIRECT("'SpxSp (step-b)'!$B" &amp; BU$16)=$Z39,INDIRECT("'SpxSp (step-b)'!$" &amp; 'SpxSp (step-b)'!$BC$23 &amp; BU$16),"")</f>
        <v/>
      </c>
      <c r="BV39" s="1317" t="str">
        <f ca="1">IF(INDIRECT("'SpxSp (step-b)'!$B" &amp; BV$16)=$Z39,INDIRECT("'SpxSp (step-b)'!$" &amp; 'SpxSp (step-b)'!$BC$23 &amp; BV$16),"")</f>
        <v/>
      </c>
      <c r="BW39" s="1317" t="str">
        <f ca="1">IF(INDIRECT("'SpxSp (step-b)'!$B" &amp; BW$16)=$Z39,INDIRECT("'SpxSp (step-b)'!$" &amp; 'SpxSp (step-b)'!$BC$23 &amp; BW$16),"")</f>
        <v/>
      </c>
      <c r="BX39" s="1317" t="str">
        <f ca="1">IF(INDIRECT("'SpxSp (step-b)'!$B" &amp; BX$16)=$Z39,INDIRECT("'SpxSp (step-b)'!$" &amp; 'SpxSp (step-b)'!$BC$23 &amp; BX$16),"")</f>
        <v/>
      </c>
      <c r="BY39" s="1317" t="str">
        <f ca="1">IF(INDIRECT("'SpxSp (step-b)'!$B" &amp; BY$16)=$Z39,INDIRECT("'SpxSp (step-b)'!$" &amp; 'SpxSp (step-b)'!$BC$23 &amp; BY$16),"")</f>
        <v/>
      </c>
      <c r="BZ39" s="1317" t="str">
        <f ca="1">IF(INDIRECT("'SpxSp (step-b)'!$B" &amp; BZ$16)=$Z39,INDIRECT("'SpxSp (step-b)'!$" &amp; 'SpxSp (step-b)'!$BC$23 &amp; BZ$16),"")</f>
        <v/>
      </c>
      <c r="CA39" s="1317" t="str">
        <f ca="1">IF(INDIRECT("'SpxSp (step-b)'!$B" &amp; CA$16)=$Z39,INDIRECT("'SpxSp (step-b)'!$" &amp; 'SpxSp (step-b)'!$BC$23 &amp; CA$16),"")</f>
        <v/>
      </c>
      <c r="CB39" s="1317" t="str">
        <f ca="1">IF(INDIRECT("'SpxSp (step-b)'!$B" &amp; CB$16)=$Z39,INDIRECT("'SpxSp (step-b)'!$" &amp; 'SpxSp (step-b)'!$BC$23 &amp; CB$16),"")</f>
        <v/>
      </c>
      <c r="CC39" s="1317" t="str">
        <f ca="1">IF(INDIRECT("'SpxSp (step-b)'!$B" &amp; CC$16)=$Z39,INDIRECT("'SpxSp (step-b)'!$" &amp; 'SpxSp (step-b)'!$BC$23 &amp; CC$16),"")</f>
        <v/>
      </c>
      <c r="CD39" s="1317" t="str">
        <f ca="1">IF(INDIRECT("'SpxSp (step-b)'!$B" &amp; CD$16)=$Z39,INDIRECT("'SpxSp (step-b)'!$" &amp; 'SpxSp (step-b)'!$BC$23 &amp; CD$16),"")</f>
        <v/>
      </c>
      <c r="CE39" s="1317" t="str">
        <f ca="1">IF(INDIRECT("'SpxSp (step-b)'!$B" &amp; CE$16)=$Z39,INDIRECT("'SpxSp (step-b)'!$" &amp; 'SpxSp (step-b)'!$BC$23 &amp; CE$16),"")</f>
        <v/>
      </c>
      <c r="CF39" s="1317" t="str">
        <f ca="1">IF(INDIRECT("'SpxSp (step-b)'!$B" &amp; CF$16)=$Z39,INDIRECT("'SpxSp (step-b)'!$" &amp; 'SpxSp (step-b)'!$BC$23 &amp; CF$16),"")</f>
        <v/>
      </c>
      <c r="CG39" s="1317" t="str">
        <f ca="1">IF(INDIRECT("'SpxSp (step-b)'!$B" &amp; CG$16)=$Z39,INDIRECT("'SpxSp (step-b)'!$" &amp; 'SpxSp (step-b)'!$BC$23 &amp; CG$16),"")</f>
        <v/>
      </c>
      <c r="CH39" s="1317" t="str">
        <f ca="1">IF(INDIRECT("'SpxSp (step-b)'!$B" &amp; CH$16)=$Z39,INDIRECT("'SpxSp (step-b)'!$" &amp; 'SpxSp (step-b)'!$BC$23 &amp; CH$16),"")</f>
        <v/>
      </c>
      <c r="CI39" s="1317" t="str">
        <f ca="1">IF(INDIRECT("'SpxSp (step-b)'!$B" &amp; CI$16)=$Z39,INDIRECT("'SpxSp (step-b)'!$" &amp; 'SpxSp (step-b)'!$BC$23 &amp; CI$16),"")</f>
        <v/>
      </c>
      <c r="CJ39" s="1317" t="str">
        <f ca="1">IF(INDIRECT("'SpxSp (step-b)'!$B" &amp; CJ$16)=$Z39,INDIRECT("'SpxSp (step-b)'!$" &amp; 'SpxSp (step-b)'!$BC$23 &amp; CJ$16),"")</f>
        <v/>
      </c>
      <c r="CK39" s="1317" t="str">
        <f ca="1">IF(INDIRECT("'SpxSp (step-b)'!$B" &amp; CK$16)=$Z39,INDIRECT("'SpxSp (step-b)'!$" &amp; 'SpxSp (step-b)'!$BC$23 &amp; CK$16),"")</f>
        <v/>
      </c>
      <c r="CL39" s="1317" t="str">
        <f ca="1">IF(INDIRECT("'SpxSp (step-b)'!$B" &amp; CL$16)=$Z39,INDIRECT("'SpxSp (step-b)'!$" &amp; 'SpxSp (step-b)'!$BC$23 &amp; CL$16),"")</f>
        <v/>
      </c>
      <c r="CM39" s="1317" t="str">
        <f ca="1">IF(INDIRECT("'SpxSp (step-b)'!$B" &amp; CM$16)=$Z39,INDIRECT("'SpxSp (step-b)'!$" &amp; 'SpxSp (step-b)'!$BC$23 &amp; CM$16),"")</f>
        <v/>
      </c>
      <c r="CN39" s="1317" t="str">
        <f ca="1">IF(INDIRECT("'SpxSp (step-b)'!$B" &amp; CN$16)=$Z39,INDIRECT("'SpxSp (step-b)'!$" &amp; 'SpxSp (step-b)'!$BC$23 &amp; CN$16),"")</f>
        <v/>
      </c>
      <c r="CO39" s="1317" t="str">
        <f ca="1">IF(INDIRECT("'SpxSp (step-b)'!$B" &amp; CO$16)=$Z39,INDIRECT("'SpxSp (step-b)'!$" &amp; 'SpxSp (step-b)'!$BC$23 &amp; CO$16),"")</f>
        <v/>
      </c>
      <c r="CP39" s="1317" t="str">
        <f ca="1">IF(INDIRECT("'SpxSp (step-b)'!$B" &amp; CP$16)=$Z39,INDIRECT("'SpxSp (step-b)'!$" &amp; 'SpxSp (step-b)'!$BC$23 &amp; CP$16),"")</f>
        <v/>
      </c>
      <c r="CQ39" s="1317" t="str">
        <f ca="1">IF(INDIRECT("'SpxSp (step-b)'!$B" &amp; CQ$16)=$Z39,INDIRECT("'SpxSp (step-b)'!$" &amp; 'SpxSp (step-b)'!$BC$23 &amp; CQ$16),"")</f>
        <v/>
      </c>
      <c r="CR39" s="1317" t="str">
        <f ca="1">IF(INDIRECT("'SpxSp (step-b)'!$B" &amp; CR$16)=$Z39,INDIRECT("'SpxSp (step-b)'!$" &amp; 'SpxSp (step-b)'!$BC$23 &amp; CR$16),"")</f>
        <v/>
      </c>
      <c r="CS39" s="1317" t="str">
        <f ca="1">IF(INDIRECT("'SpxSp (step-b)'!$B" &amp; CS$16)=$Z39,INDIRECT("'SpxSp (step-b)'!$" &amp; 'SpxSp (step-b)'!$BC$23 &amp; CS$16),"")</f>
        <v/>
      </c>
      <c r="CT39" s="1317" t="str">
        <f ca="1">IF(INDIRECT("'SpxSp (step-b)'!$B" &amp; CT$16)=$Z39,INDIRECT("'SpxSp (step-b)'!$" &amp; 'SpxSp (step-b)'!$BC$23 &amp; CT$16),"")</f>
        <v/>
      </c>
      <c r="CU39" s="1317" t="str">
        <f ca="1">IF(INDIRECT("'SpxSp (step-b)'!$B" &amp; CU$16)=$Z39,INDIRECT("'SpxSp (step-b)'!$" &amp; 'SpxSp (step-b)'!$BC$23 &amp; CU$16),"")</f>
        <v/>
      </c>
      <c r="CV39" s="1317" t="str">
        <f ca="1">IF(INDIRECT("'SpxSp (step-b)'!$B" &amp; CV$16)=$Z39,INDIRECT("'SpxSp (step-b)'!$" &amp; 'SpxSp (step-b)'!$BC$23 &amp; CV$16),"")</f>
        <v/>
      </c>
      <c r="CW39" s="1317" t="str">
        <f ca="1">IF(INDIRECT("'SpxSp (step-b)'!$B" &amp; CW$16)=$Z39,INDIRECT("'SpxSp (step-b)'!$" &amp; 'SpxSp (step-b)'!$BC$23 &amp; CW$16),"")</f>
        <v/>
      </c>
      <c r="CX39" s="1317" t="str">
        <f ca="1">IF(INDIRECT("'SpxSp (step-b)'!$B" &amp; CX$16)=$Z39,INDIRECT("'SpxSp (step-b)'!$" &amp; 'SpxSp (step-b)'!$BC$23 &amp; CX$16),"")</f>
        <v/>
      </c>
      <c r="CY39" s="1317" t="str">
        <f ca="1">IF(INDIRECT("'SpxSp (step-b)'!$B" &amp; CY$16)=$Z39,INDIRECT("'SpxSp (step-b)'!$" &amp; 'SpxSp (step-b)'!$BC$23 &amp; CY$16),"")</f>
        <v/>
      </c>
      <c r="CZ39" s="1317" t="str">
        <f ca="1">IF(INDIRECT("'SpxSp (step-b)'!$B" &amp; CZ$16)=$Z39,INDIRECT("'SpxSp (step-b)'!$" &amp; 'SpxSp (step-b)'!$BC$23 &amp; CZ$16),"")</f>
        <v/>
      </c>
      <c r="DA39" s="1317" t="str">
        <f ca="1">IF(INDIRECT("'SpxSp (step-b)'!$B" &amp; DA$16)=$Z39,INDIRECT("'SpxSp (step-b)'!$" &amp; 'SpxSp (step-b)'!$BC$23 &amp; DA$16),"")</f>
        <v/>
      </c>
      <c r="DB39" s="1317" t="str">
        <f ca="1">IF(INDIRECT("'SpxSp (step-b)'!$B" &amp; DB$16)=$Z39,INDIRECT("'SpxSp (step-b)'!$" &amp; 'SpxSp (step-b)'!$BC$23 &amp; DB$16),"")</f>
        <v/>
      </c>
      <c r="DC39" s="1317" t="str">
        <f ca="1">IF(INDIRECT("'SpxSp (step-b)'!$B" &amp; DC$16)=$Z39,INDIRECT("'SpxSp (step-b)'!$" &amp; 'SpxSp (step-b)'!$BC$23 &amp; DC$16),"")</f>
        <v/>
      </c>
      <c r="DD39" s="1317" t="str">
        <f ca="1">IF(INDIRECT("'SpxSp (step-b)'!$B" &amp; DD$16)=$Z39,INDIRECT("'SpxSp (step-b)'!$" &amp; 'SpxSp (step-b)'!$BC$23 &amp; DD$16),"")</f>
        <v/>
      </c>
      <c r="DE39" s="1317" t="str">
        <f ca="1">IF(INDIRECT("'SpxSp (step-b)'!$B" &amp; DE$16)=$Z39,INDIRECT("'SpxSp (step-b)'!$" &amp; 'SpxSp (step-b)'!$BC$23 &amp; DE$16),"")</f>
        <v/>
      </c>
      <c r="DF39" s="1317" t="str">
        <f ca="1">IF(INDIRECT("'SpxSp (step-b)'!$B" &amp; DF$16)=$Z39,INDIRECT("'SpxSp (step-b)'!$" &amp; 'SpxSp (step-b)'!$BC$23 &amp; DF$16),"")</f>
        <v/>
      </c>
      <c r="DG39" s="1317" t="str">
        <f ca="1">IF(INDIRECT("'SpxSp (step-b)'!$B" &amp; DG$16)=$Z39,INDIRECT("'SpxSp (step-b)'!$" &amp; 'SpxSp (step-b)'!$BC$23 &amp; DG$16),"")</f>
        <v/>
      </c>
      <c r="DH39" s="1317" t="str">
        <f ca="1">IF(INDIRECT("'SpxSp (step-b)'!$B" &amp; DH$16)=$Z39,INDIRECT("'SpxSp (step-b)'!$" &amp; 'SpxSp (step-b)'!$BC$23 &amp; DH$16),"")</f>
        <v/>
      </c>
      <c r="DI39" s="1317" t="str">
        <f ca="1">IF(INDIRECT("'SpxSp (step-b)'!$B" &amp; DI$16)=$Z39,INDIRECT("'SpxSp (step-b)'!$" &amp; 'SpxSp (step-b)'!$BC$23 &amp; DI$16),"")</f>
        <v/>
      </c>
      <c r="DJ39" s="1317" t="str">
        <f ca="1">IF(INDIRECT("'SpxSp (step-b)'!$B" &amp; DJ$16)=$Z39,INDIRECT("'SpxSp (step-b)'!$" &amp; 'SpxSp (step-b)'!$BC$23 &amp; DJ$16),"")</f>
        <v/>
      </c>
      <c r="DK39" s="1317" t="str">
        <f ca="1">IF(INDIRECT("'SpxSp (step-b)'!$B" &amp; DK$16)=$Z39,INDIRECT("'SpxSp (step-b)'!$" &amp; 'SpxSp (step-b)'!$BC$23 &amp; DK$16),"")</f>
        <v/>
      </c>
      <c r="DL39" s="1317" t="str">
        <f ca="1">IF(INDIRECT("'SpxSp (step-b)'!$B" &amp; DL$16)=$Z39,INDIRECT("'SpxSp (step-b)'!$" &amp; 'SpxSp (step-b)'!$BC$23 &amp; DL$16),"")</f>
        <v/>
      </c>
      <c r="DM39" s="1317" t="str">
        <f ca="1">IF(INDIRECT("'SpxSp (step-b)'!$B" &amp; DM$16)=$Z39,INDIRECT("'SpxSp (step-b)'!$" &amp; 'SpxSp (step-b)'!$BC$23 &amp; DM$16),"")</f>
        <v/>
      </c>
      <c r="DN39" s="1318" t="str">
        <f t="shared" ca="1" si="32"/>
        <v/>
      </c>
      <c r="DO39" s="1246" t="s">
        <v>1201</v>
      </c>
    </row>
    <row r="40" spans="2:119" ht="40" x14ac:dyDescent="0.2">
      <c r="B40" s="1450" t="str">
        <f t="shared" si="13"/>
        <v/>
      </c>
      <c r="C40" s="1451"/>
      <c r="D40" s="1451"/>
      <c r="E40" s="1451"/>
      <c r="F40" s="1452"/>
      <c r="G40" s="1319" t="str">
        <f t="shared" si="31"/>
        <v/>
      </c>
      <c r="H40" s="1320" t="str">
        <f t="shared" si="14"/>
        <v/>
      </c>
      <c r="I40" s="1321" t="str">
        <f t="shared" si="33"/>
        <v/>
      </c>
      <c r="J40" s="1296"/>
      <c r="K40" s="1322" t="str">
        <f>IFERROR(IF(OR(B40="",H40=0),"",VLOOKUP(B40,'SpxSp (step-c)'!B$18:O$67,6,FALSE)),"")</f>
        <v/>
      </c>
      <c r="L40" s="1323" t="str">
        <f ca="1">IFERROR(F(OR(B40="",H40=0),"",VLOOKUP($B40,'SpxSp (step-c)'!$B$18:O$67,12,FALSE)),"")</f>
        <v/>
      </c>
      <c r="M40" s="1321" t="str">
        <f ca="1">IF(AND(B40&lt;&gt;"",L40=""),"NA",IFERROR(VLOOKUP($B40,'SpxSp (step-c)'!$B$18:P$67,13,FALSE),""))</f>
        <v/>
      </c>
      <c r="N40" s="1324"/>
      <c r="O40" s="1322" t="str">
        <f>IFERROR(IF(OR(B40="",H40=0),"",VLOOKUP($B40,'SpxSp (step-d)'!$B$18:$P$67,12,FALSE)),"")</f>
        <v/>
      </c>
      <c r="P40" s="1323" t="str">
        <f>IFERROR(IF(OR(B40="",H40=0),"",VLOOKUP($B40,'SpxSp (step-d)'!$B$18:$P$67,13,FALSE)),"")</f>
        <v/>
      </c>
      <c r="Q40" s="1323" t="str">
        <f>IFERROR(IF(OR(B40="",H40=0),"",VLOOKUP($B40,'SpxSp (step-d)'!$B$18:$P$67,14,FALSE)),"")</f>
        <v/>
      </c>
      <c r="R40" s="1321" t="str">
        <f>IF(AND(B40&lt;&gt;"",P40=""),"NA",IFERROR(VLOOKUP(B40,'SpxSp (step-d)'!$B$18:$V$67,15,FALSE),""))</f>
        <v/>
      </c>
      <c r="S40" s="1296"/>
      <c r="T40" s="1325" t="str">
        <f t="shared" si="34"/>
        <v/>
      </c>
      <c r="U40" s="1326" t="str">
        <f t="shared" si="17"/>
        <v/>
      </c>
      <c r="Y40" s="1302">
        <v>23</v>
      </c>
      <c r="Z40" s="1303" t="str">
        <f>'SpxSp (step-a)'!B44</f>
        <v/>
      </c>
      <c r="AA40" s="1303" t="str">
        <f>'SpxSp (step-a)'!H44</f>
        <v/>
      </c>
      <c r="AB40" s="1290" t="str">
        <f>VLOOKUP($Z40,'SpxSp (step-a)'!$B$22:$O$71,AB$14,FALSE)</f>
        <v/>
      </c>
      <c r="AD40" s="1290" t="str">
        <f>IF(Z40="","",IFERROR(VLOOKUP($Z40,'SpxSp (step-a)'!$B$22:$O$71,AD$14,FALSE),0))</f>
        <v/>
      </c>
      <c r="AE40" s="1290" t="str">
        <f>IF(Z40="","",IFERROR(VLOOKUP($Z40,'SpxSp (step-a)'!$B$22:$O$71,AE$14,FALSE),0))</f>
        <v/>
      </c>
      <c r="AG40" s="1290" t="str">
        <f t="shared" si="36"/>
        <v/>
      </c>
      <c r="AI40" s="1290" t="str">
        <f>IF($Z40="","",SUMIFS('SpxSp (step-b)'!L$26:L$75,'SpxSp (step-b)'!B$26:B$75,Z40,'SpxSp (step-b)'!N$26:N$75,"New"))</f>
        <v/>
      </c>
      <c r="AJ40" s="1290" t="str">
        <f>IF($Z40="","",SUMIFS('SpxSp (step-b)'!$L$26:$L$75,'SpxSp (step-b)'!$B$26:$B$75,$Z40,'SpxSp (step-b)'!N$26:N$75,""))</f>
        <v/>
      </c>
      <c r="AK40" s="1290" t="str">
        <f>IF($Z40="","",SUMIFS('SpxSp (step-b)'!$J$26:$J$75,'SpxSp (step-b)'!$B$26:$B$75,$Z40,'SpxSp (step-b)'!$N$26:$N$75,"New")+SUMIFS('SpxSp (step-b)'!$J$26:$J$75,'SpxSp (step-b)'!$B$26:$B$75,$Z40,'SpxSp (step-b)'!$N$26:$N$75,""))</f>
        <v/>
      </c>
      <c r="AL40" s="1290" t="str">
        <f>IF($Z40="","",SUMIFS('SpxSp (step-b)'!$L$26:$L$75,'SpxSp (step-b)'!$B$26:$B$75,$Z40,'SpxSp (step-b)'!$N$26:$N$75,"Existing Remains"))</f>
        <v/>
      </c>
      <c r="AM40" s="1290" t="str">
        <f>IF($Z40="","",SUMIFS('SpxSp (step-b)'!$L$26:$L$75,'SpxSp (step-b)'!$B$26:$B$75,$Z40,'SpxSp (step-b)'!$N$26:$N$75,"Existing Removed"))</f>
        <v/>
      </c>
      <c r="AN40" s="1290" t="str">
        <f>IF($Z40="","",SUMIFS('SpxSp (step-b)'!$J$26:$J$75,'SpxSp (step-b)'!$B$26:$B$75,$Z40,'SpxSp (step-b)'!$N$26:$N$75,"Existing Removed"))</f>
        <v/>
      </c>
      <c r="AO40" s="1290" t="str">
        <f t="shared" si="37"/>
        <v/>
      </c>
      <c r="AP40" s="1290" t="str">
        <f t="shared" si="18"/>
        <v/>
      </c>
      <c r="AQ40" s="1304"/>
      <c r="AR40" s="1305" t="str">
        <f t="shared" si="19"/>
        <v/>
      </c>
      <c r="AS40" s="1306" t="str">
        <f t="shared" si="20"/>
        <v/>
      </c>
      <c r="AT40" s="1307"/>
      <c r="AU40" s="1308" t="str">
        <f t="shared" si="21"/>
        <v/>
      </c>
      <c r="AV40" s="1309" t="str">
        <f t="shared" si="6"/>
        <v/>
      </c>
      <c r="AW40" s="1309" t="str">
        <f t="shared" si="22"/>
        <v/>
      </c>
      <c r="AX40" s="1310" t="str">
        <f t="shared" si="23"/>
        <v/>
      </c>
      <c r="AY40" s="1307"/>
      <c r="AZ40" s="1311" t="str">
        <f t="shared" si="24"/>
        <v/>
      </c>
      <c r="BA40" s="1309" t="str">
        <f t="shared" si="25"/>
        <v/>
      </c>
      <c r="BB40" s="1310" t="str">
        <f t="shared" si="26"/>
        <v/>
      </c>
      <c r="BC40" s="1312"/>
      <c r="BD40" s="1313" t="str">
        <f t="shared" si="35"/>
        <v/>
      </c>
      <c r="BE40" s="1290" t="str">
        <f t="shared" si="27"/>
        <v/>
      </c>
      <c r="BF40" s="1290" t="str">
        <f t="shared" si="28"/>
        <v/>
      </c>
      <c r="BH40" s="1315" t="str">
        <f t="shared" si="10"/>
        <v/>
      </c>
      <c r="BI40" s="1315"/>
      <c r="BJ40" s="1303" t="str">
        <f>IF(OR(BH40="Fail",BH40="Fail LPA",BH40=""),"",'SpxSp (step-a)'!CM44)</f>
        <v/>
      </c>
      <c r="BK40" s="1290">
        <f t="shared" si="30"/>
        <v>0</v>
      </c>
      <c r="BN40" s="178">
        <v>23</v>
      </c>
      <c r="BO40" s="1316" t="str">
        <f t="shared" ca="1" si="29"/>
        <v/>
      </c>
      <c r="BP40" s="1317" t="str">
        <f ca="1">IF(INDIRECT("'SpxSp (step-b)'!$B" &amp; BP$16)=$Z40,INDIRECT("'SpxSp (step-b)'!$" &amp; 'SpxSp (step-b)'!$BC$23 &amp; BP$16),"")</f>
        <v/>
      </c>
      <c r="BQ40" s="1317" t="str">
        <f ca="1">IF(INDIRECT("'SpxSp (step-b)'!$B" &amp; BQ$16)=$Z40,INDIRECT("'SpxSp (step-b)'!$" &amp; 'SpxSp (step-b)'!$BC$23 &amp; BQ$16),"")</f>
        <v/>
      </c>
      <c r="BR40" s="1317" t="str">
        <f ca="1">IF(INDIRECT("'SpxSp (step-b)'!$B" &amp; BR$16)=$Z40,INDIRECT("'SpxSp (step-b)'!$" &amp; 'SpxSp (step-b)'!$BC$23 &amp; BR$16),"")</f>
        <v/>
      </c>
      <c r="BS40" s="1317" t="str">
        <f ca="1">IF(INDIRECT("'SpxSp (step-b)'!$B" &amp; BS$16)=$Z40,INDIRECT("'SpxSp (step-b)'!$" &amp; 'SpxSp (step-b)'!$BC$23 &amp; BS$16),"")</f>
        <v/>
      </c>
      <c r="BT40" s="1317" t="str">
        <f ca="1">IF(INDIRECT("'SpxSp (step-b)'!$B" &amp; BT$16)=$Z40,INDIRECT("'SpxSp (step-b)'!$" &amp; 'SpxSp (step-b)'!$BC$23 &amp; BT$16),"")</f>
        <v/>
      </c>
      <c r="BU40" s="1317" t="str">
        <f ca="1">IF(INDIRECT("'SpxSp (step-b)'!$B" &amp; BU$16)=$Z40,INDIRECT("'SpxSp (step-b)'!$" &amp; 'SpxSp (step-b)'!$BC$23 &amp; BU$16),"")</f>
        <v/>
      </c>
      <c r="BV40" s="1317" t="str">
        <f ca="1">IF(INDIRECT("'SpxSp (step-b)'!$B" &amp; BV$16)=$Z40,INDIRECT("'SpxSp (step-b)'!$" &amp; 'SpxSp (step-b)'!$BC$23 &amp; BV$16),"")</f>
        <v/>
      </c>
      <c r="BW40" s="1317" t="str">
        <f ca="1">IF(INDIRECT("'SpxSp (step-b)'!$B" &amp; BW$16)=$Z40,INDIRECT("'SpxSp (step-b)'!$" &amp; 'SpxSp (step-b)'!$BC$23 &amp; BW$16),"")</f>
        <v/>
      </c>
      <c r="BX40" s="1317" t="str">
        <f ca="1">IF(INDIRECT("'SpxSp (step-b)'!$B" &amp; BX$16)=$Z40,INDIRECT("'SpxSp (step-b)'!$" &amp; 'SpxSp (step-b)'!$BC$23 &amp; BX$16),"")</f>
        <v/>
      </c>
      <c r="BY40" s="1317" t="str">
        <f ca="1">IF(INDIRECT("'SpxSp (step-b)'!$B" &amp; BY$16)=$Z40,INDIRECT("'SpxSp (step-b)'!$" &amp; 'SpxSp (step-b)'!$BC$23 &amp; BY$16),"")</f>
        <v/>
      </c>
      <c r="BZ40" s="1317" t="str">
        <f ca="1">IF(INDIRECT("'SpxSp (step-b)'!$B" &amp; BZ$16)=$Z40,INDIRECT("'SpxSp (step-b)'!$" &amp; 'SpxSp (step-b)'!$BC$23 &amp; BZ$16),"")</f>
        <v/>
      </c>
      <c r="CA40" s="1317" t="str">
        <f ca="1">IF(INDIRECT("'SpxSp (step-b)'!$B" &amp; CA$16)=$Z40,INDIRECT("'SpxSp (step-b)'!$" &amp; 'SpxSp (step-b)'!$BC$23 &amp; CA$16),"")</f>
        <v/>
      </c>
      <c r="CB40" s="1317" t="str">
        <f ca="1">IF(INDIRECT("'SpxSp (step-b)'!$B" &amp; CB$16)=$Z40,INDIRECT("'SpxSp (step-b)'!$" &amp; 'SpxSp (step-b)'!$BC$23 &amp; CB$16),"")</f>
        <v/>
      </c>
      <c r="CC40" s="1317" t="str">
        <f ca="1">IF(INDIRECT("'SpxSp (step-b)'!$B" &amp; CC$16)=$Z40,INDIRECT("'SpxSp (step-b)'!$" &amp; 'SpxSp (step-b)'!$BC$23 &amp; CC$16),"")</f>
        <v/>
      </c>
      <c r="CD40" s="1317" t="str">
        <f ca="1">IF(INDIRECT("'SpxSp (step-b)'!$B" &amp; CD$16)=$Z40,INDIRECT("'SpxSp (step-b)'!$" &amp; 'SpxSp (step-b)'!$BC$23 &amp; CD$16),"")</f>
        <v/>
      </c>
      <c r="CE40" s="1317" t="str">
        <f ca="1">IF(INDIRECT("'SpxSp (step-b)'!$B" &amp; CE$16)=$Z40,INDIRECT("'SpxSp (step-b)'!$" &amp; 'SpxSp (step-b)'!$BC$23 &amp; CE$16),"")</f>
        <v/>
      </c>
      <c r="CF40" s="1317" t="str">
        <f ca="1">IF(INDIRECT("'SpxSp (step-b)'!$B" &amp; CF$16)=$Z40,INDIRECT("'SpxSp (step-b)'!$" &amp; 'SpxSp (step-b)'!$BC$23 &amp; CF$16),"")</f>
        <v/>
      </c>
      <c r="CG40" s="1317" t="str">
        <f ca="1">IF(INDIRECT("'SpxSp (step-b)'!$B" &amp; CG$16)=$Z40,INDIRECT("'SpxSp (step-b)'!$" &amp; 'SpxSp (step-b)'!$BC$23 &amp; CG$16),"")</f>
        <v/>
      </c>
      <c r="CH40" s="1317" t="str">
        <f ca="1">IF(INDIRECT("'SpxSp (step-b)'!$B" &amp; CH$16)=$Z40,INDIRECT("'SpxSp (step-b)'!$" &amp; 'SpxSp (step-b)'!$BC$23 &amp; CH$16),"")</f>
        <v/>
      </c>
      <c r="CI40" s="1317" t="str">
        <f ca="1">IF(INDIRECT("'SpxSp (step-b)'!$B" &amp; CI$16)=$Z40,INDIRECT("'SpxSp (step-b)'!$" &amp; 'SpxSp (step-b)'!$BC$23 &amp; CI$16),"")</f>
        <v/>
      </c>
      <c r="CJ40" s="1317" t="str">
        <f ca="1">IF(INDIRECT("'SpxSp (step-b)'!$B" &amp; CJ$16)=$Z40,INDIRECT("'SpxSp (step-b)'!$" &amp; 'SpxSp (step-b)'!$BC$23 &amp; CJ$16),"")</f>
        <v/>
      </c>
      <c r="CK40" s="1317" t="str">
        <f ca="1">IF(INDIRECT("'SpxSp (step-b)'!$B" &amp; CK$16)=$Z40,INDIRECT("'SpxSp (step-b)'!$" &amp; 'SpxSp (step-b)'!$BC$23 &amp; CK$16),"")</f>
        <v/>
      </c>
      <c r="CL40" s="1317" t="str">
        <f ca="1">IF(INDIRECT("'SpxSp (step-b)'!$B" &amp; CL$16)=$Z40,INDIRECT("'SpxSp (step-b)'!$" &amp; 'SpxSp (step-b)'!$BC$23 &amp; CL$16),"")</f>
        <v/>
      </c>
      <c r="CM40" s="1317" t="str">
        <f ca="1">IF(INDIRECT("'SpxSp (step-b)'!$B" &amp; CM$16)=$Z40,INDIRECT("'SpxSp (step-b)'!$" &amp; 'SpxSp (step-b)'!$BC$23 &amp; CM$16),"")</f>
        <v/>
      </c>
      <c r="CN40" s="1317" t="str">
        <f ca="1">IF(INDIRECT("'SpxSp (step-b)'!$B" &amp; CN$16)=$Z40,INDIRECT("'SpxSp (step-b)'!$" &amp; 'SpxSp (step-b)'!$BC$23 &amp; CN$16),"")</f>
        <v/>
      </c>
      <c r="CO40" s="1317" t="str">
        <f ca="1">IF(INDIRECT("'SpxSp (step-b)'!$B" &amp; CO$16)=$Z40,INDIRECT("'SpxSp (step-b)'!$" &amp; 'SpxSp (step-b)'!$BC$23 &amp; CO$16),"")</f>
        <v/>
      </c>
      <c r="CP40" s="1317" t="str">
        <f ca="1">IF(INDIRECT("'SpxSp (step-b)'!$B" &amp; CP$16)=$Z40,INDIRECT("'SpxSp (step-b)'!$" &amp; 'SpxSp (step-b)'!$BC$23 &amp; CP$16),"")</f>
        <v/>
      </c>
      <c r="CQ40" s="1317" t="str">
        <f ca="1">IF(INDIRECT("'SpxSp (step-b)'!$B" &amp; CQ$16)=$Z40,INDIRECT("'SpxSp (step-b)'!$" &amp; 'SpxSp (step-b)'!$BC$23 &amp; CQ$16),"")</f>
        <v/>
      </c>
      <c r="CR40" s="1317" t="str">
        <f ca="1">IF(INDIRECT("'SpxSp (step-b)'!$B" &amp; CR$16)=$Z40,INDIRECT("'SpxSp (step-b)'!$" &amp; 'SpxSp (step-b)'!$BC$23 &amp; CR$16),"")</f>
        <v/>
      </c>
      <c r="CS40" s="1317" t="str">
        <f ca="1">IF(INDIRECT("'SpxSp (step-b)'!$B" &amp; CS$16)=$Z40,INDIRECT("'SpxSp (step-b)'!$" &amp; 'SpxSp (step-b)'!$BC$23 &amp; CS$16),"")</f>
        <v/>
      </c>
      <c r="CT40" s="1317" t="str">
        <f ca="1">IF(INDIRECT("'SpxSp (step-b)'!$B" &amp; CT$16)=$Z40,INDIRECT("'SpxSp (step-b)'!$" &amp; 'SpxSp (step-b)'!$BC$23 &amp; CT$16),"")</f>
        <v/>
      </c>
      <c r="CU40" s="1317" t="str">
        <f ca="1">IF(INDIRECT("'SpxSp (step-b)'!$B" &amp; CU$16)=$Z40,INDIRECT("'SpxSp (step-b)'!$" &amp; 'SpxSp (step-b)'!$BC$23 &amp; CU$16),"")</f>
        <v/>
      </c>
      <c r="CV40" s="1317" t="str">
        <f ca="1">IF(INDIRECT("'SpxSp (step-b)'!$B" &amp; CV$16)=$Z40,INDIRECT("'SpxSp (step-b)'!$" &amp; 'SpxSp (step-b)'!$BC$23 &amp; CV$16),"")</f>
        <v/>
      </c>
      <c r="CW40" s="1317" t="str">
        <f ca="1">IF(INDIRECT("'SpxSp (step-b)'!$B" &amp; CW$16)=$Z40,INDIRECT("'SpxSp (step-b)'!$" &amp; 'SpxSp (step-b)'!$BC$23 &amp; CW$16),"")</f>
        <v/>
      </c>
      <c r="CX40" s="1317" t="str">
        <f ca="1">IF(INDIRECT("'SpxSp (step-b)'!$B" &amp; CX$16)=$Z40,INDIRECT("'SpxSp (step-b)'!$" &amp; 'SpxSp (step-b)'!$BC$23 &amp; CX$16),"")</f>
        <v/>
      </c>
      <c r="CY40" s="1317" t="str">
        <f ca="1">IF(INDIRECT("'SpxSp (step-b)'!$B" &amp; CY$16)=$Z40,INDIRECT("'SpxSp (step-b)'!$" &amp; 'SpxSp (step-b)'!$BC$23 &amp; CY$16),"")</f>
        <v/>
      </c>
      <c r="CZ40" s="1317" t="str">
        <f ca="1">IF(INDIRECT("'SpxSp (step-b)'!$B" &amp; CZ$16)=$Z40,INDIRECT("'SpxSp (step-b)'!$" &amp; 'SpxSp (step-b)'!$BC$23 &amp; CZ$16),"")</f>
        <v/>
      </c>
      <c r="DA40" s="1317" t="str">
        <f ca="1">IF(INDIRECT("'SpxSp (step-b)'!$B" &amp; DA$16)=$Z40,INDIRECT("'SpxSp (step-b)'!$" &amp; 'SpxSp (step-b)'!$BC$23 &amp; DA$16),"")</f>
        <v/>
      </c>
      <c r="DB40" s="1317" t="str">
        <f ca="1">IF(INDIRECT("'SpxSp (step-b)'!$B" &amp; DB$16)=$Z40,INDIRECT("'SpxSp (step-b)'!$" &amp; 'SpxSp (step-b)'!$BC$23 &amp; DB$16),"")</f>
        <v/>
      </c>
      <c r="DC40" s="1317" t="str">
        <f ca="1">IF(INDIRECT("'SpxSp (step-b)'!$B" &amp; DC$16)=$Z40,INDIRECT("'SpxSp (step-b)'!$" &amp; 'SpxSp (step-b)'!$BC$23 &amp; DC$16),"")</f>
        <v/>
      </c>
      <c r="DD40" s="1317" t="str">
        <f ca="1">IF(INDIRECT("'SpxSp (step-b)'!$B" &amp; DD$16)=$Z40,INDIRECT("'SpxSp (step-b)'!$" &amp; 'SpxSp (step-b)'!$BC$23 &amp; DD$16),"")</f>
        <v/>
      </c>
      <c r="DE40" s="1317" t="str">
        <f ca="1">IF(INDIRECT("'SpxSp (step-b)'!$B" &amp; DE$16)=$Z40,INDIRECT("'SpxSp (step-b)'!$" &amp; 'SpxSp (step-b)'!$BC$23 &amp; DE$16),"")</f>
        <v/>
      </c>
      <c r="DF40" s="1317" t="str">
        <f ca="1">IF(INDIRECT("'SpxSp (step-b)'!$B" &amp; DF$16)=$Z40,INDIRECT("'SpxSp (step-b)'!$" &amp; 'SpxSp (step-b)'!$BC$23 &amp; DF$16),"")</f>
        <v/>
      </c>
      <c r="DG40" s="1317" t="str">
        <f ca="1">IF(INDIRECT("'SpxSp (step-b)'!$B" &amp; DG$16)=$Z40,INDIRECT("'SpxSp (step-b)'!$" &amp; 'SpxSp (step-b)'!$BC$23 &amp; DG$16),"")</f>
        <v/>
      </c>
      <c r="DH40" s="1317" t="str">
        <f ca="1">IF(INDIRECT("'SpxSp (step-b)'!$B" &amp; DH$16)=$Z40,INDIRECT("'SpxSp (step-b)'!$" &amp; 'SpxSp (step-b)'!$BC$23 &amp; DH$16),"")</f>
        <v/>
      </c>
      <c r="DI40" s="1317" t="str">
        <f ca="1">IF(INDIRECT("'SpxSp (step-b)'!$B" &amp; DI$16)=$Z40,INDIRECT("'SpxSp (step-b)'!$" &amp; 'SpxSp (step-b)'!$BC$23 &amp; DI$16),"")</f>
        <v/>
      </c>
      <c r="DJ40" s="1317" t="str">
        <f ca="1">IF(INDIRECT("'SpxSp (step-b)'!$B" &amp; DJ$16)=$Z40,INDIRECT("'SpxSp (step-b)'!$" &amp; 'SpxSp (step-b)'!$BC$23 &amp; DJ$16),"")</f>
        <v/>
      </c>
      <c r="DK40" s="1317" t="str">
        <f ca="1">IF(INDIRECT("'SpxSp (step-b)'!$B" &amp; DK$16)=$Z40,INDIRECT("'SpxSp (step-b)'!$" &amp; 'SpxSp (step-b)'!$BC$23 &amp; DK$16),"")</f>
        <v/>
      </c>
      <c r="DL40" s="1317" t="str">
        <f ca="1">IF(INDIRECT("'SpxSp (step-b)'!$B" &amp; DL$16)=$Z40,INDIRECT("'SpxSp (step-b)'!$" &amp; 'SpxSp (step-b)'!$BC$23 &amp; DL$16),"")</f>
        <v/>
      </c>
      <c r="DM40" s="1317" t="str">
        <f ca="1">IF(INDIRECT("'SpxSp (step-b)'!$B" &amp; DM$16)=$Z40,INDIRECT("'SpxSp (step-b)'!$" &amp; 'SpxSp (step-b)'!$BC$23 &amp; DM$16),"")</f>
        <v/>
      </c>
      <c r="DN40" s="1318" t="str">
        <f t="shared" ca="1" si="32"/>
        <v/>
      </c>
      <c r="DO40" s="1246" t="s">
        <v>1201</v>
      </c>
    </row>
    <row r="41" spans="2:119" ht="40" x14ac:dyDescent="0.2">
      <c r="B41" s="1450" t="str">
        <f t="shared" si="13"/>
        <v/>
      </c>
      <c r="C41" s="1451"/>
      <c r="D41" s="1451"/>
      <c r="E41" s="1451"/>
      <c r="F41" s="1452"/>
      <c r="G41" s="1319" t="str">
        <f t="shared" si="31"/>
        <v/>
      </c>
      <c r="H41" s="1320" t="str">
        <f t="shared" si="14"/>
        <v/>
      </c>
      <c r="I41" s="1321" t="str">
        <f t="shared" si="33"/>
        <v/>
      </c>
      <c r="J41" s="1296"/>
      <c r="K41" s="1322" t="str">
        <f>IFERROR(IF(OR(B41="",H41=0),"",VLOOKUP(B41,'SpxSp (step-c)'!B$18:O$67,6,FALSE)),"")</f>
        <v/>
      </c>
      <c r="L41" s="1323" t="str">
        <f ca="1">IFERROR(F(OR(B41="",H41=0),"",VLOOKUP($B41,'SpxSp (step-c)'!$B$18:O$67,12,FALSE)),"")</f>
        <v/>
      </c>
      <c r="M41" s="1321" t="str">
        <f ca="1">IF(AND(B41&lt;&gt;"",L41=""),"NA",IFERROR(VLOOKUP($B41,'SpxSp (step-c)'!$B$18:P$67,13,FALSE),""))</f>
        <v/>
      </c>
      <c r="N41" s="1324"/>
      <c r="O41" s="1322" t="str">
        <f>IFERROR(IF(OR(B41="",H41=0),"",VLOOKUP($B41,'SpxSp (step-d)'!$B$18:$P$67,12,FALSE)),"")</f>
        <v/>
      </c>
      <c r="P41" s="1323" t="str">
        <f>IFERROR(IF(OR(B41="",H41=0),"",VLOOKUP($B41,'SpxSp (step-d)'!$B$18:$P$67,13,FALSE)),"")</f>
        <v/>
      </c>
      <c r="Q41" s="1323" t="str">
        <f>IFERROR(IF(OR(B41="",H41=0),"",VLOOKUP($B41,'SpxSp (step-d)'!$B$18:$P$67,14,FALSE)),"")</f>
        <v/>
      </c>
      <c r="R41" s="1321" t="str">
        <f>IF(AND(B41&lt;&gt;"",P41=""),"NA",IFERROR(VLOOKUP(B41,'SpxSp (step-d)'!$B$18:$V$67,15,FALSE),""))</f>
        <v/>
      </c>
      <c r="S41" s="1296"/>
      <c r="T41" s="1325" t="str">
        <f t="shared" si="34"/>
        <v/>
      </c>
      <c r="U41" s="1326" t="str">
        <f t="shared" si="17"/>
        <v/>
      </c>
      <c r="Y41" s="1302">
        <v>24</v>
      </c>
      <c r="Z41" s="1303" t="str">
        <f>'SpxSp (step-a)'!B45</f>
        <v/>
      </c>
      <c r="AA41" s="1303" t="str">
        <f>'SpxSp (step-a)'!H45</f>
        <v/>
      </c>
      <c r="AB41" s="1290" t="str">
        <f>VLOOKUP($Z41,'SpxSp (step-a)'!$B$22:$O$71,AB$14,FALSE)</f>
        <v/>
      </c>
      <c r="AD41" s="1290" t="str">
        <f>IF(Z41="","",IFERROR(VLOOKUP($Z41,'SpxSp (step-a)'!$B$22:$O$71,AD$14,FALSE),0))</f>
        <v/>
      </c>
      <c r="AE41" s="1290" t="str">
        <f>IF(Z41="","",IFERROR(VLOOKUP($Z41,'SpxSp (step-a)'!$B$22:$O$71,AE$14,FALSE),0))</f>
        <v/>
      </c>
      <c r="AG41" s="1290" t="str">
        <f t="shared" si="36"/>
        <v/>
      </c>
      <c r="AI41" s="1290" t="str">
        <f>IF($Z41="","",SUMIFS('SpxSp (step-b)'!L$26:L$75,'SpxSp (step-b)'!B$26:B$75,Z41,'SpxSp (step-b)'!N$26:N$75,"New"))</f>
        <v/>
      </c>
      <c r="AJ41" s="1290" t="str">
        <f>IF($Z41="","",SUMIFS('SpxSp (step-b)'!$L$26:$L$75,'SpxSp (step-b)'!$B$26:$B$75,$Z41,'SpxSp (step-b)'!N$26:N$75,""))</f>
        <v/>
      </c>
      <c r="AK41" s="1290" t="str">
        <f>IF($Z41="","",SUMIFS('SpxSp (step-b)'!$J$26:$J$75,'SpxSp (step-b)'!$B$26:$B$75,$Z41,'SpxSp (step-b)'!$N$26:$N$75,"New")+SUMIFS('SpxSp (step-b)'!$J$26:$J$75,'SpxSp (step-b)'!$B$26:$B$75,$Z41,'SpxSp (step-b)'!$N$26:$N$75,""))</f>
        <v/>
      </c>
      <c r="AL41" s="1290" t="str">
        <f>IF($Z41="","",SUMIFS('SpxSp (step-b)'!$L$26:$L$75,'SpxSp (step-b)'!$B$26:$B$75,$Z41,'SpxSp (step-b)'!$N$26:$N$75,"Existing Remains"))</f>
        <v/>
      </c>
      <c r="AM41" s="1290" t="str">
        <f>IF($Z41="","",SUMIFS('SpxSp (step-b)'!$L$26:$L$75,'SpxSp (step-b)'!$B$26:$B$75,$Z41,'SpxSp (step-b)'!$N$26:$N$75,"Existing Removed"))</f>
        <v/>
      </c>
      <c r="AN41" s="1290" t="str">
        <f>IF($Z41="","",SUMIFS('SpxSp (step-b)'!$J$26:$J$75,'SpxSp (step-b)'!$B$26:$B$75,$Z41,'SpxSp (step-b)'!$N$26:$N$75,"Existing Removed"))</f>
        <v/>
      </c>
      <c r="AO41" s="1290" t="str">
        <f t="shared" si="37"/>
        <v/>
      </c>
      <c r="AP41" s="1290" t="str">
        <f t="shared" si="18"/>
        <v/>
      </c>
      <c r="AQ41" s="1304"/>
      <c r="AR41" s="1305" t="str">
        <f t="shared" si="19"/>
        <v/>
      </c>
      <c r="AS41" s="1306" t="str">
        <f t="shared" si="20"/>
        <v/>
      </c>
      <c r="AT41" s="1307"/>
      <c r="AU41" s="1308" t="str">
        <f t="shared" si="21"/>
        <v/>
      </c>
      <c r="AV41" s="1309" t="str">
        <f t="shared" si="6"/>
        <v/>
      </c>
      <c r="AW41" s="1309" t="str">
        <f t="shared" si="22"/>
        <v/>
      </c>
      <c r="AX41" s="1310" t="str">
        <f t="shared" si="23"/>
        <v/>
      </c>
      <c r="AY41" s="1307"/>
      <c r="AZ41" s="1311" t="str">
        <f t="shared" si="24"/>
        <v/>
      </c>
      <c r="BA41" s="1309" t="str">
        <f t="shared" si="25"/>
        <v/>
      </c>
      <c r="BB41" s="1310" t="str">
        <f t="shared" si="26"/>
        <v/>
      </c>
      <c r="BC41" s="1312"/>
      <c r="BD41" s="1313" t="str">
        <f t="shared" si="35"/>
        <v/>
      </c>
      <c r="BE41" s="1290" t="str">
        <f t="shared" si="27"/>
        <v/>
      </c>
      <c r="BF41" s="1290" t="str">
        <f t="shared" si="28"/>
        <v/>
      </c>
      <c r="BH41" s="1315" t="str">
        <f t="shared" si="10"/>
        <v/>
      </c>
      <c r="BI41" s="1315"/>
      <c r="BJ41" s="1303" t="str">
        <f>IF(OR(BH41="Fail",BH41="Fail LPA",BH41=""),"",'SpxSp (step-a)'!CM45)</f>
        <v/>
      </c>
      <c r="BK41" s="1290">
        <f t="shared" si="30"/>
        <v>0</v>
      </c>
      <c r="BN41" s="178">
        <v>24</v>
      </c>
      <c r="BO41" s="1316" t="str">
        <f t="shared" ca="1" si="29"/>
        <v/>
      </c>
      <c r="BP41" s="1317" t="str">
        <f ca="1">IF(INDIRECT("'SpxSp (step-b)'!$B" &amp; BP$16)=$Z41,INDIRECT("'SpxSp (step-b)'!$" &amp; 'SpxSp (step-b)'!$BC$23 &amp; BP$16),"")</f>
        <v/>
      </c>
      <c r="BQ41" s="1317" t="str">
        <f ca="1">IF(INDIRECT("'SpxSp (step-b)'!$B" &amp; BQ$16)=$Z41,INDIRECT("'SpxSp (step-b)'!$" &amp; 'SpxSp (step-b)'!$BC$23 &amp; BQ$16),"")</f>
        <v/>
      </c>
      <c r="BR41" s="1317" t="str">
        <f ca="1">IF(INDIRECT("'SpxSp (step-b)'!$B" &amp; BR$16)=$Z41,INDIRECT("'SpxSp (step-b)'!$" &amp; 'SpxSp (step-b)'!$BC$23 &amp; BR$16),"")</f>
        <v/>
      </c>
      <c r="BS41" s="1317" t="str">
        <f ca="1">IF(INDIRECT("'SpxSp (step-b)'!$B" &amp; BS$16)=$Z41,INDIRECT("'SpxSp (step-b)'!$" &amp; 'SpxSp (step-b)'!$BC$23 &amp; BS$16),"")</f>
        <v/>
      </c>
      <c r="BT41" s="1317" t="str">
        <f ca="1">IF(INDIRECT("'SpxSp (step-b)'!$B" &amp; BT$16)=$Z41,INDIRECT("'SpxSp (step-b)'!$" &amp; 'SpxSp (step-b)'!$BC$23 &amp; BT$16),"")</f>
        <v/>
      </c>
      <c r="BU41" s="1317" t="str">
        <f ca="1">IF(INDIRECT("'SpxSp (step-b)'!$B" &amp; BU$16)=$Z41,INDIRECT("'SpxSp (step-b)'!$" &amp; 'SpxSp (step-b)'!$BC$23 &amp; BU$16),"")</f>
        <v/>
      </c>
      <c r="BV41" s="1317" t="str">
        <f ca="1">IF(INDIRECT("'SpxSp (step-b)'!$B" &amp; BV$16)=$Z41,INDIRECT("'SpxSp (step-b)'!$" &amp; 'SpxSp (step-b)'!$BC$23 &amp; BV$16),"")</f>
        <v/>
      </c>
      <c r="BW41" s="1317" t="str">
        <f ca="1">IF(INDIRECT("'SpxSp (step-b)'!$B" &amp; BW$16)=$Z41,INDIRECT("'SpxSp (step-b)'!$" &amp; 'SpxSp (step-b)'!$BC$23 &amp; BW$16),"")</f>
        <v/>
      </c>
      <c r="BX41" s="1317" t="str">
        <f ca="1">IF(INDIRECT("'SpxSp (step-b)'!$B" &amp; BX$16)=$Z41,INDIRECT("'SpxSp (step-b)'!$" &amp; 'SpxSp (step-b)'!$BC$23 &amp; BX$16),"")</f>
        <v/>
      </c>
      <c r="BY41" s="1317" t="str">
        <f ca="1">IF(INDIRECT("'SpxSp (step-b)'!$B" &amp; BY$16)=$Z41,INDIRECT("'SpxSp (step-b)'!$" &amp; 'SpxSp (step-b)'!$BC$23 &amp; BY$16),"")</f>
        <v/>
      </c>
      <c r="BZ41" s="1317" t="str">
        <f ca="1">IF(INDIRECT("'SpxSp (step-b)'!$B" &amp; BZ$16)=$Z41,INDIRECT("'SpxSp (step-b)'!$" &amp; 'SpxSp (step-b)'!$BC$23 &amp; BZ$16),"")</f>
        <v/>
      </c>
      <c r="CA41" s="1317" t="str">
        <f ca="1">IF(INDIRECT("'SpxSp (step-b)'!$B" &amp; CA$16)=$Z41,INDIRECT("'SpxSp (step-b)'!$" &amp; 'SpxSp (step-b)'!$BC$23 &amp; CA$16),"")</f>
        <v/>
      </c>
      <c r="CB41" s="1317" t="str">
        <f ca="1">IF(INDIRECT("'SpxSp (step-b)'!$B" &amp; CB$16)=$Z41,INDIRECT("'SpxSp (step-b)'!$" &amp; 'SpxSp (step-b)'!$BC$23 &amp; CB$16),"")</f>
        <v/>
      </c>
      <c r="CC41" s="1317" t="str">
        <f ca="1">IF(INDIRECT("'SpxSp (step-b)'!$B" &amp; CC$16)=$Z41,INDIRECT("'SpxSp (step-b)'!$" &amp; 'SpxSp (step-b)'!$BC$23 &amp; CC$16),"")</f>
        <v/>
      </c>
      <c r="CD41" s="1317" t="str">
        <f ca="1">IF(INDIRECT("'SpxSp (step-b)'!$B" &amp; CD$16)=$Z41,INDIRECT("'SpxSp (step-b)'!$" &amp; 'SpxSp (step-b)'!$BC$23 &amp; CD$16),"")</f>
        <v/>
      </c>
      <c r="CE41" s="1317" t="str">
        <f ca="1">IF(INDIRECT("'SpxSp (step-b)'!$B" &amp; CE$16)=$Z41,INDIRECT("'SpxSp (step-b)'!$" &amp; 'SpxSp (step-b)'!$BC$23 &amp; CE$16),"")</f>
        <v/>
      </c>
      <c r="CF41" s="1317" t="str">
        <f ca="1">IF(INDIRECT("'SpxSp (step-b)'!$B" &amp; CF$16)=$Z41,INDIRECT("'SpxSp (step-b)'!$" &amp; 'SpxSp (step-b)'!$BC$23 &amp; CF$16),"")</f>
        <v/>
      </c>
      <c r="CG41" s="1317" t="str">
        <f ca="1">IF(INDIRECT("'SpxSp (step-b)'!$B" &amp; CG$16)=$Z41,INDIRECT("'SpxSp (step-b)'!$" &amp; 'SpxSp (step-b)'!$BC$23 &amp; CG$16),"")</f>
        <v/>
      </c>
      <c r="CH41" s="1317" t="str">
        <f ca="1">IF(INDIRECT("'SpxSp (step-b)'!$B" &amp; CH$16)=$Z41,INDIRECT("'SpxSp (step-b)'!$" &amp; 'SpxSp (step-b)'!$BC$23 &amp; CH$16),"")</f>
        <v/>
      </c>
      <c r="CI41" s="1317" t="str">
        <f ca="1">IF(INDIRECT("'SpxSp (step-b)'!$B" &amp; CI$16)=$Z41,INDIRECT("'SpxSp (step-b)'!$" &amp; 'SpxSp (step-b)'!$BC$23 &amp; CI$16),"")</f>
        <v/>
      </c>
      <c r="CJ41" s="1317" t="str">
        <f ca="1">IF(INDIRECT("'SpxSp (step-b)'!$B" &amp; CJ$16)=$Z41,INDIRECT("'SpxSp (step-b)'!$" &amp; 'SpxSp (step-b)'!$BC$23 &amp; CJ$16),"")</f>
        <v/>
      </c>
      <c r="CK41" s="1317" t="str">
        <f ca="1">IF(INDIRECT("'SpxSp (step-b)'!$B" &amp; CK$16)=$Z41,INDIRECT("'SpxSp (step-b)'!$" &amp; 'SpxSp (step-b)'!$BC$23 &amp; CK$16),"")</f>
        <v/>
      </c>
      <c r="CL41" s="1317" t="str">
        <f ca="1">IF(INDIRECT("'SpxSp (step-b)'!$B" &amp; CL$16)=$Z41,INDIRECT("'SpxSp (step-b)'!$" &amp; 'SpxSp (step-b)'!$BC$23 &amp; CL$16),"")</f>
        <v/>
      </c>
      <c r="CM41" s="1317" t="str">
        <f ca="1">IF(INDIRECT("'SpxSp (step-b)'!$B" &amp; CM$16)=$Z41,INDIRECT("'SpxSp (step-b)'!$" &amp; 'SpxSp (step-b)'!$BC$23 &amp; CM$16),"")</f>
        <v/>
      </c>
      <c r="CN41" s="1317" t="str">
        <f ca="1">IF(INDIRECT("'SpxSp (step-b)'!$B" &amp; CN$16)=$Z41,INDIRECT("'SpxSp (step-b)'!$" &amp; 'SpxSp (step-b)'!$BC$23 &amp; CN$16),"")</f>
        <v/>
      </c>
      <c r="CO41" s="1317" t="str">
        <f ca="1">IF(INDIRECT("'SpxSp (step-b)'!$B" &amp; CO$16)=$Z41,INDIRECT("'SpxSp (step-b)'!$" &amp; 'SpxSp (step-b)'!$BC$23 &amp; CO$16),"")</f>
        <v/>
      </c>
      <c r="CP41" s="1317" t="str">
        <f ca="1">IF(INDIRECT("'SpxSp (step-b)'!$B" &amp; CP$16)=$Z41,INDIRECT("'SpxSp (step-b)'!$" &amp; 'SpxSp (step-b)'!$BC$23 &amp; CP$16),"")</f>
        <v/>
      </c>
      <c r="CQ41" s="1317" t="str">
        <f ca="1">IF(INDIRECT("'SpxSp (step-b)'!$B" &amp; CQ$16)=$Z41,INDIRECT("'SpxSp (step-b)'!$" &amp; 'SpxSp (step-b)'!$BC$23 &amp; CQ$16),"")</f>
        <v/>
      </c>
      <c r="CR41" s="1317" t="str">
        <f ca="1">IF(INDIRECT("'SpxSp (step-b)'!$B" &amp; CR$16)=$Z41,INDIRECT("'SpxSp (step-b)'!$" &amp; 'SpxSp (step-b)'!$BC$23 &amp; CR$16),"")</f>
        <v/>
      </c>
      <c r="CS41" s="1317" t="str">
        <f ca="1">IF(INDIRECT("'SpxSp (step-b)'!$B" &amp; CS$16)=$Z41,INDIRECT("'SpxSp (step-b)'!$" &amp; 'SpxSp (step-b)'!$BC$23 &amp; CS$16),"")</f>
        <v/>
      </c>
      <c r="CT41" s="1317" t="str">
        <f ca="1">IF(INDIRECT("'SpxSp (step-b)'!$B" &amp; CT$16)=$Z41,INDIRECT("'SpxSp (step-b)'!$" &amp; 'SpxSp (step-b)'!$BC$23 &amp; CT$16),"")</f>
        <v/>
      </c>
      <c r="CU41" s="1317" t="str">
        <f ca="1">IF(INDIRECT("'SpxSp (step-b)'!$B" &amp; CU$16)=$Z41,INDIRECT("'SpxSp (step-b)'!$" &amp; 'SpxSp (step-b)'!$BC$23 &amp; CU$16),"")</f>
        <v/>
      </c>
      <c r="CV41" s="1317" t="str">
        <f ca="1">IF(INDIRECT("'SpxSp (step-b)'!$B" &amp; CV$16)=$Z41,INDIRECT("'SpxSp (step-b)'!$" &amp; 'SpxSp (step-b)'!$BC$23 &amp; CV$16),"")</f>
        <v/>
      </c>
      <c r="CW41" s="1317" t="str">
        <f ca="1">IF(INDIRECT("'SpxSp (step-b)'!$B" &amp; CW$16)=$Z41,INDIRECT("'SpxSp (step-b)'!$" &amp; 'SpxSp (step-b)'!$BC$23 &amp; CW$16),"")</f>
        <v/>
      </c>
      <c r="CX41" s="1317" t="str">
        <f ca="1">IF(INDIRECT("'SpxSp (step-b)'!$B" &amp; CX$16)=$Z41,INDIRECT("'SpxSp (step-b)'!$" &amp; 'SpxSp (step-b)'!$BC$23 &amp; CX$16),"")</f>
        <v/>
      </c>
      <c r="CY41" s="1317" t="str">
        <f ca="1">IF(INDIRECT("'SpxSp (step-b)'!$B" &amp; CY$16)=$Z41,INDIRECT("'SpxSp (step-b)'!$" &amp; 'SpxSp (step-b)'!$BC$23 &amp; CY$16),"")</f>
        <v/>
      </c>
      <c r="CZ41" s="1317" t="str">
        <f ca="1">IF(INDIRECT("'SpxSp (step-b)'!$B" &amp; CZ$16)=$Z41,INDIRECT("'SpxSp (step-b)'!$" &amp; 'SpxSp (step-b)'!$BC$23 &amp; CZ$16),"")</f>
        <v/>
      </c>
      <c r="DA41" s="1317" t="str">
        <f ca="1">IF(INDIRECT("'SpxSp (step-b)'!$B" &amp; DA$16)=$Z41,INDIRECT("'SpxSp (step-b)'!$" &amp; 'SpxSp (step-b)'!$BC$23 &amp; DA$16),"")</f>
        <v/>
      </c>
      <c r="DB41" s="1317" t="str">
        <f ca="1">IF(INDIRECT("'SpxSp (step-b)'!$B" &amp; DB$16)=$Z41,INDIRECT("'SpxSp (step-b)'!$" &amp; 'SpxSp (step-b)'!$BC$23 &amp; DB$16),"")</f>
        <v/>
      </c>
      <c r="DC41" s="1317" t="str">
        <f ca="1">IF(INDIRECT("'SpxSp (step-b)'!$B" &amp; DC$16)=$Z41,INDIRECT("'SpxSp (step-b)'!$" &amp; 'SpxSp (step-b)'!$BC$23 &amp; DC$16),"")</f>
        <v/>
      </c>
      <c r="DD41" s="1317" t="str">
        <f ca="1">IF(INDIRECT("'SpxSp (step-b)'!$B" &amp; DD$16)=$Z41,INDIRECT("'SpxSp (step-b)'!$" &amp; 'SpxSp (step-b)'!$BC$23 &amp; DD$16),"")</f>
        <v/>
      </c>
      <c r="DE41" s="1317" t="str">
        <f ca="1">IF(INDIRECT("'SpxSp (step-b)'!$B" &amp; DE$16)=$Z41,INDIRECT("'SpxSp (step-b)'!$" &amp; 'SpxSp (step-b)'!$BC$23 &amp; DE$16),"")</f>
        <v/>
      </c>
      <c r="DF41" s="1317" t="str">
        <f ca="1">IF(INDIRECT("'SpxSp (step-b)'!$B" &amp; DF$16)=$Z41,INDIRECT("'SpxSp (step-b)'!$" &amp; 'SpxSp (step-b)'!$BC$23 &amp; DF$16),"")</f>
        <v/>
      </c>
      <c r="DG41" s="1317" t="str">
        <f ca="1">IF(INDIRECT("'SpxSp (step-b)'!$B" &amp; DG$16)=$Z41,INDIRECT("'SpxSp (step-b)'!$" &amp; 'SpxSp (step-b)'!$BC$23 &amp; DG$16),"")</f>
        <v/>
      </c>
      <c r="DH41" s="1317" t="str">
        <f ca="1">IF(INDIRECT("'SpxSp (step-b)'!$B" &amp; DH$16)=$Z41,INDIRECT("'SpxSp (step-b)'!$" &amp; 'SpxSp (step-b)'!$BC$23 &amp; DH$16),"")</f>
        <v/>
      </c>
      <c r="DI41" s="1317" t="str">
        <f ca="1">IF(INDIRECT("'SpxSp (step-b)'!$B" &amp; DI$16)=$Z41,INDIRECT("'SpxSp (step-b)'!$" &amp; 'SpxSp (step-b)'!$BC$23 &amp; DI$16),"")</f>
        <v/>
      </c>
      <c r="DJ41" s="1317" t="str">
        <f ca="1">IF(INDIRECT("'SpxSp (step-b)'!$B" &amp; DJ$16)=$Z41,INDIRECT("'SpxSp (step-b)'!$" &amp; 'SpxSp (step-b)'!$BC$23 &amp; DJ$16),"")</f>
        <v/>
      </c>
      <c r="DK41" s="1317" t="str">
        <f ca="1">IF(INDIRECT("'SpxSp (step-b)'!$B" &amp; DK$16)=$Z41,INDIRECT("'SpxSp (step-b)'!$" &amp; 'SpxSp (step-b)'!$BC$23 &amp; DK$16),"")</f>
        <v/>
      </c>
      <c r="DL41" s="1317" t="str">
        <f ca="1">IF(INDIRECT("'SpxSp (step-b)'!$B" &amp; DL$16)=$Z41,INDIRECT("'SpxSp (step-b)'!$" &amp; 'SpxSp (step-b)'!$BC$23 &amp; DL$16),"")</f>
        <v/>
      </c>
      <c r="DM41" s="1317" t="str">
        <f ca="1">IF(INDIRECT("'SpxSp (step-b)'!$B" &amp; DM$16)=$Z41,INDIRECT("'SpxSp (step-b)'!$" &amp; 'SpxSp (step-b)'!$BC$23 &amp; DM$16),"")</f>
        <v/>
      </c>
      <c r="DN41" s="1318" t="str">
        <f t="shared" ca="1" si="32"/>
        <v/>
      </c>
      <c r="DO41" s="1246" t="s">
        <v>1201</v>
      </c>
    </row>
    <row r="42" spans="2:119" ht="40" x14ac:dyDescent="0.2">
      <c r="B42" s="1450" t="str">
        <f t="shared" si="13"/>
        <v/>
      </c>
      <c r="C42" s="1451"/>
      <c r="D42" s="1451"/>
      <c r="E42" s="1451"/>
      <c r="F42" s="1452"/>
      <c r="G42" s="1319" t="str">
        <f t="shared" si="31"/>
        <v/>
      </c>
      <c r="H42" s="1320" t="str">
        <f t="shared" si="14"/>
        <v/>
      </c>
      <c r="I42" s="1321" t="str">
        <f t="shared" si="33"/>
        <v/>
      </c>
      <c r="J42" s="1296"/>
      <c r="K42" s="1322" t="str">
        <f>IFERROR(IF(OR(B42="",H42=0),"",VLOOKUP(B42,'SpxSp (step-c)'!B$18:O$67,6,FALSE)),"")</f>
        <v/>
      </c>
      <c r="L42" s="1323" t="str">
        <f ca="1">IFERROR(F(OR(B42="",H42=0),"",VLOOKUP($B42,'SpxSp (step-c)'!$B$18:O$67,12,FALSE)),"")</f>
        <v/>
      </c>
      <c r="M42" s="1321" t="str">
        <f ca="1">IF(AND(B42&lt;&gt;"",L42=""),"NA",IFERROR(VLOOKUP($B42,'SpxSp (step-c)'!$B$18:P$67,13,FALSE),""))</f>
        <v/>
      </c>
      <c r="N42" s="1324"/>
      <c r="O42" s="1322" t="str">
        <f>IFERROR(IF(OR(B42="",H42=0),"",VLOOKUP($B42,'SpxSp (step-d)'!$B$18:$P$67,12,FALSE)),"")</f>
        <v/>
      </c>
      <c r="P42" s="1323" t="str">
        <f>IFERROR(IF(OR(B42="",H42=0),"",VLOOKUP($B42,'SpxSp (step-d)'!$B$18:$P$67,13,FALSE)),"")</f>
        <v/>
      </c>
      <c r="Q42" s="1323" t="str">
        <f>IFERROR(IF(OR(B42="",H42=0),"",VLOOKUP($B42,'SpxSp (step-d)'!$B$18:$P$67,14,FALSE)),"")</f>
        <v/>
      </c>
      <c r="R42" s="1321" t="str">
        <f>IF(AND(B42&lt;&gt;"",P42=""),"NA",IFERROR(VLOOKUP(B42,'SpxSp (step-d)'!$B$18:$V$67,15,FALSE),""))</f>
        <v/>
      </c>
      <c r="S42" s="1296"/>
      <c r="T42" s="1325" t="str">
        <f t="shared" si="34"/>
        <v/>
      </c>
      <c r="U42" s="1326" t="str">
        <f t="shared" si="17"/>
        <v/>
      </c>
      <c r="Y42" s="1302">
        <v>25</v>
      </c>
      <c r="Z42" s="1303" t="str">
        <f>'SpxSp (step-a)'!B46</f>
        <v/>
      </c>
      <c r="AA42" s="1303" t="str">
        <f>'SpxSp (step-a)'!H46</f>
        <v/>
      </c>
      <c r="AB42" s="1290" t="str">
        <f>VLOOKUP($Z42,'SpxSp (step-a)'!$B$22:$O$71,AB$14,FALSE)</f>
        <v/>
      </c>
      <c r="AD42" s="1290" t="str">
        <f>IF(Z42="","",IFERROR(VLOOKUP($Z42,'SpxSp (step-a)'!$B$22:$O$71,AD$14,FALSE),0))</f>
        <v/>
      </c>
      <c r="AE42" s="1290" t="str">
        <f>IF(Z42="","",IFERROR(VLOOKUP($Z42,'SpxSp (step-a)'!$B$22:$O$71,AE$14,FALSE),0))</f>
        <v/>
      </c>
      <c r="AG42" s="1290" t="str">
        <f t="shared" si="36"/>
        <v/>
      </c>
      <c r="AI42" s="1290" t="str">
        <f>IF($Z42="","",SUMIFS('SpxSp (step-b)'!L$26:L$75,'SpxSp (step-b)'!B$26:B$75,Z42,'SpxSp (step-b)'!N$26:N$75,"New"))</f>
        <v/>
      </c>
      <c r="AJ42" s="1290" t="str">
        <f>IF($Z42="","",SUMIFS('SpxSp (step-b)'!$L$26:$L$75,'SpxSp (step-b)'!$B$26:$B$75,$Z42,'SpxSp (step-b)'!N$26:N$75,""))</f>
        <v/>
      </c>
      <c r="AK42" s="1290" t="str">
        <f>IF($Z42="","",SUMIFS('SpxSp (step-b)'!$J$26:$J$75,'SpxSp (step-b)'!$B$26:$B$75,$Z42,'SpxSp (step-b)'!$N$26:$N$75,"New")+SUMIFS('SpxSp (step-b)'!$J$26:$J$75,'SpxSp (step-b)'!$B$26:$B$75,$Z42,'SpxSp (step-b)'!$N$26:$N$75,""))</f>
        <v/>
      </c>
      <c r="AL42" s="1290" t="str">
        <f>IF($Z42="","",SUMIFS('SpxSp (step-b)'!$L$26:$L$75,'SpxSp (step-b)'!$B$26:$B$75,$Z42,'SpxSp (step-b)'!$N$26:$N$75,"Existing Remains"))</f>
        <v/>
      </c>
      <c r="AM42" s="1290" t="str">
        <f>IF($Z42="","",SUMIFS('SpxSp (step-b)'!$L$26:$L$75,'SpxSp (step-b)'!$B$26:$B$75,$Z42,'SpxSp (step-b)'!$N$26:$N$75,"Existing Removed"))</f>
        <v/>
      </c>
      <c r="AN42" s="1290" t="str">
        <f>IF($Z42="","",SUMIFS('SpxSp (step-b)'!$J$26:$J$75,'SpxSp (step-b)'!$B$26:$B$75,$Z42,'SpxSp (step-b)'!$N$26:$N$75,"Existing Removed"))</f>
        <v/>
      </c>
      <c r="AO42" s="1290" t="str">
        <f t="shared" si="37"/>
        <v/>
      </c>
      <c r="AP42" s="1290" t="str">
        <f t="shared" si="18"/>
        <v/>
      </c>
      <c r="AQ42" s="1304"/>
      <c r="AR42" s="1305" t="str">
        <f t="shared" si="19"/>
        <v/>
      </c>
      <c r="AS42" s="1306" t="str">
        <f t="shared" si="20"/>
        <v/>
      </c>
      <c r="AT42" s="1307"/>
      <c r="AU42" s="1308" t="str">
        <f t="shared" si="21"/>
        <v/>
      </c>
      <c r="AV42" s="1309" t="str">
        <f t="shared" si="6"/>
        <v/>
      </c>
      <c r="AW42" s="1309" t="str">
        <f t="shared" si="22"/>
        <v/>
      </c>
      <c r="AX42" s="1310" t="str">
        <f t="shared" si="23"/>
        <v/>
      </c>
      <c r="AY42" s="1307"/>
      <c r="AZ42" s="1311" t="str">
        <f t="shared" si="24"/>
        <v/>
      </c>
      <c r="BA42" s="1309" t="str">
        <f t="shared" si="25"/>
        <v/>
      </c>
      <c r="BB42" s="1310" t="str">
        <f t="shared" si="26"/>
        <v/>
      </c>
      <c r="BC42" s="1312"/>
      <c r="BD42" s="1313" t="str">
        <f t="shared" si="35"/>
        <v/>
      </c>
      <c r="BE42" s="1290" t="str">
        <f t="shared" si="27"/>
        <v/>
      </c>
      <c r="BF42" s="1290" t="str">
        <f t="shared" si="28"/>
        <v/>
      </c>
      <c r="BH42" s="1315" t="str">
        <f t="shared" si="10"/>
        <v/>
      </c>
      <c r="BI42" s="1315"/>
      <c r="BJ42" s="1303" t="str">
        <f>IF(OR(BH42="Fail",BH42="Fail LPA",BH42=""),"",'SpxSp (step-a)'!CM46)</f>
        <v/>
      </c>
      <c r="BK42" s="1290">
        <f t="shared" si="30"/>
        <v>0</v>
      </c>
      <c r="BN42" s="178">
        <v>25</v>
      </c>
      <c r="BO42" s="1316" t="str">
        <f t="shared" ca="1" si="29"/>
        <v/>
      </c>
      <c r="BP42" s="1317" t="str">
        <f ca="1">IF(INDIRECT("'SpxSp (step-b)'!$B" &amp; BP$16)=$Z42,INDIRECT("'SpxSp (step-b)'!$" &amp; 'SpxSp (step-b)'!$BC$23 &amp; BP$16),"")</f>
        <v/>
      </c>
      <c r="BQ42" s="1317" t="str">
        <f ca="1">IF(INDIRECT("'SpxSp (step-b)'!$B" &amp; BQ$16)=$Z42,INDIRECT("'SpxSp (step-b)'!$" &amp; 'SpxSp (step-b)'!$BC$23 &amp; BQ$16),"")</f>
        <v/>
      </c>
      <c r="BR42" s="1317" t="str">
        <f ca="1">IF(INDIRECT("'SpxSp (step-b)'!$B" &amp; BR$16)=$Z42,INDIRECT("'SpxSp (step-b)'!$" &amp; 'SpxSp (step-b)'!$BC$23 &amp; BR$16),"")</f>
        <v/>
      </c>
      <c r="BS42" s="1317" t="str">
        <f ca="1">IF(INDIRECT("'SpxSp (step-b)'!$B" &amp; BS$16)=$Z42,INDIRECT("'SpxSp (step-b)'!$" &amp; 'SpxSp (step-b)'!$BC$23 &amp; BS$16),"")</f>
        <v/>
      </c>
      <c r="BT42" s="1317" t="str">
        <f ca="1">IF(INDIRECT("'SpxSp (step-b)'!$B" &amp; BT$16)=$Z42,INDIRECT("'SpxSp (step-b)'!$" &amp; 'SpxSp (step-b)'!$BC$23 &amp; BT$16),"")</f>
        <v/>
      </c>
      <c r="BU42" s="1317" t="str">
        <f ca="1">IF(INDIRECT("'SpxSp (step-b)'!$B" &amp; BU$16)=$Z42,INDIRECT("'SpxSp (step-b)'!$" &amp; 'SpxSp (step-b)'!$BC$23 &amp; BU$16),"")</f>
        <v/>
      </c>
      <c r="BV42" s="1317" t="str">
        <f ca="1">IF(INDIRECT("'SpxSp (step-b)'!$B" &amp; BV$16)=$Z42,INDIRECT("'SpxSp (step-b)'!$" &amp; 'SpxSp (step-b)'!$BC$23 &amp; BV$16),"")</f>
        <v/>
      </c>
      <c r="BW42" s="1317" t="str">
        <f ca="1">IF(INDIRECT("'SpxSp (step-b)'!$B" &amp; BW$16)=$Z42,INDIRECT("'SpxSp (step-b)'!$" &amp; 'SpxSp (step-b)'!$BC$23 &amp; BW$16),"")</f>
        <v/>
      </c>
      <c r="BX42" s="1317" t="str">
        <f ca="1">IF(INDIRECT("'SpxSp (step-b)'!$B" &amp; BX$16)=$Z42,INDIRECT("'SpxSp (step-b)'!$" &amp; 'SpxSp (step-b)'!$BC$23 &amp; BX$16),"")</f>
        <v/>
      </c>
      <c r="BY42" s="1317" t="str">
        <f ca="1">IF(INDIRECT("'SpxSp (step-b)'!$B" &amp; BY$16)=$Z42,INDIRECT("'SpxSp (step-b)'!$" &amp; 'SpxSp (step-b)'!$BC$23 &amp; BY$16),"")</f>
        <v/>
      </c>
      <c r="BZ42" s="1317" t="str">
        <f ca="1">IF(INDIRECT("'SpxSp (step-b)'!$B" &amp; BZ$16)=$Z42,INDIRECT("'SpxSp (step-b)'!$" &amp; 'SpxSp (step-b)'!$BC$23 &amp; BZ$16),"")</f>
        <v/>
      </c>
      <c r="CA42" s="1317" t="str">
        <f ca="1">IF(INDIRECT("'SpxSp (step-b)'!$B" &amp; CA$16)=$Z42,INDIRECT("'SpxSp (step-b)'!$" &amp; 'SpxSp (step-b)'!$BC$23 &amp; CA$16),"")</f>
        <v/>
      </c>
      <c r="CB42" s="1317" t="str">
        <f ca="1">IF(INDIRECT("'SpxSp (step-b)'!$B" &amp; CB$16)=$Z42,INDIRECT("'SpxSp (step-b)'!$" &amp; 'SpxSp (step-b)'!$BC$23 &amp; CB$16),"")</f>
        <v/>
      </c>
      <c r="CC42" s="1317" t="str">
        <f ca="1">IF(INDIRECT("'SpxSp (step-b)'!$B" &amp; CC$16)=$Z42,INDIRECT("'SpxSp (step-b)'!$" &amp; 'SpxSp (step-b)'!$BC$23 &amp; CC$16),"")</f>
        <v/>
      </c>
      <c r="CD42" s="1317" t="str">
        <f ca="1">IF(INDIRECT("'SpxSp (step-b)'!$B" &amp; CD$16)=$Z42,INDIRECT("'SpxSp (step-b)'!$" &amp; 'SpxSp (step-b)'!$BC$23 &amp; CD$16),"")</f>
        <v/>
      </c>
      <c r="CE42" s="1317" t="str">
        <f ca="1">IF(INDIRECT("'SpxSp (step-b)'!$B" &amp; CE$16)=$Z42,INDIRECT("'SpxSp (step-b)'!$" &amp; 'SpxSp (step-b)'!$BC$23 &amp; CE$16),"")</f>
        <v/>
      </c>
      <c r="CF42" s="1317" t="str">
        <f ca="1">IF(INDIRECT("'SpxSp (step-b)'!$B" &amp; CF$16)=$Z42,INDIRECT("'SpxSp (step-b)'!$" &amp; 'SpxSp (step-b)'!$BC$23 &amp; CF$16),"")</f>
        <v/>
      </c>
      <c r="CG42" s="1317" t="str">
        <f ca="1">IF(INDIRECT("'SpxSp (step-b)'!$B" &amp; CG$16)=$Z42,INDIRECT("'SpxSp (step-b)'!$" &amp; 'SpxSp (step-b)'!$BC$23 &amp; CG$16),"")</f>
        <v/>
      </c>
      <c r="CH42" s="1317" t="str">
        <f ca="1">IF(INDIRECT("'SpxSp (step-b)'!$B" &amp; CH$16)=$Z42,INDIRECT("'SpxSp (step-b)'!$" &amp; 'SpxSp (step-b)'!$BC$23 &amp; CH$16),"")</f>
        <v/>
      </c>
      <c r="CI42" s="1317" t="str">
        <f ca="1">IF(INDIRECT("'SpxSp (step-b)'!$B" &amp; CI$16)=$Z42,INDIRECT("'SpxSp (step-b)'!$" &amp; 'SpxSp (step-b)'!$BC$23 &amp; CI$16),"")</f>
        <v/>
      </c>
      <c r="CJ42" s="1317" t="str">
        <f ca="1">IF(INDIRECT("'SpxSp (step-b)'!$B" &amp; CJ$16)=$Z42,INDIRECT("'SpxSp (step-b)'!$" &amp; 'SpxSp (step-b)'!$BC$23 &amp; CJ$16),"")</f>
        <v/>
      </c>
      <c r="CK42" s="1317" t="str">
        <f ca="1">IF(INDIRECT("'SpxSp (step-b)'!$B" &amp; CK$16)=$Z42,INDIRECT("'SpxSp (step-b)'!$" &amp; 'SpxSp (step-b)'!$BC$23 &amp; CK$16),"")</f>
        <v/>
      </c>
      <c r="CL42" s="1317" t="str">
        <f ca="1">IF(INDIRECT("'SpxSp (step-b)'!$B" &amp; CL$16)=$Z42,INDIRECT("'SpxSp (step-b)'!$" &amp; 'SpxSp (step-b)'!$BC$23 &amp; CL$16),"")</f>
        <v/>
      </c>
      <c r="CM42" s="1317" t="str">
        <f ca="1">IF(INDIRECT("'SpxSp (step-b)'!$B" &amp; CM$16)=$Z42,INDIRECT("'SpxSp (step-b)'!$" &amp; 'SpxSp (step-b)'!$BC$23 &amp; CM$16),"")</f>
        <v/>
      </c>
      <c r="CN42" s="1317" t="str">
        <f ca="1">IF(INDIRECT("'SpxSp (step-b)'!$B" &amp; CN$16)=$Z42,INDIRECT("'SpxSp (step-b)'!$" &amp; 'SpxSp (step-b)'!$BC$23 &amp; CN$16),"")</f>
        <v/>
      </c>
      <c r="CO42" s="1317" t="str">
        <f ca="1">IF(INDIRECT("'SpxSp (step-b)'!$B" &amp; CO$16)=$Z42,INDIRECT("'SpxSp (step-b)'!$" &amp; 'SpxSp (step-b)'!$BC$23 &amp; CO$16),"")</f>
        <v/>
      </c>
      <c r="CP42" s="1317" t="str">
        <f ca="1">IF(INDIRECT("'SpxSp (step-b)'!$B" &amp; CP$16)=$Z42,INDIRECT("'SpxSp (step-b)'!$" &amp; 'SpxSp (step-b)'!$BC$23 &amp; CP$16),"")</f>
        <v/>
      </c>
      <c r="CQ42" s="1317" t="str">
        <f ca="1">IF(INDIRECT("'SpxSp (step-b)'!$B" &amp; CQ$16)=$Z42,INDIRECT("'SpxSp (step-b)'!$" &amp; 'SpxSp (step-b)'!$BC$23 &amp; CQ$16),"")</f>
        <v/>
      </c>
      <c r="CR42" s="1317" t="str">
        <f ca="1">IF(INDIRECT("'SpxSp (step-b)'!$B" &amp; CR$16)=$Z42,INDIRECT("'SpxSp (step-b)'!$" &amp; 'SpxSp (step-b)'!$BC$23 &amp; CR$16),"")</f>
        <v/>
      </c>
      <c r="CS42" s="1317" t="str">
        <f ca="1">IF(INDIRECT("'SpxSp (step-b)'!$B" &amp; CS$16)=$Z42,INDIRECT("'SpxSp (step-b)'!$" &amp; 'SpxSp (step-b)'!$BC$23 &amp; CS$16),"")</f>
        <v/>
      </c>
      <c r="CT42" s="1317" t="str">
        <f ca="1">IF(INDIRECT("'SpxSp (step-b)'!$B" &amp; CT$16)=$Z42,INDIRECT("'SpxSp (step-b)'!$" &amp; 'SpxSp (step-b)'!$BC$23 &amp; CT$16),"")</f>
        <v/>
      </c>
      <c r="CU42" s="1317" t="str">
        <f ca="1">IF(INDIRECT("'SpxSp (step-b)'!$B" &amp; CU$16)=$Z42,INDIRECT("'SpxSp (step-b)'!$" &amp; 'SpxSp (step-b)'!$BC$23 &amp; CU$16),"")</f>
        <v/>
      </c>
      <c r="CV42" s="1317" t="str">
        <f ca="1">IF(INDIRECT("'SpxSp (step-b)'!$B" &amp; CV$16)=$Z42,INDIRECT("'SpxSp (step-b)'!$" &amp; 'SpxSp (step-b)'!$BC$23 &amp; CV$16),"")</f>
        <v/>
      </c>
      <c r="CW42" s="1317" t="str">
        <f ca="1">IF(INDIRECT("'SpxSp (step-b)'!$B" &amp; CW$16)=$Z42,INDIRECT("'SpxSp (step-b)'!$" &amp; 'SpxSp (step-b)'!$BC$23 &amp; CW$16),"")</f>
        <v/>
      </c>
      <c r="CX42" s="1317" t="str">
        <f ca="1">IF(INDIRECT("'SpxSp (step-b)'!$B" &amp; CX$16)=$Z42,INDIRECT("'SpxSp (step-b)'!$" &amp; 'SpxSp (step-b)'!$BC$23 &amp; CX$16),"")</f>
        <v/>
      </c>
      <c r="CY42" s="1317" t="str">
        <f ca="1">IF(INDIRECT("'SpxSp (step-b)'!$B" &amp; CY$16)=$Z42,INDIRECT("'SpxSp (step-b)'!$" &amp; 'SpxSp (step-b)'!$BC$23 &amp; CY$16),"")</f>
        <v/>
      </c>
      <c r="CZ42" s="1317" t="str">
        <f ca="1">IF(INDIRECT("'SpxSp (step-b)'!$B" &amp; CZ$16)=$Z42,INDIRECT("'SpxSp (step-b)'!$" &amp; 'SpxSp (step-b)'!$BC$23 &amp; CZ$16),"")</f>
        <v/>
      </c>
      <c r="DA42" s="1317" t="str">
        <f ca="1">IF(INDIRECT("'SpxSp (step-b)'!$B" &amp; DA$16)=$Z42,INDIRECT("'SpxSp (step-b)'!$" &amp; 'SpxSp (step-b)'!$BC$23 &amp; DA$16),"")</f>
        <v/>
      </c>
      <c r="DB42" s="1317" t="str">
        <f ca="1">IF(INDIRECT("'SpxSp (step-b)'!$B" &amp; DB$16)=$Z42,INDIRECT("'SpxSp (step-b)'!$" &amp; 'SpxSp (step-b)'!$BC$23 &amp; DB$16),"")</f>
        <v/>
      </c>
      <c r="DC42" s="1317" t="str">
        <f ca="1">IF(INDIRECT("'SpxSp (step-b)'!$B" &amp; DC$16)=$Z42,INDIRECT("'SpxSp (step-b)'!$" &amp; 'SpxSp (step-b)'!$BC$23 &amp; DC$16),"")</f>
        <v/>
      </c>
      <c r="DD42" s="1317" t="str">
        <f ca="1">IF(INDIRECT("'SpxSp (step-b)'!$B" &amp; DD$16)=$Z42,INDIRECT("'SpxSp (step-b)'!$" &amp; 'SpxSp (step-b)'!$BC$23 &amp; DD$16),"")</f>
        <v/>
      </c>
      <c r="DE42" s="1317" t="str">
        <f ca="1">IF(INDIRECT("'SpxSp (step-b)'!$B" &amp; DE$16)=$Z42,INDIRECT("'SpxSp (step-b)'!$" &amp; 'SpxSp (step-b)'!$BC$23 &amp; DE$16),"")</f>
        <v/>
      </c>
      <c r="DF42" s="1317" t="str">
        <f ca="1">IF(INDIRECT("'SpxSp (step-b)'!$B" &amp; DF$16)=$Z42,INDIRECT("'SpxSp (step-b)'!$" &amp; 'SpxSp (step-b)'!$BC$23 &amp; DF$16),"")</f>
        <v/>
      </c>
      <c r="DG42" s="1317" t="str">
        <f ca="1">IF(INDIRECT("'SpxSp (step-b)'!$B" &amp; DG$16)=$Z42,INDIRECT("'SpxSp (step-b)'!$" &amp; 'SpxSp (step-b)'!$BC$23 &amp; DG$16),"")</f>
        <v/>
      </c>
      <c r="DH42" s="1317" t="str">
        <f ca="1">IF(INDIRECT("'SpxSp (step-b)'!$B" &amp; DH$16)=$Z42,INDIRECT("'SpxSp (step-b)'!$" &amp; 'SpxSp (step-b)'!$BC$23 &amp; DH$16),"")</f>
        <v/>
      </c>
      <c r="DI42" s="1317" t="str">
        <f ca="1">IF(INDIRECT("'SpxSp (step-b)'!$B" &amp; DI$16)=$Z42,INDIRECT("'SpxSp (step-b)'!$" &amp; 'SpxSp (step-b)'!$BC$23 &amp; DI$16),"")</f>
        <v/>
      </c>
      <c r="DJ42" s="1317" t="str">
        <f ca="1">IF(INDIRECT("'SpxSp (step-b)'!$B" &amp; DJ$16)=$Z42,INDIRECT("'SpxSp (step-b)'!$" &amp; 'SpxSp (step-b)'!$BC$23 &amp; DJ$16),"")</f>
        <v/>
      </c>
      <c r="DK42" s="1317" t="str">
        <f ca="1">IF(INDIRECT("'SpxSp (step-b)'!$B" &amp; DK$16)=$Z42,INDIRECT("'SpxSp (step-b)'!$" &amp; 'SpxSp (step-b)'!$BC$23 &amp; DK$16),"")</f>
        <v/>
      </c>
      <c r="DL42" s="1317" t="str">
        <f ca="1">IF(INDIRECT("'SpxSp (step-b)'!$B" &amp; DL$16)=$Z42,INDIRECT("'SpxSp (step-b)'!$" &amp; 'SpxSp (step-b)'!$BC$23 &amp; DL$16),"")</f>
        <v/>
      </c>
      <c r="DM42" s="1317" t="str">
        <f ca="1">IF(INDIRECT("'SpxSp (step-b)'!$B" &amp; DM$16)=$Z42,INDIRECT("'SpxSp (step-b)'!$" &amp; 'SpxSp (step-b)'!$BC$23 &amp; DM$16),"")</f>
        <v/>
      </c>
      <c r="DN42" s="1318" t="str">
        <f t="shared" ca="1" si="32"/>
        <v/>
      </c>
      <c r="DO42" s="1246" t="s">
        <v>1201</v>
      </c>
    </row>
    <row r="43" spans="2:119" ht="40" x14ac:dyDescent="0.2">
      <c r="B43" s="1450" t="str">
        <f t="shared" si="13"/>
        <v/>
      </c>
      <c r="C43" s="1451"/>
      <c r="D43" s="1451"/>
      <c r="E43" s="1451"/>
      <c r="F43" s="1452"/>
      <c r="G43" s="1319" t="str">
        <f t="shared" si="31"/>
        <v/>
      </c>
      <c r="H43" s="1320" t="str">
        <f t="shared" si="14"/>
        <v/>
      </c>
      <c r="I43" s="1321" t="str">
        <f t="shared" si="33"/>
        <v/>
      </c>
      <c r="J43" s="1296"/>
      <c r="K43" s="1322" t="str">
        <f>IFERROR(IF(OR(B43="",H43=0),"",VLOOKUP(B43,'SpxSp (step-c)'!B$18:O$67,6,FALSE)),"")</f>
        <v/>
      </c>
      <c r="L43" s="1323" t="str">
        <f ca="1">IFERROR(F(OR(B43="",H43=0),"",VLOOKUP($B43,'SpxSp (step-c)'!$B$18:O$67,12,FALSE)),"")</f>
        <v/>
      </c>
      <c r="M43" s="1321" t="str">
        <f ca="1">IF(AND(B43&lt;&gt;"",L43=""),"NA",IFERROR(VLOOKUP($B43,'SpxSp (step-c)'!$B$18:P$67,13,FALSE),""))</f>
        <v/>
      </c>
      <c r="N43" s="1324"/>
      <c r="O43" s="1322" t="str">
        <f>IFERROR(IF(OR(B43="",H43=0),"",VLOOKUP($B43,'SpxSp (step-d)'!$B$18:$P$67,12,FALSE)),"")</f>
        <v/>
      </c>
      <c r="P43" s="1323" t="str">
        <f>IFERROR(IF(OR(B43="",H43=0),"",VLOOKUP($B43,'SpxSp (step-d)'!$B$18:$P$67,13,FALSE)),"")</f>
        <v/>
      </c>
      <c r="Q43" s="1323" t="str">
        <f>IFERROR(IF(OR(B43="",H43=0),"",VLOOKUP($B43,'SpxSp (step-d)'!$B$18:$P$67,14,FALSE)),"")</f>
        <v/>
      </c>
      <c r="R43" s="1321" t="str">
        <f>IF(AND(B43&lt;&gt;"",P43=""),"NA",IFERROR(VLOOKUP(B43,'SpxSp (step-d)'!$B$18:$V$67,15,FALSE),""))</f>
        <v/>
      </c>
      <c r="S43" s="1296"/>
      <c r="T43" s="1325" t="str">
        <f t="shared" si="34"/>
        <v/>
      </c>
      <c r="U43" s="1326" t="str">
        <f t="shared" si="17"/>
        <v/>
      </c>
      <c r="Y43" s="1302">
        <v>26</v>
      </c>
      <c r="Z43" s="1303" t="str">
        <f>'SpxSp (step-a)'!B47</f>
        <v/>
      </c>
      <c r="AA43" s="1303" t="str">
        <f>'SpxSp (step-a)'!H47</f>
        <v/>
      </c>
      <c r="AB43" s="1290" t="str">
        <f>VLOOKUP($Z43,'SpxSp (step-a)'!$B$22:$O$71,AB$14,FALSE)</f>
        <v/>
      </c>
      <c r="AD43" s="1290" t="str">
        <f>IF(Z43="","",IFERROR(VLOOKUP($Z43,'SpxSp (step-a)'!$B$22:$O$71,AD$14,FALSE),0))</f>
        <v/>
      </c>
      <c r="AE43" s="1290" t="str">
        <f>IF(Z43="","",IFERROR(VLOOKUP($Z43,'SpxSp (step-a)'!$B$22:$O$71,AE$14,FALSE),0))</f>
        <v/>
      </c>
      <c r="AG43" s="1290" t="str">
        <f t="shared" si="36"/>
        <v/>
      </c>
      <c r="AI43" s="1290" t="str">
        <f>IF($Z43="","",SUMIFS('SpxSp (step-b)'!L$26:L$75,'SpxSp (step-b)'!B$26:B$75,Z43,'SpxSp (step-b)'!N$26:N$75,"New"))</f>
        <v/>
      </c>
      <c r="AJ43" s="1290" t="str">
        <f>IF($Z43="","",SUMIFS('SpxSp (step-b)'!$L$26:$L$75,'SpxSp (step-b)'!$B$26:$B$75,$Z43,'SpxSp (step-b)'!N$26:N$75,""))</f>
        <v/>
      </c>
      <c r="AK43" s="1290" t="str">
        <f>IF($Z43="","",SUMIFS('SpxSp (step-b)'!$J$26:$J$75,'SpxSp (step-b)'!$B$26:$B$75,$Z43,'SpxSp (step-b)'!$N$26:$N$75,"New")+SUMIFS('SpxSp (step-b)'!$J$26:$J$75,'SpxSp (step-b)'!$B$26:$B$75,$Z43,'SpxSp (step-b)'!$N$26:$N$75,""))</f>
        <v/>
      </c>
      <c r="AL43" s="1290" t="str">
        <f>IF($Z43="","",SUMIFS('SpxSp (step-b)'!$L$26:$L$75,'SpxSp (step-b)'!$B$26:$B$75,$Z43,'SpxSp (step-b)'!$N$26:$N$75,"Existing Remains"))</f>
        <v/>
      </c>
      <c r="AM43" s="1290" t="str">
        <f>IF($Z43="","",SUMIFS('SpxSp (step-b)'!$L$26:$L$75,'SpxSp (step-b)'!$B$26:$B$75,$Z43,'SpxSp (step-b)'!$N$26:$N$75,"Existing Removed"))</f>
        <v/>
      </c>
      <c r="AN43" s="1290" t="str">
        <f>IF($Z43="","",SUMIFS('SpxSp (step-b)'!$J$26:$J$75,'SpxSp (step-b)'!$B$26:$B$75,$Z43,'SpxSp (step-b)'!$N$26:$N$75,"Existing Removed"))</f>
        <v/>
      </c>
      <c r="AO43" s="1290" t="str">
        <f t="shared" si="37"/>
        <v/>
      </c>
      <c r="AP43" s="1290" t="str">
        <f t="shared" si="18"/>
        <v/>
      </c>
      <c r="AQ43" s="1304"/>
      <c r="AR43" s="1305" t="str">
        <f t="shared" si="19"/>
        <v/>
      </c>
      <c r="AS43" s="1306" t="str">
        <f t="shared" si="20"/>
        <v/>
      </c>
      <c r="AT43" s="1307"/>
      <c r="AU43" s="1308" t="str">
        <f t="shared" si="21"/>
        <v/>
      </c>
      <c r="AV43" s="1309" t="str">
        <f t="shared" si="6"/>
        <v/>
      </c>
      <c r="AW43" s="1309" t="str">
        <f t="shared" si="22"/>
        <v/>
      </c>
      <c r="AX43" s="1310" t="str">
        <f t="shared" si="23"/>
        <v/>
      </c>
      <c r="AY43" s="1307"/>
      <c r="AZ43" s="1311" t="str">
        <f t="shared" si="24"/>
        <v/>
      </c>
      <c r="BA43" s="1309" t="str">
        <f t="shared" si="25"/>
        <v/>
      </c>
      <c r="BB43" s="1310" t="str">
        <f t="shared" si="26"/>
        <v/>
      </c>
      <c r="BC43" s="1312"/>
      <c r="BD43" s="1313" t="str">
        <f t="shared" si="35"/>
        <v/>
      </c>
      <c r="BE43" s="1290" t="str">
        <f t="shared" si="27"/>
        <v/>
      </c>
      <c r="BF43" s="1290" t="str">
        <f t="shared" si="28"/>
        <v/>
      </c>
      <c r="BH43" s="1315" t="str">
        <f t="shared" si="10"/>
        <v/>
      </c>
      <c r="BI43" s="1315"/>
      <c r="BJ43" s="1303" t="str">
        <f>IF(OR(BH43="Fail",BH43="Fail LPA",BH43=""),"",'SpxSp (step-a)'!CM47)</f>
        <v/>
      </c>
      <c r="BK43" s="1290">
        <f t="shared" si="30"/>
        <v>0</v>
      </c>
      <c r="BN43" s="178">
        <v>26</v>
      </c>
      <c r="BO43" s="1316" t="str">
        <f t="shared" ca="1" si="29"/>
        <v/>
      </c>
      <c r="BP43" s="1317" t="str">
        <f ca="1">IF(INDIRECT("'SpxSp (step-b)'!$B" &amp; BP$16)=$Z43,INDIRECT("'SpxSp (step-b)'!$" &amp; 'SpxSp (step-b)'!$BC$23 &amp; BP$16),"")</f>
        <v/>
      </c>
      <c r="BQ43" s="1317" t="str">
        <f ca="1">IF(INDIRECT("'SpxSp (step-b)'!$B" &amp; BQ$16)=$Z43,INDIRECT("'SpxSp (step-b)'!$" &amp; 'SpxSp (step-b)'!$BC$23 &amp; BQ$16),"")</f>
        <v/>
      </c>
      <c r="BR43" s="1317" t="str">
        <f ca="1">IF(INDIRECT("'SpxSp (step-b)'!$B" &amp; BR$16)=$Z43,INDIRECT("'SpxSp (step-b)'!$" &amp; 'SpxSp (step-b)'!$BC$23 &amp; BR$16),"")</f>
        <v/>
      </c>
      <c r="BS43" s="1317" t="str">
        <f ca="1">IF(INDIRECT("'SpxSp (step-b)'!$B" &amp; BS$16)=$Z43,INDIRECT("'SpxSp (step-b)'!$" &amp; 'SpxSp (step-b)'!$BC$23 &amp; BS$16),"")</f>
        <v/>
      </c>
      <c r="BT43" s="1317" t="str">
        <f ca="1">IF(INDIRECT("'SpxSp (step-b)'!$B" &amp; BT$16)=$Z43,INDIRECT("'SpxSp (step-b)'!$" &amp; 'SpxSp (step-b)'!$BC$23 &amp; BT$16),"")</f>
        <v/>
      </c>
      <c r="BU43" s="1317" t="str">
        <f ca="1">IF(INDIRECT("'SpxSp (step-b)'!$B" &amp; BU$16)=$Z43,INDIRECT("'SpxSp (step-b)'!$" &amp; 'SpxSp (step-b)'!$BC$23 &amp; BU$16),"")</f>
        <v/>
      </c>
      <c r="BV43" s="1317" t="str">
        <f ca="1">IF(INDIRECT("'SpxSp (step-b)'!$B" &amp; BV$16)=$Z43,INDIRECT("'SpxSp (step-b)'!$" &amp; 'SpxSp (step-b)'!$BC$23 &amp; BV$16),"")</f>
        <v/>
      </c>
      <c r="BW43" s="1317" t="str">
        <f ca="1">IF(INDIRECT("'SpxSp (step-b)'!$B" &amp; BW$16)=$Z43,INDIRECT("'SpxSp (step-b)'!$" &amp; 'SpxSp (step-b)'!$BC$23 &amp; BW$16),"")</f>
        <v/>
      </c>
      <c r="BX43" s="1317" t="str">
        <f ca="1">IF(INDIRECT("'SpxSp (step-b)'!$B" &amp; BX$16)=$Z43,INDIRECT("'SpxSp (step-b)'!$" &amp; 'SpxSp (step-b)'!$BC$23 &amp; BX$16),"")</f>
        <v/>
      </c>
      <c r="BY43" s="1317" t="str">
        <f ca="1">IF(INDIRECT("'SpxSp (step-b)'!$B" &amp; BY$16)=$Z43,INDIRECT("'SpxSp (step-b)'!$" &amp; 'SpxSp (step-b)'!$BC$23 &amp; BY$16),"")</f>
        <v/>
      </c>
      <c r="BZ43" s="1317" t="str">
        <f ca="1">IF(INDIRECT("'SpxSp (step-b)'!$B" &amp; BZ$16)=$Z43,INDIRECT("'SpxSp (step-b)'!$" &amp; 'SpxSp (step-b)'!$BC$23 &amp; BZ$16),"")</f>
        <v/>
      </c>
      <c r="CA43" s="1317" t="str">
        <f ca="1">IF(INDIRECT("'SpxSp (step-b)'!$B" &amp; CA$16)=$Z43,INDIRECT("'SpxSp (step-b)'!$" &amp; 'SpxSp (step-b)'!$BC$23 &amp; CA$16),"")</f>
        <v/>
      </c>
      <c r="CB43" s="1317" t="str">
        <f ca="1">IF(INDIRECT("'SpxSp (step-b)'!$B" &amp; CB$16)=$Z43,INDIRECT("'SpxSp (step-b)'!$" &amp; 'SpxSp (step-b)'!$BC$23 &amp; CB$16),"")</f>
        <v/>
      </c>
      <c r="CC43" s="1317" t="str">
        <f ca="1">IF(INDIRECT("'SpxSp (step-b)'!$B" &amp; CC$16)=$Z43,INDIRECT("'SpxSp (step-b)'!$" &amp; 'SpxSp (step-b)'!$BC$23 &amp; CC$16),"")</f>
        <v/>
      </c>
      <c r="CD43" s="1317" t="str">
        <f ca="1">IF(INDIRECT("'SpxSp (step-b)'!$B" &amp; CD$16)=$Z43,INDIRECT("'SpxSp (step-b)'!$" &amp; 'SpxSp (step-b)'!$BC$23 &amp; CD$16),"")</f>
        <v/>
      </c>
      <c r="CE43" s="1317" t="str">
        <f ca="1">IF(INDIRECT("'SpxSp (step-b)'!$B" &amp; CE$16)=$Z43,INDIRECT("'SpxSp (step-b)'!$" &amp; 'SpxSp (step-b)'!$BC$23 &amp; CE$16),"")</f>
        <v/>
      </c>
      <c r="CF43" s="1317" t="str">
        <f ca="1">IF(INDIRECT("'SpxSp (step-b)'!$B" &amp; CF$16)=$Z43,INDIRECT("'SpxSp (step-b)'!$" &amp; 'SpxSp (step-b)'!$BC$23 &amp; CF$16),"")</f>
        <v/>
      </c>
      <c r="CG43" s="1317" t="str">
        <f ca="1">IF(INDIRECT("'SpxSp (step-b)'!$B" &amp; CG$16)=$Z43,INDIRECT("'SpxSp (step-b)'!$" &amp; 'SpxSp (step-b)'!$BC$23 &amp; CG$16),"")</f>
        <v/>
      </c>
      <c r="CH43" s="1317" t="str">
        <f ca="1">IF(INDIRECT("'SpxSp (step-b)'!$B" &amp; CH$16)=$Z43,INDIRECT("'SpxSp (step-b)'!$" &amp; 'SpxSp (step-b)'!$BC$23 &amp; CH$16),"")</f>
        <v/>
      </c>
      <c r="CI43" s="1317" t="str">
        <f ca="1">IF(INDIRECT("'SpxSp (step-b)'!$B" &amp; CI$16)=$Z43,INDIRECT("'SpxSp (step-b)'!$" &amp; 'SpxSp (step-b)'!$BC$23 &amp; CI$16),"")</f>
        <v/>
      </c>
      <c r="CJ43" s="1317" t="str">
        <f ca="1">IF(INDIRECT("'SpxSp (step-b)'!$B" &amp; CJ$16)=$Z43,INDIRECT("'SpxSp (step-b)'!$" &amp; 'SpxSp (step-b)'!$BC$23 &amp; CJ$16),"")</f>
        <v/>
      </c>
      <c r="CK43" s="1317" t="str">
        <f ca="1">IF(INDIRECT("'SpxSp (step-b)'!$B" &amp; CK$16)=$Z43,INDIRECT("'SpxSp (step-b)'!$" &amp; 'SpxSp (step-b)'!$BC$23 &amp; CK$16),"")</f>
        <v/>
      </c>
      <c r="CL43" s="1317" t="str">
        <f ca="1">IF(INDIRECT("'SpxSp (step-b)'!$B" &amp; CL$16)=$Z43,INDIRECT("'SpxSp (step-b)'!$" &amp; 'SpxSp (step-b)'!$BC$23 &amp; CL$16),"")</f>
        <v/>
      </c>
      <c r="CM43" s="1317" t="str">
        <f ca="1">IF(INDIRECT("'SpxSp (step-b)'!$B" &amp; CM$16)=$Z43,INDIRECT("'SpxSp (step-b)'!$" &amp; 'SpxSp (step-b)'!$BC$23 &amp; CM$16),"")</f>
        <v/>
      </c>
      <c r="CN43" s="1317" t="str">
        <f ca="1">IF(INDIRECT("'SpxSp (step-b)'!$B" &amp; CN$16)=$Z43,INDIRECT("'SpxSp (step-b)'!$" &amp; 'SpxSp (step-b)'!$BC$23 &amp; CN$16),"")</f>
        <v/>
      </c>
      <c r="CO43" s="1317" t="str">
        <f ca="1">IF(INDIRECT("'SpxSp (step-b)'!$B" &amp; CO$16)=$Z43,INDIRECT("'SpxSp (step-b)'!$" &amp; 'SpxSp (step-b)'!$BC$23 &amp; CO$16),"")</f>
        <v/>
      </c>
      <c r="CP43" s="1317" t="str">
        <f ca="1">IF(INDIRECT("'SpxSp (step-b)'!$B" &amp; CP$16)=$Z43,INDIRECT("'SpxSp (step-b)'!$" &amp; 'SpxSp (step-b)'!$BC$23 &amp; CP$16),"")</f>
        <v/>
      </c>
      <c r="CQ43" s="1317" t="str">
        <f ca="1">IF(INDIRECT("'SpxSp (step-b)'!$B" &amp; CQ$16)=$Z43,INDIRECT("'SpxSp (step-b)'!$" &amp; 'SpxSp (step-b)'!$BC$23 &amp; CQ$16),"")</f>
        <v/>
      </c>
      <c r="CR43" s="1317" t="str">
        <f ca="1">IF(INDIRECT("'SpxSp (step-b)'!$B" &amp; CR$16)=$Z43,INDIRECT("'SpxSp (step-b)'!$" &amp; 'SpxSp (step-b)'!$BC$23 &amp; CR$16),"")</f>
        <v/>
      </c>
      <c r="CS43" s="1317" t="str">
        <f ca="1">IF(INDIRECT("'SpxSp (step-b)'!$B" &amp; CS$16)=$Z43,INDIRECT("'SpxSp (step-b)'!$" &amp; 'SpxSp (step-b)'!$BC$23 &amp; CS$16),"")</f>
        <v/>
      </c>
      <c r="CT43" s="1317" t="str">
        <f ca="1">IF(INDIRECT("'SpxSp (step-b)'!$B" &amp; CT$16)=$Z43,INDIRECT("'SpxSp (step-b)'!$" &amp; 'SpxSp (step-b)'!$BC$23 &amp; CT$16),"")</f>
        <v/>
      </c>
      <c r="CU43" s="1317" t="str">
        <f ca="1">IF(INDIRECT("'SpxSp (step-b)'!$B" &amp; CU$16)=$Z43,INDIRECT("'SpxSp (step-b)'!$" &amp; 'SpxSp (step-b)'!$BC$23 &amp; CU$16),"")</f>
        <v/>
      </c>
      <c r="CV43" s="1317" t="str">
        <f ca="1">IF(INDIRECT("'SpxSp (step-b)'!$B" &amp; CV$16)=$Z43,INDIRECT("'SpxSp (step-b)'!$" &amp; 'SpxSp (step-b)'!$BC$23 &amp; CV$16),"")</f>
        <v/>
      </c>
      <c r="CW43" s="1317" t="str">
        <f ca="1">IF(INDIRECT("'SpxSp (step-b)'!$B" &amp; CW$16)=$Z43,INDIRECT("'SpxSp (step-b)'!$" &amp; 'SpxSp (step-b)'!$BC$23 &amp; CW$16),"")</f>
        <v/>
      </c>
      <c r="CX43" s="1317" t="str">
        <f ca="1">IF(INDIRECT("'SpxSp (step-b)'!$B" &amp; CX$16)=$Z43,INDIRECT("'SpxSp (step-b)'!$" &amp; 'SpxSp (step-b)'!$BC$23 &amp; CX$16),"")</f>
        <v/>
      </c>
      <c r="CY43" s="1317" t="str">
        <f ca="1">IF(INDIRECT("'SpxSp (step-b)'!$B" &amp; CY$16)=$Z43,INDIRECT("'SpxSp (step-b)'!$" &amp; 'SpxSp (step-b)'!$BC$23 &amp; CY$16),"")</f>
        <v/>
      </c>
      <c r="CZ43" s="1317" t="str">
        <f ca="1">IF(INDIRECT("'SpxSp (step-b)'!$B" &amp; CZ$16)=$Z43,INDIRECT("'SpxSp (step-b)'!$" &amp; 'SpxSp (step-b)'!$BC$23 &amp; CZ$16),"")</f>
        <v/>
      </c>
      <c r="DA43" s="1317" t="str">
        <f ca="1">IF(INDIRECT("'SpxSp (step-b)'!$B" &amp; DA$16)=$Z43,INDIRECT("'SpxSp (step-b)'!$" &amp; 'SpxSp (step-b)'!$BC$23 &amp; DA$16),"")</f>
        <v/>
      </c>
      <c r="DB43" s="1317" t="str">
        <f ca="1">IF(INDIRECT("'SpxSp (step-b)'!$B" &amp; DB$16)=$Z43,INDIRECT("'SpxSp (step-b)'!$" &amp; 'SpxSp (step-b)'!$BC$23 &amp; DB$16),"")</f>
        <v/>
      </c>
      <c r="DC43" s="1317" t="str">
        <f ca="1">IF(INDIRECT("'SpxSp (step-b)'!$B" &amp; DC$16)=$Z43,INDIRECT("'SpxSp (step-b)'!$" &amp; 'SpxSp (step-b)'!$BC$23 &amp; DC$16),"")</f>
        <v/>
      </c>
      <c r="DD43" s="1317" t="str">
        <f ca="1">IF(INDIRECT("'SpxSp (step-b)'!$B" &amp; DD$16)=$Z43,INDIRECT("'SpxSp (step-b)'!$" &amp; 'SpxSp (step-b)'!$BC$23 &amp; DD$16),"")</f>
        <v/>
      </c>
      <c r="DE43" s="1317" t="str">
        <f ca="1">IF(INDIRECT("'SpxSp (step-b)'!$B" &amp; DE$16)=$Z43,INDIRECT("'SpxSp (step-b)'!$" &amp; 'SpxSp (step-b)'!$BC$23 &amp; DE$16),"")</f>
        <v/>
      </c>
      <c r="DF43" s="1317" t="str">
        <f ca="1">IF(INDIRECT("'SpxSp (step-b)'!$B" &amp; DF$16)=$Z43,INDIRECT("'SpxSp (step-b)'!$" &amp; 'SpxSp (step-b)'!$BC$23 &amp; DF$16),"")</f>
        <v/>
      </c>
      <c r="DG43" s="1317" t="str">
        <f ca="1">IF(INDIRECT("'SpxSp (step-b)'!$B" &amp; DG$16)=$Z43,INDIRECT("'SpxSp (step-b)'!$" &amp; 'SpxSp (step-b)'!$BC$23 &amp; DG$16),"")</f>
        <v/>
      </c>
      <c r="DH43" s="1317" t="str">
        <f ca="1">IF(INDIRECT("'SpxSp (step-b)'!$B" &amp; DH$16)=$Z43,INDIRECT("'SpxSp (step-b)'!$" &amp; 'SpxSp (step-b)'!$BC$23 &amp; DH$16),"")</f>
        <v/>
      </c>
      <c r="DI43" s="1317" t="str">
        <f ca="1">IF(INDIRECT("'SpxSp (step-b)'!$B" &amp; DI$16)=$Z43,INDIRECT("'SpxSp (step-b)'!$" &amp; 'SpxSp (step-b)'!$BC$23 &amp; DI$16),"")</f>
        <v/>
      </c>
      <c r="DJ43" s="1317" t="str">
        <f ca="1">IF(INDIRECT("'SpxSp (step-b)'!$B" &amp; DJ$16)=$Z43,INDIRECT("'SpxSp (step-b)'!$" &amp; 'SpxSp (step-b)'!$BC$23 &amp; DJ$16),"")</f>
        <v/>
      </c>
      <c r="DK43" s="1317" t="str">
        <f ca="1">IF(INDIRECT("'SpxSp (step-b)'!$B" &amp; DK$16)=$Z43,INDIRECT("'SpxSp (step-b)'!$" &amp; 'SpxSp (step-b)'!$BC$23 &amp; DK$16),"")</f>
        <v/>
      </c>
      <c r="DL43" s="1317" t="str">
        <f ca="1">IF(INDIRECT("'SpxSp (step-b)'!$B" &amp; DL$16)=$Z43,INDIRECT("'SpxSp (step-b)'!$" &amp; 'SpxSp (step-b)'!$BC$23 &amp; DL$16),"")</f>
        <v/>
      </c>
      <c r="DM43" s="1317" t="str">
        <f ca="1">IF(INDIRECT("'SpxSp (step-b)'!$B" &amp; DM$16)=$Z43,INDIRECT("'SpxSp (step-b)'!$" &amp; 'SpxSp (step-b)'!$BC$23 &amp; DM$16),"")</f>
        <v/>
      </c>
      <c r="DN43" s="1318" t="str">
        <f t="shared" ca="1" si="32"/>
        <v/>
      </c>
      <c r="DO43" s="1246" t="s">
        <v>1201</v>
      </c>
    </row>
    <row r="44" spans="2:119" ht="40" x14ac:dyDescent="0.2">
      <c r="B44" s="1450" t="str">
        <f t="shared" si="13"/>
        <v/>
      </c>
      <c r="C44" s="1451"/>
      <c r="D44" s="1451"/>
      <c r="E44" s="1451"/>
      <c r="F44" s="1452"/>
      <c r="G44" s="1319" t="str">
        <f t="shared" si="31"/>
        <v/>
      </c>
      <c r="H44" s="1320" t="str">
        <f t="shared" si="14"/>
        <v/>
      </c>
      <c r="I44" s="1321" t="str">
        <f t="shared" si="33"/>
        <v/>
      </c>
      <c r="J44" s="1296"/>
      <c r="K44" s="1322" t="str">
        <f>IFERROR(IF(OR(B44="",H44=0),"",VLOOKUP(B44,'SpxSp (step-c)'!B$18:O$67,6,FALSE)),"")</f>
        <v/>
      </c>
      <c r="L44" s="1323" t="str">
        <f ca="1">IFERROR(F(OR(B44="",H44=0),"",VLOOKUP($B44,'SpxSp (step-c)'!$B$18:O$67,12,FALSE)),"")</f>
        <v/>
      </c>
      <c r="M44" s="1321" t="str">
        <f ca="1">IF(AND(B44&lt;&gt;"",L44=""),"NA",IFERROR(VLOOKUP($B44,'SpxSp (step-c)'!$B$18:P$67,13,FALSE),""))</f>
        <v/>
      </c>
      <c r="N44" s="1324"/>
      <c r="O44" s="1322" t="str">
        <f>IFERROR(IF(OR(B44="",H44=0),"",VLOOKUP($B44,'SpxSp (step-d)'!$B$18:$P$67,12,FALSE)),"")</f>
        <v/>
      </c>
      <c r="P44" s="1323" t="str">
        <f>IFERROR(IF(OR(B44="",H44=0),"",VLOOKUP($B44,'SpxSp (step-d)'!$B$18:$P$67,13,FALSE)),"")</f>
        <v/>
      </c>
      <c r="Q44" s="1323" t="str">
        <f>IFERROR(IF(OR(B44="",H44=0),"",VLOOKUP($B44,'SpxSp (step-d)'!$B$18:$P$67,14,FALSE)),"")</f>
        <v/>
      </c>
      <c r="R44" s="1321" t="str">
        <f>IF(AND(B44&lt;&gt;"",P44=""),"NA",IFERROR(VLOOKUP(B44,'SpxSp (step-d)'!$B$18:$V$67,15,FALSE),""))</f>
        <v/>
      </c>
      <c r="S44" s="1296"/>
      <c r="T44" s="1325" t="str">
        <f t="shared" si="34"/>
        <v/>
      </c>
      <c r="U44" s="1326" t="str">
        <f t="shared" si="17"/>
        <v/>
      </c>
      <c r="Y44" s="1302">
        <v>27</v>
      </c>
      <c r="Z44" s="1303" t="str">
        <f>'SpxSp (step-a)'!B48</f>
        <v/>
      </c>
      <c r="AA44" s="1303" t="str">
        <f>'SpxSp (step-a)'!H48</f>
        <v/>
      </c>
      <c r="AB44" s="1290" t="str">
        <f>VLOOKUP($Z44,'SpxSp (step-a)'!$B$22:$O$71,AB$14,FALSE)</f>
        <v/>
      </c>
      <c r="AD44" s="1290" t="str">
        <f>IF(Z44="","",IFERROR(VLOOKUP($Z44,'SpxSp (step-a)'!$B$22:$O$71,AD$14,FALSE),0))</f>
        <v/>
      </c>
      <c r="AE44" s="1290" t="str">
        <f>IF(Z44="","",IFERROR(VLOOKUP($Z44,'SpxSp (step-a)'!$B$22:$O$71,AE$14,FALSE),0))</f>
        <v/>
      </c>
      <c r="AG44" s="1290" t="str">
        <f t="shared" si="36"/>
        <v/>
      </c>
      <c r="AI44" s="1290" t="str">
        <f>IF($Z44="","",SUMIFS('SpxSp (step-b)'!L$26:L$75,'SpxSp (step-b)'!B$26:B$75,Z44,'SpxSp (step-b)'!N$26:N$75,"New"))</f>
        <v/>
      </c>
      <c r="AJ44" s="1290" t="str">
        <f>IF($Z44="","",SUMIFS('SpxSp (step-b)'!$L$26:$L$75,'SpxSp (step-b)'!$B$26:$B$75,$Z44,'SpxSp (step-b)'!N$26:N$75,""))</f>
        <v/>
      </c>
      <c r="AK44" s="1290" t="str">
        <f>IF($Z44="","",SUMIFS('SpxSp (step-b)'!$J$26:$J$75,'SpxSp (step-b)'!$B$26:$B$75,$Z44,'SpxSp (step-b)'!$N$26:$N$75,"New")+SUMIFS('SpxSp (step-b)'!$J$26:$J$75,'SpxSp (step-b)'!$B$26:$B$75,$Z44,'SpxSp (step-b)'!$N$26:$N$75,""))</f>
        <v/>
      </c>
      <c r="AL44" s="1290" t="str">
        <f>IF($Z44="","",SUMIFS('SpxSp (step-b)'!$L$26:$L$75,'SpxSp (step-b)'!$B$26:$B$75,$Z44,'SpxSp (step-b)'!$N$26:$N$75,"Existing Remains"))</f>
        <v/>
      </c>
      <c r="AM44" s="1290" t="str">
        <f>IF($Z44="","",SUMIFS('SpxSp (step-b)'!$L$26:$L$75,'SpxSp (step-b)'!$B$26:$B$75,$Z44,'SpxSp (step-b)'!$N$26:$N$75,"Existing Removed"))</f>
        <v/>
      </c>
      <c r="AN44" s="1290" t="str">
        <f>IF($Z44="","",SUMIFS('SpxSp (step-b)'!$J$26:$J$75,'SpxSp (step-b)'!$B$26:$B$75,$Z44,'SpxSp (step-b)'!$N$26:$N$75,"Existing Removed"))</f>
        <v/>
      </c>
      <c r="AO44" s="1290" t="str">
        <f t="shared" si="37"/>
        <v/>
      </c>
      <c r="AP44" s="1290" t="str">
        <f t="shared" si="18"/>
        <v/>
      </c>
      <c r="AQ44" s="1304"/>
      <c r="AR44" s="1305" t="str">
        <f t="shared" si="19"/>
        <v/>
      </c>
      <c r="AS44" s="1306" t="str">
        <f t="shared" si="20"/>
        <v/>
      </c>
      <c r="AT44" s="1307"/>
      <c r="AU44" s="1308" t="str">
        <f t="shared" si="21"/>
        <v/>
      </c>
      <c r="AV44" s="1309" t="str">
        <f t="shared" si="6"/>
        <v/>
      </c>
      <c r="AW44" s="1309" t="str">
        <f t="shared" si="22"/>
        <v/>
      </c>
      <c r="AX44" s="1310" t="str">
        <f t="shared" si="23"/>
        <v/>
      </c>
      <c r="AY44" s="1307"/>
      <c r="AZ44" s="1311" t="str">
        <f t="shared" si="24"/>
        <v/>
      </c>
      <c r="BA44" s="1309" t="str">
        <f t="shared" si="25"/>
        <v/>
      </c>
      <c r="BB44" s="1310" t="str">
        <f t="shared" si="26"/>
        <v/>
      </c>
      <c r="BC44" s="1312"/>
      <c r="BD44" s="1313" t="str">
        <f t="shared" si="35"/>
        <v/>
      </c>
      <c r="BE44" s="1290" t="str">
        <f t="shared" si="27"/>
        <v/>
      </c>
      <c r="BF44" s="1290" t="str">
        <f t="shared" si="28"/>
        <v/>
      </c>
      <c r="BH44" s="1315" t="str">
        <f t="shared" si="10"/>
        <v/>
      </c>
      <c r="BI44" s="1315"/>
      <c r="BJ44" s="1303" t="str">
        <f>IF(OR(BH44="Fail",BH44="Fail LPA",BH44=""),"",'SpxSp (step-a)'!CM48)</f>
        <v/>
      </c>
      <c r="BK44" s="1290">
        <f t="shared" si="30"/>
        <v>0</v>
      </c>
      <c r="BN44" s="178">
        <v>27</v>
      </c>
      <c r="BO44" s="1316" t="str">
        <f t="shared" ca="1" si="29"/>
        <v/>
      </c>
      <c r="BP44" s="1317" t="str">
        <f ca="1">IF(INDIRECT("'SpxSp (step-b)'!$B" &amp; BP$16)=$Z44,INDIRECT("'SpxSp (step-b)'!$" &amp; 'SpxSp (step-b)'!$BC$23 &amp; BP$16),"")</f>
        <v/>
      </c>
      <c r="BQ44" s="1317" t="str">
        <f ca="1">IF(INDIRECT("'SpxSp (step-b)'!$B" &amp; BQ$16)=$Z44,INDIRECT("'SpxSp (step-b)'!$" &amp; 'SpxSp (step-b)'!$BC$23 &amp; BQ$16),"")</f>
        <v/>
      </c>
      <c r="BR44" s="1317" t="str">
        <f ca="1">IF(INDIRECT("'SpxSp (step-b)'!$B" &amp; BR$16)=$Z44,INDIRECT("'SpxSp (step-b)'!$" &amp; 'SpxSp (step-b)'!$BC$23 &amp; BR$16),"")</f>
        <v/>
      </c>
      <c r="BS44" s="1317" t="str">
        <f ca="1">IF(INDIRECT("'SpxSp (step-b)'!$B" &amp; BS$16)=$Z44,INDIRECT("'SpxSp (step-b)'!$" &amp; 'SpxSp (step-b)'!$BC$23 &amp; BS$16),"")</f>
        <v/>
      </c>
      <c r="BT44" s="1317" t="str">
        <f ca="1">IF(INDIRECT("'SpxSp (step-b)'!$B" &amp; BT$16)=$Z44,INDIRECT("'SpxSp (step-b)'!$" &amp; 'SpxSp (step-b)'!$BC$23 &amp; BT$16),"")</f>
        <v/>
      </c>
      <c r="BU44" s="1317" t="str">
        <f ca="1">IF(INDIRECT("'SpxSp (step-b)'!$B" &amp; BU$16)=$Z44,INDIRECT("'SpxSp (step-b)'!$" &amp; 'SpxSp (step-b)'!$BC$23 &amp; BU$16),"")</f>
        <v/>
      </c>
      <c r="BV44" s="1317" t="str">
        <f ca="1">IF(INDIRECT("'SpxSp (step-b)'!$B" &amp; BV$16)=$Z44,INDIRECT("'SpxSp (step-b)'!$" &amp; 'SpxSp (step-b)'!$BC$23 &amp; BV$16),"")</f>
        <v/>
      </c>
      <c r="BW44" s="1317" t="str">
        <f ca="1">IF(INDIRECT("'SpxSp (step-b)'!$B" &amp; BW$16)=$Z44,INDIRECT("'SpxSp (step-b)'!$" &amp; 'SpxSp (step-b)'!$BC$23 &amp; BW$16),"")</f>
        <v/>
      </c>
      <c r="BX44" s="1317" t="str">
        <f ca="1">IF(INDIRECT("'SpxSp (step-b)'!$B" &amp; BX$16)=$Z44,INDIRECT("'SpxSp (step-b)'!$" &amp; 'SpxSp (step-b)'!$BC$23 &amp; BX$16),"")</f>
        <v/>
      </c>
      <c r="BY44" s="1317" t="str">
        <f ca="1">IF(INDIRECT("'SpxSp (step-b)'!$B" &amp; BY$16)=$Z44,INDIRECT("'SpxSp (step-b)'!$" &amp; 'SpxSp (step-b)'!$BC$23 &amp; BY$16),"")</f>
        <v/>
      </c>
      <c r="BZ44" s="1317" t="str">
        <f ca="1">IF(INDIRECT("'SpxSp (step-b)'!$B" &amp; BZ$16)=$Z44,INDIRECT("'SpxSp (step-b)'!$" &amp; 'SpxSp (step-b)'!$BC$23 &amp; BZ$16),"")</f>
        <v/>
      </c>
      <c r="CA44" s="1317" t="str">
        <f ca="1">IF(INDIRECT("'SpxSp (step-b)'!$B" &amp; CA$16)=$Z44,INDIRECT("'SpxSp (step-b)'!$" &amp; 'SpxSp (step-b)'!$BC$23 &amp; CA$16),"")</f>
        <v/>
      </c>
      <c r="CB44" s="1317" t="str">
        <f ca="1">IF(INDIRECT("'SpxSp (step-b)'!$B" &amp; CB$16)=$Z44,INDIRECT("'SpxSp (step-b)'!$" &amp; 'SpxSp (step-b)'!$BC$23 &amp; CB$16),"")</f>
        <v/>
      </c>
      <c r="CC44" s="1317" t="str">
        <f ca="1">IF(INDIRECT("'SpxSp (step-b)'!$B" &amp; CC$16)=$Z44,INDIRECT("'SpxSp (step-b)'!$" &amp; 'SpxSp (step-b)'!$BC$23 &amp; CC$16),"")</f>
        <v/>
      </c>
      <c r="CD44" s="1317" t="str">
        <f ca="1">IF(INDIRECT("'SpxSp (step-b)'!$B" &amp; CD$16)=$Z44,INDIRECT("'SpxSp (step-b)'!$" &amp; 'SpxSp (step-b)'!$BC$23 &amp; CD$16),"")</f>
        <v/>
      </c>
      <c r="CE44" s="1317" t="str">
        <f ca="1">IF(INDIRECT("'SpxSp (step-b)'!$B" &amp; CE$16)=$Z44,INDIRECT("'SpxSp (step-b)'!$" &amp; 'SpxSp (step-b)'!$BC$23 &amp; CE$16),"")</f>
        <v/>
      </c>
      <c r="CF44" s="1317" t="str">
        <f ca="1">IF(INDIRECT("'SpxSp (step-b)'!$B" &amp; CF$16)=$Z44,INDIRECT("'SpxSp (step-b)'!$" &amp; 'SpxSp (step-b)'!$BC$23 &amp; CF$16),"")</f>
        <v/>
      </c>
      <c r="CG44" s="1317" t="str">
        <f ca="1">IF(INDIRECT("'SpxSp (step-b)'!$B" &amp; CG$16)=$Z44,INDIRECT("'SpxSp (step-b)'!$" &amp; 'SpxSp (step-b)'!$BC$23 &amp; CG$16),"")</f>
        <v/>
      </c>
      <c r="CH44" s="1317" t="str">
        <f ca="1">IF(INDIRECT("'SpxSp (step-b)'!$B" &amp; CH$16)=$Z44,INDIRECT("'SpxSp (step-b)'!$" &amp; 'SpxSp (step-b)'!$BC$23 &amp; CH$16),"")</f>
        <v/>
      </c>
      <c r="CI44" s="1317" t="str">
        <f ca="1">IF(INDIRECT("'SpxSp (step-b)'!$B" &amp; CI$16)=$Z44,INDIRECT("'SpxSp (step-b)'!$" &amp; 'SpxSp (step-b)'!$BC$23 &amp; CI$16),"")</f>
        <v/>
      </c>
      <c r="CJ44" s="1317" t="str">
        <f ca="1">IF(INDIRECT("'SpxSp (step-b)'!$B" &amp; CJ$16)=$Z44,INDIRECT("'SpxSp (step-b)'!$" &amp; 'SpxSp (step-b)'!$BC$23 &amp; CJ$16),"")</f>
        <v/>
      </c>
      <c r="CK44" s="1317" t="str">
        <f ca="1">IF(INDIRECT("'SpxSp (step-b)'!$B" &amp; CK$16)=$Z44,INDIRECT("'SpxSp (step-b)'!$" &amp; 'SpxSp (step-b)'!$BC$23 &amp; CK$16),"")</f>
        <v/>
      </c>
      <c r="CL44" s="1317" t="str">
        <f ca="1">IF(INDIRECT("'SpxSp (step-b)'!$B" &amp; CL$16)=$Z44,INDIRECT("'SpxSp (step-b)'!$" &amp; 'SpxSp (step-b)'!$BC$23 &amp; CL$16),"")</f>
        <v/>
      </c>
      <c r="CM44" s="1317" t="str">
        <f ca="1">IF(INDIRECT("'SpxSp (step-b)'!$B" &amp; CM$16)=$Z44,INDIRECT("'SpxSp (step-b)'!$" &amp; 'SpxSp (step-b)'!$BC$23 &amp; CM$16),"")</f>
        <v/>
      </c>
      <c r="CN44" s="1317" t="str">
        <f ca="1">IF(INDIRECT("'SpxSp (step-b)'!$B" &amp; CN$16)=$Z44,INDIRECT("'SpxSp (step-b)'!$" &amp; 'SpxSp (step-b)'!$BC$23 &amp; CN$16),"")</f>
        <v/>
      </c>
      <c r="CO44" s="1317" t="str">
        <f ca="1">IF(INDIRECT("'SpxSp (step-b)'!$B" &amp; CO$16)=$Z44,INDIRECT("'SpxSp (step-b)'!$" &amp; 'SpxSp (step-b)'!$BC$23 &amp; CO$16),"")</f>
        <v/>
      </c>
      <c r="CP44" s="1317" t="str">
        <f ca="1">IF(INDIRECT("'SpxSp (step-b)'!$B" &amp; CP$16)=$Z44,INDIRECT("'SpxSp (step-b)'!$" &amp; 'SpxSp (step-b)'!$BC$23 &amp; CP$16),"")</f>
        <v/>
      </c>
      <c r="CQ44" s="1317" t="str">
        <f ca="1">IF(INDIRECT("'SpxSp (step-b)'!$B" &amp; CQ$16)=$Z44,INDIRECT("'SpxSp (step-b)'!$" &amp; 'SpxSp (step-b)'!$BC$23 &amp; CQ$16),"")</f>
        <v/>
      </c>
      <c r="CR44" s="1317" t="str">
        <f ca="1">IF(INDIRECT("'SpxSp (step-b)'!$B" &amp; CR$16)=$Z44,INDIRECT("'SpxSp (step-b)'!$" &amp; 'SpxSp (step-b)'!$BC$23 &amp; CR$16),"")</f>
        <v/>
      </c>
      <c r="CS44" s="1317" t="str">
        <f ca="1">IF(INDIRECT("'SpxSp (step-b)'!$B" &amp; CS$16)=$Z44,INDIRECT("'SpxSp (step-b)'!$" &amp; 'SpxSp (step-b)'!$BC$23 &amp; CS$16),"")</f>
        <v/>
      </c>
      <c r="CT44" s="1317" t="str">
        <f ca="1">IF(INDIRECT("'SpxSp (step-b)'!$B" &amp; CT$16)=$Z44,INDIRECT("'SpxSp (step-b)'!$" &amp; 'SpxSp (step-b)'!$BC$23 &amp; CT$16),"")</f>
        <v/>
      </c>
      <c r="CU44" s="1317" t="str">
        <f ca="1">IF(INDIRECT("'SpxSp (step-b)'!$B" &amp; CU$16)=$Z44,INDIRECT("'SpxSp (step-b)'!$" &amp; 'SpxSp (step-b)'!$BC$23 &amp; CU$16),"")</f>
        <v/>
      </c>
      <c r="CV44" s="1317" t="str">
        <f ca="1">IF(INDIRECT("'SpxSp (step-b)'!$B" &amp; CV$16)=$Z44,INDIRECT("'SpxSp (step-b)'!$" &amp; 'SpxSp (step-b)'!$BC$23 &amp; CV$16),"")</f>
        <v/>
      </c>
      <c r="CW44" s="1317" t="str">
        <f ca="1">IF(INDIRECT("'SpxSp (step-b)'!$B" &amp; CW$16)=$Z44,INDIRECT("'SpxSp (step-b)'!$" &amp; 'SpxSp (step-b)'!$BC$23 &amp; CW$16),"")</f>
        <v/>
      </c>
      <c r="CX44" s="1317" t="str">
        <f ca="1">IF(INDIRECT("'SpxSp (step-b)'!$B" &amp; CX$16)=$Z44,INDIRECT("'SpxSp (step-b)'!$" &amp; 'SpxSp (step-b)'!$BC$23 &amp; CX$16),"")</f>
        <v/>
      </c>
      <c r="CY44" s="1317" t="str">
        <f ca="1">IF(INDIRECT("'SpxSp (step-b)'!$B" &amp; CY$16)=$Z44,INDIRECT("'SpxSp (step-b)'!$" &amp; 'SpxSp (step-b)'!$BC$23 &amp; CY$16),"")</f>
        <v/>
      </c>
      <c r="CZ44" s="1317" t="str">
        <f ca="1">IF(INDIRECT("'SpxSp (step-b)'!$B" &amp; CZ$16)=$Z44,INDIRECT("'SpxSp (step-b)'!$" &amp; 'SpxSp (step-b)'!$BC$23 &amp; CZ$16),"")</f>
        <v/>
      </c>
      <c r="DA44" s="1317" t="str">
        <f ca="1">IF(INDIRECT("'SpxSp (step-b)'!$B" &amp; DA$16)=$Z44,INDIRECT("'SpxSp (step-b)'!$" &amp; 'SpxSp (step-b)'!$BC$23 &amp; DA$16),"")</f>
        <v/>
      </c>
      <c r="DB44" s="1317" t="str">
        <f ca="1">IF(INDIRECT("'SpxSp (step-b)'!$B" &amp; DB$16)=$Z44,INDIRECT("'SpxSp (step-b)'!$" &amp; 'SpxSp (step-b)'!$BC$23 &amp; DB$16),"")</f>
        <v/>
      </c>
      <c r="DC44" s="1317" t="str">
        <f ca="1">IF(INDIRECT("'SpxSp (step-b)'!$B" &amp; DC$16)=$Z44,INDIRECT("'SpxSp (step-b)'!$" &amp; 'SpxSp (step-b)'!$BC$23 &amp; DC$16),"")</f>
        <v/>
      </c>
      <c r="DD44" s="1317" t="str">
        <f ca="1">IF(INDIRECT("'SpxSp (step-b)'!$B" &amp; DD$16)=$Z44,INDIRECT("'SpxSp (step-b)'!$" &amp; 'SpxSp (step-b)'!$BC$23 &amp; DD$16),"")</f>
        <v/>
      </c>
      <c r="DE44" s="1317" t="str">
        <f ca="1">IF(INDIRECT("'SpxSp (step-b)'!$B" &amp; DE$16)=$Z44,INDIRECT("'SpxSp (step-b)'!$" &amp; 'SpxSp (step-b)'!$BC$23 &amp; DE$16),"")</f>
        <v/>
      </c>
      <c r="DF44" s="1317" t="str">
        <f ca="1">IF(INDIRECT("'SpxSp (step-b)'!$B" &amp; DF$16)=$Z44,INDIRECT("'SpxSp (step-b)'!$" &amp; 'SpxSp (step-b)'!$BC$23 &amp; DF$16),"")</f>
        <v/>
      </c>
      <c r="DG44" s="1317" t="str">
        <f ca="1">IF(INDIRECT("'SpxSp (step-b)'!$B" &amp; DG$16)=$Z44,INDIRECT("'SpxSp (step-b)'!$" &amp; 'SpxSp (step-b)'!$BC$23 &amp; DG$16),"")</f>
        <v/>
      </c>
      <c r="DH44" s="1317" t="str">
        <f ca="1">IF(INDIRECT("'SpxSp (step-b)'!$B" &amp; DH$16)=$Z44,INDIRECT("'SpxSp (step-b)'!$" &amp; 'SpxSp (step-b)'!$BC$23 &amp; DH$16),"")</f>
        <v/>
      </c>
      <c r="DI44" s="1317" t="str">
        <f ca="1">IF(INDIRECT("'SpxSp (step-b)'!$B" &amp; DI$16)=$Z44,INDIRECT("'SpxSp (step-b)'!$" &amp; 'SpxSp (step-b)'!$BC$23 &amp; DI$16),"")</f>
        <v/>
      </c>
      <c r="DJ44" s="1317" t="str">
        <f ca="1">IF(INDIRECT("'SpxSp (step-b)'!$B" &amp; DJ$16)=$Z44,INDIRECT("'SpxSp (step-b)'!$" &amp; 'SpxSp (step-b)'!$BC$23 &amp; DJ$16),"")</f>
        <v/>
      </c>
      <c r="DK44" s="1317" t="str">
        <f ca="1">IF(INDIRECT("'SpxSp (step-b)'!$B" &amp; DK$16)=$Z44,INDIRECT("'SpxSp (step-b)'!$" &amp; 'SpxSp (step-b)'!$BC$23 &amp; DK$16),"")</f>
        <v/>
      </c>
      <c r="DL44" s="1317" t="str">
        <f ca="1">IF(INDIRECT("'SpxSp (step-b)'!$B" &amp; DL$16)=$Z44,INDIRECT("'SpxSp (step-b)'!$" &amp; 'SpxSp (step-b)'!$BC$23 &amp; DL$16),"")</f>
        <v/>
      </c>
      <c r="DM44" s="1317" t="str">
        <f ca="1">IF(INDIRECT("'SpxSp (step-b)'!$B" &amp; DM$16)=$Z44,INDIRECT("'SpxSp (step-b)'!$" &amp; 'SpxSp (step-b)'!$BC$23 &amp; DM$16),"")</f>
        <v/>
      </c>
      <c r="DN44" s="1318" t="str">
        <f t="shared" ca="1" si="32"/>
        <v/>
      </c>
      <c r="DO44" s="1246" t="s">
        <v>1201</v>
      </c>
    </row>
    <row r="45" spans="2:119" ht="40" x14ac:dyDescent="0.2">
      <c r="B45" s="1450" t="str">
        <f t="shared" si="13"/>
        <v/>
      </c>
      <c r="C45" s="1451"/>
      <c r="D45" s="1451"/>
      <c r="E45" s="1451"/>
      <c r="F45" s="1452"/>
      <c r="G45" s="1319" t="str">
        <f t="shared" si="31"/>
        <v/>
      </c>
      <c r="H45" s="1320" t="str">
        <f t="shared" si="14"/>
        <v/>
      </c>
      <c r="I45" s="1321" t="str">
        <f t="shared" si="33"/>
        <v/>
      </c>
      <c r="J45" s="1296"/>
      <c r="K45" s="1322" t="str">
        <f>IFERROR(IF(OR(B45="",H45=0),"",VLOOKUP(B45,'SpxSp (step-c)'!B$18:O$67,6,FALSE)),"")</f>
        <v/>
      </c>
      <c r="L45" s="1323" t="str">
        <f ca="1">IFERROR(F(OR(B45="",H45=0),"",VLOOKUP($B45,'SpxSp (step-c)'!$B$18:O$67,12,FALSE)),"")</f>
        <v/>
      </c>
      <c r="M45" s="1321" t="str">
        <f ca="1">IF(AND(B45&lt;&gt;"",L45=""),"NA",IFERROR(VLOOKUP($B45,'SpxSp (step-c)'!$B$18:P$67,13,FALSE),""))</f>
        <v/>
      </c>
      <c r="N45" s="1324"/>
      <c r="O45" s="1322" t="str">
        <f>IFERROR(IF(OR(B45="",H45=0),"",VLOOKUP($B45,'SpxSp (step-d)'!$B$18:$P$67,12,FALSE)),"")</f>
        <v/>
      </c>
      <c r="P45" s="1323" t="str">
        <f>IFERROR(IF(OR(B45="",H45=0),"",VLOOKUP($B45,'SpxSp (step-d)'!$B$18:$P$67,13,FALSE)),"")</f>
        <v/>
      </c>
      <c r="Q45" s="1323" t="str">
        <f>IFERROR(IF(OR(B45="",H45=0),"",VLOOKUP($B45,'SpxSp (step-d)'!$B$18:$P$67,14,FALSE)),"")</f>
        <v/>
      </c>
      <c r="R45" s="1321" t="str">
        <f>IF(AND(B45&lt;&gt;"",P45=""),"NA",IFERROR(VLOOKUP(B45,'SpxSp (step-d)'!$B$18:$V$67,15,FALSE),""))</f>
        <v/>
      </c>
      <c r="S45" s="1296"/>
      <c r="T45" s="1325" t="str">
        <f t="shared" si="34"/>
        <v/>
      </c>
      <c r="U45" s="1326" t="str">
        <f t="shared" si="17"/>
        <v/>
      </c>
      <c r="Y45" s="1302">
        <v>28</v>
      </c>
      <c r="Z45" s="1303" t="str">
        <f>'SpxSp (step-a)'!B49</f>
        <v/>
      </c>
      <c r="AA45" s="1303" t="str">
        <f>'SpxSp (step-a)'!H49</f>
        <v/>
      </c>
      <c r="AB45" s="1290" t="str">
        <f>VLOOKUP($Z45,'SpxSp (step-a)'!$B$22:$O$71,AB$14,FALSE)</f>
        <v/>
      </c>
      <c r="AD45" s="1290" t="str">
        <f>IF(Z45="","",IFERROR(VLOOKUP($Z45,'SpxSp (step-a)'!$B$22:$O$71,AD$14,FALSE),0))</f>
        <v/>
      </c>
      <c r="AE45" s="1290" t="str">
        <f>IF(Z45="","",IFERROR(VLOOKUP($Z45,'SpxSp (step-a)'!$B$22:$O$71,AE$14,FALSE),0))</f>
        <v/>
      </c>
      <c r="AG45" s="1290" t="str">
        <f t="shared" si="36"/>
        <v/>
      </c>
      <c r="AI45" s="1290" t="str">
        <f>IF($Z45="","",SUMIFS('SpxSp (step-b)'!L$26:L$75,'SpxSp (step-b)'!B$26:B$75,Z45,'SpxSp (step-b)'!N$26:N$75,"New"))</f>
        <v/>
      </c>
      <c r="AJ45" s="1290" t="str">
        <f>IF($Z45="","",SUMIFS('SpxSp (step-b)'!$L$26:$L$75,'SpxSp (step-b)'!$B$26:$B$75,$Z45,'SpxSp (step-b)'!N$26:N$75,""))</f>
        <v/>
      </c>
      <c r="AK45" s="1290" t="str">
        <f>IF($Z45="","",SUMIFS('SpxSp (step-b)'!$J$26:$J$75,'SpxSp (step-b)'!$B$26:$B$75,$Z45,'SpxSp (step-b)'!$N$26:$N$75,"New")+SUMIFS('SpxSp (step-b)'!$J$26:$J$75,'SpxSp (step-b)'!$B$26:$B$75,$Z45,'SpxSp (step-b)'!$N$26:$N$75,""))</f>
        <v/>
      </c>
      <c r="AL45" s="1290" t="str">
        <f>IF($Z45="","",SUMIFS('SpxSp (step-b)'!$L$26:$L$75,'SpxSp (step-b)'!$B$26:$B$75,$Z45,'SpxSp (step-b)'!$N$26:$N$75,"Existing Remains"))</f>
        <v/>
      </c>
      <c r="AM45" s="1290" t="str">
        <f>IF($Z45="","",SUMIFS('SpxSp (step-b)'!$L$26:$L$75,'SpxSp (step-b)'!$B$26:$B$75,$Z45,'SpxSp (step-b)'!$N$26:$N$75,"Existing Removed"))</f>
        <v/>
      </c>
      <c r="AN45" s="1290" t="str">
        <f>IF($Z45="","",SUMIFS('SpxSp (step-b)'!$J$26:$J$75,'SpxSp (step-b)'!$B$26:$B$75,$Z45,'SpxSp (step-b)'!$N$26:$N$75,"Existing Removed"))</f>
        <v/>
      </c>
      <c r="AO45" s="1290" t="str">
        <f t="shared" si="37"/>
        <v/>
      </c>
      <c r="AP45" s="1290" t="str">
        <f t="shared" si="18"/>
        <v/>
      </c>
      <c r="AQ45" s="1304"/>
      <c r="AR45" s="1305" t="str">
        <f t="shared" si="19"/>
        <v/>
      </c>
      <c r="AS45" s="1306" t="str">
        <f t="shared" si="20"/>
        <v/>
      </c>
      <c r="AT45" s="1307"/>
      <c r="AU45" s="1308" t="str">
        <f t="shared" si="21"/>
        <v/>
      </c>
      <c r="AV45" s="1309" t="str">
        <f t="shared" si="6"/>
        <v/>
      </c>
      <c r="AW45" s="1309" t="str">
        <f t="shared" si="22"/>
        <v/>
      </c>
      <c r="AX45" s="1310" t="str">
        <f t="shared" si="23"/>
        <v/>
      </c>
      <c r="AY45" s="1307"/>
      <c r="AZ45" s="1311" t="str">
        <f t="shared" si="24"/>
        <v/>
      </c>
      <c r="BA45" s="1309" t="str">
        <f t="shared" si="25"/>
        <v/>
      </c>
      <c r="BB45" s="1310" t="str">
        <f t="shared" si="26"/>
        <v/>
      </c>
      <c r="BC45" s="1312"/>
      <c r="BD45" s="1313" t="str">
        <f t="shared" si="35"/>
        <v/>
      </c>
      <c r="BE45" s="1290" t="str">
        <f t="shared" si="27"/>
        <v/>
      </c>
      <c r="BF45" s="1290" t="str">
        <f t="shared" si="28"/>
        <v/>
      </c>
      <c r="BH45" s="1315" t="str">
        <f t="shared" si="10"/>
        <v/>
      </c>
      <c r="BI45" s="1315"/>
      <c r="BJ45" s="1303" t="str">
        <f>IF(OR(BH45="Fail",BH45="Fail LPA",BH45=""),"",'SpxSp (step-a)'!CM49)</f>
        <v/>
      </c>
      <c r="BK45" s="1290">
        <f t="shared" si="30"/>
        <v>0</v>
      </c>
      <c r="BN45" s="178">
        <v>28</v>
      </c>
      <c r="BO45" s="1316" t="str">
        <f t="shared" ca="1" si="29"/>
        <v/>
      </c>
      <c r="BP45" s="1317" t="str">
        <f ca="1">IF(INDIRECT("'SpxSp (step-b)'!$B" &amp; BP$16)=$Z45,INDIRECT("'SpxSp (step-b)'!$" &amp; 'SpxSp (step-b)'!$BC$23 &amp; BP$16),"")</f>
        <v/>
      </c>
      <c r="BQ45" s="1317" t="str">
        <f ca="1">IF(INDIRECT("'SpxSp (step-b)'!$B" &amp; BQ$16)=$Z45,INDIRECT("'SpxSp (step-b)'!$" &amp; 'SpxSp (step-b)'!$BC$23 &amp; BQ$16),"")</f>
        <v/>
      </c>
      <c r="BR45" s="1317" t="str">
        <f ca="1">IF(INDIRECT("'SpxSp (step-b)'!$B" &amp; BR$16)=$Z45,INDIRECT("'SpxSp (step-b)'!$" &amp; 'SpxSp (step-b)'!$BC$23 &amp; BR$16),"")</f>
        <v/>
      </c>
      <c r="BS45" s="1317" t="str">
        <f ca="1">IF(INDIRECT("'SpxSp (step-b)'!$B" &amp; BS$16)=$Z45,INDIRECT("'SpxSp (step-b)'!$" &amp; 'SpxSp (step-b)'!$BC$23 &amp; BS$16),"")</f>
        <v/>
      </c>
      <c r="BT45" s="1317" t="str">
        <f ca="1">IF(INDIRECT("'SpxSp (step-b)'!$B" &amp; BT$16)=$Z45,INDIRECT("'SpxSp (step-b)'!$" &amp; 'SpxSp (step-b)'!$BC$23 &amp; BT$16),"")</f>
        <v/>
      </c>
      <c r="BU45" s="1317" t="str">
        <f ca="1">IF(INDIRECT("'SpxSp (step-b)'!$B" &amp; BU$16)=$Z45,INDIRECT("'SpxSp (step-b)'!$" &amp; 'SpxSp (step-b)'!$BC$23 &amp; BU$16),"")</f>
        <v/>
      </c>
      <c r="BV45" s="1317" t="str">
        <f ca="1">IF(INDIRECT("'SpxSp (step-b)'!$B" &amp; BV$16)=$Z45,INDIRECT("'SpxSp (step-b)'!$" &amp; 'SpxSp (step-b)'!$BC$23 &amp; BV$16),"")</f>
        <v/>
      </c>
      <c r="BW45" s="1317" t="str">
        <f ca="1">IF(INDIRECT("'SpxSp (step-b)'!$B" &amp; BW$16)=$Z45,INDIRECT("'SpxSp (step-b)'!$" &amp; 'SpxSp (step-b)'!$BC$23 &amp; BW$16),"")</f>
        <v/>
      </c>
      <c r="BX45" s="1317" t="str">
        <f ca="1">IF(INDIRECT("'SpxSp (step-b)'!$B" &amp; BX$16)=$Z45,INDIRECT("'SpxSp (step-b)'!$" &amp; 'SpxSp (step-b)'!$BC$23 &amp; BX$16),"")</f>
        <v/>
      </c>
      <c r="BY45" s="1317" t="str">
        <f ca="1">IF(INDIRECT("'SpxSp (step-b)'!$B" &amp; BY$16)=$Z45,INDIRECT("'SpxSp (step-b)'!$" &amp; 'SpxSp (step-b)'!$BC$23 &amp; BY$16),"")</f>
        <v/>
      </c>
      <c r="BZ45" s="1317" t="str">
        <f ca="1">IF(INDIRECT("'SpxSp (step-b)'!$B" &amp; BZ$16)=$Z45,INDIRECT("'SpxSp (step-b)'!$" &amp; 'SpxSp (step-b)'!$BC$23 &amp; BZ$16),"")</f>
        <v/>
      </c>
      <c r="CA45" s="1317" t="str">
        <f ca="1">IF(INDIRECT("'SpxSp (step-b)'!$B" &amp; CA$16)=$Z45,INDIRECT("'SpxSp (step-b)'!$" &amp; 'SpxSp (step-b)'!$BC$23 &amp; CA$16),"")</f>
        <v/>
      </c>
      <c r="CB45" s="1317" t="str">
        <f ca="1">IF(INDIRECT("'SpxSp (step-b)'!$B" &amp; CB$16)=$Z45,INDIRECT("'SpxSp (step-b)'!$" &amp; 'SpxSp (step-b)'!$BC$23 &amp; CB$16),"")</f>
        <v/>
      </c>
      <c r="CC45" s="1317" t="str">
        <f ca="1">IF(INDIRECT("'SpxSp (step-b)'!$B" &amp; CC$16)=$Z45,INDIRECT("'SpxSp (step-b)'!$" &amp; 'SpxSp (step-b)'!$BC$23 &amp; CC$16),"")</f>
        <v/>
      </c>
      <c r="CD45" s="1317" t="str">
        <f ca="1">IF(INDIRECT("'SpxSp (step-b)'!$B" &amp; CD$16)=$Z45,INDIRECT("'SpxSp (step-b)'!$" &amp; 'SpxSp (step-b)'!$BC$23 &amp; CD$16),"")</f>
        <v/>
      </c>
      <c r="CE45" s="1317" t="str">
        <f ca="1">IF(INDIRECT("'SpxSp (step-b)'!$B" &amp; CE$16)=$Z45,INDIRECT("'SpxSp (step-b)'!$" &amp; 'SpxSp (step-b)'!$BC$23 &amp; CE$16),"")</f>
        <v/>
      </c>
      <c r="CF45" s="1317" t="str">
        <f ca="1">IF(INDIRECT("'SpxSp (step-b)'!$B" &amp; CF$16)=$Z45,INDIRECT("'SpxSp (step-b)'!$" &amp; 'SpxSp (step-b)'!$BC$23 &amp; CF$16),"")</f>
        <v/>
      </c>
      <c r="CG45" s="1317" t="str">
        <f ca="1">IF(INDIRECT("'SpxSp (step-b)'!$B" &amp; CG$16)=$Z45,INDIRECT("'SpxSp (step-b)'!$" &amp; 'SpxSp (step-b)'!$BC$23 &amp; CG$16),"")</f>
        <v/>
      </c>
      <c r="CH45" s="1317" t="str">
        <f ca="1">IF(INDIRECT("'SpxSp (step-b)'!$B" &amp; CH$16)=$Z45,INDIRECT("'SpxSp (step-b)'!$" &amp; 'SpxSp (step-b)'!$BC$23 &amp; CH$16),"")</f>
        <v/>
      </c>
      <c r="CI45" s="1317" t="str">
        <f ca="1">IF(INDIRECT("'SpxSp (step-b)'!$B" &amp; CI$16)=$Z45,INDIRECT("'SpxSp (step-b)'!$" &amp; 'SpxSp (step-b)'!$BC$23 &amp; CI$16),"")</f>
        <v/>
      </c>
      <c r="CJ45" s="1317" t="str">
        <f ca="1">IF(INDIRECT("'SpxSp (step-b)'!$B" &amp; CJ$16)=$Z45,INDIRECT("'SpxSp (step-b)'!$" &amp; 'SpxSp (step-b)'!$BC$23 &amp; CJ$16),"")</f>
        <v/>
      </c>
      <c r="CK45" s="1317" t="str">
        <f ca="1">IF(INDIRECT("'SpxSp (step-b)'!$B" &amp; CK$16)=$Z45,INDIRECT("'SpxSp (step-b)'!$" &amp; 'SpxSp (step-b)'!$BC$23 &amp; CK$16),"")</f>
        <v/>
      </c>
      <c r="CL45" s="1317" t="str">
        <f ca="1">IF(INDIRECT("'SpxSp (step-b)'!$B" &amp; CL$16)=$Z45,INDIRECT("'SpxSp (step-b)'!$" &amp; 'SpxSp (step-b)'!$BC$23 &amp; CL$16),"")</f>
        <v/>
      </c>
      <c r="CM45" s="1317" t="str">
        <f ca="1">IF(INDIRECT("'SpxSp (step-b)'!$B" &amp; CM$16)=$Z45,INDIRECT("'SpxSp (step-b)'!$" &amp; 'SpxSp (step-b)'!$BC$23 &amp; CM$16),"")</f>
        <v/>
      </c>
      <c r="CN45" s="1317" t="str">
        <f ca="1">IF(INDIRECT("'SpxSp (step-b)'!$B" &amp; CN$16)=$Z45,INDIRECT("'SpxSp (step-b)'!$" &amp; 'SpxSp (step-b)'!$BC$23 &amp; CN$16),"")</f>
        <v/>
      </c>
      <c r="CO45" s="1317" t="str">
        <f ca="1">IF(INDIRECT("'SpxSp (step-b)'!$B" &amp; CO$16)=$Z45,INDIRECT("'SpxSp (step-b)'!$" &amp; 'SpxSp (step-b)'!$BC$23 &amp; CO$16),"")</f>
        <v/>
      </c>
      <c r="CP45" s="1317" t="str">
        <f ca="1">IF(INDIRECT("'SpxSp (step-b)'!$B" &amp; CP$16)=$Z45,INDIRECT("'SpxSp (step-b)'!$" &amp; 'SpxSp (step-b)'!$BC$23 &amp; CP$16),"")</f>
        <v/>
      </c>
      <c r="CQ45" s="1317" t="str">
        <f ca="1">IF(INDIRECT("'SpxSp (step-b)'!$B" &amp; CQ$16)=$Z45,INDIRECT("'SpxSp (step-b)'!$" &amp; 'SpxSp (step-b)'!$BC$23 &amp; CQ$16),"")</f>
        <v/>
      </c>
      <c r="CR45" s="1317" t="str">
        <f ca="1">IF(INDIRECT("'SpxSp (step-b)'!$B" &amp; CR$16)=$Z45,INDIRECT("'SpxSp (step-b)'!$" &amp; 'SpxSp (step-b)'!$BC$23 &amp; CR$16),"")</f>
        <v/>
      </c>
      <c r="CS45" s="1317" t="str">
        <f ca="1">IF(INDIRECT("'SpxSp (step-b)'!$B" &amp; CS$16)=$Z45,INDIRECT("'SpxSp (step-b)'!$" &amp; 'SpxSp (step-b)'!$BC$23 &amp; CS$16),"")</f>
        <v/>
      </c>
      <c r="CT45" s="1317" t="str">
        <f ca="1">IF(INDIRECT("'SpxSp (step-b)'!$B" &amp; CT$16)=$Z45,INDIRECT("'SpxSp (step-b)'!$" &amp; 'SpxSp (step-b)'!$BC$23 &amp; CT$16),"")</f>
        <v/>
      </c>
      <c r="CU45" s="1317" t="str">
        <f ca="1">IF(INDIRECT("'SpxSp (step-b)'!$B" &amp; CU$16)=$Z45,INDIRECT("'SpxSp (step-b)'!$" &amp; 'SpxSp (step-b)'!$BC$23 &amp; CU$16),"")</f>
        <v/>
      </c>
      <c r="CV45" s="1317" t="str">
        <f ca="1">IF(INDIRECT("'SpxSp (step-b)'!$B" &amp; CV$16)=$Z45,INDIRECT("'SpxSp (step-b)'!$" &amp; 'SpxSp (step-b)'!$BC$23 &amp; CV$16),"")</f>
        <v/>
      </c>
      <c r="CW45" s="1317" t="str">
        <f ca="1">IF(INDIRECT("'SpxSp (step-b)'!$B" &amp; CW$16)=$Z45,INDIRECT("'SpxSp (step-b)'!$" &amp; 'SpxSp (step-b)'!$BC$23 &amp; CW$16),"")</f>
        <v/>
      </c>
      <c r="CX45" s="1317" t="str">
        <f ca="1">IF(INDIRECT("'SpxSp (step-b)'!$B" &amp; CX$16)=$Z45,INDIRECT("'SpxSp (step-b)'!$" &amp; 'SpxSp (step-b)'!$BC$23 &amp; CX$16),"")</f>
        <v/>
      </c>
      <c r="CY45" s="1317" t="str">
        <f ca="1">IF(INDIRECT("'SpxSp (step-b)'!$B" &amp; CY$16)=$Z45,INDIRECT("'SpxSp (step-b)'!$" &amp; 'SpxSp (step-b)'!$BC$23 &amp; CY$16),"")</f>
        <v/>
      </c>
      <c r="CZ45" s="1317" t="str">
        <f ca="1">IF(INDIRECT("'SpxSp (step-b)'!$B" &amp; CZ$16)=$Z45,INDIRECT("'SpxSp (step-b)'!$" &amp; 'SpxSp (step-b)'!$BC$23 &amp; CZ$16),"")</f>
        <v/>
      </c>
      <c r="DA45" s="1317" t="str">
        <f ca="1">IF(INDIRECT("'SpxSp (step-b)'!$B" &amp; DA$16)=$Z45,INDIRECT("'SpxSp (step-b)'!$" &amp; 'SpxSp (step-b)'!$BC$23 &amp; DA$16),"")</f>
        <v/>
      </c>
      <c r="DB45" s="1317" t="str">
        <f ca="1">IF(INDIRECT("'SpxSp (step-b)'!$B" &amp; DB$16)=$Z45,INDIRECT("'SpxSp (step-b)'!$" &amp; 'SpxSp (step-b)'!$BC$23 &amp; DB$16),"")</f>
        <v/>
      </c>
      <c r="DC45" s="1317" t="str">
        <f ca="1">IF(INDIRECT("'SpxSp (step-b)'!$B" &amp; DC$16)=$Z45,INDIRECT("'SpxSp (step-b)'!$" &amp; 'SpxSp (step-b)'!$BC$23 &amp; DC$16),"")</f>
        <v/>
      </c>
      <c r="DD45" s="1317" t="str">
        <f ca="1">IF(INDIRECT("'SpxSp (step-b)'!$B" &amp; DD$16)=$Z45,INDIRECT("'SpxSp (step-b)'!$" &amp; 'SpxSp (step-b)'!$BC$23 &amp; DD$16),"")</f>
        <v/>
      </c>
      <c r="DE45" s="1317" t="str">
        <f ca="1">IF(INDIRECT("'SpxSp (step-b)'!$B" &amp; DE$16)=$Z45,INDIRECT("'SpxSp (step-b)'!$" &amp; 'SpxSp (step-b)'!$BC$23 &amp; DE$16),"")</f>
        <v/>
      </c>
      <c r="DF45" s="1317" t="str">
        <f ca="1">IF(INDIRECT("'SpxSp (step-b)'!$B" &amp; DF$16)=$Z45,INDIRECT("'SpxSp (step-b)'!$" &amp; 'SpxSp (step-b)'!$BC$23 &amp; DF$16),"")</f>
        <v/>
      </c>
      <c r="DG45" s="1317" t="str">
        <f ca="1">IF(INDIRECT("'SpxSp (step-b)'!$B" &amp; DG$16)=$Z45,INDIRECT("'SpxSp (step-b)'!$" &amp; 'SpxSp (step-b)'!$BC$23 &amp; DG$16),"")</f>
        <v/>
      </c>
      <c r="DH45" s="1317" t="str">
        <f ca="1">IF(INDIRECT("'SpxSp (step-b)'!$B" &amp; DH$16)=$Z45,INDIRECT("'SpxSp (step-b)'!$" &amp; 'SpxSp (step-b)'!$BC$23 &amp; DH$16),"")</f>
        <v/>
      </c>
      <c r="DI45" s="1317" t="str">
        <f ca="1">IF(INDIRECT("'SpxSp (step-b)'!$B" &amp; DI$16)=$Z45,INDIRECT("'SpxSp (step-b)'!$" &amp; 'SpxSp (step-b)'!$BC$23 &amp; DI$16),"")</f>
        <v/>
      </c>
      <c r="DJ45" s="1317" t="str">
        <f ca="1">IF(INDIRECT("'SpxSp (step-b)'!$B" &amp; DJ$16)=$Z45,INDIRECT("'SpxSp (step-b)'!$" &amp; 'SpxSp (step-b)'!$BC$23 &amp; DJ$16),"")</f>
        <v/>
      </c>
      <c r="DK45" s="1317" t="str">
        <f ca="1">IF(INDIRECT("'SpxSp (step-b)'!$B" &amp; DK$16)=$Z45,INDIRECT("'SpxSp (step-b)'!$" &amp; 'SpxSp (step-b)'!$BC$23 &amp; DK$16),"")</f>
        <v/>
      </c>
      <c r="DL45" s="1317" t="str">
        <f ca="1">IF(INDIRECT("'SpxSp (step-b)'!$B" &amp; DL$16)=$Z45,INDIRECT("'SpxSp (step-b)'!$" &amp; 'SpxSp (step-b)'!$BC$23 &amp; DL$16),"")</f>
        <v/>
      </c>
      <c r="DM45" s="1317" t="str">
        <f ca="1">IF(INDIRECT("'SpxSp (step-b)'!$B" &amp; DM$16)=$Z45,INDIRECT("'SpxSp (step-b)'!$" &amp; 'SpxSp (step-b)'!$BC$23 &amp; DM$16),"")</f>
        <v/>
      </c>
      <c r="DN45" s="1318" t="str">
        <f t="shared" ca="1" si="32"/>
        <v/>
      </c>
      <c r="DO45" s="1246" t="s">
        <v>1201</v>
      </c>
    </row>
    <row r="46" spans="2:119" ht="40" x14ac:dyDescent="0.2">
      <c r="B46" s="1450" t="str">
        <f t="shared" si="13"/>
        <v/>
      </c>
      <c r="C46" s="1451"/>
      <c r="D46" s="1451"/>
      <c r="E46" s="1451"/>
      <c r="F46" s="1452"/>
      <c r="G46" s="1319" t="str">
        <f t="shared" si="31"/>
        <v/>
      </c>
      <c r="H46" s="1320" t="str">
        <f t="shared" si="14"/>
        <v/>
      </c>
      <c r="I46" s="1321" t="str">
        <f t="shared" si="33"/>
        <v/>
      </c>
      <c r="J46" s="1296"/>
      <c r="K46" s="1322" t="str">
        <f>IFERROR(IF(OR(B46="",H46=0),"",VLOOKUP(B46,'SpxSp (step-c)'!B$18:O$67,6,FALSE)),"")</f>
        <v/>
      </c>
      <c r="L46" s="1323" t="str">
        <f ca="1">IFERROR(F(OR(B46="",H46=0),"",VLOOKUP($B46,'SpxSp (step-c)'!$B$18:O$67,12,FALSE)),"")</f>
        <v/>
      </c>
      <c r="M46" s="1321" t="str">
        <f ca="1">IF(AND(B46&lt;&gt;"",L46=""),"NA",IFERROR(VLOOKUP($B46,'SpxSp (step-c)'!$B$18:P$67,13,FALSE),""))</f>
        <v/>
      </c>
      <c r="N46" s="1324"/>
      <c r="O46" s="1322" t="str">
        <f>IFERROR(IF(OR(B46="",H46=0),"",VLOOKUP($B46,'SpxSp (step-d)'!$B$18:$P$67,12,FALSE)),"")</f>
        <v/>
      </c>
      <c r="P46" s="1323" t="str">
        <f>IFERROR(IF(OR(B46="",H46=0),"",VLOOKUP($B46,'SpxSp (step-d)'!$B$18:$P$67,13,FALSE)),"")</f>
        <v/>
      </c>
      <c r="Q46" s="1323" t="str">
        <f>IFERROR(IF(OR(B46="",H46=0),"",VLOOKUP($B46,'SpxSp (step-d)'!$B$18:$P$67,14,FALSE)),"")</f>
        <v/>
      </c>
      <c r="R46" s="1321" t="str">
        <f>IF(AND(B46&lt;&gt;"",P46=""),"NA",IFERROR(VLOOKUP(B46,'SpxSp (step-d)'!$B$18:$V$67,15,FALSE),""))</f>
        <v/>
      </c>
      <c r="S46" s="1296"/>
      <c r="T46" s="1325" t="str">
        <f t="shared" si="34"/>
        <v/>
      </c>
      <c r="U46" s="1326" t="str">
        <f t="shared" si="17"/>
        <v/>
      </c>
      <c r="Y46" s="1302">
        <v>29</v>
      </c>
      <c r="Z46" s="1303" t="str">
        <f>'SpxSp (step-a)'!B50</f>
        <v/>
      </c>
      <c r="AA46" s="1303" t="str">
        <f>'SpxSp (step-a)'!H50</f>
        <v/>
      </c>
      <c r="AB46" s="1290" t="str">
        <f>VLOOKUP($Z46,'SpxSp (step-a)'!$B$22:$O$71,AB$14,FALSE)</f>
        <v/>
      </c>
      <c r="AD46" s="1290" t="str">
        <f>IF(Z46="","",IFERROR(VLOOKUP($Z46,'SpxSp (step-a)'!$B$22:$O$71,AD$14,FALSE),0))</f>
        <v/>
      </c>
      <c r="AE46" s="1290" t="str">
        <f>IF(Z46="","",IFERROR(VLOOKUP($Z46,'SpxSp (step-a)'!$B$22:$O$71,AE$14,FALSE),0))</f>
        <v/>
      </c>
      <c r="AG46" s="1290" t="str">
        <f t="shared" si="36"/>
        <v/>
      </c>
      <c r="AI46" s="1290" t="str">
        <f>IF($Z46="","",SUMIFS('SpxSp (step-b)'!L$26:L$75,'SpxSp (step-b)'!B$26:B$75,Z46,'SpxSp (step-b)'!N$26:N$75,"New"))</f>
        <v/>
      </c>
      <c r="AJ46" s="1290" t="str">
        <f>IF($Z46="","",SUMIFS('SpxSp (step-b)'!$L$26:$L$75,'SpxSp (step-b)'!$B$26:$B$75,$Z46,'SpxSp (step-b)'!N$26:N$75,""))</f>
        <v/>
      </c>
      <c r="AK46" s="1290" t="str">
        <f>IF($Z46="","",SUMIFS('SpxSp (step-b)'!$J$26:$J$75,'SpxSp (step-b)'!$B$26:$B$75,$Z46,'SpxSp (step-b)'!$N$26:$N$75,"New")+SUMIFS('SpxSp (step-b)'!$J$26:$J$75,'SpxSp (step-b)'!$B$26:$B$75,$Z46,'SpxSp (step-b)'!$N$26:$N$75,""))</f>
        <v/>
      </c>
      <c r="AL46" s="1290" t="str">
        <f>IF($Z46="","",SUMIFS('SpxSp (step-b)'!$L$26:$L$75,'SpxSp (step-b)'!$B$26:$B$75,$Z46,'SpxSp (step-b)'!$N$26:$N$75,"Existing Remains"))</f>
        <v/>
      </c>
      <c r="AM46" s="1290" t="str">
        <f>IF($Z46="","",SUMIFS('SpxSp (step-b)'!$L$26:$L$75,'SpxSp (step-b)'!$B$26:$B$75,$Z46,'SpxSp (step-b)'!$N$26:$N$75,"Existing Removed"))</f>
        <v/>
      </c>
      <c r="AN46" s="1290" t="str">
        <f>IF($Z46="","",SUMIFS('SpxSp (step-b)'!$J$26:$J$75,'SpxSp (step-b)'!$B$26:$B$75,$Z46,'SpxSp (step-b)'!$N$26:$N$75,"Existing Removed"))</f>
        <v/>
      </c>
      <c r="AO46" s="1290" t="str">
        <f t="shared" si="37"/>
        <v/>
      </c>
      <c r="AP46" s="1290" t="str">
        <f t="shared" si="18"/>
        <v/>
      </c>
      <c r="AQ46" s="1304"/>
      <c r="AR46" s="1305" t="str">
        <f t="shared" si="19"/>
        <v/>
      </c>
      <c r="AS46" s="1306" t="str">
        <f t="shared" si="20"/>
        <v/>
      </c>
      <c r="AT46" s="1307"/>
      <c r="AU46" s="1308" t="str">
        <f t="shared" si="21"/>
        <v/>
      </c>
      <c r="AV46" s="1309" t="str">
        <f t="shared" si="6"/>
        <v/>
      </c>
      <c r="AW46" s="1309" t="str">
        <f t="shared" si="22"/>
        <v/>
      </c>
      <c r="AX46" s="1310" t="str">
        <f t="shared" si="23"/>
        <v/>
      </c>
      <c r="AY46" s="1307"/>
      <c r="AZ46" s="1311" t="str">
        <f t="shared" si="24"/>
        <v/>
      </c>
      <c r="BA46" s="1309" t="str">
        <f t="shared" si="25"/>
        <v/>
      </c>
      <c r="BB46" s="1310" t="str">
        <f t="shared" si="26"/>
        <v/>
      </c>
      <c r="BC46" s="1312"/>
      <c r="BD46" s="1313" t="str">
        <f t="shared" si="35"/>
        <v/>
      </c>
      <c r="BE46" s="1290" t="str">
        <f t="shared" si="27"/>
        <v/>
      </c>
      <c r="BF46" s="1290" t="str">
        <f t="shared" si="28"/>
        <v/>
      </c>
      <c r="BH46" s="1315" t="str">
        <f t="shared" si="10"/>
        <v/>
      </c>
      <c r="BI46" s="1315"/>
      <c r="BJ46" s="1303" t="str">
        <f>IF(OR(BH46="Fail",BH46="Fail LPA",BH46=""),"",'SpxSp (step-a)'!CM50)</f>
        <v/>
      </c>
      <c r="BK46" s="1290">
        <f t="shared" si="30"/>
        <v>0</v>
      </c>
      <c r="BN46" s="178">
        <v>29</v>
      </c>
      <c r="BO46" s="1316" t="str">
        <f t="shared" ca="1" si="29"/>
        <v/>
      </c>
      <c r="BP46" s="1317" t="str">
        <f ca="1">IF(INDIRECT("'SpxSp (step-b)'!$B" &amp; BP$16)=$Z46,INDIRECT("'SpxSp (step-b)'!$" &amp; 'SpxSp (step-b)'!$BC$23 &amp; BP$16),"")</f>
        <v/>
      </c>
      <c r="BQ46" s="1317" t="str">
        <f ca="1">IF(INDIRECT("'SpxSp (step-b)'!$B" &amp; BQ$16)=$Z46,INDIRECT("'SpxSp (step-b)'!$" &amp; 'SpxSp (step-b)'!$BC$23 &amp; BQ$16),"")</f>
        <v/>
      </c>
      <c r="BR46" s="1317" t="str">
        <f ca="1">IF(INDIRECT("'SpxSp (step-b)'!$B" &amp; BR$16)=$Z46,INDIRECT("'SpxSp (step-b)'!$" &amp; 'SpxSp (step-b)'!$BC$23 &amp; BR$16),"")</f>
        <v/>
      </c>
      <c r="BS46" s="1317" t="str">
        <f ca="1">IF(INDIRECT("'SpxSp (step-b)'!$B" &amp; BS$16)=$Z46,INDIRECT("'SpxSp (step-b)'!$" &amp; 'SpxSp (step-b)'!$BC$23 &amp; BS$16),"")</f>
        <v/>
      </c>
      <c r="BT46" s="1317" t="str">
        <f ca="1">IF(INDIRECT("'SpxSp (step-b)'!$B" &amp; BT$16)=$Z46,INDIRECT("'SpxSp (step-b)'!$" &amp; 'SpxSp (step-b)'!$BC$23 &amp; BT$16),"")</f>
        <v/>
      </c>
      <c r="BU46" s="1317" t="str">
        <f ca="1">IF(INDIRECT("'SpxSp (step-b)'!$B" &amp; BU$16)=$Z46,INDIRECT("'SpxSp (step-b)'!$" &amp; 'SpxSp (step-b)'!$BC$23 &amp; BU$16),"")</f>
        <v/>
      </c>
      <c r="BV46" s="1317" t="str">
        <f ca="1">IF(INDIRECT("'SpxSp (step-b)'!$B" &amp; BV$16)=$Z46,INDIRECT("'SpxSp (step-b)'!$" &amp; 'SpxSp (step-b)'!$BC$23 &amp; BV$16),"")</f>
        <v/>
      </c>
      <c r="BW46" s="1317" t="str">
        <f ca="1">IF(INDIRECT("'SpxSp (step-b)'!$B" &amp; BW$16)=$Z46,INDIRECT("'SpxSp (step-b)'!$" &amp; 'SpxSp (step-b)'!$BC$23 &amp; BW$16),"")</f>
        <v/>
      </c>
      <c r="BX46" s="1317" t="str">
        <f ca="1">IF(INDIRECT("'SpxSp (step-b)'!$B" &amp; BX$16)=$Z46,INDIRECT("'SpxSp (step-b)'!$" &amp; 'SpxSp (step-b)'!$BC$23 &amp; BX$16),"")</f>
        <v/>
      </c>
      <c r="BY46" s="1317" t="str">
        <f ca="1">IF(INDIRECT("'SpxSp (step-b)'!$B" &amp; BY$16)=$Z46,INDIRECT("'SpxSp (step-b)'!$" &amp; 'SpxSp (step-b)'!$BC$23 &amp; BY$16),"")</f>
        <v/>
      </c>
      <c r="BZ46" s="1317" t="str">
        <f ca="1">IF(INDIRECT("'SpxSp (step-b)'!$B" &amp; BZ$16)=$Z46,INDIRECT("'SpxSp (step-b)'!$" &amp; 'SpxSp (step-b)'!$BC$23 &amp; BZ$16),"")</f>
        <v/>
      </c>
      <c r="CA46" s="1317" t="str">
        <f ca="1">IF(INDIRECT("'SpxSp (step-b)'!$B" &amp; CA$16)=$Z46,INDIRECT("'SpxSp (step-b)'!$" &amp; 'SpxSp (step-b)'!$BC$23 &amp; CA$16),"")</f>
        <v/>
      </c>
      <c r="CB46" s="1317" t="str">
        <f ca="1">IF(INDIRECT("'SpxSp (step-b)'!$B" &amp; CB$16)=$Z46,INDIRECT("'SpxSp (step-b)'!$" &amp; 'SpxSp (step-b)'!$BC$23 &amp; CB$16),"")</f>
        <v/>
      </c>
      <c r="CC46" s="1317" t="str">
        <f ca="1">IF(INDIRECT("'SpxSp (step-b)'!$B" &amp; CC$16)=$Z46,INDIRECT("'SpxSp (step-b)'!$" &amp; 'SpxSp (step-b)'!$BC$23 &amp; CC$16),"")</f>
        <v/>
      </c>
      <c r="CD46" s="1317" t="str">
        <f ca="1">IF(INDIRECT("'SpxSp (step-b)'!$B" &amp; CD$16)=$Z46,INDIRECT("'SpxSp (step-b)'!$" &amp; 'SpxSp (step-b)'!$BC$23 &amp; CD$16),"")</f>
        <v/>
      </c>
      <c r="CE46" s="1317" t="str">
        <f ca="1">IF(INDIRECT("'SpxSp (step-b)'!$B" &amp; CE$16)=$Z46,INDIRECT("'SpxSp (step-b)'!$" &amp; 'SpxSp (step-b)'!$BC$23 &amp; CE$16),"")</f>
        <v/>
      </c>
      <c r="CF46" s="1317" t="str">
        <f ca="1">IF(INDIRECT("'SpxSp (step-b)'!$B" &amp; CF$16)=$Z46,INDIRECT("'SpxSp (step-b)'!$" &amp; 'SpxSp (step-b)'!$BC$23 &amp; CF$16),"")</f>
        <v/>
      </c>
      <c r="CG46" s="1317" t="str">
        <f ca="1">IF(INDIRECT("'SpxSp (step-b)'!$B" &amp; CG$16)=$Z46,INDIRECT("'SpxSp (step-b)'!$" &amp; 'SpxSp (step-b)'!$BC$23 &amp; CG$16),"")</f>
        <v/>
      </c>
      <c r="CH46" s="1317" t="str">
        <f ca="1">IF(INDIRECT("'SpxSp (step-b)'!$B" &amp; CH$16)=$Z46,INDIRECT("'SpxSp (step-b)'!$" &amp; 'SpxSp (step-b)'!$BC$23 &amp; CH$16),"")</f>
        <v/>
      </c>
      <c r="CI46" s="1317" t="str">
        <f ca="1">IF(INDIRECT("'SpxSp (step-b)'!$B" &amp; CI$16)=$Z46,INDIRECT("'SpxSp (step-b)'!$" &amp; 'SpxSp (step-b)'!$BC$23 &amp; CI$16),"")</f>
        <v/>
      </c>
      <c r="CJ46" s="1317" t="str">
        <f ca="1">IF(INDIRECT("'SpxSp (step-b)'!$B" &amp; CJ$16)=$Z46,INDIRECT("'SpxSp (step-b)'!$" &amp; 'SpxSp (step-b)'!$BC$23 &amp; CJ$16),"")</f>
        <v/>
      </c>
      <c r="CK46" s="1317" t="str">
        <f ca="1">IF(INDIRECT("'SpxSp (step-b)'!$B" &amp; CK$16)=$Z46,INDIRECT("'SpxSp (step-b)'!$" &amp; 'SpxSp (step-b)'!$BC$23 &amp; CK$16),"")</f>
        <v/>
      </c>
      <c r="CL46" s="1317" t="str">
        <f ca="1">IF(INDIRECT("'SpxSp (step-b)'!$B" &amp; CL$16)=$Z46,INDIRECT("'SpxSp (step-b)'!$" &amp; 'SpxSp (step-b)'!$BC$23 &amp; CL$16),"")</f>
        <v/>
      </c>
      <c r="CM46" s="1317" t="str">
        <f ca="1">IF(INDIRECT("'SpxSp (step-b)'!$B" &amp; CM$16)=$Z46,INDIRECT("'SpxSp (step-b)'!$" &amp; 'SpxSp (step-b)'!$BC$23 &amp; CM$16),"")</f>
        <v/>
      </c>
      <c r="CN46" s="1317" t="str">
        <f ca="1">IF(INDIRECT("'SpxSp (step-b)'!$B" &amp; CN$16)=$Z46,INDIRECT("'SpxSp (step-b)'!$" &amp; 'SpxSp (step-b)'!$BC$23 &amp; CN$16),"")</f>
        <v/>
      </c>
      <c r="CO46" s="1317" t="str">
        <f ca="1">IF(INDIRECT("'SpxSp (step-b)'!$B" &amp; CO$16)=$Z46,INDIRECT("'SpxSp (step-b)'!$" &amp; 'SpxSp (step-b)'!$BC$23 &amp; CO$16),"")</f>
        <v/>
      </c>
      <c r="CP46" s="1317" t="str">
        <f ca="1">IF(INDIRECT("'SpxSp (step-b)'!$B" &amp; CP$16)=$Z46,INDIRECT("'SpxSp (step-b)'!$" &amp; 'SpxSp (step-b)'!$BC$23 &amp; CP$16),"")</f>
        <v/>
      </c>
      <c r="CQ46" s="1317" t="str">
        <f ca="1">IF(INDIRECT("'SpxSp (step-b)'!$B" &amp; CQ$16)=$Z46,INDIRECT("'SpxSp (step-b)'!$" &amp; 'SpxSp (step-b)'!$BC$23 &amp; CQ$16),"")</f>
        <v/>
      </c>
      <c r="CR46" s="1317" t="str">
        <f ca="1">IF(INDIRECT("'SpxSp (step-b)'!$B" &amp; CR$16)=$Z46,INDIRECT("'SpxSp (step-b)'!$" &amp; 'SpxSp (step-b)'!$BC$23 &amp; CR$16),"")</f>
        <v/>
      </c>
      <c r="CS46" s="1317" t="str">
        <f ca="1">IF(INDIRECT("'SpxSp (step-b)'!$B" &amp; CS$16)=$Z46,INDIRECT("'SpxSp (step-b)'!$" &amp; 'SpxSp (step-b)'!$BC$23 &amp; CS$16),"")</f>
        <v/>
      </c>
      <c r="CT46" s="1317" t="str">
        <f ca="1">IF(INDIRECT("'SpxSp (step-b)'!$B" &amp; CT$16)=$Z46,INDIRECT("'SpxSp (step-b)'!$" &amp; 'SpxSp (step-b)'!$BC$23 &amp; CT$16),"")</f>
        <v/>
      </c>
      <c r="CU46" s="1317" t="str">
        <f ca="1">IF(INDIRECT("'SpxSp (step-b)'!$B" &amp; CU$16)=$Z46,INDIRECT("'SpxSp (step-b)'!$" &amp; 'SpxSp (step-b)'!$BC$23 &amp; CU$16),"")</f>
        <v/>
      </c>
      <c r="CV46" s="1317" t="str">
        <f ca="1">IF(INDIRECT("'SpxSp (step-b)'!$B" &amp; CV$16)=$Z46,INDIRECT("'SpxSp (step-b)'!$" &amp; 'SpxSp (step-b)'!$BC$23 &amp; CV$16),"")</f>
        <v/>
      </c>
      <c r="CW46" s="1317" t="str">
        <f ca="1">IF(INDIRECT("'SpxSp (step-b)'!$B" &amp; CW$16)=$Z46,INDIRECT("'SpxSp (step-b)'!$" &amp; 'SpxSp (step-b)'!$BC$23 &amp; CW$16),"")</f>
        <v/>
      </c>
      <c r="CX46" s="1317" t="str">
        <f ca="1">IF(INDIRECT("'SpxSp (step-b)'!$B" &amp; CX$16)=$Z46,INDIRECT("'SpxSp (step-b)'!$" &amp; 'SpxSp (step-b)'!$BC$23 &amp; CX$16),"")</f>
        <v/>
      </c>
      <c r="CY46" s="1317" t="str">
        <f ca="1">IF(INDIRECT("'SpxSp (step-b)'!$B" &amp; CY$16)=$Z46,INDIRECT("'SpxSp (step-b)'!$" &amp; 'SpxSp (step-b)'!$BC$23 &amp; CY$16),"")</f>
        <v/>
      </c>
      <c r="CZ46" s="1317" t="str">
        <f ca="1">IF(INDIRECT("'SpxSp (step-b)'!$B" &amp; CZ$16)=$Z46,INDIRECT("'SpxSp (step-b)'!$" &amp; 'SpxSp (step-b)'!$BC$23 &amp; CZ$16),"")</f>
        <v/>
      </c>
      <c r="DA46" s="1317" t="str">
        <f ca="1">IF(INDIRECT("'SpxSp (step-b)'!$B" &amp; DA$16)=$Z46,INDIRECT("'SpxSp (step-b)'!$" &amp; 'SpxSp (step-b)'!$BC$23 &amp; DA$16),"")</f>
        <v/>
      </c>
      <c r="DB46" s="1317" t="str">
        <f ca="1">IF(INDIRECT("'SpxSp (step-b)'!$B" &amp; DB$16)=$Z46,INDIRECT("'SpxSp (step-b)'!$" &amp; 'SpxSp (step-b)'!$BC$23 &amp; DB$16),"")</f>
        <v/>
      </c>
      <c r="DC46" s="1317" t="str">
        <f ca="1">IF(INDIRECT("'SpxSp (step-b)'!$B" &amp; DC$16)=$Z46,INDIRECT("'SpxSp (step-b)'!$" &amp; 'SpxSp (step-b)'!$BC$23 &amp; DC$16),"")</f>
        <v/>
      </c>
      <c r="DD46" s="1317" t="str">
        <f ca="1">IF(INDIRECT("'SpxSp (step-b)'!$B" &amp; DD$16)=$Z46,INDIRECT("'SpxSp (step-b)'!$" &amp; 'SpxSp (step-b)'!$BC$23 &amp; DD$16),"")</f>
        <v/>
      </c>
      <c r="DE46" s="1317" t="str">
        <f ca="1">IF(INDIRECT("'SpxSp (step-b)'!$B" &amp; DE$16)=$Z46,INDIRECT("'SpxSp (step-b)'!$" &amp; 'SpxSp (step-b)'!$BC$23 &amp; DE$16),"")</f>
        <v/>
      </c>
      <c r="DF46" s="1317" t="str">
        <f ca="1">IF(INDIRECT("'SpxSp (step-b)'!$B" &amp; DF$16)=$Z46,INDIRECT("'SpxSp (step-b)'!$" &amp; 'SpxSp (step-b)'!$BC$23 &amp; DF$16),"")</f>
        <v/>
      </c>
      <c r="DG46" s="1317" t="str">
        <f ca="1">IF(INDIRECT("'SpxSp (step-b)'!$B" &amp; DG$16)=$Z46,INDIRECT("'SpxSp (step-b)'!$" &amp; 'SpxSp (step-b)'!$BC$23 &amp; DG$16),"")</f>
        <v/>
      </c>
      <c r="DH46" s="1317" t="str">
        <f ca="1">IF(INDIRECT("'SpxSp (step-b)'!$B" &amp; DH$16)=$Z46,INDIRECT("'SpxSp (step-b)'!$" &amp; 'SpxSp (step-b)'!$BC$23 &amp; DH$16),"")</f>
        <v/>
      </c>
      <c r="DI46" s="1317" t="str">
        <f ca="1">IF(INDIRECT("'SpxSp (step-b)'!$B" &amp; DI$16)=$Z46,INDIRECT("'SpxSp (step-b)'!$" &amp; 'SpxSp (step-b)'!$BC$23 &amp; DI$16),"")</f>
        <v/>
      </c>
      <c r="DJ46" s="1317" t="str">
        <f ca="1">IF(INDIRECT("'SpxSp (step-b)'!$B" &amp; DJ$16)=$Z46,INDIRECT("'SpxSp (step-b)'!$" &amp; 'SpxSp (step-b)'!$BC$23 &amp; DJ$16),"")</f>
        <v/>
      </c>
      <c r="DK46" s="1317" t="str">
        <f ca="1">IF(INDIRECT("'SpxSp (step-b)'!$B" &amp; DK$16)=$Z46,INDIRECT("'SpxSp (step-b)'!$" &amp; 'SpxSp (step-b)'!$BC$23 &amp; DK$16),"")</f>
        <v/>
      </c>
      <c r="DL46" s="1317" t="str">
        <f ca="1">IF(INDIRECT("'SpxSp (step-b)'!$B" &amp; DL$16)=$Z46,INDIRECT("'SpxSp (step-b)'!$" &amp; 'SpxSp (step-b)'!$BC$23 &amp; DL$16),"")</f>
        <v/>
      </c>
      <c r="DM46" s="1317" t="str">
        <f ca="1">IF(INDIRECT("'SpxSp (step-b)'!$B" &amp; DM$16)=$Z46,INDIRECT("'SpxSp (step-b)'!$" &amp; 'SpxSp (step-b)'!$BC$23 &amp; DM$16),"")</f>
        <v/>
      </c>
      <c r="DN46" s="1318" t="str">
        <f t="shared" ca="1" si="32"/>
        <v/>
      </c>
      <c r="DO46" s="1246" t="s">
        <v>1201</v>
      </c>
    </row>
    <row r="47" spans="2:119" ht="40" x14ac:dyDescent="0.2">
      <c r="B47" s="1450" t="str">
        <f t="shared" si="13"/>
        <v/>
      </c>
      <c r="C47" s="1451"/>
      <c r="D47" s="1451"/>
      <c r="E47" s="1451"/>
      <c r="F47" s="1452"/>
      <c r="G47" s="1319" t="str">
        <f t="shared" si="31"/>
        <v/>
      </c>
      <c r="H47" s="1320" t="str">
        <f t="shared" si="14"/>
        <v/>
      </c>
      <c r="I47" s="1321" t="str">
        <f t="shared" si="33"/>
        <v/>
      </c>
      <c r="J47" s="1296"/>
      <c r="K47" s="1322" t="str">
        <f>IFERROR(IF(OR(B47="",H47=0),"",VLOOKUP(B47,'SpxSp (step-c)'!B$18:O$67,6,FALSE)),"")</f>
        <v/>
      </c>
      <c r="L47" s="1323" t="str">
        <f ca="1">IFERROR(F(OR(B47="",H47=0),"",VLOOKUP($B47,'SpxSp (step-c)'!$B$18:O$67,12,FALSE)),"")</f>
        <v/>
      </c>
      <c r="M47" s="1321" t="str">
        <f ca="1">IF(AND(B47&lt;&gt;"",L47=""),"NA",IFERROR(VLOOKUP($B47,'SpxSp (step-c)'!$B$18:P$67,13,FALSE),""))</f>
        <v/>
      </c>
      <c r="N47" s="1324"/>
      <c r="O47" s="1322" t="str">
        <f>IFERROR(IF(OR(B47="",H47=0),"",VLOOKUP($B47,'SpxSp (step-d)'!$B$18:$P$67,12,FALSE)),"")</f>
        <v/>
      </c>
      <c r="P47" s="1323" t="str">
        <f>IFERROR(IF(OR(B47="",H47=0),"",VLOOKUP($B47,'SpxSp (step-d)'!$B$18:$P$67,13,FALSE)),"")</f>
        <v/>
      </c>
      <c r="Q47" s="1323" t="str">
        <f>IFERROR(IF(OR(B47="",H47=0),"",VLOOKUP($B47,'SpxSp (step-d)'!$B$18:$P$67,14,FALSE)),"")</f>
        <v/>
      </c>
      <c r="R47" s="1321" t="str">
        <f>IF(AND(B47&lt;&gt;"",P47=""),"NA",IFERROR(VLOOKUP(B47,'SpxSp (step-d)'!$B$18:$V$67,15,FALSE),""))</f>
        <v/>
      </c>
      <c r="S47" s="1296"/>
      <c r="T47" s="1325" t="str">
        <f t="shared" si="34"/>
        <v/>
      </c>
      <c r="U47" s="1326" t="str">
        <f t="shared" si="17"/>
        <v/>
      </c>
      <c r="Y47" s="1302">
        <v>30</v>
      </c>
      <c r="Z47" s="1303" t="str">
        <f>'SpxSp (step-a)'!B51</f>
        <v/>
      </c>
      <c r="AA47" s="1303" t="str">
        <f>'SpxSp (step-a)'!H51</f>
        <v/>
      </c>
      <c r="AB47" s="1290" t="str">
        <f>VLOOKUP($Z47,'SpxSp (step-a)'!$B$22:$O$71,AB$14,FALSE)</f>
        <v/>
      </c>
      <c r="AD47" s="1290" t="str">
        <f>IF(Z47="","",IFERROR(VLOOKUP($Z47,'SpxSp (step-a)'!$B$22:$O$71,AD$14,FALSE),0))</f>
        <v/>
      </c>
      <c r="AE47" s="1290" t="str">
        <f>IF(Z47="","",IFERROR(VLOOKUP($Z47,'SpxSp (step-a)'!$B$22:$O$71,AE$14,FALSE),0))</f>
        <v/>
      </c>
      <c r="AG47" s="1290" t="str">
        <f t="shared" si="36"/>
        <v/>
      </c>
      <c r="AI47" s="1290" t="str">
        <f>IF($Z47="","",SUMIFS('SpxSp (step-b)'!L$26:L$75,'SpxSp (step-b)'!B$26:B$75,Z47,'SpxSp (step-b)'!N$26:N$75,"New"))</f>
        <v/>
      </c>
      <c r="AJ47" s="1290" t="str">
        <f>IF($Z47="","",SUMIFS('SpxSp (step-b)'!$L$26:$L$75,'SpxSp (step-b)'!$B$26:$B$75,$Z47,'SpxSp (step-b)'!N$26:N$75,""))</f>
        <v/>
      </c>
      <c r="AK47" s="1290" t="str">
        <f>IF($Z47="","",SUMIFS('SpxSp (step-b)'!$J$26:$J$75,'SpxSp (step-b)'!$B$26:$B$75,$Z47,'SpxSp (step-b)'!$N$26:$N$75,"New")+SUMIFS('SpxSp (step-b)'!$J$26:$J$75,'SpxSp (step-b)'!$B$26:$B$75,$Z47,'SpxSp (step-b)'!$N$26:$N$75,""))</f>
        <v/>
      </c>
      <c r="AL47" s="1290" t="str">
        <f>IF($Z47="","",SUMIFS('SpxSp (step-b)'!$L$26:$L$75,'SpxSp (step-b)'!$B$26:$B$75,$Z47,'SpxSp (step-b)'!$N$26:$N$75,"Existing Remains"))</f>
        <v/>
      </c>
      <c r="AM47" s="1290" t="str">
        <f>IF($Z47="","",SUMIFS('SpxSp (step-b)'!$L$26:$L$75,'SpxSp (step-b)'!$B$26:$B$75,$Z47,'SpxSp (step-b)'!$N$26:$N$75,"Existing Removed"))</f>
        <v/>
      </c>
      <c r="AN47" s="1290" t="str">
        <f>IF($Z47="","",SUMIFS('SpxSp (step-b)'!$J$26:$J$75,'SpxSp (step-b)'!$B$26:$B$75,$Z47,'SpxSp (step-b)'!$N$26:$N$75,"Existing Removed"))</f>
        <v/>
      </c>
      <c r="AO47" s="1290" t="str">
        <f t="shared" si="37"/>
        <v/>
      </c>
      <c r="AP47" s="1290" t="str">
        <f t="shared" si="18"/>
        <v/>
      </c>
      <c r="AQ47" s="1304"/>
      <c r="AR47" s="1305" t="str">
        <f t="shared" si="19"/>
        <v/>
      </c>
      <c r="AS47" s="1306" t="str">
        <f t="shared" si="20"/>
        <v/>
      </c>
      <c r="AT47" s="1307"/>
      <c r="AU47" s="1308" t="str">
        <f t="shared" si="21"/>
        <v/>
      </c>
      <c r="AV47" s="1309" t="str">
        <f t="shared" si="6"/>
        <v/>
      </c>
      <c r="AW47" s="1309" t="str">
        <f t="shared" si="22"/>
        <v/>
      </c>
      <c r="AX47" s="1310" t="str">
        <f t="shared" si="23"/>
        <v/>
      </c>
      <c r="AY47" s="1307"/>
      <c r="AZ47" s="1311" t="str">
        <f t="shared" si="24"/>
        <v/>
      </c>
      <c r="BA47" s="1309" t="str">
        <f t="shared" si="25"/>
        <v/>
      </c>
      <c r="BB47" s="1310" t="str">
        <f t="shared" si="26"/>
        <v/>
      </c>
      <c r="BC47" s="1312"/>
      <c r="BD47" s="1313" t="str">
        <f t="shared" si="35"/>
        <v/>
      </c>
      <c r="BE47" s="1290" t="str">
        <f t="shared" si="27"/>
        <v/>
      </c>
      <c r="BF47" s="1290" t="str">
        <f t="shared" si="28"/>
        <v/>
      </c>
      <c r="BH47" s="1315" t="str">
        <f t="shared" si="10"/>
        <v/>
      </c>
      <c r="BI47" s="1315"/>
      <c r="BJ47" s="1303" t="str">
        <f>IF(OR(BH47="Fail",BH47="Fail LPA",BH47=""),"",'SpxSp (step-a)'!CM51)</f>
        <v/>
      </c>
      <c r="BK47" s="1290">
        <f t="shared" si="30"/>
        <v>0</v>
      </c>
      <c r="BN47" s="178">
        <v>30</v>
      </c>
      <c r="BO47" s="1316" t="str">
        <f t="shared" ca="1" si="29"/>
        <v/>
      </c>
      <c r="BP47" s="1317" t="str">
        <f ca="1">IF(INDIRECT("'SpxSp (step-b)'!$B" &amp; BP$16)=$Z47,INDIRECT("'SpxSp (step-b)'!$" &amp; 'SpxSp (step-b)'!$BC$23 &amp; BP$16),"")</f>
        <v/>
      </c>
      <c r="BQ47" s="1317" t="str">
        <f ca="1">IF(INDIRECT("'SpxSp (step-b)'!$B" &amp; BQ$16)=$Z47,INDIRECT("'SpxSp (step-b)'!$" &amp; 'SpxSp (step-b)'!$BC$23 &amp; BQ$16),"")</f>
        <v/>
      </c>
      <c r="BR47" s="1317" t="str">
        <f ca="1">IF(INDIRECT("'SpxSp (step-b)'!$B" &amp; BR$16)=$Z47,INDIRECT("'SpxSp (step-b)'!$" &amp; 'SpxSp (step-b)'!$BC$23 &amp; BR$16),"")</f>
        <v/>
      </c>
      <c r="BS47" s="1317" t="str">
        <f ca="1">IF(INDIRECT("'SpxSp (step-b)'!$B" &amp; BS$16)=$Z47,INDIRECT("'SpxSp (step-b)'!$" &amp; 'SpxSp (step-b)'!$BC$23 &amp; BS$16),"")</f>
        <v/>
      </c>
      <c r="BT47" s="1317" t="str">
        <f ca="1">IF(INDIRECT("'SpxSp (step-b)'!$B" &amp; BT$16)=$Z47,INDIRECT("'SpxSp (step-b)'!$" &amp; 'SpxSp (step-b)'!$BC$23 &amp; BT$16),"")</f>
        <v/>
      </c>
      <c r="BU47" s="1317" t="str">
        <f ca="1">IF(INDIRECT("'SpxSp (step-b)'!$B" &amp; BU$16)=$Z47,INDIRECT("'SpxSp (step-b)'!$" &amp; 'SpxSp (step-b)'!$BC$23 &amp; BU$16),"")</f>
        <v/>
      </c>
      <c r="BV47" s="1317" t="str">
        <f ca="1">IF(INDIRECT("'SpxSp (step-b)'!$B" &amp; BV$16)=$Z47,INDIRECT("'SpxSp (step-b)'!$" &amp; 'SpxSp (step-b)'!$BC$23 &amp; BV$16),"")</f>
        <v/>
      </c>
      <c r="BW47" s="1317" t="str">
        <f ca="1">IF(INDIRECT("'SpxSp (step-b)'!$B" &amp; BW$16)=$Z47,INDIRECT("'SpxSp (step-b)'!$" &amp; 'SpxSp (step-b)'!$BC$23 &amp; BW$16),"")</f>
        <v/>
      </c>
      <c r="BX47" s="1317" t="str">
        <f ca="1">IF(INDIRECT("'SpxSp (step-b)'!$B" &amp; BX$16)=$Z47,INDIRECT("'SpxSp (step-b)'!$" &amp; 'SpxSp (step-b)'!$BC$23 &amp; BX$16),"")</f>
        <v/>
      </c>
      <c r="BY47" s="1317" t="str">
        <f ca="1">IF(INDIRECT("'SpxSp (step-b)'!$B" &amp; BY$16)=$Z47,INDIRECT("'SpxSp (step-b)'!$" &amp; 'SpxSp (step-b)'!$BC$23 &amp; BY$16),"")</f>
        <v/>
      </c>
      <c r="BZ47" s="1317" t="str">
        <f ca="1">IF(INDIRECT("'SpxSp (step-b)'!$B" &amp; BZ$16)=$Z47,INDIRECT("'SpxSp (step-b)'!$" &amp; 'SpxSp (step-b)'!$BC$23 &amp; BZ$16),"")</f>
        <v/>
      </c>
      <c r="CA47" s="1317" t="str">
        <f ca="1">IF(INDIRECT("'SpxSp (step-b)'!$B" &amp; CA$16)=$Z47,INDIRECT("'SpxSp (step-b)'!$" &amp; 'SpxSp (step-b)'!$BC$23 &amp; CA$16),"")</f>
        <v/>
      </c>
      <c r="CB47" s="1317" t="str">
        <f ca="1">IF(INDIRECT("'SpxSp (step-b)'!$B" &amp; CB$16)=$Z47,INDIRECT("'SpxSp (step-b)'!$" &amp; 'SpxSp (step-b)'!$BC$23 &amp; CB$16),"")</f>
        <v/>
      </c>
      <c r="CC47" s="1317" t="str">
        <f ca="1">IF(INDIRECT("'SpxSp (step-b)'!$B" &amp; CC$16)=$Z47,INDIRECT("'SpxSp (step-b)'!$" &amp; 'SpxSp (step-b)'!$BC$23 &amp; CC$16),"")</f>
        <v/>
      </c>
      <c r="CD47" s="1317" t="str">
        <f ca="1">IF(INDIRECT("'SpxSp (step-b)'!$B" &amp; CD$16)=$Z47,INDIRECT("'SpxSp (step-b)'!$" &amp; 'SpxSp (step-b)'!$BC$23 &amp; CD$16),"")</f>
        <v/>
      </c>
      <c r="CE47" s="1317" t="str">
        <f ca="1">IF(INDIRECT("'SpxSp (step-b)'!$B" &amp; CE$16)=$Z47,INDIRECT("'SpxSp (step-b)'!$" &amp; 'SpxSp (step-b)'!$BC$23 &amp; CE$16),"")</f>
        <v/>
      </c>
      <c r="CF47" s="1317" t="str">
        <f ca="1">IF(INDIRECT("'SpxSp (step-b)'!$B" &amp; CF$16)=$Z47,INDIRECT("'SpxSp (step-b)'!$" &amp; 'SpxSp (step-b)'!$BC$23 &amp; CF$16),"")</f>
        <v/>
      </c>
      <c r="CG47" s="1317" t="str">
        <f ca="1">IF(INDIRECT("'SpxSp (step-b)'!$B" &amp; CG$16)=$Z47,INDIRECT("'SpxSp (step-b)'!$" &amp; 'SpxSp (step-b)'!$BC$23 &amp; CG$16),"")</f>
        <v/>
      </c>
      <c r="CH47" s="1317" t="str">
        <f ca="1">IF(INDIRECT("'SpxSp (step-b)'!$B" &amp; CH$16)=$Z47,INDIRECT("'SpxSp (step-b)'!$" &amp; 'SpxSp (step-b)'!$BC$23 &amp; CH$16),"")</f>
        <v/>
      </c>
      <c r="CI47" s="1317" t="str">
        <f ca="1">IF(INDIRECT("'SpxSp (step-b)'!$B" &amp; CI$16)=$Z47,INDIRECT("'SpxSp (step-b)'!$" &amp; 'SpxSp (step-b)'!$BC$23 &amp; CI$16),"")</f>
        <v/>
      </c>
      <c r="CJ47" s="1317" t="str">
        <f ca="1">IF(INDIRECT("'SpxSp (step-b)'!$B" &amp; CJ$16)=$Z47,INDIRECT("'SpxSp (step-b)'!$" &amp; 'SpxSp (step-b)'!$BC$23 &amp; CJ$16),"")</f>
        <v/>
      </c>
      <c r="CK47" s="1317" t="str">
        <f ca="1">IF(INDIRECT("'SpxSp (step-b)'!$B" &amp; CK$16)=$Z47,INDIRECT("'SpxSp (step-b)'!$" &amp; 'SpxSp (step-b)'!$BC$23 &amp; CK$16),"")</f>
        <v/>
      </c>
      <c r="CL47" s="1317" t="str">
        <f ca="1">IF(INDIRECT("'SpxSp (step-b)'!$B" &amp; CL$16)=$Z47,INDIRECT("'SpxSp (step-b)'!$" &amp; 'SpxSp (step-b)'!$BC$23 &amp; CL$16),"")</f>
        <v/>
      </c>
      <c r="CM47" s="1317" t="str">
        <f ca="1">IF(INDIRECT("'SpxSp (step-b)'!$B" &amp; CM$16)=$Z47,INDIRECT("'SpxSp (step-b)'!$" &amp; 'SpxSp (step-b)'!$BC$23 &amp; CM$16),"")</f>
        <v/>
      </c>
      <c r="CN47" s="1317" t="str">
        <f ca="1">IF(INDIRECT("'SpxSp (step-b)'!$B" &amp; CN$16)=$Z47,INDIRECT("'SpxSp (step-b)'!$" &amp; 'SpxSp (step-b)'!$BC$23 &amp; CN$16),"")</f>
        <v/>
      </c>
      <c r="CO47" s="1317" t="str">
        <f ca="1">IF(INDIRECT("'SpxSp (step-b)'!$B" &amp; CO$16)=$Z47,INDIRECT("'SpxSp (step-b)'!$" &amp; 'SpxSp (step-b)'!$BC$23 &amp; CO$16),"")</f>
        <v/>
      </c>
      <c r="CP47" s="1317" t="str">
        <f ca="1">IF(INDIRECT("'SpxSp (step-b)'!$B" &amp; CP$16)=$Z47,INDIRECT("'SpxSp (step-b)'!$" &amp; 'SpxSp (step-b)'!$BC$23 &amp; CP$16),"")</f>
        <v/>
      </c>
      <c r="CQ47" s="1317" t="str">
        <f ca="1">IF(INDIRECT("'SpxSp (step-b)'!$B" &amp; CQ$16)=$Z47,INDIRECT("'SpxSp (step-b)'!$" &amp; 'SpxSp (step-b)'!$BC$23 &amp; CQ$16),"")</f>
        <v/>
      </c>
      <c r="CR47" s="1317" t="str">
        <f ca="1">IF(INDIRECT("'SpxSp (step-b)'!$B" &amp; CR$16)=$Z47,INDIRECT("'SpxSp (step-b)'!$" &amp; 'SpxSp (step-b)'!$BC$23 &amp; CR$16),"")</f>
        <v/>
      </c>
      <c r="CS47" s="1317" t="str">
        <f ca="1">IF(INDIRECT("'SpxSp (step-b)'!$B" &amp; CS$16)=$Z47,INDIRECT("'SpxSp (step-b)'!$" &amp; 'SpxSp (step-b)'!$BC$23 &amp; CS$16),"")</f>
        <v/>
      </c>
      <c r="CT47" s="1317" t="str">
        <f ca="1">IF(INDIRECT("'SpxSp (step-b)'!$B" &amp; CT$16)=$Z47,INDIRECT("'SpxSp (step-b)'!$" &amp; 'SpxSp (step-b)'!$BC$23 &amp; CT$16),"")</f>
        <v/>
      </c>
      <c r="CU47" s="1317" t="str">
        <f ca="1">IF(INDIRECT("'SpxSp (step-b)'!$B" &amp; CU$16)=$Z47,INDIRECT("'SpxSp (step-b)'!$" &amp; 'SpxSp (step-b)'!$BC$23 &amp; CU$16),"")</f>
        <v/>
      </c>
      <c r="CV47" s="1317" t="str">
        <f ca="1">IF(INDIRECT("'SpxSp (step-b)'!$B" &amp; CV$16)=$Z47,INDIRECT("'SpxSp (step-b)'!$" &amp; 'SpxSp (step-b)'!$BC$23 &amp; CV$16),"")</f>
        <v/>
      </c>
      <c r="CW47" s="1317" t="str">
        <f ca="1">IF(INDIRECT("'SpxSp (step-b)'!$B" &amp; CW$16)=$Z47,INDIRECT("'SpxSp (step-b)'!$" &amp; 'SpxSp (step-b)'!$BC$23 &amp; CW$16),"")</f>
        <v/>
      </c>
      <c r="CX47" s="1317" t="str">
        <f ca="1">IF(INDIRECT("'SpxSp (step-b)'!$B" &amp; CX$16)=$Z47,INDIRECT("'SpxSp (step-b)'!$" &amp; 'SpxSp (step-b)'!$BC$23 &amp; CX$16),"")</f>
        <v/>
      </c>
      <c r="CY47" s="1317" t="str">
        <f ca="1">IF(INDIRECT("'SpxSp (step-b)'!$B" &amp; CY$16)=$Z47,INDIRECT("'SpxSp (step-b)'!$" &amp; 'SpxSp (step-b)'!$BC$23 &amp; CY$16),"")</f>
        <v/>
      </c>
      <c r="CZ47" s="1317" t="str">
        <f ca="1">IF(INDIRECT("'SpxSp (step-b)'!$B" &amp; CZ$16)=$Z47,INDIRECT("'SpxSp (step-b)'!$" &amp; 'SpxSp (step-b)'!$BC$23 &amp; CZ$16),"")</f>
        <v/>
      </c>
      <c r="DA47" s="1317" t="str">
        <f ca="1">IF(INDIRECT("'SpxSp (step-b)'!$B" &amp; DA$16)=$Z47,INDIRECT("'SpxSp (step-b)'!$" &amp; 'SpxSp (step-b)'!$BC$23 &amp; DA$16),"")</f>
        <v/>
      </c>
      <c r="DB47" s="1317" t="str">
        <f ca="1">IF(INDIRECT("'SpxSp (step-b)'!$B" &amp; DB$16)=$Z47,INDIRECT("'SpxSp (step-b)'!$" &amp; 'SpxSp (step-b)'!$BC$23 &amp; DB$16),"")</f>
        <v/>
      </c>
      <c r="DC47" s="1317" t="str">
        <f ca="1">IF(INDIRECT("'SpxSp (step-b)'!$B" &amp; DC$16)=$Z47,INDIRECT("'SpxSp (step-b)'!$" &amp; 'SpxSp (step-b)'!$BC$23 &amp; DC$16),"")</f>
        <v/>
      </c>
      <c r="DD47" s="1317" t="str">
        <f ca="1">IF(INDIRECT("'SpxSp (step-b)'!$B" &amp; DD$16)=$Z47,INDIRECT("'SpxSp (step-b)'!$" &amp; 'SpxSp (step-b)'!$BC$23 &amp; DD$16),"")</f>
        <v/>
      </c>
      <c r="DE47" s="1317" t="str">
        <f ca="1">IF(INDIRECT("'SpxSp (step-b)'!$B" &amp; DE$16)=$Z47,INDIRECT("'SpxSp (step-b)'!$" &amp; 'SpxSp (step-b)'!$BC$23 &amp; DE$16),"")</f>
        <v/>
      </c>
      <c r="DF47" s="1317" t="str">
        <f ca="1">IF(INDIRECT("'SpxSp (step-b)'!$B" &amp; DF$16)=$Z47,INDIRECT("'SpxSp (step-b)'!$" &amp; 'SpxSp (step-b)'!$BC$23 &amp; DF$16),"")</f>
        <v/>
      </c>
      <c r="DG47" s="1317" t="str">
        <f ca="1">IF(INDIRECT("'SpxSp (step-b)'!$B" &amp; DG$16)=$Z47,INDIRECT("'SpxSp (step-b)'!$" &amp; 'SpxSp (step-b)'!$BC$23 &amp; DG$16),"")</f>
        <v/>
      </c>
      <c r="DH47" s="1317" t="str">
        <f ca="1">IF(INDIRECT("'SpxSp (step-b)'!$B" &amp; DH$16)=$Z47,INDIRECT("'SpxSp (step-b)'!$" &amp; 'SpxSp (step-b)'!$BC$23 &amp; DH$16),"")</f>
        <v/>
      </c>
      <c r="DI47" s="1317" t="str">
        <f ca="1">IF(INDIRECT("'SpxSp (step-b)'!$B" &amp; DI$16)=$Z47,INDIRECT("'SpxSp (step-b)'!$" &amp; 'SpxSp (step-b)'!$BC$23 &amp; DI$16),"")</f>
        <v/>
      </c>
      <c r="DJ47" s="1317" t="str">
        <f ca="1">IF(INDIRECT("'SpxSp (step-b)'!$B" &amp; DJ$16)=$Z47,INDIRECT("'SpxSp (step-b)'!$" &amp; 'SpxSp (step-b)'!$BC$23 &amp; DJ$16),"")</f>
        <v/>
      </c>
      <c r="DK47" s="1317" t="str">
        <f ca="1">IF(INDIRECT("'SpxSp (step-b)'!$B" &amp; DK$16)=$Z47,INDIRECT("'SpxSp (step-b)'!$" &amp; 'SpxSp (step-b)'!$BC$23 &amp; DK$16),"")</f>
        <v/>
      </c>
      <c r="DL47" s="1317" t="str">
        <f ca="1">IF(INDIRECT("'SpxSp (step-b)'!$B" &amp; DL$16)=$Z47,INDIRECT("'SpxSp (step-b)'!$" &amp; 'SpxSp (step-b)'!$BC$23 &amp; DL$16),"")</f>
        <v/>
      </c>
      <c r="DM47" s="1317" t="str">
        <f ca="1">IF(INDIRECT("'SpxSp (step-b)'!$B" &amp; DM$16)=$Z47,INDIRECT("'SpxSp (step-b)'!$" &amp; 'SpxSp (step-b)'!$BC$23 &amp; DM$16),"")</f>
        <v/>
      </c>
      <c r="DN47" s="1318" t="str">
        <f t="shared" ca="1" si="32"/>
        <v/>
      </c>
      <c r="DO47" s="1246" t="s">
        <v>1201</v>
      </c>
    </row>
    <row r="48" spans="2:119" ht="40" x14ac:dyDescent="0.2">
      <c r="B48" s="1450" t="str">
        <f t="shared" si="13"/>
        <v/>
      </c>
      <c r="C48" s="1451"/>
      <c r="D48" s="1451"/>
      <c r="E48" s="1451"/>
      <c r="F48" s="1452"/>
      <c r="G48" s="1319" t="str">
        <f t="shared" si="31"/>
        <v/>
      </c>
      <c r="H48" s="1320" t="str">
        <f t="shared" si="14"/>
        <v/>
      </c>
      <c r="I48" s="1321" t="str">
        <f t="shared" si="33"/>
        <v/>
      </c>
      <c r="J48" s="1296"/>
      <c r="K48" s="1322" t="str">
        <f>IFERROR(IF(OR(B48="",H48=0),"",VLOOKUP(B48,'SpxSp (step-c)'!B$18:O$67,6,FALSE)),"")</f>
        <v/>
      </c>
      <c r="L48" s="1323" t="str">
        <f ca="1">IFERROR(F(OR(B48="",H48=0),"",VLOOKUP($B48,'SpxSp (step-c)'!$B$18:O$67,12,FALSE)),"")</f>
        <v/>
      </c>
      <c r="M48" s="1321" t="str">
        <f ca="1">IF(AND(B48&lt;&gt;"",L48=""),"NA",IFERROR(VLOOKUP($B48,'SpxSp (step-c)'!$B$18:P$67,13,FALSE),""))</f>
        <v/>
      </c>
      <c r="N48" s="1324"/>
      <c r="O48" s="1322" t="str">
        <f>IFERROR(IF(OR(B48="",H48=0),"",VLOOKUP($B48,'SpxSp (step-d)'!$B$18:$P$67,12,FALSE)),"")</f>
        <v/>
      </c>
      <c r="P48" s="1323" t="str">
        <f>IFERROR(IF(OR(B48="",H48=0),"",VLOOKUP($B48,'SpxSp (step-d)'!$B$18:$P$67,13,FALSE)),"")</f>
        <v/>
      </c>
      <c r="Q48" s="1323" t="str">
        <f>IFERROR(IF(OR(B48="",H48=0),"",VLOOKUP($B48,'SpxSp (step-d)'!$B$18:$P$67,14,FALSE)),"")</f>
        <v/>
      </c>
      <c r="R48" s="1321" t="str">
        <f>IF(AND(B48&lt;&gt;"",P48=""),"NA",IFERROR(VLOOKUP(B48,'SpxSp (step-d)'!$B$18:$V$67,15,FALSE),""))</f>
        <v/>
      </c>
      <c r="S48" s="1296"/>
      <c r="T48" s="1325" t="str">
        <f t="shared" si="34"/>
        <v/>
      </c>
      <c r="U48" s="1326" t="str">
        <f t="shared" si="17"/>
        <v/>
      </c>
      <c r="Y48" s="1302">
        <v>31</v>
      </c>
      <c r="Z48" s="1303" t="str">
        <f>'SpxSp (step-a)'!B52</f>
        <v/>
      </c>
      <c r="AA48" s="1303" t="str">
        <f>'SpxSp (step-a)'!H52</f>
        <v/>
      </c>
      <c r="AB48" s="1290" t="str">
        <f>VLOOKUP($Z48,'SpxSp (step-a)'!$B$22:$O$71,AB$14,FALSE)</f>
        <v/>
      </c>
      <c r="AD48" s="1290" t="str">
        <f>IF(Z48="","",IFERROR(VLOOKUP($Z48,'SpxSp (step-a)'!$B$22:$O$71,AD$14,FALSE),0))</f>
        <v/>
      </c>
      <c r="AE48" s="1290" t="str">
        <f>IF(Z48="","",IFERROR(VLOOKUP($Z48,'SpxSp (step-a)'!$B$22:$O$71,AE$14,FALSE),0))</f>
        <v/>
      </c>
      <c r="AG48" s="1290" t="str">
        <f t="shared" si="36"/>
        <v/>
      </c>
      <c r="AI48" s="1290" t="str">
        <f>IF($Z48="","",SUMIFS('SpxSp (step-b)'!L$26:L$75,'SpxSp (step-b)'!B$26:B$75,Z48,'SpxSp (step-b)'!N$26:N$75,"New"))</f>
        <v/>
      </c>
      <c r="AJ48" s="1290" t="str">
        <f>IF($Z48="","",SUMIFS('SpxSp (step-b)'!$L$26:$L$75,'SpxSp (step-b)'!$B$26:$B$75,$Z48,'SpxSp (step-b)'!N$26:N$75,""))</f>
        <v/>
      </c>
      <c r="AK48" s="1290" t="str">
        <f>IF($Z48="","",SUMIFS('SpxSp (step-b)'!$J$26:$J$75,'SpxSp (step-b)'!$B$26:$B$75,$Z48,'SpxSp (step-b)'!$N$26:$N$75,"New")+SUMIFS('SpxSp (step-b)'!$J$26:$J$75,'SpxSp (step-b)'!$B$26:$B$75,$Z48,'SpxSp (step-b)'!$N$26:$N$75,""))</f>
        <v/>
      </c>
      <c r="AL48" s="1290" t="str">
        <f>IF($Z48="","",SUMIFS('SpxSp (step-b)'!$L$26:$L$75,'SpxSp (step-b)'!$B$26:$B$75,$Z48,'SpxSp (step-b)'!$N$26:$N$75,"Existing Remains"))</f>
        <v/>
      </c>
      <c r="AM48" s="1290" t="str">
        <f>IF($Z48="","",SUMIFS('SpxSp (step-b)'!$L$26:$L$75,'SpxSp (step-b)'!$B$26:$B$75,$Z48,'SpxSp (step-b)'!$N$26:$N$75,"Existing Removed"))</f>
        <v/>
      </c>
      <c r="AN48" s="1290" t="str">
        <f>IF($Z48="","",SUMIFS('SpxSp (step-b)'!$J$26:$J$75,'SpxSp (step-b)'!$B$26:$B$75,$Z48,'SpxSp (step-b)'!$N$26:$N$75,"Existing Removed"))</f>
        <v/>
      </c>
      <c r="AO48" s="1290" t="str">
        <f t="shared" si="37"/>
        <v/>
      </c>
      <c r="AP48" s="1290" t="str">
        <f t="shared" si="18"/>
        <v/>
      </c>
      <c r="AQ48" s="1304"/>
      <c r="AR48" s="1305" t="str">
        <f t="shared" si="19"/>
        <v/>
      </c>
      <c r="AS48" s="1306" t="str">
        <f t="shared" si="20"/>
        <v/>
      </c>
      <c r="AT48" s="1307"/>
      <c r="AU48" s="1308" t="str">
        <f t="shared" si="21"/>
        <v/>
      </c>
      <c r="AV48" s="1309" t="str">
        <f t="shared" si="6"/>
        <v/>
      </c>
      <c r="AW48" s="1309" t="str">
        <f t="shared" si="22"/>
        <v/>
      </c>
      <c r="AX48" s="1310" t="str">
        <f t="shared" si="23"/>
        <v/>
      </c>
      <c r="AY48" s="1307"/>
      <c r="AZ48" s="1311" t="str">
        <f t="shared" si="24"/>
        <v/>
      </c>
      <c r="BA48" s="1309" t="str">
        <f t="shared" si="25"/>
        <v/>
      </c>
      <c r="BB48" s="1310" t="str">
        <f t="shared" si="26"/>
        <v/>
      </c>
      <c r="BC48" s="1312"/>
      <c r="BD48" s="1313" t="str">
        <f t="shared" si="35"/>
        <v/>
      </c>
      <c r="BE48" s="1290" t="str">
        <f t="shared" si="27"/>
        <v/>
      </c>
      <c r="BF48" s="1290" t="str">
        <f t="shared" si="28"/>
        <v/>
      </c>
      <c r="BH48" s="1315" t="str">
        <f t="shared" si="10"/>
        <v/>
      </c>
      <c r="BI48" s="1315"/>
      <c r="BJ48" s="1303" t="str">
        <f>IF(OR(BH48="Fail",BH48="Fail LPA",BH48=""),"",'SpxSp (step-a)'!CM52)</f>
        <v/>
      </c>
      <c r="BK48" s="1290">
        <f t="shared" si="30"/>
        <v>0</v>
      </c>
      <c r="BN48" s="178">
        <v>31</v>
      </c>
      <c r="BO48" s="1316" t="str">
        <f t="shared" ca="1" si="29"/>
        <v/>
      </c>
      <c r="BP48" s="1317" t="str">
        <f ca="1">IF(INDIRECT("'SpxSp (step-b)'!$B" &amp; BP$16)=$Z48,INDIRECT("'SpxSp (step-b)'!$" &amp; 'SpxSp (step-b)'!$BC$23 &amp; BP$16),"")</f>
        <v/>
      </c>
      <c r="BQ48" s="1317" t="str">
        <f ca="1">IF(INDIRECT("'SpxSp (step-b)'!$B" &amp; BQ$16)=$Z48,INDIRECT("'SpxSp (step-b)'!$" &amp; 'SpxSp (step-b)'!$BC$23 &amp; BQ$16),"")</f>
        <v/>
      </c>
      <c r="BR48" s="1317" t="str">
        <f ca="1">IF(INDIRECT("'SpxSp (step-b)'!$B" &amp; BR$16)=$Z48,INDIRECT("'SpxSp (step-b)'!$" &amp; 'SpxSp (step-b)'!$BC$23 &amp; BR$16),"")</f>
        <v/>
      </c>
      <c r="BS48" s="1317" t="str">
        <f ca="1">IF(INDIRECT("'SpxSp (step-b)'!$B" &amp; BS$16)=$Z48,INDIRECT("'SpxSp (step-b)'!$" &amp; 'SpxSp (step-b)'!$BC$23 &amp; BS$16),"")</f>
        <v/>
      </c>
      <c r="BT48" s="1317" t="str">
        <f ca="1">IF(INDIRECT("'SpxSp (step-b)'!$B" &amp; BT$16)=$Z48,INDIRECT("'SpxSp (step-b)'!$" &amp; 'SpxSp (step-b)'!$BC$23 &amp; BT$16),"")</f>
        <v/>
      </c>
      <c r="BU48" s="1317" t="str">
        <f ca="1">IF(INDIRECT("'SpxSp (step-b)'!$B" &amp; BU$16)=$Z48,INDIRECT("'SpxSp (step-b)'!$" &amp; 'SpxSp (step-b)'!$BC$23 &amp; BU$16),"")</f>
        <v/>
      </c>
      <c r="BV48" s="1317" t="str">
        <f ca="1">IF(INDIRECT("'SpxSp (step-b)'!$B" &amp; BV$16)=$Z48,INDIRECT("'SpxSp (step-b)'!$" &amp; 'SpxSp (step-b)'!$BC$23 &amp; BV$16),"")</f>
        <v/>
      </c>
      <c r="BW48" s="1317" t="str">
        <f ca="1">IF(INDIRECT("'SpxSp (step-b)'!$B" &amp; BW$16)=$Z48,INDIRECT("'SpxSp (step-b)'!$" &amp; 'SpxSp (step-b)'!$BC$23 &amp; BW$16),"")</f>
        <v/>
      </c>
      <c r="BX48" s="1317" t="str">
        <f ca="1">IF(INDIRECT("'SpxSp (step-b)'!$B" &amp; BX$16)=$Z48,INDIRECT("'SpxSp (step-b)'!$" &amp; 'SpxSp (step-b)'!$BC$23 &amp; BX$16),"")</f>
        <v/>
      </c>
      <c r="BY48" s="1317" t="str">
        <f ca="1">IF(INDIRECT("'SpxSp (step-b)'!$B" &amp; BY$16)=$Z48,INDIRECT("'SpxSp (step-b)'!$" &amp; 'SpxSp (step-b)'!$BC$23 &amp; BY$16),"")</f>
        <v/>
      </c>
      <c r="BZ48" s="1317" t="str">
        <f ca="1">IF(INDIRECT("'SpxSp (step-b)'!$B" &amp; BZ$16)=$Z48,INDIRECT("'SpxSp (step-b)'!$" &amp; 'SpxSp (step-b)'!$BC$23 &amp; BZ$16),"")</f>
        <v/>
      </c>
      <c r="CA48" s="1317" t="str">
        <f ca="1">IF(INDIRECT("'SpxSp (step-b)'!$B" &amp; CA$16)=$Z48,INDIRECT("'SpxSp (step-b)'!$" &amp; 'SpxSp (step-b)'!$BC$23 &amp; CA$16),"")</f>
        <v/>
      </c>
      <c r="CB48" s="1317" t="str">
        <f ca="1">IF(INDIRECT("'SpxSp (step-b)'!$B" &amp; CB$16)=$Z48,INDIRECT("'SpxSp (step-b)'!$" &amp; 'SpxSp (step-b)'!$BC$23 &amp; CB$16),"")</f>
        <v/>
      </c>
      <c r="CC48" s="1317" t="str">
        <f ca="1">IF(INDIRECT("'SpxSp (step-b)'!$B" &amp; CC$16)=$Z48,INDIRECT("'SpxSp (step-b)'!$" &amp; 'SpxSp (step-b)'!$BC$23 &amp; CC$16),"")</f>
        <v/>
      </c>
      <c r="CD48" s="1317" t="str">
        <f ca="1">IF(INDIRECT("'SpxSp (step-b)'!$B" &amp; CD$16)=$Z48,INDIRECT("'SpxSp (step-b)'!$" &amp; 'SpxSp (step-b)'!$BC$23 &amp; CD$16),"")</f>
        <v/>
      </c>
      <c r="CE48" s="1317" t="str">
        <f ca="1">IF(INDIRECT("'SpxSp (step-b)'!$B" &amp; CE$16)=$Z48,INDIRECT("'SpxSp (step-b)'!$" &amp; 'SpxSp (step-b)'!$BC$23 &amp; CE$16),"")</f>
        <v/>
      </c>
      <c r="CF48" s="1317" t="str">
        <f ca="1">IF(INDIRECT("'SpxSp (step-b)'!$B" &amp; CF$16)=$Z48,INDIRECT("'SpxSp (step-b)'!$" &amp; 'SpxSp (step-b)'!$BC$23 &amp; CF$16),"")</f>
        <v/>
      </c>
      <c r="CG48" s="1317" t="str">
        <f ca="1">IF(INDIRECT("'SpxSp (step-b)'!$B" &amp; CG$16)=$Z48,INDIRECT("'SpxSp (step-b)'!$" &amp; 'SpxSp (step-b)'!$BC$23 &amp; CG$16),"")</f>
        <v/>
      </c>
      <c r="CH48" s="1317" t="str">
        <f ca="1">IF(INDIRECT("'SpxSp (step-b)'!$B" &amp; CH$16)=$Z48,INDIRECT("'SpxSp (step-b)'!$" &amp; 'SpxSp (step-b)'!$BC$23 &amp; CH$16),"")</f>
        <v/>
      </c>
      <c r="CI48" s="1317" t="str">
        <f ca="1">IF(INDIRECT("'SpxSp (step-b)'!$B" &amp; CI$16)=$Z48,INDIRECT("'SpxSp (step-b)'!$" &amp; 'SpxSp (step-b)'!$BC$23 &amp; CI$16),"")</f>
        <v/>
      </c>
      <c r="CJ48" s="1317" t="str">
        <f ca="1">IF(INDIRECT("'SpxSp (step-b)'!$B" &amp; CJ$16)=$Z48,INDIRECT("'SpxSp (step-b)'!$" &amp; 'SpxSp (step-b)'!$BC$23 &amp; CJ$16),"")</f>
        <v/>
      </c>
      <c r="CK48" s="1317" t="str">
        <f ca="1">IF(INDIRECT("'SpxSp (step-b)'!$B" &amp; CK$16)=$Z48,INDIRECT("'SpxSp (step-b)'!$" &amp; 'SpxSp (step-b)'!$BC$23 &amp; CK$16),"")</f>
        <v/>
      </c>
      <c r="CL48" s="1317" t="str">
        <f ca="1">IF(INDIRECT("'SpxSp (step-b)'!$B" &amp; CL$16)=$Z48,INDIRECT("'SpxSp (step-b)'!$" &amp; 'SpxSp (step-b)'!$BC$23 &amp; CL$16),"")</f>
        <v/>
      </c>
      <c r="CM48" s="1317" t="str">
        <f ca="1">IF(INDIRECT("'SpxSp (step-b)'!$B" &amp; CM$16)=$Z48,INDIRECT("'SpxSp (step-b)'!$" &amp; 'SpxSp (step-b)'!$BC$23 &amp; CM$16),"")</f>
        <v/>
      </c>
      <c r="CN48" s="1317" t="str">
        <f ca="1">IF(INDIRECT("'SpxSp (step-b)'!$B" &amp; CN$16)=$Z48,INDIRECT("'SpxSp (step-b)'!$" &amp; 'SpxSp (step-b)'!$BC$23 &amp; CN$16),"")</f>
        <v/>
      </c>
      <c r="CO48" s="1317" t="str">
        <f ca="1">IF(INDIRECT("'SpxSp (step-b)'!$B" &amp; CO$16)=$Z48,INDIRECT("'SpxSp (step-b)'!$" &amp; 'SpxSp (step-b)'!$BC$23 &amp; CO$16),"")</f>
        <v/>
      </c>
      <c r="CP48" s="1317" t="str">
        <f ca="1">IF(INDIRECT("'SpxSp (step-b)'!$B" &amp; CP$16)=$Z48,INDIRECT("'SpxSp (step-b)'!$" &amp; 'SpxSp (step-b)'!$BC$23 &amp; CP$16),"")</f>
        <v/>
      </c>
      <c r="CQ48" s="1317" t="str">
        <f ca="1">IF(INDIRECT("'SpxSp (step-b)'!$B" &amp; CQ$16)=$Z48,INDIRECT("'SpxSp (step-b)'!$" &amp; 'SpxSp (step-b)'!$BC$23 &amp; CQ$16),"")</f>
        <v/>
      </c>
      <c r="CR48" s="1317" t="str">
        <f ca="1">IF(INDIRECT("'SpxSp (step-b)'!$B" &amp; CR$16)=$Z48,INDIRECT("'SpxSp (step-b)'!$" &amp; 'SpxSp (step-b)'!$BC$23 &amp; CR$16),"")</f>
        <v/>
      </c>
      <c r="CS48" s="1317" t="str">
        <f ca="1">IF(INDIRECT("'SpxSp (step-b)'!$B" &amp; CS$16)=$Z48,INDIRECT("'SpxSp (step-b)'!$" &amp; 'SpxSp (step-b)'!$BC$23 &amp; CS$16),"")</f>
        <v/>
      </c>
      <c r="CT48" s="1317" t="str">
        <f ca="1">IF(INDIRECT("'SpxSp (step-b)'!$B" &amp; CT$16)=$Z48,INDIRECT("'SpxSp (step-b)'!$" &amp; 'SpxSp (step-b)'!$BC$23 &amp; CT$16),"")</f>
        <v/>
      </c>
      <c r="CU48" s="1317" t="str">
        <f ca="1">IF(INDIRECT("'SpxSp (step-b)'!$B" &amp; CU$16)=$Z48,INDIRECT("'SpxSp (step-b)'!$" &amp; 'SpxSp (step-b)'!$BC$23 &amp; CU$16),"")</f>
        <v/>
      </c>
      <c r="CV48" s="1317" t="str">
        <f ca="1">IF(INDIRECT("'SpxSp (step-b)'!$B" &amp; CV$16)=$Z48,INDIRECT("'SpxSp (step-b)'!$" &amp; 'SpxSp (step-b)'!$BC$23 &amp; CV$16),"")</f>
        <v/>
      </c>
      <c r="CW48" s="1317" t="str">
        <f ca="1">IF(INDIRECT("'SpxSp (step-b)'!$B" &amp; CW$16)=$Z48,INDIRECT("'SpxSp (step-b)'!$" &amp; 'SpxSp (step-b)'!$BC$23 &amp; CW$16),"")</f>
        <v/>
      </c>
      <c r="CX48" s="1317" t="str">
        <f ca="1">IF(INDIRECT("'SpxSp (step-b)'!$B" &amp; CX$16)=$Z48,INDIRECT("'SpxSp (step-b)'!$" &amp; 'SpxSp (step-b)'!$BC$23 &amp; CX$16),"")</f>
        <v/>
      </c>
      <c r="CY48" s="1317" t="str">
        <f ca="1">IF(INDIRECT("'SpxSp (step-b)'!$B" &amp; CY$16)=$Z48,INDIRECT("'SpxSp (step-b)'!$" &amp; 'SpxSp (step-b)'!$BC$23 &amp; CY$16),"")</f>
        <v/>
      </c>
      <c r="CZ48" s="1317" t="str">
        <f ca="1">IF(INDIRECT("'SpxSp (step-b)'!$B" &amp; CZ$16)=$Z48,INDIRECT("'SpxSp (step-b)'!$" &amp; 'SpxSp (step-b)'!$BC$23 &amp; CZ$16),"")</f>
        <v/>
      </c>
      <c r="DA48" s="1317" t="str">
        <f ca="1">IF(INDIRECT("'SpxSp (step-b)'!$B" &amp; DA$16)=$Z48,INDIRECT("'SpxSp (step-b)'!$" &amp; 'SpxSp (step-b)'!$BC$23 &amp; DA$16),"")</f>
        <v/>
      </c>
      <c r="DB48" s="1317" t="str">
        <f ca="1">IF(INDIRECT("'SpxSp (step-b)'!$B" &amp; DB$16)=$Z48,INDIRECT("'SpxSp (step-b)'!$" &amp; 'SpxSp (step-b)'!$BC$23 &amp; DB$16),"")</f>
        <v/>
      </c>
      <c r="DC48" s="1317" t="str">
        <f ca="1">IF(INDIRECT("'SpxSp (step-b)'!$B" &amp; DC$16)=$Z48,INDIRECT("'SpxSp (step-b)'!$" &amp; 'SpxSp (step-b)'!$BC$23 &amp; DC$16),"")</f>
        <v/>
      </c>
      <c r="DD48" s="1317" t="str">
        <f ca="1">IF(INDIRECT("'SpxSp (step-b)'!$B" &amp; DD$16)=$Z48,INDIRECT("'SpxSp (step-b)'!$" &amp; 'SpxSp (step-b)'!$BC$23 &amp; DD$16),"")</f>
        <v/>
      </c>
      <c r="DE48" s="1317" t="str">
        <f ca="1">IF(INDIRECT("'SpxSp (step-b)'!$B" &amp; DE$16)=$Z48,INDIRECT("'SpxSp (step-b)'!$" &amp; 'SpxSp (step-b)'!$BC$23 &amp; DE$16),"")</f>
        <v/>
      </c>
      <c r="DF48" s="1317" t="str">
        <f ca="1">IF(INDIRECT("'SpxSp (step-b)'!$B" &amp; DF$16)=$Z48,INDIRECT("'SpxSp (step-b)'!$" &amp; 'SpxSp (step-b)'!$BC$23 &amp; DF$16),"")</f>
        <v/>
      </c>
      <c r="DG48" s="1317" t="str">
        <f ca="1">IF(INDIRECT("'SpxSp (step-b)'!$B" &amp; DG$16)=$Z48,INDIRECT("'SpxSp (step-b)'!$" &amp; 'SpxSp (step-b)'!$BC$23 &amp; DG$16),"")</f>
        <v/>
      </c>
      <c r="DH48" s="1317" t="str">
        <f ca="1">IF(INDIRECT("'SpxSp (step-b)'!$B" &amp; DH$16)=$Z48,INDIRECT("'SpxSp (step-b)'!$" &amp; 'SpxSp (step-b)'!$BC$23 &amp; DH$16),"")</f>
        <v/>
      </c>
      <c r="DI48" s="1317" t="str">
        <f ca="1">IF(INDIRECT("'SpxSp (step-b)'!$B" &amp; DI$16)=$Z48,INDIRECT("'SpxSp (step-b)'!$" &amp; 'SpxSp (step-b)'!$BC$23 &amp; DI$16),"")</f>
        <v/>
      </c>
      <c r="DJ48" s="1317" t="str">
        <f ca="1">IF(INDIRECT("'SpxSp (step-b)'!$B" &amp; DJ$16)=$Z48,INDIRECT("'SpxSp (step-b)'!$" &amp; 'SpxSp (step-b)'!$BC$23 &amp; DJ$16),"")</f>
        <v/>
      </c>
      <c r="DK48" s="1317" t="str">
        <f ca="1">IF(INDIRECT("'SpxSp (step-b)'!$B" &amp; DK$16)=$Z48,INDIRECT("'SpxSp (step-b)'!$" &amp; 'SpxSp (step-b)'!$BC$23 &amp; DK$16),"")</f>
        <v/>
      </c>
      <c r="DL48" s="1317" t="str">
        <f ca="1">IF(INDIRECT("'SpxSp (step-b)'!$B" &amp; DL$16)=$Z48,INDIRECT("'SpxSp (step-b)'!$" &amp; 'SpxSp (step-b)'!$BC$23 &amp; DL$16),"")</f>
        <v/>
      </c>
      <c r="DM48" s="1317" t="str">
        <f ca="1">IF(INDIRECT("'SpxSp (step-b)'!$B" &amp; DM$16)=$Z48,INDIRECT("'SpxSp (step-b)'!$" &amp; 'SpxSp (step-b)'!$BC$23 &amp; DM$16),"")</f>
        <v/>
      </c>
      <c r="DN48" s="1318" t="str">
        <f t="shared" ca="1" si="32"/>
        <v/>
      </c>
      <c r="DO48" s="1246" t="s">
        <v>1201</v>
      </c>
    </row>
    <row r="49" spans="2:119" ht="40" x14ac:dyDescent="0.2">
      <c r="B49" s="1450" t="str">
        <f t="shared" si="13"/>
        <v/>
      </c>
      <c r="C49" s="1451"/>
      <c r="D49" s="1451"/>
      <c r="E49" s="1451"/>
      <c r="F49" s="1452"/>
      <c r="G49" s="1319" t="str">
        <f t="shared" si="31"/>
        <v/>
      </c>
      <c r="H49" s="1320" t="str">
        <f t="shared" si="14"/>
        <v/>
      </c>
      <c r="I49" s="1321" t="str">
        <f t="shared" si="33"/>
        <v/>
      </c>
      <c r="J49" s="1296"/>
      <c r="K49" s="1322" t="str">
        <f>IFERROR(IF(OR(B49="",H49=0),"",VLOOKUP(B49,'SpxSp (step-c)'!B$18:O$67,6,FALSE)),"")</f>
        <v/>
      </c>
      <c r="L49" s="1323" t="str">
        <f ca="1">IFERROR(F(OR(B49="",H49=0),"",VLOOKUP($B49,'SpxSp (step-c)'!$B$18:O$67,12,FALSE)),"")</f>
        <v/>
      </c>
      <c r="M49" s="1321" t="str">
        <f ca="1">IF(AND(B49&lt;&gt;"",L49=""),"NA",IFERROR(VLOOKUP($B49,'SpxSp (step-c)'!$B$18:P$67,13,FALSE),""))</f>
        <v/>
      </c>
      <c r="N49" s="1324"/>
      <c r="O49" s="1322" t="str">
        <f>IFERROR(IF(OR(B49="",H49=0),"",VLOOKUP($B49,'SpxSp (step-d)'!$B$18:$P$67,12,FALSE)),"")</f>
        <v/>
      </c>
      <c r="P49" s="1323" t="str">
        <f>IFERROR(IF(OR(B49="",H49=0),"",VLOOKUP($B49,'SpxSp (step-d)'!$B$18:$P$67,13,FALSE)),"")</f>
        <v/>
      </c>
      <c r="Q49" s="1323" t="str">
        <f>IFERROR(IF(OR(B49="",H49=0),"",VLOOKUP($B49,'SpxSp (step-d)'!$B$18:$P$67,14,FALSE)),"")</f>
        <v/>
      </c>
      <c r="R49" s="1321" t="str">
        <f>IF(AND(B49&lt;&gt;"",P49=""),"NA",IFERROR(VLOOKUP(B49,'SpxSp (step-d)'!$B$18:$V$67,15,FALSE),""))</f>
        <v/>
      </c>
      <c r="S49" s="1296"/>
      <c r="T49" s="1325" t="str">
        <f t="shared" si="34"/>
        <v/>
      </c>
      <c r="U49" s="1326" t="str">
        <f t="shared" si="17"/>
        <v/>
      </c>
      <c r="Y49" s="1302">
        <v>32</v>
      </c>
      <c r="Z49" s="1303" t="str">
        <f>'SpxSp (step-a)'!B53</f>
        <v/>
      </c>
      <c r="AA49" s="1303" t="str">
        <f>'SpxSp (step-a)'!H53</f>
        <v/>
      </c>
      <c r="AB49" s="1290" t="str">
        <f>VLOOKUP($Z49,'SpxSp (step-a)'!$B$22:$O$71,AB$14,FALSE)</f>
        <v/>
      </c>
      <c r="AD49" s="1290" t="str">
        <f>IF(Z49="","",IFERROR(VLOOKUP($Z49,'SpxSp (step-a)'!$B$22:$O$71,AD$14,FALSE),0))</f>
        <v/>
      </c>
      <c r="AE49" s="1290" t="str">
        <f>IF(Z49="","",IFERROR(VLOOKUP($Z49,'SpxSp (step-a)'!$B$22:$O$71,AE$14,FALSE),0))</f>
        <v/>
      </c>
      <c r="AG49" s="1290" t="str">
        <f t="shared" si="36"/>
        <v/>
      </c>
      <c r="AI49" s="1290" t="str">
        <f>IF($Z49="","",SUMIFS('SpxSp (step-b)'!L$26:L$75,'SpxSp (step-b)'!B$26:B$75,Z49,'SpxSp (step-b)'!N$26:N$75,"New"))</f>
        <v/>
      </c>
      <c r="AJ49" s="1290" t="str">
        <f>IF($Z49="","",SUMIFS('SpxSp (step-b)'!$L$26:$L$75,'SpxSp (step-b)'!$B$26:$B$75,$Z49,'SpxSp (step-b)'!N$26:N$75,""))</f>
        <v/>
      </c>
      <c r="AK49" s="1290" t="str">
        <f>IF($Z49="","",SUMIFS('SpxSp (step-b)'!$J$26:$J$75,'SpxSp (step-b)'!$B$26:$B$75,$Z49,'SpxSp (step-b)'!$N$26:$N$75,"New")+SUMIFS('SpxSp (step-b)'!$J$26:$J$75,'SpxSp (step-b)'!$B$26:$B$75,$Z49,'SpxSp (step-b)'!$N$26:$N$75,""))</f>
        <v/>
      </c>
      <c r="AL49" s="1290" t="str">
        <f>IF($Z49="","",SUMIFS('SpxSp (step-b)'!$L$26:$L$75,'SpxSp (step-b)'!$B$26:$B$75,$Z49,'SpxSp (step-b)'!$N$26:$N$75,"Existing Remains"))</f>
        <v/>
      </c>
      <c r="AM49" s="1290" t="str">
        <f>IF($Z49="","",SUMIFS('SpxSp (step-b)'!$L$26:$L$75,'SpxSp (step-b)'!$B$26:$B$75,$Z49,'SpxSp (step-b)'!$N$26:$N$75,"Existing Removed"))</f>
        <v/>
      </c>
      <c r="AN49" s="1290" t="str">
        <f>IF($Z49="","",SUMIFS('SpxSp (step-b)'!$J$26:$J$75,'SpxSp (step-b)'!$B$26:$B$75,$Z49,'SpxSp (step-b)'!$N$26:$N$75,"Existing Removed"))</f>
        <v/>
      </c>
      <c r="AO49" s="1290" t="str">
        <f t="shared" si="37"/>
        <v/>
      </c>
      <c r="AP49" s="1290" t="str">
        <f t="shared" si="18"/>
        <v/>
      </c>
      <c r="AQ49" s="1304"/>
      <c r="AR49" s="1305" t="str">
        <f t="shared" si="19"/>
        <v/>
      </c>
      <c r="AS49" s="1306" t="str">
        <f t="shared" si="20"/>
        <v/>
      </c>
      <c r="AT49" s="1307"/>
      <c r="AU49" s="1308" t="str">
        <f t="shared" si="21"/>
        <v/>
      </c>
      <c r="AV49" s="1309" t="str">
        <f t="shared" si="6"/>
        <v/>
      </c>
      <c r="AW49" s="1309" t="str">
        <f t="shared" si="22"/>
        <v/>
      </c>
      <c r="AX49" s="1310" t="str">
        <f t="shared" si="23"/>
        <v/>
      </c>
      <c r="AY49" s="1307"/>
      <c r="AZ49" s="1311" t="str">
        <f t="shared" si="24"/>
        <v/>
      </c>
      <c r="BA49" s="1309" t="str">
        <f t="shared" si="25"/>
        <v/>
      </c>
      <c r="BB49" s="1310" t="str">
        <f t="shared" si="26"/>
        <v/>
      </c>
      <c r="BC49" s="1312"/>
      <c r="BD49" s="1313" t="str">
        <f t="shared" si="35"/>
        <v/>
      </c>
      <c r="BE49" s="1290" t="str">
        <f t="shared" si="27"/>
        <v/>
      </c>
      <c r="BF49" s="1290" t="str">
        <f t="shared" si="28"/>
        <v/>
      </c>
      <c r="BH49" s="1315" t="str">
        <f t="shared" si="10"/>
        <v/>
      </c>
      <c r="BI49" s="1315"/>
      <c r="BJ49" s="1303" t="str">
        <f>IF(OR(BH49="Fail",BH49="Fail LPA",BH49=""),"",'SpxSp (step-a)'!CM53)</f>
        <v/>
      </c>
      <c r="BK49" s="1290">
        <f t="shared" si="30"/>
        <v>0</v>
      </c>
      <c r="BN49" s="178">
        <v>32</v>
      </c>
      <c r="BO49" s="1316" t="str">
        <f t="shared" ca="1" si="29"/>
        <v/>
      </c>
      <c r="BP49" s="1317" t="str">
        <f ca="1">IF(INDIRECT("'SpxSp (step-b)'!$B" &amp; BP$16)=$Z49,INDIRECT("'SpxSp (step-b)'!$" &amp; 'SpxSp (step-b)'!$BC$23 &amp; BP$16),"")</f>
        <v/>
      </c>
      <c r="BQ49" s="1317" t="str">
        <f ca="1">IF(INDIRECT("'SpxSp (step-b)'!$B" &amp; BQ$16)=$Z49,INDIRECT("'SpxSp (step-b)'!$" &amp; 'SpxSp (step-b)'!$BC$23 &amp; BQ$16),"")</f>
        <v/>
      </c>
      <c r="BR49" s="1317" t="str">
        <f ca="1">IF(INDIRECT("'SpxSp (step-b)'!$B" &amp; BR$16)=$Z49,INDIRECT("'SpxSp (step-b)'!$" &amp; 'SpxSp (step-b)'!$BC$23 &amp; BR$16),"")</f>
        <v/>
      </c>
      <c r="BS49" s="1317" t="str">
        <f ca="1">IF(INDIRECT("'SpxSp (step-b)'!$B" &amp; BS$16)=$Z49,INDIRECT("'SpxSp (step-b)'!$" &amp; 'SpxSp (step-b)'!$BC$23 &amp; BS$16),"")</f>
        <v/>
      </c>
      <c r="BT49" s="1317" t="str">
        <f ca="1">IF(INDIRECT("'SpxSp (step-b)'!$B" &amp; BT$16)=$Z49,INDIRECT("'SpxSp (step-b)'!$" &amp; 'SpxSp (step-b)'!$BC$23 &amp; BT$16),"")</f>
        <v/>
      </c>
      <c r="BU49" s="1317" t="str">
        <f ca="1">IF(INDIRECT("'SpxSp (step-b)'!$B" &amp; BU$16)=$Z49,INDIRECT("'SpxSp (step-b)'!$" &amp; 'SpxSp (step-b)'!$BC$23 &amp; BU$16),"")</f>
        <v/>
      </c>
      <c r="BV49" s="1317" t="str">
        <f ca="1">IF(INDIRECT("'SpxSp (step-b)'!$B" &amp; BV$16)=$Z49,INDIRECT("'SpxSp (step-b)'!$" &amp; 'SpxSp (step-b)'!$BC$23 &amp; BV$16),"")</f>
        <v/>
      </c>
      <c r="BW49" s="1317" t="str">
        <f ca="1">IF(INDIRECT("'SpxSp (step-b)'!$B" &amp; BW$16)=$Z49,INDIRECT("'SpxSp (step-b)'!$" &amp; 'SpxSp (step-b)'!$BC$23 &amp; BW$16),"")</f>
        <v/>
      </c>
      <c r="BX49" s="1317" t="str">
        <f ca="1">IF(INDIRECT("'SpxSp (step-b)'!$B" &amp; BX$16)=$Z49,INDIRECT("'SpxSp (step-b)'!$" &amp; 'SpxSp (step-b)'!$BC$23 &amp; BX$16),"")</f>
        <v/>
      </c>
      <c r="BY49" s="1317" t="str">
        <f ca="1">IF(INDIRECT("'SpxSp (step-b)'!$B" &amp; BY$16)=$Z49,INDIRECT("'SpxSp (step-b)'!$" &amp; 'SpxSp (step-b)'!$BC$23 &amp; BY$16),"")</f>
        <v/>
      </c>
      <c r="BZ49" s="1317" t="str">
        <f ca="1">IF(INDIRECT("'SpxSp (step-b)'!$B" &amp; BZ$16)=$Z49,INDIRECT("'SpxSp (step-b)'!$" &amp; 'SpxSp (step-b)'!$BC$23 &amp; BZ$16),"")</f>
        <v/>
      </c>
      <c r="CA49" s="1317" t="str">
        <f ca="1">IF(INDIRECT("'SpxSp (step-b)'!$B" &amp; CA$16)=$Z49,INDIRECT("'SpxSp (step-b)'!$" &amp; 'SpxSp (step-b)'!$BC$23 &amp; CA$16),"")</f>
        <v/>
      </c>
      <c r="CB49" s="1317" t="str">
        <f ca="1">IF(INDIRECT("'SpxSp (step-b)'!$B" &amp; CB$16)=$Z49,INDIRECT("'SpxSp (step-b)'!$" &amp; 'SpxSp (step-b)'!$BC$23 &amp; CB$16),"")</f>
        <v/>
      </c>
      <c r="CC49" s="1317" t="str">
        <f ca="1">IF(INDIRECT("'SpxSp (step-b)'!$B" &amp; CC$16)=$Z49,INDIRECT("'SpxSp (step-b)'!$" &amp; 'SpxSp (step-b)'!$BC$23 &amp; CC$16),"")</f>
        <v/>
      </c>
      <c r="CD49" s="1317" t="str">
        <f ca="1">IF(INDIRECT("'SpxSp (step-b)'!$B" &amp; CD$16)=$Z49,INDIRECT("'SpxSp (step-b)'!$" &amp; 'SpxSp (step-b)'!$BC$23 &amp; CD$16),"")</f>
        <v/>
      </c>
      <c r="CE49" s="1317" t="str">
        <f ca="1">IF(INDIRECT("'SpxSp (step-b)'!$B" &amp; CE$16)=$Z49,INDIRECT("'SpxSp (step-b)'!$" &amp; 'SpxSp (step-b)'!$BC$23 &amp; CE$16),"")</f>
        <v/>
      </c>
      <c r="CF49" s="1317" t="str">
        <f ca="1">IF(INDIRECT("'SpxSp (step-b)'!$B" &amp; CF$16)=$Z49,INDIRECT("'SpxSp (step-b)'!$" &amp; 'SpxSp (step-b)'!$BC$23 &amp; CF$16),"")</f>
        <v/>
      </c>
      <c r="CG49" s="1317" t="str">
        <f ca="1">IF(INDIRECT("'SpxSp (step-b)'!$B" &amp; CG$16)=$Z49,INDIRECT("'SpxSp (step-b)'!$" &amp; 'SpxSp (step-b)'!$BC$23 &amp; CG$16),"")</f>
        <v/>
      </c>
      <c r="CH49" s="1317" t="str">
        <f ca="1">IF(INDIRECT("'SpxSp (step-b)'!$B" &amp; CH$16)=$Z49,INDIRECT("'SpxSp (step-b)'!$" &amp; 'SpxSp (step-b)'!$BC$23 &amp; CH$16),"")</f>
        <v/>
      </c>
      <c r="CI49" s="1317" t="str">
        <f ca="1">IF(INDIRECT("'SpxSp (step-b)'!$B" &amp; CI$16)=$Z49,INDIRECT("'SpxSp (step-b)'!$" &amp; 'SpxSp (step-b)'!$BC$23 &amp; CI$16),"")</f>
        <v/>
      </c>
      <c r="CJ49" s="1317" t="str">
        <f ca="1">IF(INDIRECT("'SpxSp (step-b)'!$B" &amp; CJ$16)=$Z49,INDIRECT("'SpxSp (step-b)'!$" &amp; 'SpxSp (step-b)'!$BC$23 &amp; CJ$16),"")</f>
        <v/>
      </c>
      <c r="CK49" s="1317" t="str">
        <f ca="1">IF(INDIRECT("'SpxSp (step-b)'!$B" &amp; CK$16)=$Z49,INDIRECT("'SpxSp (step-b)'!$" &amp; 'SpxSp (step-b)'!$BC$23 &amp; CK$16),"")</f>
        <v/>
      </c>
      <c r="CL49" s="1317" t="str">
        <f ca="1">IF(INDIRECT("'SpxSp (step-b)'!$B" &amp; CL$16)=$Z49,INDIRECT("'SpxSp (step-b)'!$" &amp; 'SpxSp (step-b)'!$BC$23 &amp; CL$16),"")</f>
        <v/>
      </c>
      <c r="CM49" s="1317" t="str">
        <f ca="1">IF(INDIRECT("'SpxSp (step-b)'!$B" &amp; CM$16)=$Z49,INDIRECT("'SpxSp (step-b)'!$" &amp; 'SpxSp (step-b)'!$BC$23 &amp; CM$16),"")</f>
        <v/>
      </c>
      <c r="CN49" s="1317" t="str">
        <f ca="1">IF(INDIRECT("'SpxSp (step-b)'!$B" &amp; CN$16)=$Z49,INDIRECT("'SpxSp (step-b)'!$" &amp; 'SpxSp (step-b)'!$BC$23 &amp; CN$16),"")</f>
        <v/>
      </c>
      <c r="CO49" s="1317" t="str">
        <f ca="1">IF(INDIRECT("'SpxSp (step-b)'!$B" &amp; CO$16)=$Z49,INDIRECT("'SpxSp (step-b)'!$" &amp; 'SpxSp (step-b)'!$BC$23 &amp; CO$16),"")</f>
        <v/>
      </c>
      <c r="CP49" s="1317" t="str">
        <f ca="1">IF(INDIRECT("'SpxSp (step-b)'!$B" &amp; CP$16)=$Z49,INDIRECT("'SpxSp (step-b)'!$" &amp; 'SpxSp (step-b)'!$BC$23 &amp; CP$16),"")</f>
        <v/>
      </c>
      <c r="CQ49" s="1317" t="str">
        <f ca="1">IF(INDIRECT("'SpxSp (step-b)'!$B" &amp; CQ$16)=$Z49,INDIRECT("'SpxSp (step-b)'!$" &amp; 'SpxSp (step-b)'!$BC$23 &amp; CQ$16),"")</f>
        <v/>
      </c>
      <c r="CR49" s="1317" t="str">
        <f ca="1">IF(INDIRECT("'SpxSp (step-b)'!$B" &amp; CR$16)=$Z49,INDIRECT("'SpxSp (step-b)'!$" &amp; 'SpxSp (step-b)'!$BC$23 &amp; CR$16),"")</f>
        <v/>
      </c>
      <c r="CS49" s="1317" t="str">
        <f ca="1">IF(INDIRECT("'SpxSp (step-b)'!$B" &amp; CS$16)=$Z49,INDIRECT("'SpxSp (step-b)'!$" &amp; 'SpxSp (step-b)'!$BC$23 &amp; CS$16),"")</f>
        <v/>
      </c>
      <c r="CT49" s="1317" t="str">
        <f ca="1">IF(INDIRECT("'SpxSp (step-b)'!$B" &amp; CT$16)=$Z49,INDIRECT("'SpxSp (step-b)'!$" &amp; 'SpxSp (step-b)'!$BC$23 &amp; CT$16),"")</f>
        <v/>
      </c>
      <c r="CU49" s="1317" t="str">
        <f ca="1">IF(INDIRECT("'SpxSp (step-b)'!$B" &amp; CU$16)=$Z49,INDIRECT("'SpxSp (step-b)'!$" &amp; 'SpxSp (step-b)'!$BC$23 &amp; CU$16),"")</f>
        <v/>
      </c>
      <c r="CV49" s="1317" t="str">
        <f ca="1">IF(INDIRECT("'SpxSp (step-b)'!$B" &amp; CV$16)=$Z49,INDIRECT("'SpxSp (step-b)'!$" &amp; 'SpxSp (step-b)'!$BC$23 &amp; CV$16),"")</f>
        <v/>
      </c>
      <c r="CW49" s="1317" t="str">
        <f ca="1">IF(INDIRECT("'SpxSp (step-b)'!$B" &amp; CW$16)=$Z49,INDIRECT("'SpxSp (step-b)'!$" &amp; 'SpxSp (step-b)'!$BC$23 &amp; CW$16),"")</f>
        <v/>
      </c>
      <c r="CX49" s="1317" t="str">
        <f ca="1">IF(INDIRECT("'SpxSp (step-b)'!$B" &amp; CX$16)=$Z49,INDIRECT("'SpxSp (step-b)'!$" &amp; 'SpxSp (step-b)'!$BC$23 &amp; CX$16),"")</f>
        <v/>
      </c>
      <c r="CY49" s="1317" t="str">
        <f ca="1">IF(INDIRECT("'SpxSp (step-b)'!$B" &amp; CY$16)=$Z49,INDIRECT("'SpxSp (step-b)'!$" &amp; 'SpxSp (step-b)'!$BC$23 &amp; CY$16),"")</f>
        <v/>
      </c>
      <c r="CZ49" s="1317" t="str">
        <f ca="1">IF(INDIRECT("'SpxSp (step-b)'!$B" &amp; CZ$16)=$Z49,INDIRECT("'SpxSp (step-b)'!$" &amp; 'SpxSp (step-b)'!$BC$23 &amp; CZ$16),"")</f>
        <v/>
      </c>
      <c r="DA49" s="1317" t="str">
        <f ca="1">IF(INDIRECT("'SpxSp (step-b)'!$B" &amp; DA$16)=$Z49,INDIRECT("'SpxSp (step-b)'!$" &amp; 'SpxSp (step-b)'!$BC$23 &amp; DA$16),"")</f>
        <v/>
      </c>
      <c r="DB49" s="1317" t="str">
        <f ca="1">IF(INDIRECT("'SpxSp (step-b)'!$B" &amp; DB$16)=$Z49,INDIRECT("'SpxSp (step-b)'!$" &amp; 'SpxSp (step-b)'!$BC$23 &amp; DB$16),"")</f>
        <v/>
      </c>
      <c r="DC49" s="1317" t="str">
        <f ca="1">IF(INDIRECT("'SpxSp (step-b)'!$B" &amp; DC$16)=$Z49,INDIRECT("'SpxSp (step-b)'!$" &amp; 'SpxSp (step-b)'!$BC$23 &amp; DC$16),"")</f>
        <v/>
      </c>
      <c r="DD49" s="1317" t="str">
        <f ca="1">IF(INDIRECT("'SpxSp (step-b)'!$B" &amp; DD$16)=$Z49,INDIRECT("'SpxSp (step-b)'!$" &amp; 'SpxSp (step-b)'!$BC$23 &amp; DD$16),"")</f>
        <v/>
      </c>
      <c r="DE49" s="1317" t="str">
        <f ca="1">IF(INDIRECT("'SpxSp (step-b)'!$B" &amp; DE$16)=$Z49,INDIRECT("'SpxSp (step-b)'!$" &amp; 'SpxSp (step-b)'!$BC$23 &amp; DE$16),"")</f>
        <v/>
      </c>
      <c r="DF49" s="1317" t="str">
        <f ca="1">IF(INDIRECT("'SpxSp (step-b)'!$B" &amp; DF$16)=$Z49,INDIRECT("'SpxSp (step-b)'!$" &amp; 'SpxSp (step-b)'!$BC$23 &amp; DF$16),"")</f>
        <v/>
      </c>
      <c r="DG49" s="1317" t="str">
        <f ca="1">IF(INDIRECT("'SpxSp (step-b)'!$B" &amp; DG$16)=$Z49,INDIRECT("'SpxSp (step-b)'!$" &amp; 'SpxSp (step-b)'!$BC$23 &amp; DG$16),"")</f>
        <v/>
      </c>
      <c r="DH49" s="1317" t="str">
        <f ca="1">IF(INDIRECT("'SpxSp (step-b)'!$B" &amp; DH$16)=$Z49,INDIRECT("'SpxSp (step-b)'!$" &amp; 'SpxSp (step-b)'!$BC$23 &amp; DH$16),"")</f>
        <v/>
      </c>
      <c r="DI49" s="1317" t="str">
        <f ca="1">IF(INDIRECT("'SpxSp (step-b)'!$B" &amp; DI$16)=$Z49,INDIRECT("'SpxSp (step-b)'!$" &amp; 'SpxSp (step-b)'!$BC$23 &amp; DI$16),"")</f>
        <v/>
      </c>
      <c r="DJ49" s="1317" t="str">
        <f ca="1">IF(INDIRECT("'SpxSp (step-b)'!$B" &amp; DJ$16)=$Z49,INDIRECT("'SpxSp (step-b)'!$" &amp; 'SpxSp (step-b)'!$BC$23 &amp; DJ$16),"")</f>
        <v/>
      </c>
      <c r="DK49" s="1317" t="str">
        <f ca="1">IF(INDIRECT("'SpxSp (step-b)'!$B" &amp; DK$16)=$Z49,INDIRECT("'SpxSp (step-b)'!$" &amp; 'SpxSp (step-b)'!$BC$23 &amp; DK$16),"")</f>
        <v/>
      </c>
      <c r="DL49" s="1317" t="str">
        <f ca="1">IF(INDIRECT("'SpxSp (step-b)'!$B" &amp; DL$16)=$Z49,INDIRECT("'SpxSp (step-b)'!$" &amp; 'SpxSp (step-b)'!$BC$23 &amp; DL$16),"")</f>
        <v/>
      </c>
      <c r="DM49" s="1317" t="str">
        <f ca="1">IF(INDIRECT("'SpxSp (step-b)'!$B" &amp; DM$16)=$Z49,INDIRECT("'SpxSp (step-b)'!$" &amp; 'SpxSp (step-b)'!$BC$23 &amp; DM$16),"")</f>
        <v/>
      </c>
      <c r="DN49" s="1318" t="str">
        <f t="shared" ca="1" si="32"/>
        <v/>
      </c>
      <c r="DO49" s="1246" t="s">
        <v>1201</v>
      </c>
    </row>
    <row r="50" spans="2:119" ht="40" x14ac:dyDescent="0.2">
      <c r="B50" s="1450" t="str">
        <f t="shared" si="13"/>
        <v/>
      </c>
      <c r="C50" s="1451"/>
      <c r="D50" s="1451"/>
      <c r="E50" s="1451"/>
      <c r="F50" s="1452"/>
      <c r="G50" s="1319" t="str">
        <f t="shared" si="31"/>
        <v/>
      </c>
      <c r="H50" s="1320" t="str">
        <f t="shared" si="14"/>
        <v/>
      </c>
      <c r="I50" s="1321" t="str">
        <f t="shared" si="33"/>
        <v/>
      </c>
      <c r="J50" s="1296"/>
      <c r="K50" s="1322" t="str">
        <f>IFERROR(IF(OR(B50="",H50=0),"",VLOOKUP(B50,'SpxSp (step-c)'!B$18:O$67,6,FALSE)),"")</f>
        <v/>
      </c>
      <c r="L50" s="1323" t="str">
        <f ca="1">IFERROR(F(OR(B50="",H50=0),"",VLOOKUP($B50,'SpxSp (step-c)'!$B$18:O$67,12,FALSE)),"")</f>
        <v/>
      </c>
      <c r="M50" s="1321" t="str">
        <f ca="1">IF(AND(B50&lt;&gt;"",L50=""),"NA",IFERROR(VLOOKUP($B50,'SpxSp (step-c)'!$B$18:P$67,13,FALSE),""))</f>
        <v/>
      </c>
      <c r="N50" s="1324"/>
      <c r="O50" s="1322" t="str">
        <f>IFERROR(IF(OR(B50="",H50=0),"",VLOOKUP($B50,'SpxSp (step-d)'!$B$18:$P$67,12,FALSE)),"")</f>
        <v/>
      </c>
      <c r="P50" s="1323" t="str">
        <f>IFERROR(IF(OR(B50="",H50=0),"",VLOOKUP($B50,'SpxSp (step-d)'!$B$18:$P$67,13,FALSE)),"")</f>
        <v/>
      </c>
      <c r="Q50" s="1323" t="str">
        <f>IFERROR(IF(OR(B50="",H50=0),"",VLOOKUP($B50,'SpxSp (step-d)'!$B$18:$P$67,14,FALSE)),"")</f>
        <v/>
      </c>
      <c r="R50" s="1321" t="str">
        <f>IF(AND(B50&lt;&gt;"",P50=""),"NA",IFERROR(VLOOKUP(B50,'SpxSp (step-d)'!$B$18:$V$67,15,FALSE),""))</f>
        <v/>
      </c>
      <c r="S50" s="1296"/>
      <c r="T50" s="1325" t="str">
        <f t="shared" si="34"/>
        <v/>
      </c>
      <c r="U50" s="1326" t="str">
        <f t="shared" si="17"/>
        <v/>
      </c>
      <c r="Y50" s="1302">
        <v>33</v>
      </c>
      <c r="Z50" s="1303" t="str">
        <f>'SpxSp (step-a)'!B54</f>
        <v/>
      </c>
      <c r="AA50" s="1303" t="str">
        <f>'SpxSp (step-a)'!H54</f>
        <v/>
      </c>
      <c r="AB50" s="1290" t="str">
        <f>VLOOKUP($Z50,'SpxSp (step-a)'!$B$22:$O$71,AB$14,FALSE)</f>
        <v/>
      </c>
      <c r="AD50" s="1290" t="str">
        <f>IF(Z50="","",IFERROR(VLOOKUP($Z50,'SpxSp (step-a)'!$B$22:$O$71,AD$14,FALSE),0))</f>
        <v/>
      </c>
      <c r="AE50" s="1290" t="str">
        <f>IF(Z50="","",IFERROR(VLOOKUP($Z50,'SpxSp (step-a)'!$B$22:$O$71,AE$14,FALSE),0))</f>
        <v/>
      </c>
      <c r="AG50" s="1290" t="str">
        <f t="shared" si="36"/>
        <v/>
      </c>
      <c r="AI50" s="1290" t="str">
        <f>IF($Z50="","",SUMIFS('SpxSp (step-b)'!L$26:L$75,'SpxSp (step-b)'!B$26:B$75,Z50,'SpxSp (step-b)'!N$26:N$75,"New"))</f>
        <v/>
      </c>
      <c r="AJ50" s="1290" t="str">
        <f>IF($Z50="","",SUMIFS('SpxSp (step-b)'!$L$26:$L$75,'SpxSp (step-b)'!$B$26:$B$75,$Z50,'SpxSp (step-b)'!N$26:N$75,""))</f>
        <v/>
      </c>
      <c r="AK50" s="1290" t="str">
        <f>IF($Z50="","",SUMIFS('SpxSp (step-b)'!$J$26:$J$75,'SpxSp (step-b)'!$B$26:$B$75,$Z50,'SpxSp (step-b)'!$N$26:$N$75,"New")+SUMIFS('SpxSp (step-b)'!$J$26:$J$75,'SpxSp (step-b)'!$B$26:$B$75,$Z50,'SpxSp (step-b)'!$N$26:$N$75,""))</f>
        <v/>
      </c>
      <c r="AL50" s="1290" t="str">
        <f>IF($Z50="","",SUMIFS('SpxSp (step-b)'!$L$26:$L$75,'SpxSp (step-b)'!$B$26:$B$75,$Z50,'SpxSp (step-b)'!$N$26:$N$75,"Existing Remains"))</f>
        <v/>
      </c>
      <c r="AM50" s="1290" t="str">
        <f>IF($Z50="","",SUMIFS('SpxSp (step-b)'!$L$26:$L$75,'SpxSp (step-b)'!$B$26:$B$75,$Z50,'SpxSp (step-b)'!$N$26:$N$75,"Existing Removed"))</f>
        <v/>
      </c>
      <c r="AN50" s="1290" t="str">
        <f>IF($Z50="","",SUMIFS('SpxSp (step-b)'!$J$26:$J$75,'SpxSp (step-b)'!$B$26:$B$75,$Z50,'SpxSp (step-b)'!$N$26:$N$75,"Existing Removed"))</f>
        <v/>
      </c>
      <c r="AO50" s="1290" t="str">
        <f t="shared" si="37"/>
        <v/>
      </c>
      <c r="AP50" s="1290" t="str">
        <f t="shared" si="18"/>
        <v/>
      </c>
      <c r="AQ50" s="1304"/>
      <c r="AR50" s="1305" t="str">
        <f t="shared" si="19"/>
        <v/>
      </c>
      <c r="AS50" s="1306" t="str">
        <f t="shared" si="20"/>
        <v/>
      </c>
      <c r="AT50" s="1307"/>
      <c r="AU50" s="1308" t="str">
        <f t="shared" si="21"/>
        <v/>
      </c>
      <c r="AV50" s="1309" t="str">
        <f t="shared" ref="AV50:AV67" si="38">IF(OR($AU$11=FALSE,$Z50="",$AU50="",AW$11=FALSE),"",IF(AU50&gt;AU$16,"Fail","Pass"))</f>
        <v/>
      </c>
      <c r="AW50" s="1309" t="str">
        <f t="shared" si="22"/>
        <v/>
      </c>
      <c r="AX50" s="1310" t="str">
        <f t="shared" si="23"/>
        <v/>
      </c>
      <c r="AY50" s="1307"/>
      <c r="AZ50" s="1311" t="str">
        <f t="shared" si="24"/>
        <v/>
      </c>
      <c r="BA50" s="1309" t="str">
        <f t="shared" si="25"/>
        <v/>
      </c>
      <c r="BB50" s="1310" t="str">
        <f t="shared" si="26"/>
        <v/>
      </c>
      <c r="BC50" s="1312"/>
      <c r="BD50" s="1313" t="str">
        <f t="shared" si="35"/>
        <v/>
      </c>
      <c r="BE50" s="1290" t="str">
        <f t="shared" si="27"/>
        <v/>
      </c>
      <c r="BF50" s="1290" t="str">
        <f t="shared" si="28"/>
        <v/>
      </c>
      <c r="BH50" s="1315" t="str">
        <f t="shared" ref="BH50:BH67" si="39">IF(OR(AS50="",Z50=""),"",IF(AND($AU$11=TRUE,$AW$11=TRUE),IF(AX50="Pass","Pass Exception #1",IF(BB50="Pass","Pass Exception #2",IF(OR(AS50="Pass",$BF$7=TRUE),"Pass LPA","Fail LPA"))),IF($BF$7=TRUE,"Pass LPA","Fail LPA")))</f>
        <v/>
      </c>
      <c r="BI50" s="1315"/>
      <c r="BJ50" s="1303" t="str">
        <f>IF(OR(BH50="Fail",BH50="Fail LPA",BH50=""),"",'SpxSp (step-a)'!CM54)</f>
        <v/>
      </c>
      <c r="BK50" s="1290">
        <f t="shared" si="30"/>
        <v>0</v>
      </c>
      <c r="BN50" s="178">
        <v>33</v>
      </c>
      <c r="BO50" s="1316" t="str">
        <f t="shared" ca="1" si="29"/>
        <v/>
      </c>
      <c r="BP50" s="1317" t="str">
        <f ca="1">IF(INDIRECT("'SpxSp (step-b)'!$B" &amp; BP$16)=$Z50,INDIRECT("'SpxSp (step-b)'!$" &amp; 'SpxSp (step-b)'!$BC$23 &amp; BP$16),"")</f>
        <v/>
      </c>
      <c r="BQ50" s="1317" t="str">
        <f ca="1">IF(INDIRECT("'SpxSp (step-b)'!$B" &amp; BQ$16)=$Z50,INDIRECT("'SpxSp (step-b)'!$" &amp; 'SpxSp (step-b)'!$BC$23 &amp; BQ$16),"")</f>
        <v/>
      </c>
      <c r="BR50" s="1317" t="str">
        <f ca="1">IF(INDIRECT("'SpxSp (step-b)'!$B" &amp; BR$16)=$Z50,INDIRECT("'SpxSp (step-b)'!$" &amp; 'SpxSp (step-b)'!$BC$23 &amp; BR$16),"")</f>
        <v/>
      </c>
      <c r="BS50" s="1317" t="str">
        <f ca="1">IF(INDIRECT("'SpxSp (step-b)'!$B" &amp; BS$16)=$Z50,INDIRECT("'SpxSp (step-b)'!$" &amp; 'SpxSp (step-b)'!$BC$23 &amp; BS$16),"")</f>
        <v/>
      </c>
      <c r="BT50" s="1317" t="str">
        <f ca="1">IF(INDIRECT("'SpxSp (step-b)'!$B" &amp; BT$16)=$Z50,INDIRECT("'SpxSp (step-b)'!$" &amp; 'SpxSp (step-b)'!$BC$23 &amp; BT$16),"")</f>
        <v/>
      </c>
      <c r="BU50" s="1317" t="str">
        <f ca="1">IF(INDIRECT("'SpxSp (step-b)'!$B" &amp; BU$16)=$Z50,INDIRECT("'SpxSp (step-b)'!$" &amp; 'SpxSp (step-b)'!$BC$23 &amp; BU$16),"")</f>
        <v/>
      </c>
      <c r="BV50" s="1317" t="str">
        <f ca="1">IF(INDIRECT("'SpxSp (step-b)'!$B" &amp; BV$16)=$Z50,INDIRECT("'SpxSp (step-b)'!$" &amp; 'SpxSp (step-b)'!$BC$23 &amp; BV$16),"")</f>
        <v/>
      </c>
      <c r="BW50" s="1317" t="str">
        <f ca="1">IF(INDIRECT("'SpxSp (step-b)'!$B" &amp; BW$16)=$Z50,INDIRECT("'SpxSp (step-b)'!$" &amp; 'SpxSp (step-b)'!$BC$23 &amp; BW$16),"")</f>
        <v/>
      </c>
      <c r="BX50" s="1317" t="str">
        <f ca="1">IF(INDIRECT("'SpxSp (step-b)'!$B" &amp; BX$16)=$Z50,INDIRECT("'SpxSp (step-b)'!$" &amp; 'SpxSp (step-b)'!$BC$23 &amp; BX$16),"")</f>
        <v/>
      </c>
      <c r="BY50" s="1317" t="str">
        <f ca="1">IF(INDIRECT("'SpxSp (step-b)'!$B" &amp; BY$16)=$Z50,INDIRECT("'SpxSp (step-b)'!$" &amp; 'SpxSp (step-b)'!$BC$23 &amp; BY$16),"")</f>
        <v/>
      </c>
      <c r="BZ50" s="1317" t="str">
        <f ca="1">IF(INDIRECT("'SpxSp (step-b)'!$B" &amp; BZ$16)=$Z50,INDIRECT("'SpxSp (step-b)'!$" &amp; 'SpxSp (step-b)'!$BC$23 &amp; BZ$16),"")</f>
        <v/>
      </c>
      <c r="CA50" s="1317" t="str">
        <f ca="1">IF(INDIRECT("'SpxSp (step-b)'!$B" &amp; CA$16)=$Z50,INDIRECT("'SpxSp (step-b)'!$" &amp; 'SpxSp (step-b)'!$BC$23 &amp; CA$16),"")</f>
        <v/>
      </c>
      <c r="CB50" s="1317" t="str">
        <f ca="1">IF(INDIRECT("'SpxSp (step-b)'!$B" &amp; CB$16)=$Z50,INDIRECT("'SpxSp (step-b)'!$" &amp; 'SpxSp (step-b)'!$BC$23 &amp; CB$16),"")</f>
        <v/>
      </c>
      <c r="CC50" s="1317" t="str">
        <f ca="1">IF(INDIRECT("'SpxSp (step-b)'!$B" &amp; CC$16)=$Z50,INDIRECT("'SpxSp (step-b)'!$" &amp; 'SpxSp (step-b)'!$BC$23 &amp; CC$16),"")</f>
        <v/>
      </c>
      <c r="CD50" s="1317" t="str">
        <f ca="1">IF(INDIRECT("'SpxSp (step-b)'!$B" &amp; CD$16)=$Z50,INDIRECT("'SpxSp (step-b)'!$" &amp; 'SpxSp (step-b)'!$BC$23 &amp; CD$16),"")</f>
        <v/>
      </c>
      <c r="CE50" s="1317" t="str">
        <f ca="1">IF(INDIRECT("'SpxSp (step-b)'!$B" &amp; CE$16)=$Z50,INDIRECT("'SpxSp (step-b)'!$" &amp; 'SpxSp (step-b)'!$BC$23 &amp; CE$16),"")</f>
        <v/>
      </c>
      <c r="CF50" s="1317" t="str">
        <f ca="1">IF(INDIRECT("'SpxSp (step-b)'!$B" &amp; CF$16)=$Z50,INDIRECT("'SpxSp (step-b)'!$" &amp; 'SpxSp (step-b)'!$BC$23 &amp; CF$16),"")</f>
        <v/>
      </c>
      <c r="CG50" s="1317" t="str">
        <f ca="1">IF(INDIRECT("'SpxSp (step-b)'!$B" &amp; CG$16)=$Z50,INDIRECT("'SpxSp (step-b)'!$" &amp; 'SpxSp (step-b)'!$BC$23 &amp; CG$16),"")</f>
        <v/>
      </c>
      <c r="CH50" s="1317" t="str">
        <f ca="1">IF(INDIRECT("'SpxSp (step-b)'!$B" &amp; CH$16)=$Z50,INDIRECT("'SpxSp (step-b)'!$" &amp; 'SpxSp (step-b)'!$BC$23 &amp; CH$16),"")</f>
        <v/>
      </c>
      <c r="CI50" s="1317" t="str">
        <f ca="1">IF(INDIRECT("'SpxSp (step-b)'!$B" &amp; CI$16)=$Z50,INDIRECT("'SpxSp (step-b)'!$" &amp; 'SpxSp (step-b)'!$BC$23 &amp; CI$16),"")</f>
        <v/>
      </c>
      <c r="CJ50" s="1317" t="str">
        <f ca="1">IF(INDIRECT("'SpxSp (step-b)'!$B" &amp; CJ$16)=$Z50,INDIRECT("'SpxSp (step-b)'!$" &amp; 'SpxSp (step-b)'!$BC$23 &amp; CJ$16),"")</f>
        <v/>
      </c>
      <c r="CK50" s="1317" t="str">
        <f ca="1">IF(INDIRECT("'SpxSp (step-b)'!$B" &amp; CK$16)=$Z50,INDIRECT("'SpxSp (step-b)'!$" &amp; 'SpxSp (step-b)'!$BC$23 &amp; CK$16),"")</f>
        <v/>
      </c>
      <c r="CL50" s="1317" t="str">
        <f ca="1">IF(INDIRECT("'SpxSp (step-b)'!$B" &amp; CL$16)=$Z50,INDIRECT("'SpxSp (step-b)'!$" &amp; 'SpxSp (step-b)'!$BC$23 &amp; CL$16),"")</f>
        <v/>
      </c>
      <c r="CM50" s="1317" t="str">
        <f ca="1">IF(INDIRECT("'SpxSp (step-b)'!$B" &amp; CM$16)=$Z50,INDIRECT("'SpxSp (step-b)'!$" &amp; 'SpxSp (step-b)'!$BC$23 &amp; CM$16),"")</f>
        <v/>
      </c>
      <c r="CN50" s="1317" t="str">
        <f ca="1">IF(INDIRECT("'SpxSp (step-b)'!$B" &amp; CN$16)=$Z50,INDIRECT("'SpxSp (step-b)'!$" &amp; 'SpxSp (step-b)'!$BC$23 &amp; CN$16),"")</f>
        <v/>
      </c>
      <c r="CO50" s="1317" t="str">
        <f ca="1">IF(INDIRECT("'SpxSp (step-b)'!$B" &amp; CO$16)=$Z50,INDIRECT("'SpxSp (step-b)'!$" &amp; 'SpxSp (step-b)'!$BC$23 &amp; CO$16),"")</f>
        <v/>
      </c>
      <c r="CP50" s="1317" t="str">
        <f ca="1">IF(INDIRECT("'SpxSp (step-b)'!$B" &amp; CP$16)=$Z50,INDIRECT("'SpxSp (step-b)'!$" &amp; 'SpxSp (step-b)'!$BC$23 &amp; CP$16),"")</f>
        <v/>
      </c>
      <c r="CQ50" s="1317" t="str">
        <f ca="1">IF(INDIRECT("'SpxSp (step-b)'!$B" &amp; CQ$16)=$Z50,INDIRECT("'SpxSp (step-b)'!$" &amp; 'SpxSp (step-b)'!$BC$23 &amp; CQ$16),"")</f>
        <v/>
      </c>
      <c r="CR50" s="1317" t="str">
        <f ca="1">IF(INDIRECT("'SpxSp (step-b)'!$B" &amp; CR$16)=$Z50,INDIRECT("'SpxSp (step-b)'!$" &amp; 'SpxSp (step-b)'!$BC$23 &amp; CR$16),"")</f>
        <v/>
      </c>
      <c r="CS50" s="1317" t="str">
        <f ca="1">IF(INDIRECT("'SpxSp (step-b)'!$B" &amp; CS$16)=$Z50,INDIRECT("'SpxSp (step-b)'!$" &amp; 'SpxSp (step-b)'!$BC$23 &amp; CS$16),"")</f>
        <v/>
      </c>
      <c r="CT50" s="1317" t="str">
        <f ca="1">IF(INDIRECT("'SpxSp (step-b)'!$B" &amp; CT$16)=$Z50,INDIRECT("'SpxSp (step-b)'!$" &amp; 'SpxSp (step-b)'!$BC$23 &amp; CT$16),"")</f>
        <v/>
      </c>
      <c r="CU50" s="1317" t="str">
        <f ca="1">IF(INDIRECT("'SpxSp (step-b)'!$B" &amp; CU$16)=$Z50,INDIRECT("'SpxSp (step-b)'!$" &amp; 'SpxSp (step-b)'!$BC$23 &amp; CU$16),"")</f>
        <v/>
      </c>
      <c r="CV50" s="1317" t="str">
        <f ca="1">IF(INDIRECT("'SpxSp (step-b)'!$B" &amp; CV$16)=$Z50,INDIRECT("'SpxSp (step-b)'!$" &amp; 'SpxSp (step-b)'!$BC$23 &amp; CV$16),"")</f>
        <v/>
      </c>
      <c r="CW50" s="1317" t="str">
        <f ca="1">IF(INDIRECT("'SpxSp (step-b)'!$B" &amp; CW$16)=$Z50,INDIRECT("'SpxSp (step-b)'!$" &amp; 'SpxSp (step-b)'!$BC$23 &amp; CW$16),"")</f>
        <v/>
      </c>
      <c r="CX50" s="1317" t="str">
        <f ca="1">IF(INDIRECT("'SpxSp (step-b)'!$B" &amp; CX$16)=$Z50,INDIRECT("'SpxSp (step-b)'!$" &amp; 'SpxSp (step-b)'!$BC$23 &amp; CX$16),"")</f>
        <v/>
      </c>
      <c r="CY50" s="1317" t="str">
        <f ca="1">IF(INDIRECT("'SpxSp (step-b)'!$B" &amp; CY$16)=$Z50,INDIRECT("'SpxSp (step-b)'!$" &amp; 'SpxSp (step-b)'!$BC$23 &amp; CY$16),"")</f>
        <v/>
      </c>
      <c r="CZ50" s="1317" t="str">
        <f ca="1">IF(INDIRECT("'SpxSp (step-b)'!$B" &amp; CZ$16)=$Z50,INDIRECT("'SpxSp (step-b)'!$" &amp; 'SpxSp (step-b)'!$BC$23 &amp; CZ$16),"")</f>
        <v/>
      </c>
      <c r="DA50" s="1317" t="str">
        <f ca="1">IF(INDIRECT("'SpxSp (step-b)'!$B" &amp; DA$16)=$Z50,INDIRECT("'SpxSp (step-b)'!$" &amp; 'SpxSp (step-b)'!$BC$23 &amp; DA$16),"")</f>
        <v/>
      </c>
      <c r="DB50" s="1317" t="str">
        <f ca="1">IF(INDIRECT("'SpxSp (step-b)'!$B" &amp; DB$16)=$Z50,INDIRECT("'SpxSp (step-b)'!$" &amp; 'SpxSp (step-b)'!$BC$23 &amp; DB$16),"")</f>
        <v/>
      </c>
      <c r="DC50" s="1317" t="str">
        <f ca="1">IF(INDIRECT("'SpxSp (step-b)'!$B" &amp; DC$16)=$Z50,INDIRECT("'SpxSp (step-b)'!$" &amp; 'SpxSp (step-b)'!$BC$23 &amp; DC$16),"")</f>
        <v/>
      </c>
      <c r="DD50" s="1317" t="str">
        <f ca="1">IF(INDIRECT("'SpxSp (step-b)'!$B" &amp; DD$16)=$Z50,INDIRECT("'SpxSp (step-b)'!$" &amp; 'SpxSp (step-b)'!$BC$23 &amp; DD$16),"")</f>
        <v/>
      </c>
      <c r="DE50" s="1317" t="str">
        <f ca="1">IF(INDIRECT("'SpxSp (step-b)'!$B" &amp; DE$16)=$Z50,INDIRECT("'SpxSp (step-b)'!$" &amp; 'SpxSp (step-b)'!$BC$23 &amp; DE$16),"")</f>
        <v/>
      </c>
      <c r="DF50" s="1317" t="str">
        <f ca="1">IF(INDIRECT("'SpxSp (step-b)'!$B" &amp; DF$16)=$Z50,INDIRECT("'SpxSp (step-b)'!$" &amp; 'SpxSp (step-b)'!$BC$23 &amp; DF$16),"")</f>
        <v/>
      </c>
      <c r="DG50" s="1317" t="str">
        <f ca="1">IF(INDIRECT("'SpxSp (step-b)'!$B" &amp; DG$16)=$Z50,INDIRECT("'SpxSp (step-b)'!$" &amp; 'SpxSp (step-b)'!$BC$23 &amp; DG$16),"")</f>
        <v/>
      </c>
      <c r="DH50" s="1317" t="str">
        <f ca="1">IF(INDIRECT("'SpxSp (step-b)'!$B" &amp; DH$16)=$Z50,INDIRECT("'SpxSp (step-b)'!$" &amp; 'SpxSp (step-b)'!$BC$23 &amp; DH$16),"")</f>
        <v/>
      </c>
      <c r="DI50" s="1317" t="str">
        <f ca="1">IF(INDIRECT("'SpxSp (step-b)'!$B" &amp; DI$16)=$Z50,INDIRECT("'SpxSp (step-b)'!$" &amp; 'SpxSp (step-b)'!$BC$23 &amp; DI$16),"")</f>
        <v/>
      </c>
      <c r="DJ50" s="1317" t="str">
        <f ca="1">IF(INDIRECT("'SpxSp (step-b)'!$B" &amp; DJ$16)=$Z50,INDIRECT("'SpxSp (step-b)'!$" &amp; 'SpxSp (step-b)'!$BC$23 &amp; DJ$16),"")</f>
        <v/>
      </c>
      <c r="DK50" s="1317" t="str">
        <f ca="1">IF(INDIRECT("'SpxSp (step-b)'!$B" &amp; DK$16)=$Z50,INDIRECT("'SpxSp (step-b)'!$" &amp; 'SpxSp (step-b)'!$BC$23 &amp; DK$16),"")</f>
        <v/>
      </c>
      <c r="DL50" s="1317" t="str">
        <f ca="1">IF(INDIRECT("'SpxSp (step-b)'!$B" &amp; DL$16)=$Z50,INDIRECT("'SpxSp (step-b)'!$" &amp; 'SpxSp (step-b)'!$BC$23 &amp; DL$16),"")</f>
        <v/>
      </c>
      <c r="DM50" s="1317" t="str">
        <f ca="1">IF(INDIRECT("'SpxSp (step-b)'!$B" &amp; DM$16)=$Z50,INDIRECT("'SpxSp (step-b)'!$" &amp; 'SpxSp (step-b)'!$BC$23 &amp; DM$16),"")</f>
        <v/>
      </c>
      <c r="DN50" s="1318" t="str">
        <f t="shared" ca="1" si="32"/>
        <v/>
      </c>
      <c r="DO50" s="1246" t="s">
        <v>1201</v>
      </c>
    </row>
    <row r="51" spans="2:119" ht="40" x14ac:dyDescent="0.2">
      <c r="B51" s="1450" t="str">
        <f t="shared" si="13"/>
        <v/>
      </c>
      <c r="C51" s="1451"/>
      <c r="D51" s="1451"/>
      <c r="E51" s="1451"/>
      <c r="F51" s="1452"/>
      <c r="G51" s="1319" t="str">
        <f t="shared" si="31"/>
        <v/>
      </c>
      <c r="H51" s="1320" t="str">
        <f t="shared" si="14"/>
        <v/>
      </c>
      <c r="I51" s="1321" t="str">
        <f t="shared" si="33"/>
        <v/>
      </c>
      <c r="J51" s="1296"/>
      <c r="K51" s="1322" t="str">
        <f>IFERROR(IF(OR(B51="",H51=0),"",VLOOKUP(B51,'SpxSp (step-c)'!B$18:O$67,6,FALSE)),"")</f>
        <v/>
      </c>
      <c r="L51" s="1323" t="str">
        <f ca="1">IFERROR(F(OR(B51="",H51=0),"",VLOOKUP($B51,'SpxSp (step-c)'!$B$18:O$67,12,FALSE)),"")</f>
        <v/>
      </c>
      <c r="M51" s="1321" t="str">
        <f ca="1">IF(AND(B51&lt;&gt;"",L51=""),"NA",IFERROR(VLOOKUP($B51,'SpxSp (step-c)'!$B$18:P$67,13,FALSE),""))</f>
        <v/>
      </c>
      <c r="N51" s="1324"/>
      <c r="O51" s="1322" t="str">
        <f>IFERROR(IF(OR(B51="",H51=0),"",VLOOKUP($B51,'SpxSp (step-d)'!$B$18:$P$67,12,FALSE)),"")</f>
        <v/>
      </c>
      <c r="P51" s="1323" t="str">
        <f>IFERROR(IF(OR(B51="",H51=0),"",VLOOKUP($B51,'SpxSp (step-d)'!$B$18:$P$67,13,FALSE)),"")</f>
        <v/>
      </c>
      <c r="Q51" s="1323" t="str">
        <f>IFERROR(IF(OR(B51="",H51=0),"",VLOOKUP($B51,'SpxSp (step-d)'!$B$18:$P$67,14,FALSE)),"")</f>
        <v/>
      </c>
      <c r="R51" s="1321" t="str">
        <f>IF(AND(B51&lt;&gt;"",P51=""),"NA",IFERROR(VLOOKUP(B51,'SpxSp (step-d)'!$B$18:$V$67,15,FALSE),""))</f>
        <v/>
      </c>
      <c r="S51" s="1296"/>
      <c r="T51" s="1325" t="str">
        <f t="shared" si="34"/>
        <v/>
      </c>
      <c r="U51" s="1326" t="str">
        <f t="shared" si="17"/>
        <v/>
      </c>
      <c r="Y51" s="1302">
        <v>34</v>
      </c>
      <c r="Z51" s="1303" t="str">
        <f>'SpxSp (step-a)'!B55</f>
        <v/>
      </c>
      <c r="AA51" s="1303" t="str">
        <f>'SpxSp (step-a)'!H55</f>
        <v/>
      </c>
      <c r="AB51" s="1290" t="str">
        <f>VLOOKUP($Z51,'SpxSp (step-a)'!$B$22:$O$71,AB$14,FALSE)</f>
        <v/>
      </c>
      <c r="AD51" s="1290" t="str">
        <f>IF(Z51="","",IFERROR(VLOOKUP($Z51,'SpxSp (step-a)'!$B$22:$O$71,AD$14,FALSE),0))</f>
        <v/>
      </c>
      <c r="AE51" s="1290" t="str">
        <f>IF(Z51="","",IFERROR(VLOOKUP($Z51,'SpxSp (step-a)'!$B$22:$O$71,AE$14,FALSE),0))</f>
        <v/>
      </c>
      <c r="AG51" s="1290" t="str">
        <f t="shared" si="36"/>
        <v/>
      </c>
      <c r="AI51" s="1290" t="str">
        <f>IF($Z51="","",SUMIFS('SpxSp (step-b)'!L$26:L$75,'SpxSp (step-b)'!B$26:B$75,Z51,'SpxSp (step-b)'!N$26:N$75,"New"))</f>
        <v/>
      </c>
      <c r="AJ51" s="1290" t="str">
        <f>IF($Z51="","",SUMIFS('SpxSp (step-b)'!$L$26:$L$75,'SpxSp (step-b)'!$B$26:$B$75,$Z51,'SpxSp (step-b)'!N$26:N$75,""))</f>
        <v/>
      </c>
      <c r="AK51" s="1290" t="str">
        <f>IF($Z51="","",SUMIFS('SpxSp (step-b)'!$J$26:$J$75,'SpxSp (step-b)'!$B$26:$B$75,$Z51,'SpxSp (step-b)'!$N$26:$N$75,"New")+SUMIFS('SpxSp (step-b)'!$J$26:$J$75,'SpxSp (step-b)'!$B$26:$B$75,$Z51,'SpxSp (step-b)'!$N$26:$N$75,""))</f>
        <v/>
      </c>
      <c r="AL51" s="1290" t="str">
        <f>IF($Z51="","",SUMIFS('SpxSp (step-b)'!$L$26:$L$75,'SpxSp (step-b)'!$B$26:$B$75,$Z51,'SpxSp (step-b)'!$N$26:$N$75,"Existing Remains"))</f>
        <v/>
      </c>
      <c r="AM51" s="1290" t="str">
        <f>IF($Z51="","",SUMIFS('SpxSp (step-b)'!$L$26:$L$75,'SpxSp (step-b)'!$B$26:$B$75,$Z51,'SpxSp (step-b)'!$N$26:$N$75,"Existing Removed"))</f>
        <v/>
      </c>
      <c r="AN51" s="1290" t="str">
        <f>IF($Z51="","",SUMIFS('SpxSp (step-b)'!$J$26:$J$75,'SpxSp (step-b)'!$B$26:$B$75,$Z51,'SpxSp (step-b)'!$N$26:$N$75,"Existing Removed"))</f>
        <v/>
      </c>
      <c r="AO51" s="1290" t="str">
        <f t="shared" si="37"/>
        <v/>
      </c>
      <c r="AP51" s="1290" t="str">
        <f t="shared" si="18"/>
        <v/>
      </c>
      <c r="AQ51" s="1304"/>
      <c r="AR51" s="1305" t="str">
        <f t="shared" si="19"/>
        <v/>
      </c>
      <c r="AS51" s="1306" t="str">
        <f t="shared" si="20"/>
        <v/>
      </c>
      <c r="AT51" s="1307"/>
      <c r="AU51" s="1308" t="str">
        <f t="shared" si="21"/>
        <v/>
      </c>
      <c r="AV51" s="1309" t="str">
        <f t="shared" si="38"/>
        <v/>
      </c>
      <c r="AW51" s="1309" t="str">
        <f t="shared" si="22"/>
        <v/>
      </c>
      <c r="AX51" s="1310" t="str">
        <f t="shared" si="23"/>
        <v/>
      </c>
      <c r="AY51" s="1307"/>
      <c r="AZ51" s="1311" t="str">
        <f t="shared" si="24"/>
        <v/>
      </c>
      <c r="BA51" s="1309" t="str">
        <f t="shared" si="25"/>
        <v/>
      </c>
      <c r="BB51" s="1310" t="str">
        <f t="shared" si="26"/>
        <v/>
      </c>
      <c r="BC51" s="1312"/>
      <c r="BD51" s="1313" t="str">
        <f t="shared" si="35"/>
        <v/>
      </c>
      <c r="BE51" s="1290" t="str">
        <f t="shared" si="27"/>
        <v/>
      </c>
      <c r="BF51" s="1290" t="str">
        <f t="shared" si="28"/>
        <v/>
      </c>
      <c r="BH51" s="1315" t="str">
        <f t="shared" si="39"/>
        <v/>
      </c>
      <c r="BI51" s="1315"/>
      <c r="BJ51" s="1303" t="str">
        <f>IF(OR(BH51="Fail",BH51="Fail LPA",BH51=""),"",'SpxSp (step-a)'!CM55)</f>
        <v/>
      </c>
      <c r="BK51" s="1290">
        <f t="shared" si="30"/>
        <v>0</v>
      </c>
      <c r="BN51" s="178">
        <v>34</v>
      </c>
      <c r="BO51" s="1316" t="str">
        <f t="shared" ca="1" si="29"/>
        <v/>
      </c>
      <c r="BP51" s="1317" t="str">
        <f ca="1">IF(INDIRECT("'SpxSp (step-b)'!$B" &amp; BP$16)=$Z51,INDIRECT("'SpxSp (step-b)'!$" &amp; 'SpxSp (step-b)'!$BC$23 &amp; BP$16),"")</f>
        <v/>
      </c>
      <c r="BQ51" s="1317" t="str">
        <f ca="1">IF(INDIRECT("'SpxSp (step-b)'!$B" &amp; BQ$16)=$Z51,INDIRECT("'SpxSp (step-b)'!$" &amp; 'SpxSp (step-b)'!$BC$23 &amp; BQ$16),"")</f>
        <v/>
      </c>
      <c r="BR51" s="1317" t="str">
        <f ca="1">IF(INDIRECT("'SpxSp (step-b)'!$B" &amp; BR$16)=$Z51,INDIRECT("'SpxSp (step-b)'!$" &amp; 'SpxSp (step-b)'!$BC$23 &amp; BR$16),"")</f>
        <v/>
      </c>
      <c r="BS51" s="1317" t="str">
        <f ca="1">IF(INDIRECT("'SpxSp (step-b)'!$B" &amp; BS$16)=$Z51,INDIRECT("'SpxSp (step-b)'!$" &amp; 'SpxSp (step-b)'!$BC$23 &amp; BS$16),"")</f>
        <v/>
      </c>
      <c r="BT51" s="1317" t="str">
        <f ca="1">IF(INDIRECT("'SpxSp (step-b)'!$B" &amp; BT$16)=$Z51,INDIRECT("'SpxSp (step-b)'!$" &amp; 'SpxSp (step-b)'!$BC$23 &amp; BT$16),"")</f>
        <v/>
      </c>
      <c r="BU51" s="1317" t="str">
        <f ca="1">IF(INDIRECT("'SpxSp (step-b)'!$B" &amp; BU$16)=$Z51,INDIRECT("'SpxSp (step-b)'!$" &amp; 'SpxSp (step-b)'!$BC$23 &amp; BU$16),"")</f>
        <v/>
      </c>
      <c r="BV51" s="1317" t="str">
        <f ca="1">IF(INDIRECT("'SpxSp (step-b)'!$B" &amp; BV$16)=$Z51,INDIRECT("'SpxSp (step-b)'!$" &amp; 'SpxSp (step-b)'!$BC$23 &amp; BV$16),"")</f>
        <v/>
      </c>
      <c r="BW51" s="1317" t="str">
        <f ca="1">IF(INDIRECT("'SpxSp (step-b)'!$B" &amp; BW$16)=$Z51,INDIRECT("'SpxSp (step-b)'!$" &amp; 'SpxSp (step-b)'!$BC$23 &amp; BW$16),"")</f>
        <v/>
      </c>
      <c r="BX51" s="1317" t="str">
        <f ca="1">IF(INDIRECT("'SpxSp (step-b)'!$B" &amp; BX$16)=$Z51,INDIRECT("'SpxSp (step-b)'!$" &amp; 'SpxSp (step-b)'!$BC$23 &amp; BX$16),"")</f>
        <v/>
      </c>
      <c r="BY51" s="1317" t="str">
        <f ca="1">IF(INDIRECT("'SpxSp (step-b)'!$B" &amp; BY$16)=$Z51,INDIRECT("'SpxSp (step-b)'!$" &amp; 'SpxSp (step-b)'!$BC$23 &amp; BY$16),"")</f>
        <v/>
      </c>
      <c r="BZ51" s="1317" t="str">
        <f ca="1">IF(INDIRECT("'SpxSp (step-b)'!$B" &amp; BZ$16)=$Z51,INDIRECT("'SpxSp (step-b)'!$" &amp; 'SpxSp (step-b)'!$BC$23 &amp; BZ$16),"")</f>
        <v/>
      </c>
      <c r="CA51" s="1317" t="str">
        <f ca="1">IF(INDIRECT("'SpxSp (step-b)'!$B" &amp; CA$16)=$Z51,INDIRECT("'SpxSp (step-b)'!$" &amp; 'SpxSp (step-b)'!$BC$23 &amp; CA$16),"")</f>
        <v/>
      </c>
      <c r="CB51" s="1317" t="str">
        <f ca="1">IF(INDIRECT("'SpxSp (step-b)'!$B" &amp; CB$16)=$Z51,INDIRECT("'SpxSp (step-b)'!$" &amp; 'SpxSp (step-b)'!$BC$23 &amp; CB$16),"")</f>
        <v/>
      </c>
      <c r="CC51" s="1317" t="str">
        <f ca="1">IF(INDIRECT("'SpxSp (step-b)'!$B" &amp; CC$16)=$Z51,INDIRECT("'SpxSp (step-b)'!$" &amp; 'SpxSp (step-b)'!$BC$23 &amp; CC$16),"")</f>
        <v/>
      </c>
      <c r="CD51" s="1317" t="str">
        <f ca="1">IF(INDIRECT("'SpxSp (step-b)'!$B" &amp; CD$16)=$Z51,INDIRECT("'SpxSp (step-b)'!$" &amp; 'SpxSp (step-b)'!$BC$23 &amp; CD$16),"")</f>
        <v/>
      </c>
      <c r="CE51" s="1317" t="str">
        <f ca="1">IF(INDIRECT("'SpxSp (step-b)'!$B" &amp; CE$16)=$Z51,INDIRECT("'SpxSp (step-b)'!$" &amp; 'SpxSp (step-b)'!$BC$23 &amp; CE$16),"")</f>
        <v/>
      </c>
      <c r="CF51" s="1317" t="str">
        <f ca="1">IF(INDIRECT("'SpxSp (step-b)'!$B" &amp; CF$16)=$Z51,INDIRECT("'SpxSp (step-b)'!$" &amp; 'SpxSp (step-b)'!$BC$23 &amp; CF$16),"")</f>
        <v/>
      </c>
      <c r="CG51" s="1317" t="str">
        <f ca="1">IF(INDIRECT("'SpxSp (step-b)'!$B" &amp; CG$16)=$Z51,INDIRECT("'SpxSp (step-b)'!$" &amp; 'SpxSp (step-b)'!$BC$23 &amp; CG$16),"")</f>
        <v/>
      </c>
      <c r="CH51" s="1317" t="str">
        <f ca="1">IF(INDIRECT("'SpxSp (step-b)'!$B" &amp; CH$16)=$Z51,INDIRECT("'SpxSp (step-b)'!$" &amp; 'SpxSp (step-b)'!$BC$23 &amp; CH$16),"")</f>
        <v/>
      </c>
      <c r="CI51" s="1317" t="str">
        <f ca="1">IF(INDIRECT("'SpxSp (step-b)'!$B" &amp; CI$16)=$Z51,INDIRECT("'SpxSp (step-b)'!$" &amp; 'SpxSp (step-b)'!$BC$23 &amp; CI$16),"")</f>
        <v/>
      </c>
      <c r="CJ51" s="1317" t="str">
        <f ca="1">IF(INDIRECT("'SpxSp (step-b)'!$B" &amp; CJ$16)=$Z51,INDIRECT("'SpxSp (step-b)'!$" &amp; 'SpxSp (step-b)'!$BC$23 &amp; CJ$16),"")</f>
        <v/>
      </c>
      <c r="CK51" s="1317" t="str">
        <f ca="1">IF(INDIRECT("'SpxSp (step-b)'!$B" &amp; CK$16)=$Z51,INDIRECT("'SpxSp (step-b)'!$" &amp; 'SpxSp (step-b)'!$BC$23 &amp; CK$16),"")</f>
        <v/>
      </c>
      <c r="CL51" s="1317" t="str">
        <f ca="1">IF(INDIRECT("'SpxSp (step-b)'!$B" &amp; CL$16)=$Z51,INDIRECT("'SpxSp (step-b)'!$" &amp; 'SpxSp (step-b)'!$BC$23 &amp; CL$16),"")</f>
        <v/>
      </c>
      <c r="CM51" s="1317" t="str">
        <f ca="1">IF(INDIRECT("'SpxSp (step-b)'!$B" &amp; CM$16)=$Z51,INDIRECT("'SpxSp (step-b)'!$" &amp; 'SpxSp (step-b)'!$BC$23 &amp; CM$16),"")</f>
        <v/>
      </c>
      <c r="CN51" s="1317" t="str">
        <f ca="1">IF(INDIRECT("'SpxSp (step-b)'!$B" &amp; CN$16)=$Z51,INDIRECT("'SpxSp (step-b)'!$" &amp; 'SpxSp (step-b)'!$BC$23 &amp; CN$16),"")</f>
        <v/>
      </c>
      <c r="CO51" s="1317" t="str">
        <f ca="1">IF(INDIRECT("'SpxSp (step-b)'!$B" &amp; CO$16)=$Z51,INDIRECT("'SpxSp (step-b)'!$" &amp; 'SpxSp (step-b)'!$BC$23 &amp; CO$16),"")</f>
        <v/>
      </c>
      <c r="CP51" s="1317" t="str">
        <f ca="1">IF(INDIRECT("'SpxSp (step-b)'!$B" &amp; CP$16)=$Z51,INDIRECT("'SpxSp (step-b)'!$" &amp; 'SpxSp (step-b)'!$BC$23 &amp; CP$16),"")</f>
        <v/>
      </c>
      <c r="CQ51" s="1317" t="str">
        <f ca="1">IF(INDIRECT("'SpxSp (step-b)'!$B" &amp; CQ$16)=$Z51,INDIRECT("'SpxSp (step-b)'!$" &amp; 'SpxSp (step-b)'!$BC$23 &amp; CQ$16),"")</f>
        <v/>
      </c>
      <c r="CR51" s="1317" t="str">
        <f ca="1">IF(INDIRECT("'SpxSp (step-b)'!$B" &amp; CR$16)=$Z51,INDIRECT("'SpxSp (step-b)'!$" &amp; 'SpxSp (step-b)'!$BC$23 &amp; CR$16),"")</f>
        <v/>
      </c>
      <c r="CS51" s="1317" t="str">
        <f ca="1">IF(INDIRECT("'SpxSp (step-b)'!$B" &amp; CS$16)=$Z51,INDIRECT("'SpxSp (step-b)'!$" &amp; 'SpxSp (step-b)'!$BC$23 &amp; CS$16),"")</f>
        <v/>
      </c>
      <c r="CT51" s="1317" t="str">
        <f ca="1">IF(INDIRECT("'SpxSp (step-b)'!$B" &amp; CT$16)=$Z51,INDIRECT("'SpxSp (step-b)'!$" &amp; 'SpxSp (step-b)'!$BC$23 &amp; CT$16),"")</f>
        <v/>
      </c>
      <c r="CU51" s="1317" t="str">
        <f ca="1">IF(INDIRECT("'SpxSp (step-b)'!$B" &amp; CU$16)=$Z51,INDIRECT("'SpxSp (step-b)'!$" &amp; 'SpxSp (step-b)'!$BC$23 &amp; CU$16),"")</f>
        <v/>
      </c>
      <c r="CV51" s="1317" t="str">
        <f ca="1">IF(INDIRECT("'SpxSp (step-b)'!$B" &amp; CV$16)=$Z51,INDIRECT("'SpxSp (step-b)'!$" &amp; 'SpxSp (step-b)'!$BC$23 &amp; CV$16),"")</f>
        <v/>
      </c>
      <c r="CW51" s="1317" t="str">
        <f ca="1">IF(INDIRECT("'SpxSp (step-b)'!$B" &amp; CW$16)=$Z51,INDIRECT("'SpxSp (step-b)'!$" &amp; 'SpxSp (step-b)'!$BC$23 &amp; CW$16),"")</f>
        <v/>
      </c>
      <c r="CX51" s="1317" t="str">
        <f ca="1">IF(INDIRECT("'SpxSp (step-b)'!$B" &amp; CX$16)=$Z51,INDIRECT("'SpxSp (step-b)'!$" &amp; 'SpxSp (step-b)'!$BC$23 &amp; CX$16),"")</f>
        <v/>
      </c>
      <c r="CY51" s="1317" t="str">
        <f ca="1">IF(INDIRECT("'SpxSp (step-b)'!$B" &amp; CY$16)=$Z51,INDIRECT("'SpxSp (step-b)'!$" &amp; 'SpxSp (step-b)'!$BC$23 &amp; CY$16),"")</f>
        <v/>
      </c>
      <c r="CZ51" s="1317" t="str">
        <f ca="1">IF(INDIRECT("'SpxSp (step-b)'!$B" &amp; CZ$16)=$Z51,INDIRECT("'SpxSp (step-b)'!$" &amp; 'SpxSp (step-b)'!$BC$23 &amp; CZ$16),"")</f>
        <v/>
      </c>
      <c r="DA51" s="1317" t="str">
        <f ca="1">IF(INDIRECT("'SpxSp (step-b)'!$B" &amp; DA$16)=$Z51,INDIRECT("'SpxSp (step-b)'!$" &amp; 'SpxSp (step-b)'!$BC$23 &amp; DA$16),"")</f>
        <v/>
      </c>
      <c r="DB51" s="1317" t="str">
        <f ca="1">IF(INDIRECT("'SpxSp (step-b)'!$B" &amp; DB$16)=$Z51,INDIRECT("'SpxSp (step-b)'!$" &amp; 'SpxSp (step-b)'!$BC$23 &amp; DB$16),"")</f>
        <v/>
      </c>
      <c r="DC51" s="1317" t="str">
        <f ca="1">IF(INDIRECT("'SpxSp (step-b)'!$B" &amp; DC$16)=$Z51,INDIRECT("'SpxSp (step-b)'!$" &amp; 'SpxSp (step-b)'!$BC$23 &amp; DC$16),"")</f>
        <v/>
      </c>
      <c r="DD51" s="1317" t="str">
        <f ca="1">IF(INDIRECT("'SpxSp (step-b)'!$B" &amp; DD$16)=$Z51,INDIRECT("'SpxSp (step-b)'!$" &amp; 'SpxSp (step-b)'!$BC$23 &amp; DD$16),"")</f>
        <v/>
      </c>
      <c r="DE51" s="1317" t="str">
        <f ca="1">IF(INDIRECT("'SpxSp (step-b)'!$B" &amp; DE$16)=$Z51,INDIRECT("'SpxSp (step-b)'!$" &amp; 'SpxSp (step-b)'!$BC$23 &amp; DE$16),"")</f>
        <v/>
      </c>
      <c r="DF51" s="1317" t="str">
        <f ca="1">IF(INDIRECT("'SpxSp (step-b)'!$B" &amp; DF$16)=$Z51,INDIRECT("'SpxSp (step-b)'!$" &amp; 'SpxSp (step-b)'!$BC$23 &amp; DF$16),"")</f>
        <v/>
      </c>
      <c r="DG51" s="1317" t="str">
        <f ca="1">IF(INDIRECT("'SpxSp (step-b)'!$B" &amp; DG$16)=$Z51,INDIRECT("'SpxSp (step-b)'!$" &amp; 'SpxSp (step-b)'!$BC$23 &amp; DG$16),"")</f>
        <v/>
      </c>
      <c r="DH51" s="1317" t="str">
        <f ca="1">IF(INDIRECT("'SpxSp (step-b)'!$B" &amp; DH$16)=$Z51,INDIRECT("'SpxSp (step-b)'!$" &amp; 'SpxSp (step-b)'!$BC$23 &amp; DH$16),"")</f>
        <v/>
      </c>
      <c r="DI51" s="1317" t="str">
        <f ca="1">IF(INDIRECT("'SpxSp (step-b)'!$B" &amp; DI$16)=$Z51,INDIRECT("'SpxSp (step-b)'!$" &amp; 'SpxSp (step-b)'!$BC$23 &amp; DI$16),"")</f>
        <v/>
      </c>
      <c r="DJ51" s="1317" t="str">
        <f ca="1">IF(INDIRECT("'SpxSp (step-b)'!$B" &amp; DJ$16)=$Z51,INDIRECT("'SpxSp (step-b)'!$" &amp; 'SpxSp (step-b)'!$BC$23 &amp; DJ$16),"")</f>
        <v/>
      </c>
      <c r="DK51" s="1317" t="str">
        <f ca="1">IF(INDIRECT("'SpxSp (step-b)'!$B" &amp; DK$16)=$Z51,INDIRECT("'SpxSp (step-b)'!$" &amp; 'SpxSp (step-b)'!$BC$23 &amp; DK$16),"")</f>
        <v/>
      </c>
      <c r="DL51" s="1317" t="str">
        <f ca="1">IF(INDIRECT("'SpxSp (step-b)'!$B" &amp; DL$16)=$Z51,INDIRECT("'SpxSp (step-b)'!$" &amp; 'SpxSp (step-b)'!$BC$23 &amp; DL$16),"")</f>
        <v/>
      </c>
      <c r="DM51" s="1317" t="str">
        <f ca="1">IF(INDIRECT("'SpxSp (step-b)'!$B" &amp; DM$16)=$Z51,INDIRECT("'SpxSp (step-b)'!$" &amp; 'SpxSp (step-b)'!$BC$23 &amp; DM$16),"")</f>
        <v/>
      </c>
      <c r="DN51" s="1318" t="str">
        <f t="shared" ca="1" si="32"/>
        <v/>
      </c>
      <c r="DO51" s="1246" t="s">
        <v>1201</v>
      </c>
    </row>
    <row r="52" spans="2:119" ht="40" x14ac:dyDescent="0.2">
      <c r="B52" s="1450" t="str">
        <f t="shared" si="13"/>
        <v/>
      </c>
      <c r="C52" s="1451"/>
      <c r="D52" s="1451"/>
      <c r="E52" s="1451"/>
      <c r="F52" s="1452"/>
      <c r="G52" s="1319" t="str">
        <f t="shared" si="31"/>
        <v/>
      </c>
      <c r="H52" s="1320" t="str">
        <f t="shared" si="14"/>
        <v/>
      </c>
      <c r="I52" s="1321" t="str">
        <f t="shared" si="33"/>
        <v/>
      </c>
      <c r="J52" s="1296"/>
      <c r="K52" s="1322" t="str">
        <f>IFERROR(IF(OR(B52="",H52=0),"",VLOOKUP(B52,'SpxSp (step-c)'!B$18:O$67,6,FALSE)),"")</f>
        <v/>
      </c>
      <c r="L52" s="1323" t="str">
        <f ca="1">IFERROR(F(OR(B52="",H52=0),"",VLOOKUP($B52,'SpxSp (step-c)'!$B$18:O$67,12,FALSE)),"")</f>
        <v/>
      </c>
      <c r="M52" s="1321" t="str">
        <f ca="1">IF(AND(B52&lt;&gt;"",L52=""),"NA",IFERROR(VLOOKUP($B52,'SpxSp (step-c)'!$B$18:P$67,13,FALSE),""))</f>
        <v/>
      </c>
      <c r="N52" s="1324"/>
      <c r="O52" s="1322" t="str">
        <f>IFERROR(IF(OR(B52="",H52=0),"",VLOOKUP($B52,'SpxSp (step-d)'!$B$18:$P$67,12,FALSE)),"")</f>
        <v/>
      </c>
      <c r="P52" s="1323" t="str">
        <f>IFERROR(IF(OR(B52="",H52=0),"",VLOOKUP($B52,'SpxSp (step-d)'!$B$18:$P$67,13,FALSE)),"")</f>
        <v/>
      </c>
      <c r="Q52" s="1323" t="str">
        <f>IFERROR(IF(OR(B52="",H52=0),"",VLOOKUP($B52,'SpxSp (step-d)'!$B$18:$P$67,14,FALSE)),"")</f>
        <v/>
      </c>
      <c r="R52" s="1321" t="str">
        <f>IF(AND(B52&lt;&gt;"",P52=""),"NA",IFERROR(VLOOKUP(B52,'SpxSp (step-d)'!$B$18:$V$67,15,FALSE),""))</f>
        <v/>
      </c>
      <c r="S52" s="1296"/>
      <c r="T52" s="1325" t="str">
        <f t="shared" si="34"/>
        <v/>
      </c>
      <c r="U52" s="1326" t="str">
        <f t="shared" si="17"/>
        <v/>
      </c>
      <c r="Y52" s="1302">
        <v>35</v>
      </c>
      <c r="Z52" s="1303" t="str">
        <f>'SpxSp (step-a)'!B56</f>
        <v/>
      </c>
      <c r="AA52" s="1303" t="str">
        <f>'SpxSp (step-a)'!H56</f>
        <v/>
      </c>
      <c r="AB52" s="1290" t="str">
        <f>VLOOKUP($Z52,'SpxSp (step-a)'!$B$22:$O$71,AB$14,FALSE)</f>
        <v/>
      </c>
      <c r="AD52" s="1290" t="str">
        <f>IF(Z52="","",IFERROR(VLOOKUP($Z52,'SpxSp (step-a)'!$B$22:$O$71,AD$14,FALSE),0))</f>
        <v/>
      </c>
      <c r="AE52" s="1290" t="str">
        <f>IF(Z52="","",IFERROR(VLOOKUP($Z52,'SpxSp (step-a)'!$B$22:$O$71,AE$14,FALSE),0))</f>
        <v/>
      </c>
      <c r="AG52" s="1290" t="str">
        <f t="shared" si="36"/>
        <v/>
      </c>
      <c r="AI52" s="1290" t="str">
        <f>IF($Z52="","",SUMIFS('SpxSp (step-b)'!L$26:L$75,'SpxSp (step-b)'!B$26:B$75,Z52,'SpxSp (step-b)'!N$26:N$75,"New"))</f>
        <v/>
      </c>
      <c r="AJ52" s="1290" t="str">
        <f>IF($Z52="","",SUMIFS('SpxSp (step-b)'!$L$26:$L$75,'SpxSp (step-b)'!$B$26:$B$75,$Z52,'SpxSp (step-b)'!N$26:N$75,""))</f>
        <v/>
      </c>
      <c r="AK52" s="1290" t="str">
        <f>IF($Z52="","",SUMIFS('SpxSp (step-b)'!$J$26:$J$75,'SpxSp (step-b)'!$B$26:$B$75,$Z52,'SpxSp (step-b)'!$N$26:$N$75,"New")+SUMIFS('SpxSp (step-b)'!$J$26:$J$75,'SpxSp (step-b)'!$B$26:$B$75,$Z52,'SpxSp (step-b)'!$N$26:$N$75,""))</f>
        <v/>
      </c>
      <c r="AL52" s="1290" t="str">
        <f>IF($Z52="","",SUMIFS('SpxSp (step-b)'!$L$26:$L$75,'SpxSp (step-b)'!$B$26:$B$75,$Z52,'SpxSp (step-b)'!$N$26:$N$75,"Existing Remains"))</f>
        <v/>
      </c>
      <c r="AM52" s="1290" t="str">
        <f>IF($Z52="","",SUMIFS('SpxSp (step-b)'!$L$26:$L$75,'SpxSp (step-b)'!$B$26:$B$75,$Z52,'SpxSp (step-b)'!$N$26:$N$75,"Existing Removed"))</f>
        <v/>
      </c>
      <c r="AN52" s="1290" t="str">
        <f>IF($Z52="","",SUMIFS('SpxSp (step-b)'!$J$26:$J$75,'SpxSp (step-b)'!$B$26:$B$75,$Z52,'SpxSp (step-b)'!$N$26:$N$75,"Existing Removed"))</f>
        <v/>
      </c>
      <c r="AO52" s="1290" t="str">
        <f t="shared" si="37"/>
        <v/>
      </c>
      <c r="AP52" s="1290" t="str">
        <f t="shared" si="18"/>
        <v/>
      </c>
      <c r="AQ52" s="1304"/>
      <c r="AR52" s="1305" t="str">
        <f t="shared" si="19"/>
        <v/>
      </c>
      <c r="AS52" s="1306" t="str">
        <f t="shared" si="20"/>
        <v/>
      </c>
      <c r="AT52" s="1307"/>
      <c r="AU52" s="1308" t="str">
        <f t="shared" si="21"/>
        <v/>
      </c>
      <c r="AV52" s="1309" t="str">
        <f t="shared" si="38"/>
        <v/>
      </c>
      <c r="AW52" s="1309" t="str">
        <f t="shared" si="22"/>
        <v/>
      </c>
      <c r="AX52" s="1310" t="str">
        <f t="shared" si="23"/>
        <v/>
      </c>
      <c r="AY52" s="1307"/>
      <c r="AZ52" s="1311" t="str">
        <f t="shared" si="24"/>
        <v/>
      </c>
      <c r="BA52" s="1309" t="str">
        <f t="shared" si="25"/>
        <v/>
      </c>
      <c r="BB52" s="1310" t="str">
        <f t="shared" si="26"/>
        <v/>
      </c>
      <c r="BC52" s="1312"/>
      <c r="BD52" s="1313" t="str">
        <f t="shared" si="35"/>
        <v/>
      </c>
      <c r="BE52" s="1290" t="str">
        <f t="shared" si="27"/>
        <v/>
      </c>
      <c r="BF52" s="1290" t="str">
        <f t="shared" si="28"/>
        <v/>
      </c>
      <c r="BH52" s="1315" t="str">
        <f t="shared" si="39"/>
        <v/>
      </c>
      <c r="BI52" s="1315"/>
      <c r="BJ52" s="1303" t="str">
        <f>IF(OR(BH52="Fail",BH52="Fail LPA",BH52=""),"",'SpxSp (step-a)'!CM56)</f>
        <v/>
      </c>
      <c r="BK52" s="1290">
        <f t="shared" si="30"/>
        <v>0</v>
      </c>
      <c r="BN52" s="178">
        <v>35</v>
      </c>
      <c r="BO52" s="1316" t="str">
        <f t="shared" ca="1" si="29"/>
        <v/>
      </c>
      <c r="BP52" s="1317" t="str">
        <f ca="1">IF(INDIRECT("'SpxSp (step-b)'!$B" &amp; BP$16)=$Z52,INDIRECT("'SpxSp (step-b)'!$" &amp; 'SpxSp (step-b)'!$BC$23 &amp; BP$16),"")</f>
        <v/>
      </c>
      <c r="BQ52" s="1317" t="str">
        <f ca="1">IF(INDIRECT("'SpxSp (step-b)'!$B" &amp; BQ$16)=$Z52,INDIRECT("'SpxSp (step-b)'!$" &amp; 'SpxSp (step-b)'!$BC$23 &amp; BQ$16),"")</f>
        <v/>
      </c>
      <c r="BR52" s="1317" t="str">
        <f ca="1">IF(INDIRECT("'SpxSp (step-b)'!$B" &amp; BR$16)=$Z52,INDIRECT("'SpxSp (step-b)'!$" &amp; 'SpxSp (step-b)'!$BC$23 &amp; BR$16),"")</f>
        <v/>
      </c>
      <c r="BS52" s="1317" t="str">
        <f ca="1">IF(INDIRECT("'SpxSp (step-b)'!$B" &amp; BS$16)=$Z52,INDIRECT("'SpxSp (step-b)'!$" &amp; 'SpxSp (step-b)'!$BC$23 &amp; BS$16),"")</f>
        <v/>
      </c>
      <c r="BT52" s="1317" t="str">
        <f ca="1">IF(INDIRECT("'SpxSp (step-b)'!$B" &amp; BT$16)=$Z52,INDIRECT("'SpxSp (step-b)'!$" &amp; 'SpxSp (step-b)'!$BC$23 &amp; BT$16),"")</f>
        <v/>
      </c>
      <c r="BU52" s="1317" t="str">
        <f ca="1">IF(INDIRECT("'SpxSp (step-b)'!$B" &amp; BU$16)=$Z52,INDIRECT("'SpxSp (step-b)'!$" &amp; 'SpxSp (step-b)'!$BC$23 &amp; BU$16),"")</f>
        <v/>
      </c>
      <c r="BV52" s="1317" t="str">
        <f ca="1">IF(INDIRECT("'SpxSp (step-b)'!$B" &amp; BV$16)=$Z52,INDIRECT("'SpxSp (step-b)'!$" &amp; 'SpxSp (step-b)'!$BC$23 &amp; BV$16),"")</f>
        <v/>
      </c>
      <c r="BW52" s="1317" t="str">
        <f ca="1">IF(INDIRECT("'SpxSp (step-b)'!$B" &amp; BW$16)=$Z52,INDIRECT("'SpxSp (step-b)'!$" &amp; 'SpxSp (step-b)'!$BC$23 &amp; BW$16),"")</f>
        <v/>
      </c>
      <c r="BX52" s="1317" t="str">
        <f ca="1">IF(INDIRECT("'SpxSp (step-b)'!$B" &amp; BX$16)=$Z52,INDIRECT("'SpxSp (step-b)'!$" &amp; 'SpxSp (step-b)'!$BC$23 &amp; BX$16),"")</f>
        <v/>
      </c>
      <c r="BY52" s="1317" t="str">
        <f ca="1">IF(INDIRECT("'SpxSp (step-b)'!$B" &amp; BY$16)=$Z52,INDIRECT("'SpxSp (step-b)'!$" &amp; 'SpxSp (step-b)'!$BC$23 &amp; BY$16),"")</f>
        <v/>
      </c>
      <c r="BZ52" s="1317" t="str">
        <f ca="1">IF(INDIRECT("'SpxSp (step-b)'!$B" &amp; BZ$16)=$Z52,INDIRECT("'SpxSp (step-b)'!$" &amp; 'SpxSp (step-b)'!$BC$23 &amp; BZ$16),"")</f>
        <v/>
      </c>
      <c r="CA52" s="1317" t="str">
        <f ca="1">IF(INDIRECT("'SpxSp (step-b)'!$B" &amp; CA$16)=$Z52,INDIRECT("'SpxSp (step-b)'!$" &amp; 'SpxSp (step-b)'!$BC$23 &amp; CA$16),"")</f>
        <v/>
      </c>
      <c r="CB52" s="1317" t="str">
        <f ca="1">IF(INDIRECT("'SpxSp (step-b)'!$B" &amp; CB$16)=$Z52,INDIRECT("'SpxSp (step-b)'!$" &amp; 'SpxSp (step-b)'!$BC$23 &amp; CB$16),"")</f>
        <v/>
      </c>
      <c r="CC52" s="1317" t="str">
        <f ca="1">IF(INDIRECT("'SpxSp (step-b)'!$B" &amp; CC$16)=$Z52,INDIRECT("'SpxSp (step-b)'!$" &amp; 'SpxSp (step-b)'!$BC$23 &amp; CC$16),"")</f>
        <v/>
      </c>
      <c r="CD52" s="1317" t="str">
        <f ca="1">IF(INDIRECT("'SpxSp (step-b)'!$B" &amp; CD$16)=$Z52,INDIRECT("'SpxSp (step-b)'!$" &amp; 'SpxSp (step-b)'!$BC$23 &amp; CD$16),"")</f>
        <v/>
      </c>
      <c r="CE52" s="1317" t="str">
        <f ca="1">IF(INDIRECT("'SpxSp (step-b)'!$B" &amp; CE$16)=$Z52,INDIRECT("'SpxSp (step-b)'!$" &amp; 'SpxSp (step-b)'!$BC$23 &amp; CE$16),"")</f>
        <v/>
      </c>
      <c r="CF52" s="1317" t="str">
        <f ca="1">IF(INDIRECT("'SpxSp (step-b)'!$B" &amp; CF$16)=$Z52,INDIRECT("'SpxSp (step-b)'!$" &amp; 'SpxSp (step-b)'!$BC$23 &amp; CF$16),"")</f>
        <v/>
      </c>
      <c r="CG52" s="1317" t="str">
        <f ca="1">IF(INDIRECT("'SpxSp (step-b)'!$B" &amp; CG$16)=$Z52,INDIRECT("'SpxSp (step-b)'!$" &amp; 'SpxSp (step-b)'!$BC$23 &amp; CG$16),"")</f>
        <v/>
      </c>
      <c r="CH52" s="1317" t="str">
        <f ca="1">IF(INDIRECT("'SpxSp (step-b)'!$B" &amp; CH$16)=$Z52,INDIRECT("'SpxSp (step-b)'!$" &amp; 'SpxSp (step-b)'!$BC$23 &amp; CH$16),"")</f>
        <v/>
      </c>
      <c r="CI52" s="1317" t="str">
        <f ca="1">IF(INDIRECT("'SpxSp (step-b)'!$B" &amp; CI$16)=$Z52,INDIRECT("'SpxSp (step-b)'!$" &amp; 'SpxSp (step-b)'!$BC$23 &amp; CI$16),"")</f>
        <v/>
      </c>
      <c r="CJ52" s="1317" t="str">
        <f ca="1">IF(INDIRECT("'SpxSp (step-b)'!$B" &amp; CJ$16)=$Z52,INDIRECT("'SpxSp (step-b)'!$" &amp; 'SpxSp (step-b)'!$BC$23 &amp; CJ$16),"")</f>
        <v/>
      </c>
      <c r="CK52" s="1317" t="str">
        <f ca="1">IF(INDIRECT("'SpxSp (step-b)'!$B" &amp; CK$16)=$Z52,INDIRECT("'SpxSp (step-b)'!$" &amp; 'SpxSp (step-b)'!$BC$23 &amp; CK$16),"")</f>
        <v/>
      </c>
      <c r="CL52" s="1317" t="str">
        <f ca="1">IF(INDIRECT("'SpxSp (step-b)'!$B" &amp; CL$16)=$Z52,INDIRECT("'SpxSp (step-b)'!$" &amp; 'SpxSp (step-b)'!$BC$23 &amp; CL$16),"")</f>
        <v/>
      </c>
      <c r="CM52" s="1317" t="str">
        <f ca="1">IF(INDIRECT("'SpxSp (step-b)'!$B" &amp; CM$16)=$Z52,INDIRECT("'SpxSp (step-b)'!$" &amp; 'SpxSp (step-b)'!$BC$23 &amp; CM$16),"")</f>
        <v/>
      </c>
      <c r="CN52" s="1317" t="str">
        <f ca="1">IF(INDIRECT("'SpxSp (step-b)'!$B" &amp; CN$16)=$Z52,INDIRECT("'SpxSp (step-b)'!$" &amp; 'SpxSp (step-b)'!$BC$23 &amp; CN$16),"")</f>
        <v/>
      </c>
      <c r="CO52" s="1317" t="str">
        <f ca="1">IF(INDIRECT("'SpxSp (step-b)'!$B" &amp; CO$16)=$Z52,INDIRECT("'SpxSp (step-b)'!$" &amp; 'SpxSp (step-b)'!$BC$23 &amp; CO$16),"")</f>
        <v/>
      </c>
      <c r="CP52" s="1317" t="str">
        <f ca="1">IF(INDIRECT("'SpxSp (step-b)'!$B" &amp; CP$16)=$Z52,INDIRECT("'SpxSp (step-b)'!$" &amp; 'SpxSp (step-b)'!$BC$23 &amp; CP$16),"")</f>
        <v/>
      </c>
      <c r="CQ52" s="1317" t="str">
        <f ca="1">IF(INDIRECT("'SpxSp (step-b)'!$B" &amp; CQ$16)=$Z52,INDIRECT("'SpxSp (step-b)'!$" &amp; 'SpxSp (step-b)'!$BC$23 &amp; CQ$16),"")</f>
        <v/>
      </c>
      <c r="CR52" s="1317" t="str">
        <f ca="1">IF(INDIRECT("'SpxSp (step-b)'!$B" &amp; CR$16)=$Z52,INDIRECT("'SpxSp (step-b)'!$" &amp; 'SpxSp (step-b)'!$BC$23 &amp; CR$16),"")</f>
        <v/>
      </c>
      <c r="CS52" s="1317" t="str">
        <f ca="1">IF(INDIRECT("'SpxSp (step-b)'!$B" &amp; CS$16)=$Z52,INDIRECT("'SpxSp (step-b)'!$" &amp; 'SpxSp (step-b)'!$BC$23 &amp; CS$16),"")</f>
        <v/>
      </c>
      <c r="CT52" s="1317" t="str">
        <f ca="1">IF(INDIRECT("'SpxSp (step-b)'!$B" &amp; CT$16)=$Z52,INDIRECT("'SpxSp (step-b)'!$" &amp; 'SpxSp (step-b)'!$BC$23 &amp; CT$16),"")</f>
        <v/>
      </c>
      <c r="CU52" s="1317" t="str">
        <f ca="1">IF(INDIRECT("'SpxSp (step-b)'!$B" &amp; CU$16)=$Z52,INDIRECT("'SpxSp (step-b)'!$" &amp; 'SpxSp (step-b)'!$BC$23 &amp; CU$16),"")</f>
        <v/>
      </c>
      <c r="CV52" s="1317" t="str">
        <f ca="1">IF(INDIRECT("'SpxSp (step-b)'!$B" &amp; CV$16)=$Z52,INDIRECT("'SpxSp (step-b)'!$" &amp; 'SpxSp (step-b)'!$BC$23 &amp; CV$16),"")</f>
        <v/>
      </c>
      <c r="CW52" s="1317" t="str">
        <f ca="1">IF(INDIRECT("'SpxSp (step-b)'!$B" &amp; CW$16)=$Z52,INDIRECT("'SpxSp (step-b)'!$" &amp; 'SpxSp (step-b)'!$BC$23 &amp; CW$16),"")</f>
        <v/>
      </c>
      <c r="CX52" s="1317" t="str">
        <f ca="1">IF(INDIRECT("'SpxSp (step-b)'!$B" &amp; CX$16)=$Z52,INDIRECT("'SpxSp (step-b)'!$" &amp; 'SpxSp (step-b)'!$BC$23 &amp; CX$16),"")</f>
        <v/>
      </c>
      <c r="CY52" s="1317" t="str">
        <f ca="1">IF(INDIRECT("'SpxSp (step-b)'!$B" &amp; CY$16)=$Z52,INDIRECT("'SpxSp (step-b)'!$" &amp; 'SpxSp (step-b)'!$BC$23 &amp; CY$16),"")</f>
        <v/>
      </c>
      <c r="CZ52" s="1317" t="str">
        <f ca="1">IF(INDIRECT("'SpxSp (step-b)'!$B" &amp; CZ$16)=$Z52,INDIRECT("'SpxSp (step-b)'!$" &amp; 'SpxSp (step-b)'!$BC$23 &amp; CZ$16),"")</f>
        <v/>
      </c>
      <c r="DA52" s="1317" t="str">
        <f ca="1">IF(INDIRECT("'SpxSp (step-b)'!$B" &amp; DA$16)=$Z52,INDIRECT("'SpxSp (step-b)'!$" &amp; 'SpxSp (step-b)'!$BC$23 &amp; DA$16),"")</f>
        <v/>
      </c>
      <c r="DB52" s="1317" t="str">
        <f ca="1">IF(INDIRECT("'SpxSp (step-b)'!$B" &amp; DB$16)=$Z52,INDIRECT("'SpxSp (step-b)'!$" &amp; 'SpxSp (step-b)'!$BC$23 &amp; DB$16),"")</f>
        <v/>
      </c>
      <c r="DC52" s="1317" t="str">
        <f ca="1">IF(INDIRECT("'SpxSp (step-b)'!$B" &amp; DC$16)=$Z52,INDIRECT("'SpxSp (step-b)'!$" &amp; 'SpxSp (step-b)'!$BC$23 &amp; DC$16),"")</f>
        <v/>
      </c>
      <c r="DD52" s="1317" t="str">
        <f ca="1">IF(INDIRECT("'SpxSp (step-b)'!$B" &amp; DD$16)=$Z52,INDIRECT("'SpxSp (step-b)'!$" &amp; 'SpxSp (step-b)'!$BC$23 &amp; DD$16),"")</f>
        <v/>
      </c>
      <c r="DE52" s="1317" t="str">
        <f ca="1">IF(INDIRECT("'SpxSp (step-b)'!$B" &amp; DE$16)=$Z52,INDIRECT("'SpxSp (step-b)'!$" &amp; 'SpxSp (step-b)'!$BC$23 &amp; DE$16),"")</f>
        <v/>
      </c>
      <c r="DF52" s="1317" t="str">
        <f ca="1">IF(INDIRECT("'SpxSp (step-b)'!$B" &amp; DF$16)=$Z52,INDIRECT("'SpxSp (step-b)'!$" &amp; 'SpxSp (step-b)'!$BC$23 &amp; DF$16),"")</f>
        <v/>
      </c>
      <c r="DG52" s="1317" t="str">
        <f ca="1">IF(INDIRECT("'SpxSp (step-b)'!$B" &amp; DG$16)=$Z52,INDIRECT("'SpxSp (step-b)'!$" &amp; 'SpxSp (step-b)'!$BC$23 &amp; DG$16),"")</f>
        <v/>
      </c>
      <c r="DH52" s="1317" t="str">
        <f ca="1">IF(INDIRECT("'SpxSp (step-b)'!$B" &amp; DH$16)=$Z52,INDIRECT("'SpxSp (step-b)'!$" &amp; 'SpxSp (step-b)'!$BC$23 &amp; DH$16),"")</f>
        <v/>
      </c>
      <c r="DI52" s="1317" t="str">
        <f ca="1">IF(INDIRECT("'SpxSp (step-b)'!$B" &amp; DI$16)=$Z52,INDIRECT("'SpxSp (step-b)'!$" &amp; 'SpxSp (step-b)'!$BC$23 &amp; DI$16),"")</f>
        <v/>
      </c>
      <c r="DJ52" s="1317" t="str">
        <f ca="1">IF(INDIRECT("'SpxSp (step-b)'!$B" &amp; DJ$16)=$Z52,INDIRECT("'SpxSp (step-b)'!$" &amp; 'SpxSp (step-b)'!$BC$23 &amp; DJ$16),"")</f>
        <v/>
      </c>
      <c r="DK52" s="1317" t="str">
        <f ca="1">IF(INDIRECT("'SpxSp (step-b)'!$B" &amp; DK$16)=$Z52,INDIRECT("'SpxSp (step-b)'!$" &amp; 'SpxSp (step-b)'!$BC$23 &amp; DK$16),"")</f>
        <v/>
      </c>
      <c r="DL52" s="1317" t="str">
        <f ca="1">IF(INDIRECT("'SpxSp (step-b)'!$B" &amp; DL$16)=$Z52,INDIRECT("'SpxSp (step-b)'!$" &amp; 'SpxSp (step-b)'!$BC$23 &amp; DL$16),"")</f>
        <v/>
      </c>
      <c r="DM52" s="1317" t="str">
        <f ca="1">IF(INDIRECT("'SpxSp (step-b)'!$B" &amp; DM$16)=$Z52,INDIRECT("'SpxSp (step-b)'!$" &amp; 'SpxSp (step-b)'!$BC$23 &amp; DM$16),"")</f>
        <v/>
      </c>
      <c r="DN52" s="1318" t="str">
        <f t="shared" ca="1" si="32"/>
        <v/>
      </c>
      <c r="DO52" s="1246" t="s">
        <v>1201</v>
      </c>
    </row>
    <row r="53" spans="2:119" ht="40" x14ac:dyDescent="0.2">
      <c r="B53" s="1450" t="str">
        <f t="shared" si="13"/>
        <v/>
      </c>
      <c r="C53" s="1451"/>
      <c r="D53" s="1451"/>
      <c r="E53" s="1451"/>
      <c r="F53" s="1452"/>
      <c r="G53" s="1319" t="str">
        <f t="shared" si="31"/>
        <v/>
      </c>
      <c r="H53" s="1320" t="str">
        <f t="shared" si="14"/>
        <v/>
      </c>
      <c r="I53" s="1321" t="str">
        <f t="shared" si="33"/>
        <v/>
      </c>
      <c r="J53" s="1296"/>
      <c r="K53" s="1322" t="str">
        <f>IFERROR(IF(OR(B53="",H53=0),"",VLOOKUP(B53,'SpxSp (step-c)'!B$18:O$67,6,FALSE)),"")</f>
        <v/>
      </c>
      <c r="L53" s="1323" t="str">
        <f ca="1">IFERROR(F(OR(B53="",H53=0),"",VLOOKUP($B53,'SpxSp (step-c)'!$B$18:O$67,12,FALSE)),"")</f>
        <v/>
      </c>
      <c r="M53" s="1321" t="str">
        <f ca="1">IF(AND(B53&lt;&gt;"",L53=""),"NA",IFERROR(VLOOKUP($B53,'SpxSp (step-c)'!$B$18:P$67,13,FALSE),""))</f>
        <v/>
      </c>
      <c r="N53" s="1324"/>
      <c r="O53" s="1322" t="str">
        <f>IFERROR(IF(OR(B53="",H53=0),"",VLOOKUP($B53,'SpxSp (step-d)'!$B$18:$P$67,12,FALSE)),"")</f>
        <v/>
      </c>
      <c r="P53" s="1323" t="str">
        <f>IFERROR(IF(OR(B53="",H53=0),"",VLOOKUP($B53,'SpxSp (step-d)'!$B$18:$P$67,13,FALSE)),"")</f>
        <v/>
      </c>
      <c r="Q53" s="1323" t="str">
        <f>IFERROR(IF(OR(B53="",H53=0),"",VLOOKUP($B53,'SpxSp (step-d)'!$B$18:$P$67,14,FALSE)),"")</f>
        <v/>
      </c>
      <c r="R53" s="1321" t="str">
        <f>IF(AND(B53&lt;&gt;"",P53=""),"NA",IFERROR(VLOOKUP(B53,'SpxSp (step-d)'!$B$18:$V$67,15,FALSE),""))</f>
        <v/>
      </c>
      <c r="S53" s="1296"/>
      <c r="T53" s="1325" t="str">
        <f t="shared" si="34"/>
        <v/>
      </c>
      <c r="U53" s="1326" t="str">
        <f t="shared" si="17"/>
        <v/>
      </c>
      <c r="Y53" s="1302">
        <v>36</v>
      </c>
      <c r="Z53" s="1303" t="str">
        <f>'SpxSp (step-a)'!B57</f>
        <v/>
      </c>
      <c r="AA53" s="1303" t="str">
        <f>'SpxSp (step-a)'!H57</f>
        <v/>
      </c>
      <c r="AB53" s="1290" t="str">
        <f>VLOOKUP($Z53,'SpxSp (step-a)'!$B$22:$O$71,AB$14,FALSE)</f>
        <v/>
      </c>
      <c r="AD53" s="1290" t="str">
        <f>IF(Z53="","",IFERROR(VLOOKUP($Z53,'SpxSp (step-a)'!$B$22:$O$71,AD$14,FALSE),0))</f>
        <v/>
      </c>
      <c r="AE53" s="1290" t="str">
        <f>IF(Z53="","",IFERROR(VLOOKUP($Z53,'SpxSp (step-a)'!$B$22:$O$71,AE$14,FALSE),0))</f>
        <v/>
      </c>
      <c r="AG53" s="1290" t="str">
        <f t="shared" si="36"/>
        <v/>
      </c>
      <c r="AI53" s="1290" t="str">
        <f>IF($Z53="","",SUMIFS('SpxSp (step-b)'!L$26:L$75,'SpxSp (step-b)'!B$26:B$75,Z53,'SpxSp (step-b)'!N$26:N$75,"New"))</f>
        <v/>
      </c>
      <c r="AJ53" s="1290" t="str">
        <f>IF($Z53="","",SUMIFS('SpxSp (step-b)'!$L$26:$L$75,'SpxSp (step-b)'!$B$26:$B$75,$Z53,'SpxSp (step-b)'!N$26:N$75,""))</f>
        <v/>
      </c>
      <c r="AK53" s="1290" t="str">
        <f>IF($Z53="","",SUMIFS('SpxSp (step-b)'!$J$26:$J$75,'SpxSp (step-b)'!$B$26:$B$75,$Z53,'SpxSp (step-b)'!$N$26:$N$75,"New")+SUMIFS('SpxSp (step-b)'!$J$26:$J$75,'SpxSp (step-b)'!$B$26:$B$75,$Z53,'SpxSp (step-b)'!$N$26:$N$75,""))</f>
        <v/>
      </c>
      <c r="AL53" s="1290" t="str">
        <f>IF($Z53="","",SUMIFS('SpxSp (step-b)'!$L$26:$L$75,'SpxSp (step-b)'!$B$26:$B$75,$Z53,'SpxSp (step-b)'!$N$26:$N$75,"Existing Remains"))</f>
        <v/>
      </c>
      <c r="AM53" s="1290" t="str">
        <f>IF($Z53="","",SUMIFS('SpxSp (step-b)'!$L$26:$L$75,'SpxSp (step-b)'!$B$26:$B$75,$Z53,'SpxSp (step-b)'!$N$26:$N$75,"Existing Removed"))</f>
        <v/>
      </c>
      <c r="AN53" s="1290" t="str">
        <f>IF($Z53="","",SUMIFS('SpxSp (step-b)'!$J$26:$J$75,'SpxSp (step-b)'!$B$26:$B$75,$Z53,'SpxSp (step-b)'!$N$26:$N$75,"Existing Removed"))</f>
        <v/>
      </c>
      <c r="AO53" s="1290" t="str">
        <f t="shared" si="37"/>
        <v/>
      </c>
      <c r="AP53" s="1290" t="str">
        <f t="shared" si="18"/>
        <v/>
      </c>
      <c r="AQ53" s="1304"/>
      <c r="AR53" s="1305" t="str">
        <f t="shared" si="19"/>
        <v/>
      </c>
      <c r="AS53" s="1306" t="str">
        <f t="shared" si="20"/>
        <v/>
      </c>
      <c r="AT53" s="1307"/>
      <c r="AU53" s="1308" t="str">
        <f t="shared" si="21"/>
        <v/>
      </c>
      <c r="AV53" s="1309" t="str">
        <f t="shared" si="38"/>
        <v/>
      </c>
      <c r="AW53" s="1309" t="str">
        <f t="shared" si="22"/>
        <v/>
      </c>
      <c r="AX53" s="1310" t="str">
        <f t="shared" si="23"/>
        <v/>
      </c>
      <c r="AY53" s="1307"/>
      <c r="AZ53" s="1311" t="str">
        <f t="shared" si="24"/>
        <v/>
      </c>
      <c r="BA53" s="1309" t="str">
        <f t="shared" si="25"/>
        <v/>
      </c>
      <c r="BB53" s="1310" t="str">
        <f t="shared" si="26"/>
        <v/>
      </c>
      <c r="BC53" s="1312"/>
      <c r="BD53" s="1313" t="str">
        <f t="shared" si="35"/>
        <v/>
      </c>
      <c r="BE53" s="1290" t="str">
        <f t="shared" si="27"/>
        <v/>
      </c>
      <c r="BF53" s="1290" t="str">
        <f t="shared" si="28"/>
        <v/>
      </c>
      <c r="BH53" s="1315" t="str">
        <f t="shared" si="39"/>
        <v/>
      </c>
      <c r="BI53" s="1315"/>
      <c r="BJ53" s="1303" t="str">
        <f>IF(OR(BH53="Fail",BH53="Fail LPA",BH53=""),"",'SpxSp (step-a)'!CM57)</f>
        <v/>
      </c>
      <c r="BK53" s="1290">
        <f t="shared" si="30"/>
        <v>0</v>
      </c>
      <c r="BN53" s="178">
        <v>36</v>
      </c>
      <c r="BO53" s="1316" t="str">
        <f t="shared" ca="1" si="29"/>
        <v/>
      </c>
      <c r="BP53" s="1317" t="str">
        <f ca="1">IF(INDIRECT("'SpxSp (step-b)'!$B" &amp; BP$16)=$Z53,INDIRECT("'SpxSp (step-b)'!$" &amp; 'SpxSp (step-b)'!$BC$23 &amp; BP$16),"")</f>
        <v/>
      </c>
      <c r="BQ53" s="1317" t="str">
        <f ca="1">IF(INDIRECT("'SpxSp (step-b)'!$B" &amp; BQ$16)=$Z53,INDIRECT("'SpxSp (step-b)'!$" &amp; 'SpxSp (step-b)'!$BC$23 &amp; BQ$16),"")</f>
        <v/>
      </c>
      <c r="BR53" s="1317" t="str">
        <f ca="1">IF(INDIRECT("'SpxSp (step-b)'!$B" &amp; BR$16)=$Z53,INDIRECT("'SpxSp (step-b)'!$" &amp; 'SpxSp (step-b)'!$BC$23 &amp; BR$16),"")</f>
        <v/>
      </c>
      <c r="BS53" s="1317" t="str">
        <f ca="1">IF(INDIRECT("'SpxSp (step-b)'!$B" &amp; BS$16)=$Z53,INDIRECT("'SpxSp (step-b)'!$" &amp; 'SpxSp (step-b)'!$BC$23 &amp; BS$16),"")</f>
        <v/>
      </c>
      <c r="BT53" s="1317" t="str">
        <f ca="1">IF(INDIRECT("'SpxSp (step-b)'!$B" &amp; BT$16)=$Z53,INDIRECT("'SpxSp (step-b)'!$" &amp; 'SpxSp (step-b)'!$BC$23 &amp; BT$16),"")</f>
        <v/>
      </c>
      <c r="BU53" s="1317" t="str">
        <f ca="1">IF(INDIRECT("'SpxSp (step-b)'!$B" &amp; BU$16)=$Z53,INDIRECT("'SpxSp (step-b)'!$" &amp; 'SpxSp (step-b)'!$BC$23 &amp; BU$16),"")</f>
        <v/>
      </c>
      <c r="BV53" s="1317" t="str">
        <f ca="1">IF(INDIRECT("'SpxSp (step-b)'!$B" &amp; BV$16)=$Z53,INDIRECT("'SpxSp (step-b)'!$" &amp; 'SpxSp (step-b)'!$BC$23 &amp; BV$16),"")</f>
        <v/>
      </c>
      <c r="BW53" s="1317" t="str">
        <f ca="1">IF(INDIRECT("'SpxSp (step-b)'!$B" &amp; BW$16)=$Z53,INDIRECT("'SpxSp (step-b)'!$" &amp; 'SpxSp (step-b)'!$BC$23 &amp; BW$16),"")</f>
        <v/>
      </c>
      <c r="BX53" s="1317" t="str">
        <f ca="1">IF(INDIRECT("'SpxSp (step-b)'!$B" &amp; BX$16)=$Z53,INDIRECT("'SpxSp (step-b)'!$" &amp; 'SpxSp (step-b)'!$BC$23 &amp; BX$16),"")</f>
        <v/>
      </c>
      <c r="BY53" s="1317" t="str">
        <f ca="1">IF(INDIRECT("'SpxSp (step-b)'!$B" &amp; BY$16)=$Z53,INDIRECT("'SpxSp (step-b)'!$" &amp; 'SpxSp (step-b)'!$BC$23 &amp; BY$16),"")</f>
        <v/>
      </c>
      <c r="BZ53" s="1317" t="str">
        <f ca="1">IF(INDIRECT("'SpxSp (step-b)'!$B" &amp; BZ$16)=$Z53,INDIRECT("'SpxSp (step-b)'!$" &amp; 'SpxSp (step-b)'!$BC$23 &amp; BZ$16),"")</f>
        <v/>
      </c>
      <c r="CA53" s="1317" t="str">
        <f ca="1">IF(INDIRECT("'SpxSp (step-b)'!$B" &amp; CA$16)=$Z53,INDIRECT("'SpxSp (step-b)'!$" &amp; 'SpxSp (step-b)'!$BC$23 &amp; CA$16),"")</f>
        <v/>
      </c>
      <c r="CB53" s="1317" t="str">
        <f ca="1">IF(INDIRECT("'SpxSp (step-b)'!$B" &amp; CB$16)=$Z53,INDIRECT("'SpxSp (step-b)'!$" &amp; 'SpxSp (step-b)'!$BC$23 &amp; CB$16),"")</f>
        <v/>
      </c>
      <c r="CC53" s="1317" t="str">
        <f ca="1">IF(INDIRECT("'SpxSp (step-b)'!$B" &amp; CC$16)=$Z53,INDIRECT("'SpxSp (step-b)'!$" &amp; 'SpxSp (step-b)'!$BC$23 &amp; CC$16),"")</f>
        <v/>
      </c>
      <c r="CD53" s="1317" t="str">
        <f ca="1">IF(INDIRECT("'SpxSp (step-b)'!$B" &amp; CD$16)=$Z53,INDIRECT("'SpxSp (step-b)'!$" &amp; 'SpxSp (step-b)'!$BC$23 &amp; CD$16),"")</f>
        <v/>
      </c>
      <c r="CE53" s="1317" t="str">
        <f ca="1">IF(INDIRECT("'SpxSp (step-b)'!$B" &amp; CE$16)=$Z53,INDIRECT("'SpxSp (step-b)'!$" &amp; 'SpxSp (step-b)'!$BC$23 &amp; CE$16),"")</f>
        <v/>
      </c>
      <c r="CF53" s="1317" t="str">
        <f ca="1">IF(INDIRECT("'SpxSp (step-b)'!$B" &amp; CF$16)=$Z53,INDIRECT("'SpxSp (step-b)'!$" &amp; 'SpxSp (step-b)'!$BC$23 &amp; CF$16),"")</f>
        <v/>
      </c>
      <c r="CG53" s="1317" t="str">
        <f ca="1">IF(INDIRECT("'SpxSp (step-b)'!$B" &amp; CG$16)=$Z53,INDIRECT("'SpxSp (step-b)'!$" &amp; 'SpxSp (step-b)'!$BC$23 &amp; CG$16),"")</f>
        <v/>
      </c>
      <c r="CH53" s="1317" t="str">
        <f ca="1">IF(INDIRECT("'SpxSp (step-b)'!$B" &amp; CH$16)=$Z53,INDIRECT("'SpxSp (step-b)'!$" &amp; 'SpxSp (step-b)'!$BC$23 &amp; CH$16),"")</f>
        <v/>
      </c>
      <c r="CI53" s="1317" t="str">
        <f ca="1">IF(INDIRECT("'SpxSp (step-b)'!$B" &amp; CI$16)=$Z53,INDIRECT("'SpxSp (step-b)'!$" &amp; 'SpxSp (step-b)'!$BC$23 &amp; CI$16),"")</f>
        <v/>
      </c>
      <c r="CJ53" s="1317" t="str">
        <f ca="1">IF(INDIRECT("'SpxSp (step-b)'!$B" &amp; CJ$16)=$Z53,INDIRECT("'SpxSp (step-b)'!$" &amp; 'SpxSp (step-b)'!$BC$23 &amp; CJ$16),"")</f>
        <v/>
      </c>
      <c r="CK53" s="1317" t="str">
        <f ca="1">IF(INDIRECT("'SpxSp (step-b)'!$B" &amp; CK$16)=$Z53,INDIRECT("'SpxSp (step-b)'!$" &amp; 'SpxSp (step-b)'!$BC$23 &amp; CK$16),"")</f>
        <v/>
      </c>
      <c r="CL53" s="1317" t="str">
        <f ca="1">IF(INDIRECT("'SpxSp (step-b)'!$B" &amp; CL$16)=$Z53,INDIRECT("'SpxSp (step-b)'!$" &amp; 'SpxSp (step-b)'!$BC$23 &amp; CL$16),"")</f>
        <v/>
      </c>
      <c r="CM53" s="1317" t="str">
        <f ca="1">IF(INDIRECT("'SpxSp (step-b)'!$B" &amp; CM$16)=$Z53,INDIRECT("'SpxSp (step-b)'!$" &amp; 'SpxSp (step-b)'!$BC$23 &amp; CM$16),"")</f>
        <v/>
      </c>
      <c r="CN53" s="1317" t="str">
        <f ca="1">IF(INDIRECT("'SpxSp (step-b)'!$B" &amp; CN$16)=$Z53,INDIRECT("'SpxSp (step-b)'!$" &amp; 'SpxSp (step-b)'!$BC$23 &amp; CN$16),"")</f>
        <v/>
      </c>
      <c r="CO53" s="1317" t="str">
        <f ca="1">IF(INDIRECT("'SpxSp (step-b)'!$B" &amp; CO$16)=$Z53,INDIRECT("'SpxSp (step-b)'!$" &amp; 'SpxSp (step-b)'!$BC$23 &amp; CO$16),"")</f>
        <v/>
      </c>
      <c r="CP53" s="1317" t="str">
        <f ca="1">IF(INDIRECT("'SpxSp (step-b)'!$B" &amp; CP$16)=$Z53,INDIRECT("'SpxSp (step-b)'!$" &amp; 'SpxSp (step-b)'!$BC$23 &amp; CP$16),"")</f>
        <v/>
      </c>
      <c r="CQ53" s="1317" t="str">
        <f ca="1">IF(INDIRECT("'SpxSp (step-b)'!$B" &amp; CQ$16)=$Z53,INDIRECT("'SpxSp (step-b)'!$" &amp; 'SpxSp (step-b)'!$BC$23 &amp; CQ$16),"")</f>
        <v/>
      </c>
      <c r="CR53" s="1317" t="str">
        <f ca="1">IF(INDIRECT("'SpxSp (step-b)'!$B" &amp; CR$16)=$Z53,INDIRECT("'SpxSp (step-b)'!$" &amp; 'SpxSp (step-b)'!$BC$23 &amp; CR$16),"")</f>
        <v/>
      </c>
      <c r="CS53" s="1317" t="str">
        <f ca="1">IF(INDIRECT("'SpxSp (step-b)'!$B" &amp; CS$16)=$Z53,INDIRECT("'SpxSp (step-b)'!$" &amp; 'SpxSp (step-b)'!$BC$23 &amp; CS$16),"")</f>
        <v/>
      </c>
      <c r="CT53" s="1317" t="str">
        <f ca="1">IF(INDIRECT("'SpxSp (step-b)'!$B" &amp; CT$16)=$Z53,INDIRECT("'SpxSp (step-b)'!$" &amp; 'SpxSp (step-b)'!$BC$23 &amp; CT$16),"")</f>
        <v/>
      </c>
      <c r="CU53" s="1317" t="str">
        <f ca="1">IF(INDIRECT("'SpxSp (step-b)'!$B" &amp; CU$16)=$Z53,INDIRECT("'SpxSp (step-b)'!$" &amp; 'SpxSp (step-b)'!$BC$23 &amp; CU$16),"")</f>
        <v/>
      </c>
      <c r="CV53" s="1317" t="str">
        <f ca="1">IF(INDIRECT("'SpxSp (step-b)'!$B" &amp; CV$16)=$Z53,INDIRECT("'SpxSp (step-b)'!$" &amp; 'SpxSp (step-b)'!$BC$23 &amp; CV$16),"")</f>
        <v/>
      </c>
      <c r="CW53" s="1317" t="str">
        <f ca="1">IF(INDIRECT("'SpxSp (step-b)'!$B" &amp; CW$16)=$Z53,INDIRECT("'SpxSp (step-b)'!$" &amp; 'SpxSp (step-b)'!$BC$23 &amp; CW$16),"")</f>
        <v/>
      </c>
      <c r="CX53" s="1317" t="str">
        <f ca="1">IF(INDIRECT("'SpxSp (step-b)'!$B" &amp; CX$16)=$Z53,INDIRECT("'SpxSp (step-b)'!$" &amp; 'SpxSp (step-b)'!$BC$23 &amp; CX$16),"")</f>
        <v/>
      </c>
      <c r="CY53" s="1317" t="str">
        <f ca="1">IF(INDIRECT("'SpxSp (step-b)'!$B" &amp; CY$16)=$Z53,INDIRECT("'SpxSp (step-b)'!$" &amp; 'SpxSp (step-b)'!$BC$23 &amp; CY$16),"")</f>
        <v/>
      </c>
      <c r="CZ53" s="1317" t="str">
        <f ca="1">IF(INDIRECT("'SpxSp (step-b)'!$B" &amp; CZ$16)=$Z53,INDIRECT("'SpxSp (step-b)'!$" &amp; 'SpxSp (step-b)'!$BC$23 &amp; CZ$16),"")</f>
        <v/>
      </c>
      <c r="DA53" s="1317" t="str">
        <f ca="1">IF(INDIRECT("'SpxSp (step-b)'!$B" &amp; DA$16)=$Z53,INDIRECT("'SpxSp (step-b)'!$" &amp; 'SpxSp (step-b)'!$BC$23 &amp; DA$16),"")</f>
        <v/>
      </c>
      <c r="DB53" s="1317" t="str">
        <f ca="1">IF(INDIRECT("'SpxSp (step-b)'!$B" &amp; DB$16)=$Z53,INDIRECT("'SpxSp (step-b)'!$" &amp; 'SpxSp (step-b)'!$BC$23 &amp; DB$16),"")</f>
        <v/>
      </c>
      <c r="DC53" s="1317" t="str">
        <f ca="1">IF(INDIRECT("'SpxSp (step-b)'!$B" &amp; DC$16)=$Z53,INDIRECT("'SpxSp (step-b)'!$" &amp; 'SpxSp (step-b)'!$BC$23 &amp; DC$16),"")</f>
        <v/>
      </c>
      <c r="DD53" s="1317" t="str">
        <f ca="1">IF(INDIRECT("'SpxSp (step-b)'!$B" &amp; DD$16)=$Z53,INDIRECT("'SpxSp (step-b)'!$" &amp; 'SpxSp (step-b)'!$BC$23 &amp; DD$16),"")</f>
        <v/>
      </c>
      <c r="DE53" s="1317" t="str">
        <f ca="1">IF(INDIRECT("'SpxSp (step-b)'!$B" &amp; DE$16)=$Z53,INDIRECT("'SpxSp (step-b)'!$" &amp; 'SpxSp (step-b)'!$BC$23 &amp; DE$16),"")</f>
        <v/>
      </c>
      <c r="DF53" s="1317" t="str">
        <f ca="1">IF(INDIRECT("'SpxSp (step-b)'!$B" &amp; DF$16)=$Z53,INDIRECT("'SpxSp (step-b)'!$" &amp; 'SpxSp (step-b)'!$BC$23 &amp; DF$16),"")</f>
        <v/>
      </c>
      <c r="DG53" s="1317" t="str">
        <f ca="1">IF(INDIRECT("'SpxSp (step-b)'!$B" &amp; DG$16)=$Z53,INDIRECT("'SpxSp (step-b)'!$" &amp; 'SpxSp (step-b)'!$BC$23 &amp; DG$16),"")</f>
        <v/>
      </c>
      <c r="DH53" s="1317" t="str">
        <f ca="1">IF(INDIRECT("'SpxSp (step-b)'!$B" &amp; DH$16)=$Z53,INDIRECT("'SpxSp (step-b)'!$" &amp; 'SpxSp (step-b)'!$BC$23 &amp; DH$16),"")</f>
        <v/>
      </c>
      <c r="DI53" s="1317" t="str">
        <f ca="1">IF(INDIRECT("'SpxSp (step-b)'!$B" &amp; DI$16)=$Z53,INDIRECT("'SpxSp (step-b)'!$" &amp; 'SpxSp (step-b)'!$BC$23 &amp; DI$16),"")</f>
        <v/>
      </c>
      <c r="DJ53" s="1317" t="str">
        <f ca="1">IF(INDIRECT("'SpxSp (step-b)'!$B" &amp; DJ$16)=$Z53,INDIRECT("'SpxSp (step-b)'!$" &amp; 'SpxSp (step-b)'!$BC$23 &amp; DJ$16),"")</f>
        <v/>
      </c>
      <c r="DK53" s="1317" t="str">
        <f ca="1">IF(INDIRECT("'SpxSp (step-b)'!$B" &amp; DK$16)=$Z53,INDIRECT("'SpxSp (step-b)'!$" &amp; 'SpxSp (step-b)'!$BC$23 &amp; DK$16),"")</f>
        <v/>
      </c>
      <c r="DL53" s="1317" t="str">
        <f ca="1">IF(INDIRECT("'SpxSp (step-b)'!$B" &amp; DL$16)=$Z53,INDIRECT("'SpxSp (step-b)'!$" &amp; 'SpxSp (step-b)'!$BC$23 &amp; DL$16),"")</f>
        <v/>
      </c>
      <c r="DM53" s="1317" t="str">
        <f ca="1">IF(INDIRECT("'SpxSp (step-b)'!$B" &amp; DM$16)=$Z53,INDIRECT("'SpxSp (step-b)'!$" &amp; 'SpxSp (step-b)'!$BC$23 &amp; DM$16),"")</f>
        <v/>
      </c>
      <c r="DN53" s="1318" t="str">
        <f t="shared" ca="1" si="32"/>
        <v/>
      </c>
      <c r="DO53" s="1246" t="s">
        <v>1201</v>
      </c>
    </row>
    <row r="54" spans="2:119" ht="40" x14ac:dyDescent="0.2">
      <c r="B54" s="1450" t="str">
        <f t="shared" si="13"/>
        <v/>
      </c>
      <c r="C54" s="1451"/>
      <c r="D54" s="1451"/>
      <c r="E54" s="1451"/>
      <c r="F54" s="1452"/>
      <c r="G54" s="1319" t="str">
        <f t="shared" si="31"/>
        <v/>
      </c>
      <c r="H54" s="1320" t="str">
        <f t="shared" si="14"/>
        <v/>
      </c>
      <c r="I54" s="1321" t="str">
        <f t="shared" si="33"/>
        <v/>
      </c>
      <c r="J54" s="1296"/>
      <c r="K54" s="1322" t="str">
        <f>IFERROR(IF(OR(B54="",H54=0),"",VLOOKUP(B54,'SpxSp (step-c)'!B$18:O$67,6,FALSE)),"")</f>
        <v/>
      </c>
      <c r="L54" s="1323" t="str">
        <f ca="1">IFERROR(F(OR(B54="",H54=0),"",VLOOKUP($B54,'SpxSp (step-c)'!$B$18:O$67,12,FALSE)),"")</f>
        <v/>
      </c>
      <c r="M54" s="1321" t="str">
        <f ca="1">IF(AND(B54&lt;&gt;"",L54=""),"NA",IFERROR(VLOOKUP($B54,'SpxSp (step-c)'!$B$18:P$67,13,FALSE),""))</f>
        <v/>
      </c>
      <c r="N54" s="1324"/>
      <c r="O54" s="1322" t="str">
        <f>IFERROR(IF(OR(B54="",H54=0),"",VLOOKUP($B54,'SpxSp (step-d)'!$B$18:$P$67,12,FALSE)),"")</f>
        <v/>
      </c>
      <c r="P54" s="1323" t="str">
        <f>IFERROR(IF(OR(B54="",H54=0),"",VLOOKUP($B54,'SpxSp (step-d)'!$B$18:$P$67,13,FALSE)),"")</f>
        <v/>
      </c>
      <c r="Q54" s="1323" t="str">
        <f>IFERROR(IF(OR(B54="",H54=0),"",VLOOKUP($B54,'SpxSp (step-d)'!$B$18:$P$67,14,FALSE)),"")</f>
        <v/>
      </c>
      <c r="R54" s="1321" t="str">
        <f>IF(AND(B54&lt;&gt;"",P54=""),"NA",IFERROR(VLOOKUP(B54,'SpxSp (step-d)'!$B$18:$V$67,15,FALSE),""))</f>
        <v/>
      </c>
      <c r="S54" s="1296"/>
      <c r="T54" s="1325" t="str">
        <f t="shared" si="34"/>
        <v/>
      </c>
      <c r="U54" s="1326" t="str">
        <f t="shared" si="17"/>
        <v/>
      </c>
      <c r="Y54" s="1302">
        <v>37</v>
      </c>
      <c r="Z54" s="1303" t="str">
        <f>'SpxSp (step-a)'!B58</f>
        <v/>
      </c>
      <c r="AA54" s="1303" t="str">
        <f>'SpxSp (step-a)'!H58</f>
        <v/>
      </c>
      <c r="AB54" s="1290" t="str">
        <f>VLOOKUP($Z54,'SpxSp (step-a)'!$B$22:$O$71,AB$14,FALSE)</f>
        <v/>
      </c>
      <c r="AD54" s="1290" t="str">
        <f>IF(Z54="","",IFERROR(VLOOKUP($Z54,'SpxSp (step-a)'!$B$22:$O$71,AD$14,FALSE),0))</f>
        <v/>
      </c>
      <c r="AE54" s="1290" t="str">
        <f>IF(Z54="","",IFERROR(VLOOKUP($Z54,'SpxSp (step-a)'!$B$22:$O$71,AE$14,FALSE),0))</f>
        <v/>
      </c>
      <c r="AG54" s="1290" t="str">
        <f t="shared" si="36"/>
        <v/>
      </c>
      <c r="AI54" s="1290" t="str">
        <f>IF($Z54="","",SUMIFS('SpxSp (step-b)'!L$26:L$75,'SpxSp (step-b)'!B$26:B$75,Z54,'SpxSp (step-b)'!N$26:N$75,"New"))</f>
        <v/>
      </c>
      <c r="AJ54" s="1290" t="str">
        <f>IF($Z54="","",SUMIFS('SpxSp (step-b)'!$L$26:$L$75,'SpxSp (step-b)'!$B$26:$B$75,$Z54,'SpxSp (step-b)'!N$26:N$75,""))</f>
        <v/>
      </c>
      <c r="AK54" s="1290" t="str">
        <f>IF($Z54="","",SUMIFS('SpxSp (step-b)'!$J$26:$J$75,'SpxSp (step-b)'!$B$26:$B$75,$Z54,'SpxSp (step-b)'!$N$26:$N$75,"New")+SUMIFS('SpxSp (step-b)'!$J$26:$J$75,'SpxSp (step-b)'!$B$26:$B$75,$Z54,'SpxSp (step-b)'!$N$26:$N$75,""))</f>
        <v/>
      </c>
      <c r="AL54" s="1290" t="str">
        <f>IF($Z54="","",SUMIFS('SpxSp (step-b)'!$L$26:$L$75,'SpxSp (step-b)'!$B$26:$B$75,$Z54,'SpxSp (step-b)'!$N$26:$N$75,"Existing Remains"))</f>
        <v/>
      </c>
      <c r="AM54" s="1290" t="str">
        <f>IF($Z54="","",SUMIFS('SpxSp (step-b)'!$L$26:$L$75,'SpxSp (step-b)'!$B$26:$B$75,$Z54,'SpxSp (step-b)'!$N$26:$N$75,"Existing Removed"))</f>
        <v/>
      </c>
      <c r="AN54" s="1290" t="str">
        <f>IF($Z54="","",SUMIFS('SpxSp (step-b)'!$J$26:$J$75,'SpxSp (step-b)'!$B$26:$B$75,$Z54,'SpxSp (step-b)'!$N$26:$N$75,"Existing Removed"))</f>
        <v/>
      </c>
      <c r="AO54" s="1290" t="str">
        <f t="shared" si="37"/>
        <v/>
      </c>
      <c r="AP54" s="1290" t="str">
        <f t="shared" si="18"/>
        <v/>
      </c>
      <c r="AQ54" s="1304"/>
      <c r="AR54" s="1305" t="str">
        <f t="shared" si="19"/>
        <v/>
      </c>
      <c r="AS54" s="1306" t="str">
        <f t="shared" si="20"/>
        <v/>
      </c>
      <c r="AT54" s="1307"/>
      <c r="AU54" s="1308" t="str">
        <f t="shared" si="21"/>
        <v/>
      </c>
      <c r="AV54" s="1309" t="str">
        <f t="shared" si="38"/>
        <v/>
      </c>
      <c r="AW54" s="1309" t="str">
        <f t="shared" si="22"/>
        <v/>
      </c>
      <c r="AX54" s="1310" t="str">
        <f t="shared" si="23"/>
        <v/>
      </c>
      <c r="AY54" s="1307"/>
      <c r="AZ54" s="1311" t="str">
        <f t="shared" si="24"/>
        <v/>
      </c>
      <c r="BA54" s="1309" t="str">
        <f t="shared" si="25"/>
        <v/>
      </c>
      <c r="BB54" s="1310" t="str">
        <f t="shared" si="26"/>
        <v/>
      </c>
      <c r="BC54" s="1312"/>
      <c r="BD54" s="1313" t="str">
        <f t="shared" si="35"/>
        <v/>
      </c>
      <c r="BE54" s="1290" t="str">
        <f t="shared" si="27"/>
        <v/>
      </c>
      <c r="BF54" s="1290" t="str">
        <f t="shared" si="28"/>
        <v/>
      </c>
      <c r="BH54" s="1315" t="str">
        <f t="shared" si="39"/>
        <v/>
      </c>
      <c r="BI54" s="1315"/>
      <c r="BJ54" s="1303" t="str">
        <f>IF(OR(BH54="Fail",BH54="Fail LPA",BH54=""),"",'SpxSp (step-a)'!CM58)</f>
        <v/>
      </c>
      <c r="BK54" s="1290">
        <f t="shared" si="30"/>
        <v>0</v>
      </c>
      <c r="BN54" s="178">
        <v>37</v>
      </c>
      <c r="BO54" s="1316" t="str">
        <f t="shared" ca="1" si="29"/>
        <v/>
      </c>
      <c r="BP54" s="1317" t="str">
        <f ca="1">IF(INDIRECT("'SpxSp (step-b)'!$B" &amp; BP$16)=$Z54,INDIRECT("'SpxSp (step-b)'!$" &amp; 'SpxSp (step-b)'!$BC$23 &amp; BP$16),"")</f>
        <v/>
      </c>
      <c r="BQ54" s="1317" t="str">
        <f ca="1">IF(INDIRECT("'SpxSp (step-b)'!$B" &amp; BQ$16)=$Z54,INDIRECT("'SpxSp (step-b)'!$" &amp; 'SpxSp (step-b)'!$BC$23 &amp; BQ$16),"")</f>
        <v/>
      </c>
      <c r="BR54" s="1317" t="str">
        <f ca="1">IF(INDIRECT("'SpxSp (step-b)'!$B" &amp; BR$16)=$Z54,INDIRECT("'SpxSp (step-b)'!$" &amp; 'SpxSp (step-b)'!$BC$23 &amp; BR$16),"")</f>
        <v/>
      </c>
      <c r="BS54" s="1317" t="str">
        <f ca="1">IF(INDIRECT("'SpxSp (step-b)'!$B" &amp; BS$16)=$Z54,INDIRECT("'SpxSp (step-b)'!$" &amp; 'SpxSp (step-b)'!$BC$23 &amp; BS$16),"")</f>
        <v/>
      </c>
      <c r="BT54" s="1317" t="str">
        <f ca="1">IF(INDIRECT("'SpxSp (step-b)'!$B" &amp; BT$16)=$Z54,INDIRECT("'SpxSp (step-b)'!$" &amp; 'SpxSp (step-b)'!$BC$23 &amp; BT$16),"")</f>
        <v/>
      </c>
      <c r="BU54" s="1317" t="str">
        <f ca="1">IF(INDIRECT("'SpxSp (step-b)'!$B" &amp; BU$16)=$Z54,INDIRECT("'SpxSp (step-b)'!$" &amp; 'SpxSp (step-b)'!$BC$23 &amp; BU$16),"")</f>
        <v/>
      </c>
      <c r="BV54" s="1317" t="str">
        <f ca="1">IF(INDIRECT("'SpxSp (step-b)'!$B" &amp; BV$16)=$Z54,INDIRECT("'SpxSp (step-b)'!$" &amp; 'SpxSp (step-b)'!$BC$23 &amp; BV$16),"")</f>
        <v/>
      </c>
      <c r="BW54" s="1317" t="str">
        <f ca="1">IF(INDIRECT("'SpxSp (step-b)'!$B" &amp; BW$16)=$Z54,INDIRECT("'SpxSp (step-b)'!$" &amp; 'SpxSp (step-b)'!$BC$23 &amp; BW$16),"")</f>
        <v/>
      </c>
      <c r="BX54" s="1317" t="str">
        <f ca="1">IF(INDIRECT("'SpxSp (step-b)'!$B" &amp; BX$16)=$Z54,INDIRECT("'SpxSp (step-b)'!$" &amp; 'SpxSp (step-b)'!$BC$23 &amp; BX$16),"")</f>
        <v/>
      </c>
      <c r="BY54" s="1317" t="str">
        <f ca="1">IF(INDIRECT("'SpxSp (step-b)'!$B" &amp; BY$16)=$Z54,INDIRECT("'SpxSp (step-b)'!$" &amp; 'SpxSp (step-b)'!$BC$23 &amp; BY$16),"")</f>
        <v/>
      </c>
      <c r="BZ54" s="1317" t="str">
        <f ca="1">IF(INDIRECT("'SpxSp (step-b)'!$B" &amp; BZ$16)=$Z54,INDIRECT("'SpxSp (step-b)'!$" &amp; 'SpxSp (step-b)'!$BC$23 &amp; BZ$16),"")</f>
        <v/>
      </c>
      <c r="CA54" s="1317" t="str">
        <f ca="1">IF(INDIRECT("'SpxSp (step-b)'!$B" &amp; CA$16)=$Z54,INDIRECT("'SpxSp (step-b)'!$" &amp; 'SpxSp (step-b)'!$BC$23 &amp; CA$16),"")</f>
        <v/>
      </c>
      <c r="CB54" s="1317" t="str">
        <f ca="1">IF(INDIRECT("'SpxSp (step-b)'!$B" &amp; CB$16)=$Z54,INDIRECT("'SpxSp (step-b)'!$" &amp; 'SpxSp (step-b)'!$BC$23 &amp; CB$16),"")</f>
        <v/>
      </c>
      <c r="CC54" s="1317" t="str">
        <f ca="1">IF(INDIRECT("'SpxSp (step-b)'!$B" &amp; CC$16)=$Z54,INDIRECT("'SpxSp (step-b)'!$" &amp; 'SpxSp (step-b)'!$BC$23 &amp; CC$16),"")</f>
        <v/>
      </c>
      <c r="CD54" s="1317" t="str">
        <f ca="1">IF(INDIRECT("'SpxSp (step-b)'!$B" &amp; CD$16)=$Z54,INDIRECT("'SpxSp (step-b)'!$" &amp; 'SpxSp (step-b)'!$BC$23 &amp; CD$16),"")</f>
        <v/>
      </c>
      <c r="CE54" s="1317" t="str">
        <f ca="1">IF(INDIRECT("'SpxSp (step-b)'!$B" &amp; CE$16)=$Z54,INDIRECT("'SpxSp (step-b)'!$" &amp; 'SpxSp (step-b)'!$BC$23 &amp; CE$16),"")</f>
        <v/>
      </c>
      <c r="CF54" s="1317" t="str">
        <f ca="1">IF(INDIRECT("'SpxSp (step-b)'!$B" &amp; CF$16)=$Z54,INDIRECT("'SpxSp (step-b)'!$" &amp; 'SpxSp (step-b)'!$BC$23 &amp; CF$16),"")</f>
        <v/>
      </c>
      <c r="CG54" s="1317" t="str">
        <f ca="1">IF(INDIRECT("'SpxSp (step-b)'!$B" &amp; CG$16)=$Z54,INDIRECT("'SpxSp (step-b)'!$" &amp; 'SpxSp (step-b)'!$BC$23 &amp; CG$16),"")</f>
        <v/>
      </c>
      <c r="CH54" s="1317" t="str">
        <f ca="1">IF(INDIRECT("'SpxSp (step-b)'!$B" &amp; CH$16)=$Z54,INDIRECT("'SpxSp (step-b)'!$" &amp; 'SpxSp (step-b)'!$BC$23 &amp; CH$16),"")</f>
        <v/>
      </c>
      <c r="CI54" s="1317" t="str">
        <f ca="1">IF(INDIRECT("'SpxSp (step-b)'!$B" &amp; CI$16)=$Z54,INDIRECT("'SpxSp (step-b)'!$" &amp; 'SpxSp (step-b)'!$BC$23 &amp; CI$16),"")</f>
        <v/>
      </c>
      <c r="CJ54" s="1317" t="str">
        <f ca="1">IF(INDIRECT("'SpxSp (step-b)'!$B" &amp; CJ$16)=$Z54,INDIRECT("'SpxSp (step-b)'!$" &amp; 'SpxSp (step-b)'!$BC$23 &amp; CJ$16),"")</f>
        <v/>
      </c>
      <c r="CK54" s="1317" t="str">
        <f ca="1">IF(INDIRECT("'SpxSp (step-b)'!$B" &amp; CK$16)=$Z54,INDIRECT("'SpxSp (step-b)'!$" &amp; 'SpxSp (step-b)'!$BC$23 &amp; CK$16),"")</f>
        <v/>
      </c>
      <c r="CL54" s="1317" t="str">
        <f ca="1">IF(INDIRECT("'SpxSp (step-b)'!$B" &amp; CL$16)=$Z54,INDIRECT("'SpxSp (step-b)'!$" &amp; 'SpxSp (step-b)'!$BC$23 &amp; CL$16),"")</f>
        <v/>
      </c>
      <c r="CM54" s="1317" t="str">
        <f ca="1">IF(INDIRECT("'SpxSp (step-b)'!$B" &amp; CM$16)=$Z54,INDIRECT("'SpxSp (step-b)'!$" &amp; 'SpxSp (step-b)'!$BC$23 &amp; CM$16),"")</f>
        <v/>
      </c>
      <c r="CN54" s="1317" t="str">
        <f ca="1">IF(INDIRECT("'SpxSp (step-b)'!$B" &amp; CN$16)=$Z54,INDIRECT("'SpxSp (step-b)'!$" &amp; 'SpxSp (step-b)'!$BC$23 &amp; CN$16),"")</f>
        <v/>
      </c>
      <c r="CO54" s="1317" t="str">
        <f ca="1">IF(INDIRECT("'SpxSp (step-b)'!$B" &amp; CO$16)=$Z54,INDIRECT("'SpxSp (step-b)'!$" &amp; 'SpxSp (step-b)'!$BC$23 &amp; CO$16),"")</f>
        <v/>
      </c>
      <c r="CP54" s="1317" t="str">
        <f ca="1">IF(INDIRECT("'SpxSp (step-b)'!$B" &amp; CP$16)=$Z54,INDIRECT("'SpxSp (step-b)'!$" &amp; 'SpxSp (step-b)'!$BC$23 &amp; CP$16),"")</f>
        <v/>
      </c>
      <c r="CQ54" s="1317" t="str">
        <f ca="1">IF(INDIRECT("'SpxSp (step-b)'!$B" &amp; CQ$16)=$Z54,INDIRECT("'SpxSp (step-b)'!$" &amp; 'SpxSp (step-b)'!$BC$23 &amp; CQ$16),"")</f>
        <v/>
      </c>
      <c r="CR54" s="1317" t="str">
        <f ca="1">IF(INDIRECT("'SpxSp (step-b)'!$B" &amp; CR$16)=$Z54,INDIRECT("'SpxSp (step-b)'!$" &amp; 'SpxSp (step-b)'!$BC$23 &amp; CR$16),"")</f>
        <v/>
      </c>
      <c r="CS54" s="1317" t="str">
        <f ca="1">IF(INDIRECT("'SpxSp (step-b)'!$B" &amp; CS$16)=$Z54,INDIRECT("'SpxSp (step-b)'!$" &amp; 'SpxSp (step-b)'!$BC$23 &amp; CS$16),"")</f>
        <v/>
      </c>
      <c r="CT54" s="1317" t="str">
        <f ca="1">IF(INDIRECT("'SpxSp (step-b)'!$B" &amp; CT$16)=$Z54,INDIRECT("'SpxSp (step-b)'!$" &amp; 'SpxSp (step-b)'!$BC$23 &amp; CT$16),"")</f>
        <v/>
      </c>
      <c r="CU54" s="1317" t="str">
        <f ca="1">IF(INDIRECT("'SpxSp (step-b)'!$B" &amp; CU$16)=$Z54,INDIRECT("'SpxSp (step-b)'!$" &amp; 'SpxSp (step-b)'!$BC$23 &amp; CU$16),"")</f>
        <v/>
      </c>
      <c r="CV54" s="1317" t="str">
        <f ca="1">IF(INDIRECT("'SpxSp (step-b)'!$B" &amp; CV$16)=$Z54,INDIRECT("'SpxSp (step-b)'!$" &amp; 'SpxSp (step-b)'!$BC$23 &amp; CV$16),"")</f>
        <v/>
      </c>
      <c r="CW54" s="1317" t="str">
        <f ca="1">IF(INDIRECT("'SpxSp (step-b)'!$B" &amp; CW$16)=$Z54,INDIRECT("'SpxSp (step-b)'!$" &amp; 'SpxSp (step-b)'!$BC$23 &amp; CW$16),"")</f>
        <v/>
      </c>
      <c r="CX54" s="1317" t="str">
        <f ca="1">IF(INDIRECT("'SpxSp (step-b)'!$B" &amp; CX$16)=$Z54,INDIRECT("'SpxSp (step-b)'!$" &amp; 'SpxSp (step-b)'!$BC$23 &amp; CX$16),"")</f>
        <v/>
      </c>
      <c r="CY54" s="1317" t="str">
        <f ca="1">IF(INDIRECT("'SpxSp (step-b)'!$B" &amp; CY$16)=$Z54,INDIRECT("'SpxSp (step-b)'!$" &amp; 'SpxSp (step-b)'!$BC$23 &amp; CY$16),"")</f>
        <v/>
      </c>
      <c r="CZ54" s="1317" t="str">
        <f ca="1">IF(INDIRECT("'SpxSp (step-b)'!$B" &amp; CZ$16)=$Z54,INDIRECT("'SpxSp (step-b)'!$" &amp; 'SpxSp (step-b)'!$BC$23 &amp; CZ$16),"")</f>
        <v/>
      </c>
      <c r="DA54" s="1317" t="str">
        <f ca="1">IF(INDIRECT("'SpxSp (step-b)'!$B" &amp; DA$16)=$Z54,INDIRECT("'SpxSp (step-b)'!$" &amp; 'SpxSp (step-b)'!$BC$23 &amp; DA$16),"")</f>
        <v/>
      </c>
      <c r="DB54" s="1317" t="str">
        <f ca="1">IF(INDIRECT("'SpxSp (step-b)'!$B" &amp; DB$16)=$Z54,INDIRECT("'SpxSp (step-b)'!$" &amp; 'SpxSp (step-b)'!$BC$23 &amp; DB$16),"")</f>
        <v/>
      </c>
      <c r="DC54" s="1317" t="str">
        <f ca="1">IF(INDIRECT("'SpxSp (step-b)'!$B" &amp; DC$16)=$Z54,INDIRECT("'SpxSp (step-b)'!$" &amp; 'SpxSp (step-b)'!$BC$23 &amp; DC$16),"")</f>
        <v/>
      </c>
      <c r="DD54" s="1317" t="str">
        <f ca="1">IF(INDIRECT("'SpxSp (step-b)'!$B" &amp; DD$16)=$Z54,INDIRECT("'SpxSp (step-b)'!$" &amp; 'SpxSp (step-b)'!$BC$23 &amp; DD$16),"")</f>
        <v/>
      </c>
      <c r="DE54" s="1317" t="str">
        <f ca="1">IF(INDIRECT("'SpxSp (step-b)'!$B" &amp; DE$16)=$Z54,INDIRECT("'SpxSp (step-b)'!$" &amp; 'SpxSp (step-b)'!$BC$23 &amp; DE$16),"")</f>
        <v/>
      </c>
      <c r="DF54" s="1317" t="str">
        <f ca="1">IF(INDIRECT("'SpxSp (step-b)'!$B" &amp; DF$16)=$Z54,INDIRECT("'SpxSp (step-b)'!$" &amp; 'SpxSp (step-b)'!$BC$23 &amp; DF$16),"")</f>
        <v/>
      </c>
      <c r="DG54" s="1317" t="str">
        <f ca="1">IF(INDIRECT("'SpxSp (step-b)'!$B" &amp; DG$16)=$Z54,INDIRECT("'SpxSp (step-b)'!$" &amp; 'SpxSp (step-b)'!$BC$23 &amp; DG$16),"")</f>
        <v/>
      </c>
      <c r="DH54" s="1317" t="str">
        <f ca="1">IF(INDIRECT("'SpxSp (step-b)'!$B" &amp; DH$16)=$Z54,INDIRECT("'SpxSp (step-b)'!$" &amp; 'SpxSp (step-b)'!$BC$23 &amp; DH$16),"")</f>
        <v/>
      </c>
      <c r="DI54" s="1317" t="str">
        <f ca="1">IF(INDIRECT("'SpxSp (step-b)'!$B" &amp; DI$16)=$Z54,INDIRECT("'SpxSp (step-b)'!$" &amp; 'SpxSp (step-b)'!$BC$23 &amp; DI$16),"")</f>
        <v/>
      </c>
      <c r="DJ54" s="1317" t="str">
        <f ca="1">IF(INDIRECT("'SpxSp (step-b)'!$B" &amp; DJ$16)=$Z54,INDIRECT("'SpxSp (step-b)'!$" &amp; 'SpxSp (step-b)'!$BC$23 &amp; DJ$16),"")</f>
        <v/>
      </c>
      <c r="DK54" s="1317" t="str">
        <f ca="1">IF(INDIRECT("'SpxSp (step-b)'!$B" &amp; DK$16)=$Z54,INDIRECT("'SpxSp (step-b)'!$" &amp; 'SpxSp (step-b)'!$BC$23 &amp; DK$16),"")</f>
        <v/>
      </c>
      <c r="DL54" s="1317" t="str">
        <f ca="1">IF(INDIRECT("'SpxSp (step-b)'!$B" &amp; DL$16)=$Z54,INDIRECT("'SpxSp (step-b)'!$" &amp; 'SpxSp (step-b)'!$BC$23 &amp; DL$16),"")</f>
        <v/>
      </c>
      <c r="DM54" s="1317" t="str">
        <f ca="1">IF(INDIRECT("'SpxSp (step-b)'!$B" &amp; DM$16)=$Z54,INDIRECT("'SpxSp (step-b)'!$" &amp; 'SpxSp (step-b)'!$BC$23 &amp; DM$16),"")</f>
        <v/>
      </c>
      <c r="DN54" s="1318" t="str">
        <f t="shared" ca="1" si="32"/>
        <v/>
      </c>
      <c r="DO54" s="1246" t="s">
        <v>1201</v>
      </c>
    </row>
    <row r="55" spans="2:119" ht="40" x14ac:dyDescent="0.2">
      <c r="B55" s="1450" t="str">
        <f t="shared" si="13"/>
        <v/>
      </c>
      <c r="C55" s="1451"/>
      <c r="D55" s="1451"/>
      <c r="E55" s="1451"/>
      <c r="F55" s="1452"/>
      <c r="G55" s="1319" t="str">
        <f t="shared" si="31"/>
        <v/>
      </c>
      <c r="H55" s="1320" t="str">
        <f t="shared" si="14"/>
        <v/>
      </c>
      <c r="I55" s="1321" t="str">
        <f t="shared" si="33"/>
        <v/>
      </c>
      <c r="J55" s="1296"/>
      <c r="K55" s="1322" t="str">
        <f>IFERROR(IF(OR(B55="",H55=0),"",VLOOKUP(B55,'SpxSp (step-c)'!B$18:O$67,6,FALSE)),"")</f>
        <v/>
      </c>
      <c r="L55" s="1323" t="str">
        <f ca="1">IFERROR(F(OR(B55="",H55=0),"",VLOOKUP($B55,'SpxSp (step-c)'!$B$18:O$67,12,FALSE)),"")</f>
        <v/>
      </c>
      <c r="M55" s="1321" t="str">
        <f ca="1">IF(AND(B55&lt;&gt;"",L55=""),"NA",IFERROR(VLOOKUP($B55,'SpxSp (step-c)'!$B$18:P$67,13,FALSE),""))</f>
        <v/>
      </c>
      <c r="N55" s="1324"/>
      <c r="O55" s="1322" t="str">
        <f>IFERROR(IF(OR(B55="",H55=0),"",VLOOKUP($B55,'SpxSp (step-d)'!$B$18:$P$67,12,FALSE)),"")</f>
        <v/>
      </c>
      <c r="P55" s="1323" t="str">
        <f>IFERROR(IF(OR(B55="",H55=0),"",VLOOKUP($B55,'SpxSp (step-d)'!$B$18:$P$67,13,FALSE)),"")</f>
        <v/>
      </c>
      <c r="Q55" s="1323" t="str">
        <f>IFERROR(IF(OR(B55="",H55=0),"",VLOOKUP($B55,'SpxSp (step-d)'!$B$18:$P$67,14,FALSE)),"")</f>
        <v/>
      </c>
      <c r="R55" s="1321" t="str">
        <f>IF(AND(B55&lt;&gt;"",P55=""),"NA",IFERROR(VLOOKUP(B55,'SpxSp (step-d)'!$B$18:$V$67,15,FALSE),""))</f>
        <v/>
      </c>
      <c r="S55" s="1296"/>
      <c r="T55" s="1325" t="str">
        <f t="shared" si="34"/>
        <v/>
      </c>
      <c r="U55" s="1326" t="str">
        <f t="shared" si="17"/>
        <v/>
      </c>
      <c r="Y55" s="1302">
        <v>38</v>
      </c>
      <c r="Z55" s="1303" t="str">
        <f>'SpxSp (step-a)'!B59</f>
        <v/>
      </c>
      <c r="AA55" s="1303" t="str">
        <f>'SpxSp (step-a)'!H59</f>
        <v/>
      </c>
      <c r="AB55" s="1290" t="str">
        <f>VLOOKUP($Z55,'SpxSp (step-a)'!$B$22:$O$71,AB$14,FALSE)</f>
        <v/>
      </c>
      <c r="AD55" s="1290" t="str">
        <f>IF(Z55="","",IFERROR(VLOOKUP($Z55,'SpxSp (step-a)'!$B$22:$O$71,AD$14,FALSE),0))</f>
        <v/>
      </c>
      <c r="AE55" s="1290" t="str">
        <f>IF(Z55="","",IFERROR(VLOOKUP($Z55,'SpxSp (step-a)'!$B$22:$O$71,AE$14,FALSE),0))</f>
        <v/>
      </c>
      <c r="AG55" s="1290" t="str">
        <f t="shared" si="36"/>
        <v/>
      </c>
      <c r="AI55" s="1290" t="str">
        <f>IF($Z55="","",SUMIFS('SpxSp (step-b)'!L$26:L$75,'SpxSp (step-b)'!B$26:B$75,Z55,'SpxSp (step-b)'!N$26:N$75,"New"))</f>
        <v/>
      </c>
      <c r="AJ55" s="1290" t="str">
        <f>IF($Z55="","",SUMIFS('SpxSp (step-b)'!$L$26:$L$75,'SpxSp (step-b)'!$B$26:$B$75,$Z55,'SpxSp (step-b)'!N$26:N$75,""))</f>
        <v/>
      </c>
      <c r="AK55" s="1290" t="str">
        <f>IF($Z55="","",SUMIFS('SpxSp (step-b)'!$J$26:$J$75,'SpxSp (step-b)'!$B$26:$B$75,$Z55,'SpxSp (step-b)'!$N$26:$N$75,"New")+SUMIFS('SpxSp (step-b)'!$J$26:$J$75,'SpxSp (step-b)'!$B$26:$B$75,$Z55,'SpxSp (step-b)'!$N$26:$N$75,""))</f>
        <v/>
      </c>
      <c r="AL55" s="1290" t="str">
        <f>IF($Z55="","",SUMIFS('SpxSp (step-b)'!$L$26:$L$75,'SpxSp (step-b)'!$B$26:$B$75,$Z55,'SpxSp (step-b)'!$N$26:$N$75,"Existing Remains"))</f>
        <v/>
      </c>
      <c r="AM55" s="1290" t="str">
        <f>IF($Z55="","",SUMIFS('SpxSp (step-b)'!$L$26:$L$75,'SpxSp (step-b)'!$B$26:$B$75,$Z55,'SpxSp (step-b)'!$N$26:$N$75,"Existing Removed"))</f>
        <v/>
      </c>
      <c r="AN55" s="1290" t="str">
        <f>IF($Z55="","",SUMIFS('SpxSp (step-b)'!$J$26:$J$75,'SpxSp (step-b)'!$B$26:$B$75,$Z55,'SpxSp (step-b)'!$N$26:$N$75,"Existing Removed"))</f>
        <v/>
      </c>
      <c r="AO55" s="1290" t="str">
        <f t="shared" si="37"/>
        <v/>
      </c>
      <c r="AP55" s="1290" t="str">
        <f t="shared" si="18"/>
        <v/>
      </c>
      <c r="AQ55" s="1304"/>
      <c r="AR55" s="1305" t="str">
        <f t="shared" si="19"/>
        <v/>
      </c>
      <c r="AS55" s="1306" t="str">
        <f t="shared" si="20"/>
        <v/>
      </c>
      <c r="AT55" s="1307"/>
      <c r="AU55" s="1308" t="str">
        <f t="shared" si="21"/>
        <v/>
      </c>
      <c r="AV55" s="1309" t="str">
        <f t="shared" si="38"/>
        <v/>
      </c>
      <c r="AW55" s="1309" t="str">
        <f t="shared" si="22"/>
        <v/>
      </c>
      <c r="AX55" s="1310" t="str">
        <f t="shared" si="23"/>
        <v/>
      </c>
      <c r="AY55" s="1307"/>
      <c r="AZ55" s="1311" t="str">
        <f t="shared" si="24"/>
        <v/>
      </c>
      <c r="BA55" s="1309" t="str">
        <f t="shared" si="25"/>
        <v/>
      </c>
      <c r="BB55" s="1310" t="str">
        <f t="shared" si="26"/>
        <v/>
      </c>
      <c r="BC55" s="1312"/>
      <c r="BD55" s="1313" t="str">
        <f t="shared" si="35"/>
        <v/>
      </c>
      <c r="BE55" s="1290" t="str">
        <f t="shared" si="27"/>
        <v/>
      </c>
      <c r="BF55" s="1290" t="str">
        <f t="shared" si="28"/>
        <v/>
      </c>
      <c r="BH55" s="1315" t="str">
        <f t="shared" si="39"/>
        <v/>
      </c>
      <c r="BI55" s="1315"/>
      <c r="BJ55" s="1303" t="str">
        <f>IF(OR(BH55="Fail",BH55="Fail LPA",BH55=""),"",'SpxSp (step-a)'!CM59)</f>
        <v/>
      </c>
      <c r="BK55" s="1290">
        <f t="shared" si="30"/>
        <v>0</v>
      </c>
      <c r="BN55" s="178">
        <v>38</v>
      </c>
      <c r="BO55" s="1316" t="str">
        <f t="shared" ca="1" si="29"/>
        <v/>
      </c>
      <c r="BP55" s="1317" t="str">
        <f ca="1">IF(INDIRECT("'SpxSp (step-b)'!$B" &amp; BP$16)=$Z55,INDIRECT("'SpxSp (step-b)'!$" &amp; 'SpxSp (step-b)'!$BC$23 &amp; BP$16),"")</f>
        <v/>
      </c>
      <c r="BQ55" s="1317" t="str">
        <f ca="1">IF(INDIRECT("'SpxSp (step-b)'!$B" &amp; BQ$16)=$Z55,INDIRECT("'SpxSp (step-b)'!$" &amp; 'SpxSp (step-b)'!$BC$23 &amp; BQ$16),"")</f>
        <v/>
      </c>
      <c r="BR55" s="1317" t="str">
        <f ca="1">IF(INDIRECT("'SpxSp (step-b)'!$B" &amp; BR$16)=$Z55,INDIRECT("'SpxSp (step-b)'!$" &amp; 'SpxSp (step-b)'!$BC$23 &amp; BR$16),"")</f>
        <v/>
      </c>
      <c r="BS55" s="1317" t="str">
        <f ca="1">IF(INDIRECT("'SpxSp (step-b)'!$B" &amp; BS$16)=$Z55,INDIRECT("'SpxSp (step-b)'!$" &amp; 'SpxSp (step-b)'!$BC$23 &amp; BS$16),"")</f>
        <v/>
      </c>
      <c r="BT55" s="1317" t="str">
        <f ca="1">IF(INDIRECT("'SpxSp (step-b)'!$B" &amp; BT$16)=$Z55,INDIRECT("'SpxSp (step-b)'!$" &amp; 'SpxSp (step-b)'!$BC$23 &amp; BT$16),"")</f>
        <v/>
      </c>
      <c r="BU55" s="1317" t="str">
        <f ca="1">IF(INDIRECT("'SpxSp (step-b)'!$B" &amp; BU$16)=$Z55,INDIRECT("'SpxSp (step-b)'!$" &amp; 'SpxSp (step-b)'!$BC$23 &amp; BU$16),"")</f>
        <v/>
      </c>
      <c r="BV55" s="1317" t="str">
        <f ca="1">IF(INDIRECT("'SpxSp (step-b)'!$B" &amp; BV$16)=$Z55,INDIRECT("'SpxSp (step-b)'!$" &amp; 'SpxSp (step-b)'!$BC$23 &amp; BV$16),"")</f>
        <v/>
      </c>
      <c r="BW55" s="1317" t="str">
        <f ca="1">IF(INDIRECT("'SpxSp (step-b)'!$B" &amp; BW$16)=$Z55,INDIRECT("'SpxSp (step-b)'!$" &amp; 'SpxSp (step-b)'!$BC$23 &amp; BW$16),"")</f>
        <v/>
      </c>
      <c r="BX55" s="1317" t="str">
        <f ca="1">IF(INDIRECT("'SpxSp (step-b)'!$B" &amp; BX$16)=$Z55,INDIRECT("'SpxSp (step-b)'!$" &amp; 'SpxSp (step-b)'!$BC$23 &amp; BX$16),"")</f>
        <v/>
      </c>
      <c r="BY55" s="1317" t="str">
        <f ca="1">IF(INDIRECT("'SpxSp (step-b)'!$B" &amp; BY$16)=$Z55,INDIRECT("'SpxSp (step-b)'!$" &amp; 'SpxSp (step-b)'!$BC$23 &amp; BY$16),"")</f>
        <v/>
      </c>
      <c r="BZ55" s="1317" t="str">
        <f ca="1">IF(INDIRECT("'SpxSp (step-b)'!$B" &amp; BZ$16)=$Z55,INDIRECT("'SpxSp (step-b)'!$" &amp; 'SpxSp (step-b)'!$BC$23 &amp; BZ$16),"")</f>
        <v/>
      </c>
      <c r="CA55" s="1317" t="str">
        <f ca="1">IF(INDIRECT("'SpxSp (step-b)'!$B" &amp; CA$16)=$Z55,INDIRECT("'SpxSp (step-b)'!$" &amp; 'SpxSp (step-b)'!$BC$23 &amp; CA$16),"")</f>
        <v/>
      </c>
      <c r="CB55" s="1317" t="str">
        <f ca="1">IF(INDIRECT("'SpxSp (step-b)'!$B" &amp; CB$16)=$Z55,INDIRECT("'SpxSp (step-b)'!$" &amp; 'SpxSp (step-b)'!$BC$23 &amp; CB$16),"")</f>
        <v/>
      </c>
      <c r="CC55" s="1317" t="str">
        <f ca="1">IF(INDIRECT("'SpxSp (step-b)'!$B" &amp; CC$16)=$Z55,INDIRECT("'SpxSp (step-b)'!$" &amp; 'SpxSp (step-b)'!$BC$23 &amp; CC$16),"")</f>
        <v/>
      </c>
      <c r="CD55" s="1317" t="str">
        <f ca="1">IF(INDIRECT("'SpxSp (step-b)'!$B" &amp; CD$16)=$Z55,INDIRECT("'SpxSp (step-b)'!$" &amp; 'SpxSp (step-b)'!$BC$23 &amp; CD$16),"")</f>
        <v/>
      </c>
      <c r="CE55" s="1317" t="str">
        <f ca="1">IF(INDIRECT("'SpxSp (step-b)'!$B" &amp; CE$16)=$Z55,INDIRECT("'SpxSp (step-b)'!$" &amp; 'SpxSp (step-b)'!$BC$23 &amp; CE$16),"")</f>
        <v/>
      </c>
      <c r="CF55" s="1317" t="str">
        <f ca="1">IF(INDIRECT("'SpxSp (step-b)'!$B" &amp; CF$16)=$Z55,INDIRECT("'SpxSp (step-b)'!$" &amp; 'SpxSp (step-b)'!$BC$23 &amp; CF$16),"")</f>
        <v/>
      </c>
      <c r="CG55" s="1317" t="str">
        <f ca="1">IF(INDIRECT("'SpxSp (step-b)'!$B" &amp; CG$16)=$Z55,INDIRECT("'SpxSp (step-b)'!$" &amp; 'SpxSp (step-b)'!$BC$23 &amp; CG$16),"")</f>
        <v/>
      </c>
      <c r="CH55" s="1317" t="str">
        <f ca="1">IF(INDIRECT("'SpxSp (step-b)'!$B" &amp; CH$16)=$Z55,INDIRECT("'SpxSp (step-b)'!$" &amp; 'SpxSp (step-b)'!$BC$23 &amp; CH$16),"")</f>
        <v/>
      </c>
      <c r="CI55" s="1317" t="str">
        <f ca="1">IF(INDIRECT("'SpxSp (step-b)'!$B" &amp; CI$16)=$Z55,INDIRECT("'SpxSp (step-b)'!$" &amp; 'SpxSp (step-b)'!$BC$23 &amp; CI$16),"")</f>
        <v/>
      </c>
      <c r="CJ55" s="1317" t="str">
        <f ca="1">IF(INDIRECT("'SpxSp (step-b)'!$B" &amp; CJ$16)=$Z55,INDIRECT("'SpxSp (step-b)'!$" &amp; 'SpxSp (step-b)'!$BC$23 &amp; CJ$16),"")</f>
        <v/>
      </c>
      <c r="CK55" s="1317" t="str">
        <f ca="1">IF(INDIRECT("'SpxSp (step-b)'!$B" &amp; CK$16)=$Z55,INDIRECT("'SpxSp (step-b)'!$" &amp; 'SpxSp (step-b)'!$BC$23 &amp; CK$16),"")</f>
        <v/>
      </c>
      <c r="CL55" s="1317" t="str">
        <f ca="1">IF(INDIRECT("'SpxSp (step-b)'!$B" &amp; CL$16)=$Z55,INDIRECT("'SpxSp (step-b)'!$" &amp; 'SpxSp (step-b)'!$BC$23 &amp; CL$16),"")</f>
        <v/>
      </c>
      <c r="CM55" s="1317" t="str">
        <f ca="1">IF(INDIRECT("'SpxSp (step-b)'!$B" &amp; CM$16)=$Z55,INDIRECT("'SpxSp (step-b)'!$" &amp; 'SpxSp (step-b)'!$BC$23 &amp; CM$16),"")</f>
        <v/>
      </c>
      <c r="CN55" s="1317" t="str">
        <f ca="1">IF(INDIRECT("'SpxSp (step-b)'!$B" &amp; CN$16)=$Z55,INDIRECT("'SpxSp (step-b)'!$" &amp; 'SpxSp (step-b)'!$BC$23 &amp; CN$16),"")</f>
        <v/>
      </c>
      <c r="CO55" s="1317" t="str">
        <f ca="1">IF(INDIRECT("'SpxSp (step-b)'!$B" &amp; CO$16)=$Z55,INDIRECT("'SpxSp (step-b)'!$" &amp; 'SpxSp (step-b)'!$BC$23 &amp; CO$16),"")</f>
        <v/>
      </c>
      <c r="CP55" s="1317" t="str">
        <f ca="1">IF(INDIRECT("'SpxSp (step-b)'!$B" &amp; CP$16)=$Z55,INDIRECT("'SpxSp (step-b)'!$" &amp; 'SpxSp (step-b)'!$BC$23 &amp; CP$16),"")</f>
        <v/>
      </c>
      <c r="CQ55" s="1317" t="str">
        <f ca="1">IF(INDIRECT("'SpxSp (step-b)'!$B" &amp; CQ$16)=$Z55,INDIRECT("'SpxSp (step-b)'!$" &amp; 'SpxSp (step-b)'!$BC$23 &amp; CQ$16),"")</f>
        <v/>
      </c>
      <c r="CR55" s="1317" t="str">
        <f ca="1">IF(INDIRECT("'SpxSp (step-b)'!$B" &amp; CR$16)=$Z55,INDIRECT("'SpxSp (step-b)'!$" &amp; 'SpxSp (step-b)'!$BC$23 &amp; CR$16),"")</f>
        <v/>
      </c>
      <c r="CS55" s="1317" t="str">
        <f ca="1">IF(INDIRECT("'SpxSp (step-b)'!$B" &amp; CS$16)=$Z55,INDIRECT("'SpxSp (step-b)'!$" &amp; 'SpxSp (step-b)'!$BC$23 &amp; CS$16),"")</f>
        <v/>
      </c>
      <c r="CT55" s="1317" t="str">
        <f ca="1">IF(INDIRECT("'SpxSp (step-b)'!$B" &amp; CT$16)=$Z55,INDIRECT("'SpxSp (step-b)'!$" &amp; 'SpxSp (step-b)'!$BC$23 &amp; CT$16),"")</f>
        <v/>
      </c>
      <c r="CU55" s="1317" t="str">
        <f ca="1">IF(INDIRECT("'SpxSp (step-b)'!$B" &amp; CU$16)=$Z55,INDIRECT("'SpxSp (step-b)'!$" &amp; 'SpxSp (step-b)'!$BC$23 &amp; CU$16),"")</f>
        <v/>
      </c>
      <c r="CV55" s="1317" t="str">
        <f ca="1">IF(INDIRECT("'SpxSp (step-b)'!$B" &amp; CV$16)=$Z55,INDIRECT("'SpxSp (step-b)'!$" &amp; 'SpxSp (step-b)'!$BC$23 &amp; CV$16),"")</f>
        <v/>
      </c>
      <c r="CW55" s="1317" t="str">
        <f ca="1">IF(INDIRECT("'SpxSp (step-b)'!$B" &amp; CW$16)=$Z55,INDIRECT("'SpxSp (step-b)'!$" &amp; 'SpxSp (step-b)'!$BC$23 &amp; CW$16),"")</f>
        <v/>
      </c>
      <c r="CX55" s="1317" t="str">
        <f ca="1">IF(INDIRECT("'SpxSp (step-b)'!$B" &amp; CX$16)=$Z55,INDIRECT("'SpxSp (step-b)'!$" &amp; 'SpxSp (step-b)'!$BC$23 &amp; CX$16),"")</f>
        <v/>
      </c>
      <c r="CY55" s="1317" t="str">
        <f ca="1">IF(INDIRECT("'SpxSp (step-b)'!$B" &amp; CY$16)=$Z55,INDIRECT("'SpxSp (step-b)'!$" &amp; 'SpxSp (step-b)'!$BC$23 &amp; CY$16),"")</f>
        <v/>
      </c>
      <c r="CZ55" s="1317" t="str">
        <f ca="1">IF(INDIRECT("'SpxSp (step-b)'!$B" &amp; CZ$16)=$Z55,INDIRECT("'SpxSp (step-b)'!$" &amp; 'SpxSp (step-b)'!$BC$23 &amp; CZ$16),"")</f>
        <v/>
      </c>
      <c r="DA55" s="1317" t="str">
        <f ca="1">IF(INDIRECT("'SpxSp (step-b)'!$B" &amp; DA$16)=$Z55,INDIRECT("'SpxSp (step-b)'!$" &amp; 'SpxSp (step-b)'!$BC$23 &amp; DA$16),"")</f>
        <v/>
      </c>
      <c r="DB55" s="1317" t="str">
        <f ca="1">IF(INDIRECT("'SpxSp (step-b)'!$B" &amp; DB$16)=$Z55,INDIRECT("'SpxSp (step-b)'!$" &amp; 'SpxSp (step-b)'!$BC$23 &amp; DB$16),"")</f>
        <v/>
      </c>
      <c r="DC55" s="1317" t="str">
        <f ca="1">IF(INDIRECT("'SpxSp (step-b)'!$B" &amp; DC$16)=$Z55,INDIRECT("'SpxSp (step-b)'!$" &amp; 'SpxSp (step-b)'!$BC$23 &amp; DC$16),"")</f>
        <v/>
      </c>
      <c r="DD55" s="1317" t="str">
        <f ca="1">IF(INDIRECT("'SpxSp (step-b)'!$B" &amp; DD$16)=$Z55,INDIRECT("'SpxSp (step-b)'!$" &amp; 'SpxSp (step-b)'!$BC$23 &amp; DD$16),"")</f>
        <v/>
      </c>
      <c r="DE55" s="1317" t="str">
        <f ca="1">IF(INDIRECT("'SpxSp (step-b)'!$B" &amp; DE$16)=$Z55,INDIRECT("'SpxSp (step-b)'!$" &amp; 'SpxSp (step-b)'!$BC$23 &amp; DE$16),"")</f>
        <v/>
      </c>
      <c r="DF55" s="1317" t="str">
        <f ca="1">IF(INDIRECT("'SpxSp (step-b)'!$B" &amp; DF$16)=$Z55,INDIRECT("'SpxSp (step-b)'!$" &amp; 'SpxSp (step-b)'!$BC$23 &amp; DF$16),"")</f>
        <v/>
      </c>
      <c r="DG55" s="1317" t="str">
        <f ca="1">IF(INDIRECT("'SpxSp (step-b)'!$B" &amp; DG$16)=$Z55,INDIRECT("'SpxSp (step-b)'!$" &amp; 'SpxSp (step-b)'!$BC$23 &amp; DG$16),"")</f>
        <v/>
      </c>
      <c r="DH55" s="1317" t="str">
        <f ca="1">IF(INDIRECT("'SpxSp (step-b)'!$B" &amp; DH$16)=$Z55,INDIRECT("'SpxSp (step-b)'!$" &amp; 'SpxSp (step-b)'!$BC$23 &amp; DH$16),"")</f>
        <v/>
      </c>
      <c r="DI55" s="1317" t="str">
        <f ca="1">IF(INDIRECT("'SpxSp (step-b)'!$B" &amp; DI$16)=$Z55,INDIRECT("'SpxSp (step-b)'!$" &amp; 'SpxSp (step-b)'!$BC$23 &amp; DI$16),"")</f>
        <v/>
      </c>
      <c r="DJ55" s="1317" t="str">
        <f ca="1">IF(INDIRECT("'SpxSp (step-b)'!$B" &amp; DJ$16)=$Z55,INDIRECT("'SpxSp (step-b)'!$" &amp; 'SpxSp (step-b)'!$BC$23 &amp; DJ$16),"")</f>
        <v/>
      </c>
      <c r="DK55" s="1317" t="str">
        <f ca="1">IF(INDIRECT("'SpxSp (step-b)'!$B" &amp; DK$16)=$Z55,INDIRECT("'SpxSp (step-b)'!$" &amp; 'SpxSp (step-b)'!$BC$23 &amp; DK$16),"")</f>
        <v/>
      </c>
      <c r="DL55" s="1317" t="str">
        <f ca="1">IF(INDIRECT("'SpxSp (step-b)'!$B" &amp; DL$16)=$Z55,INDIRECT("'SpxSp (step-b)'!$" &amp; 'SpxSp (step-b)'!$BC$23 &amp; DL$16),"")</f>
        <v/>
      </c>
      <c r="DM55" s="1317" t="str">
        <f ca="1">IF(INDIRECT("'SpxSp (step-b)'!$B" &amp; DM$16)=$Z55,INDIRECT("'SpxSp (step-b)'!$" &amp; 'SpxSp (step-b)'!$BC$23 &amp; DM$16),"")</f>
        <v/>
      </c>
      <c r="DN55" s="1318" t="str">
        <f t="shared" ca="1" si="32"/>
        <v/>
      </c>
      <c r="DO55" s="1246" t="s">
        <v>1201</v>
      </c>
    </row>
    <row r="56" spans="2:119" ht="40" x14ac:dyDescent="0.2">
      <c r="B56" s="1450" t="str">
        <f t="shared" si="13"/>
        <v/>
      </c>
      <c r="C56" s="1451"/>
      <c r="D56" s="1451"/>
      <c r="E56" s="1451"/>
      <c r="F56" s="1452"/>
      <c r="G56" s="1319" t="str">
        <f t="shared" si="31"/>
        <v/>
      </c>
      <c r="H56" s="1320" t="str">
        <f t="shared" si="14"/>
        <v/>
      </c>
      <c r="I56" s="1321" t="str">
        <f t="shared" si="33"/>
        <v/>
      </c>
      <c r="J56" s="1296"/>
      <c r="K56" s="1322" t="str">
        <f>IFERROR(IF(OR(B56="",H56=0),"",VLOOKUP(B56,'SpxSp (step-c)'!B$18:O$67,6,FALSE)),"")</f>
        <v/>
      </c>
      <c r="L56" s="1323" t="str">
        <f ca="1">IFERROR(F(OR(B56="",H56=0),"",VLOOKUP($B56,'SpxSp (step-c)'!$B$18:O$67,12,FALSE)),"")</f>
        <v/>
      </c>
      <c r="M56" s="1321" t="str">
        <f ca="1">IF(AND(B56&lt;&gt;"",L56=""),"NA",IFERROR(VLOOKUP($B56,'SpxSp (step-c)'!$B$18:P$67,13,FALSE),""))</f>
        <v/>
      </c>
      <c r="N56" s="1324"/>
      <c r="O56" s="1322" t="str">
        <f>IFERROR(IF(OR(B56="",H56=0),"",VLOOKUP($B56,'SpxSp (step-d)'!$B$18:$P$67,12,FALSE)),"")</f>
        <v/>
      </c>
      <c r="P56" s="1323" t="str">
        <f>IFERROR(IF(OR(B56="",H56=0),"",VLOOKUP($B56,'SpxSp (step-d)'!$B$18:$P$67,13,FALSE)),"")</f>
        <v/>
      </c>
      <c r="Q56" s="1323" t="str">
        <f>IFERROR(IF(OR(B56="",H56=0),"",VLOOKUP($B56,'SpxSp (step-d)'!$B$18:$P$67,14,FALSE)),"")</f>
        <v/>
      </c>
      <c r="R56" s="1321" t="str">
        <f>IF(AND(B56&lt;&gt;"",P56=""),"NA",IFERROR(VLOOKUP(B56,'SpxSp (step-d)'!$B$18:$V$67,15,FALSE),""))</f>
        <v/>
      </c>
      <c r="S56" s="1296"/>
      <c r="T56" s="1325" t="str">
        <f t="shared" si="34"/>
        <v/>
      </c>
      <c r="U56" s="1326" t="str">
        <f t="shared" si="17"/>
        <v/>
      </c>
      <c r="Y56" s="1302">
        <v>39</v>
      </c>
      <c r="Z56" s="1303" t="str">
        <f>'SpxSp (step-a)'!B60</f>
        <v/>
      </c>
      <c r="AA56" s="1303" t="str">
        <f>'SpxSp (step-a)'!H60</f>
        <v/>
      </c>
      <c r="AB56" s="1290" t="str">
        <f>VLOOKUP($Z56,'SpxSp (step-a)'!$B$22:$O$71,AB$14,FALSE)</f>
        <v/>
      </c>
      <c r="AD56" s="1290" t="str">
        <f>IF(Z56="","",IFERROR(VLOOKUP($Z56,'SpxSp (step-a)'!$B$22:$O$71,AD$14,FALSE),0))</f>
        <v/>
      </c>
      <c r="AE56" s="1290" t="str">
        <f>IF(Z56="","",IFERROR(VLOOKUP($Z56,'SpxSp (step-a)'!$B$22:$O$71,AE$14,FALSE),0))</f>
        <v/>
      </c>
      <c r="AG56" s="1290" t="str">
        <f t="shared" si="36"/>
        <v/>
      </c>
      <c r="AI56" s="1290" t="str">
        <f>IF($Z56="","",SUMIFS('SpxSp (step-b)'!L$26:L$75,'SpxSp (step-b)'!B$26:B$75,Z56,'SpxSp (step-b)'!N$26:N$75,"New"))</f>
        <v/>
      </c>
      <c r="AJ56" s="1290" t="str">
        <f>IF($Z56="","",SUMIFS('SpxSp (step-b)'!$L$26:$L$75,'SpxSp (step-b)'!$B$26:$B$75,$Z56,'SpxSp (step-b)'!N$26:N$75,""))</f>
        <v/>
      </c>
      <c r="AK56" s="1290" t="str">
        <f>IF($Z56="","",SUMIFS('SpxSp (step-b)'!$J$26:$J$75,'SpxSp (step-b)'!$B$26:$B$75,$Z56,'SpxSp (step-b)'!$N$26:$N$75,"New")+SUMIFS('SpxSp (step-b)'!$J$26:$J$75,'SpxSp (step-b)'!$B$26:$B$75,$Z56,'SpxSp (step-b)'!$N$26:$N$75,""))</f>
        <v/>
      </c>
      <c r="AL56" s="1290" t="str">
        <f>IF($Z56="","",SUMIFS('SpxSp (step-b)'!$L$26:$L$75,'SpxSp (step-b)'!$B$26:$B$75,$Z56,'SpxSp (step-b)'!$N$26:$N$75,"Existing Remains"))</f>
        <v/>
      </c>
      <c r="AM56" s="1290" t="str">
        <f>IF($Z56="","",SUMIFS('SpxSp (step-b)'!$L$26:$L$75,'SpxSp (step-b)'!$B$26:$B$75,$Z56,'SpxSp (step-b)'!$N$26:$N$75,"Existing Removed"))</f>
        <v/>
      </c>
      <c r="AN56" s="1290" t="str">
        <f>IF($Z56="","",SUMIFS('SpxSp (step-b)'!$J$26:$J$75,'SpxSp (step-b)'!$B$26:$B$75,$Z56,'SpxSp (step-b)'!$N$26:$N$75,"Existing Removed"))</f>
        <v/>
      </c>
      <c r="AO56" s="1290" t="str">
        <f t="shared" si="37"/>
        <v/>
      </c>
      <c r="AP56" s="1290" t="str">
        <f t="shared" si="18"/>
        <v/>
      </c>
      <c r="AQ56" s="1304"/>
      <c r="AR56" s="1305" t="str">
        <f t="shared" si="19"/>
        <v/>
      </c>
      <c r="AS56" s="1306" t="str">
        <f t="shared" si="20"/>
        <v/>
      </c>
      <c r="AT56" s="1307"/>
      <c r="AU56" s="1308" t="str">
        <f t="shared" si="21"/>
        <v/>
      </c>
      <c r="AV56" s="1309" t="str">
        <f t="shared" si="38"/>
        <v/>
      </c>
      <c r="AW56" s="1309" t="str">
        <f t="shared" si="22"/>
        <v/>
      </c>
      <c r="AX56" s="1310" t="str">
        <f t="shared" si="23"/>
        <v/>
      </c>
      <c r="AY56" s="1307"/>
      <c r="AZ56" s="1311" t="str">
        <f t="shared" si="24"/>
        <v/>
      </c>
      <c r="BA56" s="1309" t="str">
        <f t="shared" si="25"/>
        <v/>
      </c>
      <c r="BB56" s="1310" t="str">
        <f t="shared" si="26"/>
        <v/>
      </c>
      <c r="BC56" s="1312"/>
      <c r="BD56" s="1313" t="str">
        <f t="shared" si="35"/>
        <v/>
      </c>
      <c r="BE56" s="1290" t="str">
        <f t="shared" si="27"/>
        <v/>
      </c>
      <c r="BF56" s="1290" t="str">
        <f t="shared" si="28"/>
        <v/>
      </c>
      <c r="BH56" s="1315" t="str">
        <f t="shared" si="39"/>
        <v/>
      </c>
      <c r="BI56" s="1315"/>
      <c r="BJ56" s="1303" t="str">
        <f>IF(OR(BH56="Fail",BH56="Fail LPA",BH56=""),"",'SpxSp (step-a)'!CM60)</f>
        <v/>
      </c>
      <c r="BK56" s="1290">
        <f t="shared" si="30"/>
        <v>0</v>
      </c>
      <c r="BN56" s="178">
        <v>39</v>
      </c>
      <c r="BO56" s="1316" t="str">
        <f t="shared" ca="1" si="29"/>
        <v/>
      </c>
      <c r="BP56" s="1317" t="str">
        <f ca="1">IF(INDIRECT("'SpxSp (step-b)'!$B" &amp; BP$16)=$Z56,INDIRECT("'SpxSp (step-b)'!$" &amp; 'SpxSp (step-b)'!$BC$23 &amp; BP$16),"")</f>
        <v/>
      </c>
      <c r="BQ56" s="1317" t="str">
        <f ca="1">IF(INDIRECT("'SpxSp (step-b)'!$B" &amp; BQ$16)=$Z56,INDIRECT("'SpxSp (step-b)'!$" &amp; 'SpxSp (step-b)'!$BC$23 &amp; BQ$16),"")</f>
        <v/>
      </c>
      <c r="BR56" s="1317" t="str">
        <f ca="1">IF(INDIRECT("'SpxSp (step-b)'!$B" &amp; BR$16)=$Z56,INDIRECT("'SpxSp (step-b)'!$" &amp; 'SpxSp (step-b)'!$BC$23 &amp; BR$16),"")</f>
        <v/>
      </c>
      <c r="BS56" s="1317" t="str">
        <f ca="1">IF(INDIRECT("'SpxSp (step-b)'!$B" &amp; BS$16)=$Z56,INDIRECT("'SpxSp (step-b)'!$" &amp; 'SpxSp (step-b)'!$BC$23 &amp; BS$16),"")</f>
        <v/>
      </c>
      <c r="BT56" s="1317" t="str">
        <f ca="1">IF(INDIRECT("'SpxSp (step-b)'!$B" &amp; BT$16)=$Z56,INDIRECT("'SpxSp (step-b)'!$" &amp; 'SpxSp (step-b)'!$BC$23 &amp; BT$16),"")</f>
        <v/>
      </c>
      <c r="BU56" s="1317" t="str">
        <f ca="1">IF(INDIRECT("'SpxSp (step-b)'!$B" &amp; BU$16)=$Z56,INDIRECT("'SpxSp (step-b)'!$" &amp; 'SpxSp (step-b)'!$BC$23 &amp; BU$16),"")</f>
        <v/>
      </c>
      <c r="BV56" s="1317" t="str">
        <f ca="1">IF(INDIRECT("'SpxSp (step-b)'!$B" &amp; BV$16)=$Z56,INDIRECT("'SpxSp (step-b)'!$" &amp; 'SpxSp (step-b)'!$BC$23 &amp; BV$16),"")</f>
        <v/>
      </c>
      <c r="BW56" s="1317" t="str">
        <f ca="1">IF(INDIRECT("'SpxSp (step-b)'!$B" &amp; BW$16)=$Z56,INDIRECT("'SpxSp (step-b)'!$" &amp; 'SpxSp (step-b)'!$BC$23 &amp; BW$16),"")</f>
        <v/>
      </c>
      <c r="BX56" s="1317" t="str">
        <f ca="1">IF(INDIRECT("'SpxSp (step-b)'!$B" &amp; BX$16)=$Z56,INDIRECT("'SpxSp (step-b)'!$" &amp; 'SpxSp (step-b)'!$BC$23 &amp; BX$16),"")</f>
        <v/>
      </c>
      <c r="BY56" s="1317" t="str">
        <f ca="1">IF(INDIRECT("'SpxSp (step-b)'!$B" &amp; BY$16)=$Z56,INDIRECT("'SpxSp (step-b)'!$" &amp; 'SpxSp (step-b)'!$BC$23 &amp; BY$16),"")</f>
        <v/>
      </c>
      <c r="BZ56" s="1317" t="str">
        <f ca="1">IF(INDIRECT("'SpxSp (step-b)'!$B" &amp; BZ$16)=$Z56,INDIRECT("'SpxSp (step-b)'!$" &amp; 'SpxSp (step-b)'!$BC$23 &amp; BZ$16),"")</f>
        <v/>
      </c>
      <c r="CA56" s="1317" t="str">
        <f ca="1">IF(INDIRECT("'SpxSp (step-b)'!$B" &amp; CA$16)=$Z56,INDIRECT("'SpxSp (step-b)'!$" &amp; 'SpxSp (step-b)'!$BC$23 &amp; CA$16),"")</f>
        <v/>
      </c>
      <c r="CB56" s="1317" t="str">
        <f ca="1">IF(INDIRECT("'SpxSp (step-b)'!$B" &amp; CB$16)=$Z56,INDIRECT("'SpxSp (step-b)'!$" &amp; 'SpxSp (step-b)'!$BC$23 &amp; CB$16),"")</f>
        <v/>
      </c>
      <c r="CC56" s="1317" t="str">
        <f ca="1">IF(INDIRECT("'SpxSp (step-b)'!$B" &amp; CC$16)=$Z56,INDIRECT("'SpxSp (step-b)'!$" &amp; 'SpxSp (step-b)'!$BC$23 &amp; CC$16),"")</f>
        <v/>
      </c>
      <c r="CD56" s="1317" t="str">
        <f ca="1">IF(INDIRECT("'SpxSp (step-b)'!$B" &amp; CD$16)=$Z56,INDIRECT("'SpxSp (step-b)'!$" &amp; 'SpxSp (step-b)'!$BC$23 &amp; CD$16),"")</f>
        <v/>
      </c>
      <c r="CE56" s="1317" t="str">
        <f ca="1">IF(INDIRECT("'SpxSp (step-b)'!$B" &amp; CE$16)=$Z56,INDIRECT("'SpxSp (step-b)'!$" &amp; 'SpxSp (step-b)'!$BC$23 &amp; CE$16),"")</f>
        <v/>
      </c>
      <c r="CF56" s="1317" t="str">
        <f ca="1">IF(INDIRECT("'SpxSp (step-b)'!$B" &amp; CF$16)=$Z56,INDIRECT("'SpxSp (step-b)'!$" &amp; 'SpxSp (step-b)'!$BC$23 &amp; CF$16),"")</f>
        <v/>
      </c>
      <c r="CG56" s="1317" t="str">
        <f ca="1">IF(INDIRECT("'SpxSp (step-b)'!$B" &amp; CG$16)=$Z56,INDIRECT("'SpxSp (step-b)'!$" &amp; 'SpxSp (step-b)'!$BC$23 &amp; CG$16),"")</f>
        <v/>
      </c>
      <c r="CH56" s="1317" t="str">
        <f ca="1">IF(INDIRECT("'SpxSp (step-b)'!$B" &amp; CH$16)=$Z56,INDIRECT("'SpxSp (step-b)'!$" &amp; 'SpxSp (step-b)'!$BC$23 &amp; CH$16),"")</f>
        <v/>
      </c>
      <c r="CI56" s="1317" t="str">
        <f ca="1">IF(INDIRECT("'SpxSp (step-b)'!$B" &amp; CI$16)=$Z56,INDIRECT("'SpxSp (step-b)'!$" &amp; 'SpxSp (step-b)'!$BC$23 &amp; CI$16),"")</f>
        <v/>
      </c>
      <c r="CJ56" s="1317" t="str">
        <f ca="1">IF(INDIRECT("'SpxSp (step-b)'!$B" &amp; CJ$16)=$Z56,INDIRECT("'SpxSp (step-b)'!$" &amp; 'SpxSp (step-b)'!$BC$23 &amp; CJ$16),"")</f>
        <v/>
      </c>
      <c r="CK56" s="1317" t="str">
        <f ca="1">IF(INDIRECT("'SpxSp (step-b)'!$B" &amp; CK$16)=$Z56,INDIRECT("'SpxSp (step-b)'!$" &amp; 'SpxSp (step-b)'!$BC$23 &amp; CK$16),"")</f>
        <v/>
      </c>
      <c r="CL56" s="1317" t="str">
        <f ca="1">IF(INDIRECT("'SpxSp (step-b)'!$B" &amp; CL$16)=$Z56,INDIRECT("'SpxSp (step-b)'!$" &amp; 'SpxSp (step-b)'!$BC$23 &amp; CL$16),"")</f>
        <v/>
      </c>
      <c r="CM56" s="1317" t="str">
        <f ca="1">IF(INDIRECT("'SpxSp (step-b)'!$B" &amp; CM$16)=$Z56,INDIRECT("'SpxSp (step-b)'!$" &amp; 'SpxSp (step-b)'!$BC$23 &amp; CM$16),"")</f>
        <v/>
      </c>
      <c r="CN56" s="1317" t="str">
        <f ca="1">IF(INDIRECT("'SpxSp (step-b)'!$B" &amp; CN$16)=$Z56,INDIRECT("'SpxSp (step-b)'!$" &amp; 'SpxSp (step-b)'!$BC$23 &amp; CN$16),"")</f>
        <v/>
      </c>
      <c r="CO56" s="1317" t="str">
        <f ca="1">IF(INDIRECT("'SpxSp (step-b)'!$B" &amp; CO$16)=$Z56,INDIRECT("'SpxSp (step-b)'!$" &amp; 'SpxSp (step-b)'!$BC$23 &amp; CO$16),"")</f>
        <v/>
      </c>
      <c r="CP56" s="1317" t="str">
        <f ca="1">IF(INDIRECT("'SpxSp (step-b)'!$B" &amp; CP$16)=$Z56,INDIRECT("'SpxSp (step-b)'!$" &amp; 'SpxSp (step-b)'!$BC$23 &amp; CP$16),"")</f>
        <v/>
      </c>
      <c r="CQ56" s="1317" t="str">
        <f ca="1">IF(INDIRECT("'SpxSp (step-b)'!$B" &amp; CQ$16)=$Z56,INDIRECT("'SpxSp (step-b)'!$" &amp; 'SpxSp (step-b)'!$BC$23 &amp; CQ$16),"")</f>
        <v/>
      </c>
      <c r="CR56" s="1317" t="str">
        <f ca="1">IF(INDIRECT("'SpxSp (step-b)'!$B" &amp; CR$16)=$Z56,INDIRECT("'SpxSp (step-b)'!$" &amp; 'SpxSp (step-b)'!$BC$23 &amp; CR$16),"")</f>
        <v/>
      </c>
      <c r="CS56" s="1317" t="str">
        <f ca="1">IF(INDIRECT("'SpxSp (step-b)'!$B" &amp; CS$16)=$Z56,INDIRECT("'SpxSp (step-b)'!$" &amp; 'SpxSp (step-b)'!$BC$23 &amp; CS$16),"")</f>
        <v/>
      </c>
      <c r="CT56" s="1317" t="str">
        <f ca="1">IF(INDIRECT("'SpxSp (step-b)'!$B" &amp; CT$16)=$Z56,INDIRECT("'SpxSp (step-b)'!$" &amp; 'SpxSp (step-b)'!$BC$23 &amp; CT$16),"")</f>
        <v/>
      </c>
      <c r="CU56" s="1317" t="str">
        <f ca="1">IF(INDIRECT("'SpxSp (step-b)'!$B" &amp; CU$16)=$Z56,INDIRECT("'SpxSp (step-b)'!$" &amp; 'SpxSp (step-b)'!$BC$23 &amp; CU$16),"")</f>
        <v/>
      </c>
      <c r="CV56" s="1317" t="str">
        <f ca="1">IF(INDIRECT("'SpxSp (step-b)'!$B" &amp; CV$16)=$Z56,INDIRECT("'SpxSp (step-b)'!$" &amp; 'SpxSp (step-b)'!$BC$23 &amp; CV$16),"")</f>
        <v/>
      </c>
      <c r="CW56" s="1317" t="str">
        <f ca="1">IF(INDIRECT("'SpxSp (step-b)'!$B" &amp; CW$16)=$Z56,INDIRECT("'SpxSp (step-b)'!$" &amp; 'SpxSp (step-b)'!$BC$23 &amp; CW$16),"")</f>
        <v/>
      </c>
      <c r="CX56" s="1317" t="str">
        <f ca="1">IF(INDIRECT("'SpxSp (step-b)'!$B" &amp; CX$16)=$Z56,INDIRECT("'SpxSp (step-b)'!$" &amp; 'SpxSp (step-b)'!$BC$23 &amp; CX$16),"")</f>
        <v/>
      </c>
      <c r="CY56" s="1317" t="str">
        <f ca="1">IF(INDIRECT("'SpxSp (step-b)'!$B" &amp; CY$16)=$Z56,INDIRECT("'SpxSp (step-b)'!$" &amp; 'SpxSp (step-b)'!$BC$23 &amp; CY$16),"")</f>
        <v/>
      </c>
      <c r="CZ56" s="1317" t="str">
        <f ca="1">IF(INDIRECT("'SpxSp (step-b)'!$B" &amp; CZ$16)=$Z56,INDIRECT("'SpxSp (step-b)'!$" &amp; 'SpxSp (step-b)'!$BC$23 &amp; CZ$16),"")</f>
        <v/>
      </c>
      <c r="DA56" s="1317" t="str">
        <f ca="1">IF(INDIRECT("'SpxSp (step-b)'!$B" &amp; DA$16)=$Z56,INDIRECT("'SpxSp (step-b)'!$" &amp; 'SpxSp (step-b)'!$BC$23 &amp; DA$16),"")</f>
        <v/>
      </c>
      <c r="DB56" s="1317" t="str">
        <f ca="1">IF(INDIRECT("'SpxSp (step-b)'!$B" &amp; DB$16)=$Z56,INDIRECT("'SpxSp (step-b)'!$" &amp; 'SpxSp (step-b)'!$BC$23 &amp; DB$16),"")</f>
        <v/>
      </c>
      <c r="DC56" s="1317" t="str">
        <f ca="1">IF(INDIRECT("'SpxSp (step-b)'!$B" &amp; DC$16)=$Z56,INDIRECT("'SpxSp (step-b)'!$" &amp; 'SpxSp (step-b)'!$BC$23 &amp; DC$16),"")</f>
        <v/>
      </c>
      <c r="DD56" s="1317" t="str">
        <f ca="1">IF(INDIRECT("'SpxSp (step-b)'!$B" &amp; DD$16)=$Z56,INDIRECT("'SpxSp (step-b)'!$" &amp; 'SpxSp (step-b)'!$BC$23 &amp; DD$16),"")</f>
        <v/>
      </c>
      <c r="DE56" s="1317" t="str">
        <f ca="1">IF(INDIRECT("'SpxSp (step-b)'!$B" &amp; DE$16)=$Z56,INDIRECT("'SpxSp (step-b)'!$" &amp; 'SpxSp (step-b)'!$BC$23 &amp; DE$16),"")</f>
        <v/>
      </c>
      <c r="DF56" s="1317" t="str">
        <f ca="1">IF(INDIRECT("'SpxSp (step-b)'!$B" &amp; DF$16)=$Z56,INDIRECT("'SpxSp (step-b)'!$" &amp; 'SpxSp (step-b)'!$BC$23 &amp; DF$16),"")</f>
        <v/>
      </c>
      <c r="DG56" s="1317" t="str">
        <f ca="1">IF(INDIRECT("'SpxSp (step-b)'!$B" &amp; DG$16)=$Z56,INDIRECT("'SpxSp (step-b)'!$" &amp; 'SpxSp (step-b)'!$BC$23 &amp; DG$16),"")</f>
        <v/>
      </c>
      <c r="DH56" s="1317" t="str">
        <f ca="1">IF(INDIRECT("'SpxSp (step-b)'!$B" &amp; DH$16)=$Z56,INDIRECT("'SpxSp (step-b)'!$" &amp; 'SpxSp (step-b)'!$BC$23 &amp; DH$16),"")</f>
        <v/>
      </c>
      <c r="DI56" s="1317" t="str">
        <f ca="1">IF(INDIRECT("'SpxSp (step-b)'!$B" &amp; DI$16)=$Z56,INDIRECT("'SpxSp (step-b)'!$" &amp; 'SpxSp (step-b)'!$BC$23 &amp; DI$16),"")</f>
        <v/>
      </c>
      <c r="DJ56" s="1317" t="str">
        <f ca="1">IF(INDIRECT("'SpxSp (step-b)'!$B" &amp; DJ$16)=$Z56,INDIRECT("'SpxSp (step-b)'!$" &amp; 'SpxSp (step-b)'!$BC$23 &amp; DJ$16),"")</f>
        <v/>
      </c>
      <c r="DK56" s="1317" t="str">
        <f ca="1">IF(INDIRECT("'SpxSp (step-b)'!$B" &amp; DK$16)=$Z56,INDIRECT("'SpxSp (step-b)'!$" &amp; 'SpxSp (step-b)'!$BC$23 &amp; DK$16),"")</f>
        <v/>
      </c>
      <c r="DL56" s="1317" t="str">
        <f ca="1">IF(INDIRECT("'SpxSp (step-b)'!$B" &amp; DL$16)=$Z56,INDIRECT("'SpxSp (step-b)'!$" &amp; 'SpxSp (step-b)'!$BC$23 &amp; DL$16),"")</f>
        <v/>
      </c>
      <c r="DM56" s="1317" t="str">
        <f ca="1">IF(INDIRECT("'SpxSp (step-b)'!$B" &amp; DM$16)=$Z56,INDIRECT("'SpxSp (step-b)'!$" &amp; 'SpxSp (step-b)'!$BC$23 &amp; DM$16),"")</f>
        <v/>
      </c>
      <c r="DN56" s="1318" t="str">
        <f t="shared" ca="1" si="32"/>
        <v/>
      </c>
      <c r="DO56" s="1246" t="s">
        <v>1201</v>
      </c>
    </row>
    <row r="57" spans="2:119" ht="40" x14ac:dyDescent="0.2">
      <c r="B57" s="1450" t="str">
        <f t="shared" si="13"/>
        <v/>
      </c>
      <c r="C57" s="1451"/>
      <c r="D57" s="1451"/>
      <c r="E57" s="1451"/>
      <c r="F57" s="1452"/>
      <c r="G57" s="1319" t="str">
        <f t="shared" si="31"/>
        <v/>
      </c>
      <c r="H57" s="1320" t="str">
        <f t="shared" si="14"/>
        <v/>
      </c>
      <c r="I57" s="1321" t="str">
        <f t="shared" si="33"/>
        <v/>
      </c>
      <c r="J57" s="1296"/>
      <c r="K57" s="1322" t="str">
        <f>IFERROR(IF(OR(B57="",H57=0),"",VLOOKUP(B57,'SpxSp (step-c)'!B$18:O$67,6,FALSE)),"")</f>
        <v/>
      </c>
      <c r="L57" s="1323" t="str">
        <f ca="1">IFERROR(F(OR(B57="",H57=0),"",VLOOKUP($B57,'SpxSp (step-c)'!$B$18:O$67,12,FALSE)),"")</f>
        <v/>
      </c>
      <c r="M57" s="1321" t="str">
        <f ca="1">IF(AND(B57&lt;&gt;"",L57=""),"NA",IFERROR(VLOOKUP($B57,'SpxSp (step-c)'!$B$18:P$67,13,FALSE),""))</f>
        <v/>
      </c>
      <c r="N57" s="1324"/>
      <c r="O57" s="1322" t="str">
        <f>IFERROR(IF(OR(B57="",H57=0),"",VLOOKUP($B57,'SpxSp (step-d)'!$B$18:$P$67,12,FALSE)),"")</f>
        <v/>
      </c>
      <c r="P57" s="1323" t="str">
        <f>IFERROR(IF(OR(B57="",H57=0),"",VLOOKUP($B57,'SpxSp (step-d)'!$B$18:$P$67,13,FALSE)),"")</f>
        <v/>
      </c>
      <c r="Q57" s="1323" t="str">
        <f>IFERROR(IF(OR(B57="",H57=0),"",VLOOKUP($B57,'SpxSp (step-d)'!$B$18:$P$67,14,FALSE)),"")</f>
        <v/>
      </c>
      <c r="R57" s="1321" t="str">
        <f>IF(AND(B57&lt;&gt;"",P57=""),"NA",IFERROR(VLOOKUP(B57,'SpxSp (step-d)'!$B$18:$V$67,15,FALSE),""))</f>
        <v/>
      </c>
      <c r="S57" s="1296"/>
      <c r="T57" s="1325" t="str">
        <f t="shared" si="34"/>
        <v/>
      </c>
      <c r="U57" s="1326" t="str">
        <f t="shared" si="17"/>
        <v/>
      </c>
      <c r="Y57" s="1302">
        <v>40</v>
      </c>
      <c r="Z57" s="1303" t="str">
        <f>'SpxSp (step-a)'!B61</f>
        <v/>
      </c>
      <c r="AA57" s="1303" t="str">
        <f>'SpxSp (step-a)'!H61</f>
        <v/>
      </c>
      <c r="AB57" s="1290" t="str">
        <f>VLOOKUP($Z57,'SpxSp (step-a)'!$B$22:$O$71,AB$14,FALSE)</f>
        <v/>
      </c>
      <c r="AD57" s="1290" t="str">
        <f>IF(Z57="","",IFERROR(VLOOKUP($Z57,'SpxSp (step-a)'!$B$22:$O$71,AD$14,FALSE),0))</f>
        <v/>
      </c>
      <c r="AE57" s="1290" t="str">
        <f>IF(Z57="","",IFERROR(VLOOKUP($Z57,'SpxSp (step-a)'!$B$22:$O$71,AE$14,FALSE),0))</f>
        <v/>
      </c>
      <c r="AG57" s="1290" t="str">
        <f t="shared" si="36"/>
        <v/>
      </c>
      <c r="AI57" s="1290" t="str">
        <f>IF($Z57="","",SUMIFS('SpxSp (step-b)'!L$26:L$75,'SpxSp (step-b)'!B$26:B$75,Z57,'SpxSp (step-b)'!N$26:N$75,"New"))</f>
        <v/>
      </c>
      <c r="AJ57" s="1290" t="str">
        <f>IF($Z57="","",SUMIFS('SpxSp (step-b)'!$L$26:$L$75,'SpxSp (step-b)'!$B$26:$B$75,$Z57,'SpxSp (step-b)'!N$26:N$75,""))</f>
        <v/>
      </c>
      <c r="AK57" s="1290" t="str">
        <f>IF($Z57="","",SUMIFS('SpxSp (step-b)'!$J$26:$J$75,'SpxSp (step-b)'!$B$26:$B$75,$Z57,'SpxSp (step-b)'!$N$26:$N$75,"New")+SUMIFS('SpxSp (step-b)'!$J$26:$J$75,'SpxSp (step-b)'!$B$26:$B$75,$Z57,'SpxSp (step-b)'!$N$26:$N$75,""))</f>
        <v/>
      </c>
      <c r="AL57" s="1290" t="str">
        <f>IF($Z57="","",SUMIFS('SpxSp (step-b)'!$L$26:$L$75,'SpxSp (step-b)'!$B$26:$B$75,$Z57,'SpxSp (step-b)'!$N$26:$N$75,"Existing Remains"))</f>
        <v/>
      </c>
      <c r="AM57" s="1290" t="str">
        <f>IF($Z57="","",SUMIFS('SpxSp (step-b)'!$L$26:$L$75,'SpxSp (step-b)'!$B$26:$B$75,$Z57,'SpxSp (step-b)'!$N$26:$N$75,"Existing Removed"))</f>
        <v/>
      </c>
      <c r="AN57" s="1290" t="str">
        <f>IF($Z57="","",SUMIFS('SpxSp (step-b)'!$J$26:$J$75,'SpxSp (step-b)'!$B$26:$B$75,$Z57,'SpxSp (step-b)'!$N$26:$N$75,"Existing Removed"))</f>
        <v/>
      </c>
      <c r="AO57" s="1290" t="str">
        <f t="shared" si="37"/>
        <v/>
      </c>
      <c r="AP57" s="1290" t="str">
        <f t="shared" si="18"/>
        <v/>
      </c>
      <c r="AQ57" s="1304"/>
      <c r="AR57" s="1305" t="str">
        <f t="shared" si="19"/>
        <v/>
      </c>
      <c r="AS57" s="1306" t="str">
        <f t="shared" si="20"/>
        <v/>
      </c>
      <c r="AT57" s="1307"/>
      <c r="AU57" s="1308" t="str">
        <f t="shared" si="21"/>
        <v/>
      </c>
      <c r="AV57" s="1309" t="str">
        <f t="shared" si="38"/>
        <v/>
      </c>
      <c r="AW57" s="1309" t="str">
        <f t="shared" si="22"/>
        <v/>
      </c>
      <c r="AX57" s="1310" t="str">
        <f t="shared" si="23"/>
        <v/>
      </c>
      <c r="AY57" s="1307"/>
      <c r="AZ57" s="1311" t="str">
        <f t="shared" si="24"/>
        <v/>
      </c>
      <c r="BA57" s="1309" t="str">
        <f t="shared" si="25"/>
        <v/>
      </c>
      <c r="BB57" s="1310" t="str">
        <f t="shared" si="26"/>
        <v/>
      </c>
      <c r="BC57" s="1312"/>
      <c r="BD57" s="1313" t="str">
        <f t="shared" si="35"/>
        <v/>
      </c>
      <c r="BE57" s="1290" t="str">
        <f t="shared" si="27"/>
        <v/>
      </c>
      <c r="BF57" s="1290" t="str">
        <f t="shared" si="28"/>
        <v/>
      </c>
      <c r="BH57" s="1315" t="str">
        <f t="shared" si="39"/>
        <v/>
      </c>
      <c r="BI57" s="1315"/>
      <c r="BJ57" s="1303" t="str">
        <f>IF(OR(BH57="Fail",BH57="Fail LPA",BH57=""),"",'SpxSp (step-a)'!CM61)</f>
        <v/>
      </c>
      <c r="BK57" s="1290">
        <f t="shared" si="30"/>
        <v>0</v>
      </c>
      <c r="BN57" s="178">
        <v>40</v>
      </c>
      <c r="BO57" s="1316" t="str">
        <f t="shared" ca="1" si="29"/>
        <v/>
      </c>
      <c r="BP57" s="1317" t="str">
        <f ca="1">IF(INDIRECT("'SpxSp (step-b)'!$B" &amp; BP$16)=$Z57,INDIRECT("'SpxSp (step-b)'!$" &amp; 'SpxSp (step-b)'!$BC$23 &amp; BP$16),"")</f>
        <v/>
      </c>
      <c r="BQ57" s="1317" t="str">
        <f ca="1">IF(INDIRECT("'SpxSp (step-b)'!$B" &amp; BQ$16)=$Z57,INDIRECT("'SpxSp (step-b)'!$" &amp; 'SpxSp (step-b)'!$BC$23 &amp; BQ$16),"")</f>
        <v/>
      </c>
      <c r="BR57" s="1317" t="str">
        <f ca="1">IF(INDIRECT("'SpxSp (step-b)'!$B" &amp; BR$16)=$Z57,INDIRECT("'SpxSp (step-b)'!$" &amp; 'SpxSp (step-b)'!$BC$23 &amp; BR$16),"")</f>
        <v/>
      </c>
      <c r="BS57" s="1317" t="str">
        <f ca="1">IF(INDIRECT("'SpxSp (step-b)'!$B" &amp; BS$16)=$Z57,INDIRECT("'SpxSp (step-b)'!$" &amp; 'SpxSp (step-b)'!$BC$23 &amp; BS$16),"")</f>
        <v/>
      </c>
      <c r="BT57" s="1317" t="str">
        <f ca="1">IF(INDIRECT("'SpxSp (step-b)'!$B" &amp; BT$16)=$Z57,INDIRECT("'SpxSp (step-b)'!$" &amp; 'SpxSp (step-b)'!$BC$23 &amp; BT$16),"")</f>
        <v/>
      </c>
      <c r="BU57" s="1317" t="str">
        <f ca="1">IF(INDIRECT("'SpxSp (step-b)'!$B" &amp; BU$16)=$Z57,INDIRECT("'SpxSp (step-b)'!$" &amp; 'SpxSp (step-b)'!$BC$23 &amp; BU$16),"")</f>
        <v/>
      </c>
      <c r="BV57" s="1317" t="str">
        <f ca="1">IF(INDIRECT("'SpxSp (step-b)'!$B" &amp; BV$16)=$Z57,INDIRECT("'SpxSp (step-b)'!$" &amp; 'SpxSp (step-b)'!$BC$23 &amp; BV$16),"")</f>
        <v/>
      </c>
      <c r="BW57" s="1317" t="str">
        <f ca="1">IF(INDIRECT("'SpxSp (step-b)'!$B" &amp; BW$16)=$Z57,INDIRECT("'SpxSp (step-b)'!$" &amp; 'SpxSp (step-b)'!$BC$23 &amp; BW$16),"")</f>
        <v/>
      </c>
      <c r="BX57" s="1317" t="str">
        <f ca="1">IF(INDIRECT("'SpxSp (step-b)'!$B" &amp; BX$16)=$Z57,INDIRECT("'SpxSp (step-b)'!$" &amp; 'SpxSp (step-b)'!$BC$23 &amp; BX$16),"")</f>
        <v/>
      </c>
      <c r="BY57" s="1317" t="str">
        <f ca="1">IF(INDIRECT("'SpxSp (step-b)'!$B" &amp; BY$16)=$Z57,INDIRECT("'SpxSp (step-b)'!$" &amp; 'SpxSp (step-b)'!$BC$23 &amp; BY$16),"")</f>
        <v/>
      </c>
      <c r="BZ57" s="1317" t="str">
        <f ca="1">IF(INDIRECT("'SpxSp (step-b)'!$B" &amp; BZ$16)=$Z57,INDIRECT("'SpxSp (step-b)'!$" &amp; 'SpxSp (step-b)'!$BC$23 &amp; BZ$16),"")</f>
        <v/>
      </c>
      <c r="CA57" s="1317" t="str">
        <f ca="1">IF(INDIRECT("'SpxSp (step-b)'!$B" &amp; CA$16)=$Z57,INDIRECT("'SpxSp (step-b)'!$" &amp; 'SpxSp (step-b)'!$BC$23 &amp; CA$16),"")</f>
        <v/>
      </c>
      <c r="CB57" s="1317" t="str">
        <f ca="1">IF(INDIRECT("'SpxSp (step-b)'!$B" &amp; CB$16)=$Z57,INDIRECT("'SpxSp (step-b)'!$" &amp; 'SpxSp (step-b)'!$BC$23 &amp; CB$16),"")</f>
        <v/>
      </c>
      <c r="CC57" s="1317" t="str">
        <f ca="1">IF(INDIRECT("'SpxSp (step-b)'!$B" &amp; CC$16)=$Z57,INDIRECT("'SpxSp (step-b)'!$" &amp; 'SpxSp (step-b)'!$BC$23 &amp; CC$16),"")</f>
        <v/>
      </c>
      <c r="CD57" s="1317" t="str">
        <f ca="1">IF(INDIRECT("'SpxSp (step-b)'!$B" &amp; CD$16)=$Z57,INDIRECT("'SpxSp (step-b)'!$" &amp; 'SpxSp (step-b)'!$BC$23 &amp; CD$16),"")</f>
        <v/>
      </c>
      <c r="CE57" s="1317" t="str">
        <f ca="1">IF(INDIRECT("'SpxSp (step-b)'!$B" &amp; CE$16)=$Z57,INDIRECT("'SpxSp (step-b)'!$" &amp; 'SpxSp (step-b)'!$BC$23 &amp; CE$16),"")</f>
        <v/>
      </c>
      <c r="CF57" s="1317" t="str">
        <f ca="1">IF(INDIRECT("'SpxSp (step-b)'!$B" &amp; CF$16)=$Z57,INDIRECT("'SpxSp (step-b)'!$" &amp; 'SpxSp (step-b)'!$BC$23 &amp; CF$16),"")</f>
        <v/>
      </c>
      <c r="CG57" s="1317" t="str">
        <f ca="1">IF(INDIRECT("'SpxSp (step-b)'!$B" &amp; CG$16)=$Z57,INDIRECT("'SpxSp (step-b)'!$" &amp; 'SpxSp (step-b)'!$BC$23 &amp; CG$16),"")</f>
        <v/>
      </c>
      <c r="CH57" s="1317" t="str">
        <f ca="1">IF(INDIRECT("'SpxSp (step-b)'!$B" &amp; CH$16)=$Z57,INDIRECT("'SpxSp (step-b)'!$" &amp; 'SpxSp (step-b)'!$BC$23 &amp; CH$16),"")</f>
        <v/>
      </c>
      <c r="CI57" s="1317" t="str">
        <f ca="1">IF(INDIRECT("'SpxSp (step-b)'!$B" &amp; CI$16)=$Z57,INDIRECT("'SpxSp (step-b)'!$" &amp; 'SpxSp (step-b)'!$BC$23 &amp; CI$16),"")</f>
        <v/>
      </c>
      <c r="CJ57" s="1317" t="str">
        <f ca="1">IF(INDIRECT("'SpxSp (step-b)'!$B" &amp; CJ$16)=$Z57,INDIRECT("'SpxSp (step-b)'!$" &amp; 'SpxSp (step-b)'!$BC$23 &amp; CJ$16),"")</f>
        <v/>
      </c>
      <c r="CK57" s="1317" t="str">
        <f ca="1">IF(INDIRECT("'SpxSp (step-b)'!$B" &amp; CK$16)=$Z57,INDIRECT("'SpxSp (step-b)'!$" &amp; 'SpxSp (step-b)'!$BC$23 &amp; CK$16),"")</f>
        <v/>
      </c>
      <c r="CL57" s="1317" t="str">
        <f ca="1">IF(INDIRECT("'SpxSp (step-b)'!$B" &amp; CL$16)=$Z57,INDIRECT("'SpxSp (step-b)'!$" &amp; 'SpxSp (step-b)'!$BC$23 &amp; CL$16),"")</f>
        <v/>
      </c>
      <c r="CM57" s="1317" t="str">
        <f ca="1">IF(INDIRECT("'SpxSp (step-b)'!$B" &amp; CM$16)=$Z57,INDIRECT("'SpxSp (step-b)'!$" &amp; 'SpxSp (step-b)'!$BC$23 &amp; CM$16),"")</f>
        <v/>
      </c>
      <c r="CN57" s="1317" t="str">
        <f ca="1">IF(INDIRECT("'SpxSp (step-b)'!$B" &amp; CN$16)=$Z57,INDIRECT("'SpxSp (step-b)'!$" &amp; 'SpxSp (step-b)'!$BC$23 &amp; CN$16),"")</f>
        <v/>
      </c>
      <c r="CO57" s="1317" t="str">
        <f ca="1">IF(INDIRECT("'SpxSp (step-b)'!$B" &amp; CO$16)=$Z57,INDIRECT("'SpxSp (step-b)'!$" &amp; 'SpxSp (step-b)'!$BC$23 &amp; CO$16),"")</f>
        <v/>
      </c>
      <c r="CP57" s="1317" t="str">
        <f ca="1">IF(INDIRECT("'SpxSp (step-b)'!$B" &amp; CP$16)=$Z57,INDIRECT("'SpxSp (step-b)'!$" &amp; 'SpxSp (step-b)'!$BC$23 &amp; CP$16),"")</f>
        <v/>
      </c>
      <c r="CQ57" s="1317" t="str">
        <f ca="1">IF(INDIRECT("'SpxSp (step-b)'!$B" &amp; CQ$16)=$Z57,INDIRECT("'SpxSp (step-b)'!$" &amp; 'SpxSp (step-b)'!$BC$23 &amp; CQ$16),"")</f>
        <v/>
      </c>
      <c r="CR57" s="1317" t="str">
        <f ca="1">IF(INDIRECT("'SpxSp (step-b)'!$B" &amp; CR$16)=$Z57,INDIRECT("'SpxSp (step-b)'!$" &amp; 'SpxSp (step-b)'!$BC$23 &amp; CR$16),"")</f>
        <v/>
      </c>
      <c r="CS57" s="1317" t="str">
        <f ca="1">IF(INDIRECT("'SpxSp (step-b)'!$B" &amp; CS$16)=$Z57,INDIRECT("'SpxSp (step-b)'!$" &amp; 'SpxSp (step-b)'!$BC$23 &amp; CS$16),"")</f>
        <v/>
      </c>
      <c r="CT57" s="1317" t="str">
        <f ca="1">IF(INDIRECT("'SpxSp (step-b)'!$B" &amp; CT$16)=$Z57,INDIRECT("'SpxSp (step-b)'!$" &amp; 'SpxSp (step-b)'!$BC$23 &amp; CT$16),"")</f>
        <v/>
      </c>
      <c r="CU57" s="1317" t="str">
        <f ca="1">IF(INDIRECT("'SpxSp (step-b)'!$B" &amp; CU$16)=$Z57,INDIRECT("'SpxSp (step-b)'!$" &amp; 'SpxSp (step-b)'!$BC$23 &amp; CU$16),"")</f>
        <v/>
      </c>
      <c r="CV57" s="1317" t="str">
        <f ca="1">IF(INDIRECT("'SpxSp (step-b)'!$B" &amp; CV$16)=$Z57,INDIRECT("'SpxSp (step-b)'!$" &amp; 'SpxSp (step-b)'!$BC$23 &amp; CV$16),"")</f>
        <v/>
      </c>
      <c r="CW57" s="1317" t="str">
        <f ca="1">IF(INDIRECT("'SpxSp (step-b)'!$B" &amp; CW$16)=$Z57,INDIRECT("'SpxSp (step-b)'!$" &amp; 'SpxSp (step-b)'!$BC$23 &amp; CW$16),"")</f>
        <v/>
      </c>
      <c r="CX57" s="1317" t="str">
        <f ca="1">IF(INDIRECT("'SpxSp (step-b)'!$B" &amp; CX$16)=$Z57,INDIRECT("'SpxSp (step-b)'!$" &amp; 'SpxSp (step-b)'!$BC$23 &amp; CX$16),"")</f>
        <v/>
      </c>
      <c r="CY57" s="1317" t="str">
        <f ca="1">IF(INDIRECT("'SpxSp (step-b)'!$B" &amp; CY$16)=$Z57,INDIRECT("'SpxSp (step-b)'!$" &amp; 'SpxSp (step-b)'!$BC$23 &amp; CY$16),"")</f>
        <v/>
      </c>
      <c r="CZ57" s="1317" t="str">
        <f ca="1">IF(INDIRECT("'SpxSp (step-b)'!$B" &amp; CZ$16)=$Z57,INDIRECT("'SpxSp (step-b)'!$" &amp; 'SpxSp (step-b)'!$BC$23 &amp; CZ$16),"")</f>
        <v/>
      </c>
      <c r="DA57" s="1317" t="str">
        <f ca="1">IF(INDIRECT("'SpxSp (step-b)'!$B" &amp; DA$16)=$Z57,INDIRECT("'SpxSp (step-b)'!$" &amp; 'SpxSp (step-b)'!$BC$23 &amp; DA$16),"")</f>
        <v/>
      </c>
      <c r="DB57" s="1317" t="str">
        <f ca="1">IF(INDIRECT("'SpxSp (step-b)'!$B" &amp; DB$16)=$Z57,INDIRECT("'SpxSp (step-b)'!$" &amp; 'SpxSp (step-b)'!$BC$23 &amp; DB$16),"")</f>
        <v/>
      </c>
      <c r="DC57" s="1317" t="str">
        <f ca="1">IF(INDIRECT("'SpxSp (step-b)'!$B" &amp; DC$16)=$Z57,INDIRECT("'SpxSp (step-b)'!$" &amp; 'SpxSp (step-b)'!$BC$23 &amp; DC$16),"")</f>
        <v/>
      </c>
      <c r="DD57" s="1317" t="str">
        <f ca="1">IF(INDIRECT("'SpxSp (step-b)'!$B" &amp; DD$16)=$Z57,INDIRECT("'SpxSp (step-b)'!$" &amp; 'SpxSp (step-b)'!$BC$23 &amp; DD$16),"")</f>
        <v/>
      </c>
      <c r="DE57" s="1317" t="str">
        <f ca="1">IF(INDIRECT("'SpxSp (step-b)'!$B" &amp; DE$16)=$Z57,INDIRECT("'SpxSp (step-b)'!$" &amp; 'SpxSp (step-b)'!$BC$23 &amp; DE$16),"")</f>
        <v/>
      </c>
      <c r="DF57" s="1317" t="str">
        <f ca="1">IF(INDIRECT("'SpxSp (step-b)'!$B" &amp; DF$16)=$Z57,INDIRECT("'SpxSp (step-b)'!$" &amp; 'SpxSp (step-b)'!$BC$23 &amp; DF$16),"")</f>
        <v/>
      </c>
      <c r="DG57" s="1317" t="str">
        <f ca="1">IF(INDIRECT("'SpxSp (step-b)'!$B" &amp; DG$16)=$Z57,INDIRECT("'SpxSp (step-b)'!$" &amp; 'SpxSp (step-b)'!$BC$23 &amp; DG$16),"")</f>
        <v/>
      </c>
      <c r="DH57" s="1317" t="str">
        <f ca="1">IF(INDIRECT("'SpxSp (step-b)'!$B" &amp; DH$16)=$Z57,INDIRECT("'SpxSp (step-b)'!$" &amp; 'SpxSp (step-b)'!$BC$23 &amp; DH$16),"")</f>
        <v/>
      </c>
      <c r="DI57" s="1317" t="str">
        <f ca="1">IF(INDIRECT("'SpxSp (step-b)'!$B" &amp; DI$16)=$Z57,INDIRECT("'SpxSp (step-b)'!$" &amp; 'SpxSp (step-b)'!$BC$23 &amp; DI$16),"")</f>
        <v/>
      </c>
      <c r="DJ57" s="1317" t="str">
        <f ca="1">IF(INDIRECT("'SpxSp (step-b)'!$B" &amp; DJ$16)=$Z57,INDIRECT("'SpxSp (step-b)'!$" &amp; 'SpxSp (step-b)'!$BC$23 &amp; DJ$16),"")</f>
        <v/>
      </c>
      <c r="DK57" s="1317" t="str">
        <f ca="1">IF(INDIRECT("'SpxSp (step-b)'!$B" &amp; DK$16)=$Z57,INDIRECT("'SpxSp (step-b)'!$" &amp; 'SpxSp (step-b)'!$BC$23 &amp; DK$16),"")</f>
        <v/>
      </c>
      <c r="DL57" s="1317" t="str">
        <f ca="1">IF(INDIRECT("'SpxSp (step-b)'!$B" &amp; DL$16)=$Z57,INDIRECT("'SpxSp (step-b)'!$" &amp; 'SpxSp (step-b)'!$BC$23 &amp; DL$16),"")</f>
        <v/>
      </c>
      <c r="DM57" s="1317" t="str">
        <f ca="1">IF(INDIRECT("'SpxSp (step-b)'!$B" &amp; DM$16)=$Z57,INDIRECT("'SpxSp (step-b)'!$" &amp; 'SpxSp (step-b)'!$BC$23 &amp; DM$16),"")</f>
        <v/>
      </c>
      <c r="DN57" s="1318" t="str">
        <f t="shared" ca="1" si="32"/>
        <v/>
      </c>
      <c r="DO57" s="1246" t="s">
        <v>1201</v>
      </c>
    </row>
    <row r="58" spans="2:119" ht="40" x14ac:dyDescent="0.2">
      <c r="B58" s="1450" t="str">
        <f t="shared" si="13"/>
        <v/>
      </c>
      <c r="C58" s="1451"/>
      <c r="D58" s="1451"/>
      <c r="E58" s="1451"/>
      <c r="F58" s="1452"/>
      <c r="G58" s="1319" t="str">
        <f t="shared" si="31"/>
        <v/>
      </c>
      <c r="H58" s="1320" t="str">
        <f t="shared" si="14"/>
        <v/>
      </c>
      <c r="I58" s="1321" t="str">
        <f t="shared" si="33"/>
        <v/>
      </c>
      <c r="J58" s="1296"/>
      <c r="K58" s="1322" t="str">
        <f>IFERROR(IF(OR(B58="",H58=0),"",VLOOKUP(B58,'SpxSp (step-c)'!B$18:O$67,6,FALSE)),"")</f>
        <v/>
      </c>
      <c r="L58" s="1323" t="str">
        <f ca="1">IFERROR(F(OR(B58="",H58=0),"",VLOOKUP($B58,'SpxSp (step-c)'!$B$18:O$67,12,FALSE)),"")</f>
        <v/>
      </c>
      <c r="M58" s="1321" t="str">
        <f ca="1">IF(AND(B58&lt;&gt;"",L58=""),"NA",IFERROR(VLOOKUP($B58,'SpxSp (step-c)'!$B$18:P$67,13,FALSE),""))</f>
        <v/>
      </c>
      <c r="N58" s="1324"/>
      <c r="O58" s="1322" t="str">
        <f>IFERROR(IF(OR(B58="",H58=0),"",VLOOKUP($B58,'SpxSp (step-d)'!$B$18:$P$67,12,FALSE)),"")</f>
        <v/>
      </c>
      <c r="P58" s="1323" t="str">
        <f>IFERROR(IF(OR(B58="",H58=0),"",VLOOKUP($B58,'SpxSp (step-d)'!$B$18:$P$67,13,FALSE)),"")</f>
        <v/>
      </c>
      <c r="Q58" s="1323" t="str">
        <f>IFERROR(IF(OR(B58="",H58=0),"",VLOOKUP($B58,'SpxSp (step-d)'!$B$18:$P$67,14,FALSE)),"")</f>
        <v/>
      </c>
      <c r="R58" s="1321" t="str">
        <f>IF(AND(B58&lt;&gt;"",P58=""),"NA",IFERROR(VLOOKUP(B58,'SpxSp (step-d)'!$B$18:$V$67,15,FALSE),""))</f>
        <v/>
      </c>
      <c r="S58" s="1296"/>
      <c r="T58" s="1325" t="str">
        <f t="shared" si="34"/>
        <v/>
      </c>
      <c r="U58" s="1326" t="str">
        <f t="shared" si="17"/>
        <v/>
      </c>
      <c r="Y58" s="1302">
        <v>41</v>
      </c>
      <c r="Z58" s="1303" t="str">
        <f>'SpxSp (step-a)'!B62</f>
        <v/>
      </c>
      <c r="AA58" s="1303" t="str">
        <f>'SpxSp (step-a)'!H62</f>
        <v/>
      </c>
      <c r="AB58" s="1290" t="str">
        <f>VLOOKUP($Z58,'SpxSp (step-a)'!$B$22:$O$71,AB$14,FALSE)</f>
        <v/>
      </c>
      <c r="AD58" s="1290" t="str">
        <f>IF(Z58="","",IFERROR(VLOOKUP($Z58,'SpxSp (step-a)'!$B$22:$O$71,AD$14,FALSE),0))</f>
        <v/>
      </c>
      <c r="AE58" s="1290" t="str">
        <f>IF(Z58="","",IFERROR(VLOOKUP($Z58,'SpxSp (step-a)'!$B$22:$O$71,AE$14,FALSE),0))</f>
        <v/>
      </c>
      <c r="AG58" s="1290" t="str">
        <f t="shared" si="36"/>
        <v/>
      </c>
      <c r="AI58" s="1290" t="str">
        <f>IF($Z58="","",SUMIFS('SpxSp (step-b)'!L$26:L$75,'SpxSp (step-b)'!B$26:B$75,Z58,'SpxSp (step-b)'!N$26:N$75,"New"))</f>
        <v/>
      </c>
      <c r="AJ58" s="1290" t="str">
        <f>IF($Z58="","",SUMIFS('SpxSp (step-b)'!$L$26:$L$75,'SpxSp (step-b)'!$B$26:$B$75,$Z58,'SpxSp (step-b)'!N$26:N$75,""))</f>
        <v/>
      </c>
      <c r="AK58" s="1290" t="str">
        <f>IF($Z58="","",SUMIFS('SpxSp (step-b)'!$J$26:$J$75,'SpxSp (step-b)'!$B$26:$B$75,$Z58,'SpxSp (step-b)'!$N$26:$N$75,"New")+SUMIFS('SpxSp (step-b)'!$J$26:$J$75,'SpxSp (step-b)'!$B$26:$B$75,$Z58,'SpxSp (step-b)'!$N$26:$N$75,""))</f>
        <v/>
      </c>
      <c r="AL58" s="1290" t="str">
        <f>IF($Z58="","",SUMIFS('SpxSp (step-b)'!$L$26:$L$75,'SpxSp (step-b)'!$B$26:$B$75,$Z58,'SpxSp (step-b)'!$N$26:$N$75,"Existing Remains"))</f>
        <v/>
      </c>
      <c r="AM58" s="1290" t="str">
        <f>IF($Z58="","",SUMIFS('SpxSp (step-b)'!$L$26:$L$75,'SpxSp (step-b)'!$B$26:$B$75,$Z58,'SpxSp (step-b)'!$N$26:$N$75,"Existing Removed"))</f>
        <v/>
      </c>
      <c r="AN58" s="1290" t="str">
        <f>IF($Z58="","",SUMIFS('SpxSp (step-b)'!$J$26:$J$75,'SpxSp (step-b)'!$B$26:$B$75,$Z58,'SpxSp (step-b)'!$N$26:$N$75,"Existing Removed"))</f>
        <v/>
      </c>
      <c r="AO58" s="1290" t="str">
        <f t="shared" si="37"/>
        <v/>
      </c>
      <c r="AP58" s="1290" t="str">
        <f t="shared" si="18"/>
        <v/>
      </c>
      <c r="AQ58" s="1304"/>
      <c r="AR58" s="1305" t="str">
        <f t="shared" si="19"/>
        <v/>
      </c>
      <c r="AS58" s="1306" t="str">
        <f t="shared" si="20"/>
        <v/>
      </c>
      <c r="AT58" s="1307"/>
      <c r="AU58" s="1308" t="str">
        <f t="shared" si="21"/>
        <v/>
      </c>
      <c r="AV58" s="1309" t="str">
        <f t="shared" si="38"/>
        <v/>
      </c>
      <c r="AW58" s="1309" t="str">
        <f t="shared" si="22"/>
        <v/>
      </c>
      <c r="AX58" s="1310" t="str">
        <f t="shared" si="23"/>
        <v/>
      </c>
      <c r="AY58" s="1307"/>
      <c r="AZ58" s="1311" t="str">
        <f t="shared" si="24"/>
        <v/>
      </c>
      <c r="BA58" s="1309" t="str">
        <f t="shared" si="25"/>
        <v/>
      </c>
      <c r="BB58" s="1310" t="str">
        <f t="shared" si="26"/>
        <v/>
      </c>
      <c r="BC58" s="1312"/>
      <c r="BD58" s="1313" t="str">
        <f t="shared" si="35"/>
        <v/>
      </c>
      <c r="BE58" s="1290" t="str">
        <f t="shared" si="27"/>
        <v/>
      </c>
      <c r="BF58" s="1290" t="str">
        <f t="shared" si="28"/>
        <v/>
      </c>
      <c r="BH58" s="1315" t="str">
        <f t="shared" si="39"/>
        <v/>
      </c>
      <c r="BI58" s="1315"/>
      <c r="BJ58" s="1303" t="str">
        <f>IF(OR(BH58="Fail",BH58="Fail LPA",BH58=""),"",'SpxSp (step-a)'!CM62)</f>
        <v/>
      </c>
      <c r="BK58" s="1290">
        <f t="shared" si="30"/>
        <v>0</v>
      </c>
      <c r="BN58" s="178">
        <v>41</v>
      </c>
      <c r="BO58" s="1316" t="str">
        <f t="shared" ca="1" si="29"/>
        <v/>
      </c>
      <c r="BP58" s="1317" t="str">
        <f ca="1">IF(INDIRECT("'SpxSp (step-b)'!$B" &amp; BP$16)=$Z58,INDIRECT("'SpxSp (step-b)'!$" &amp; 'SpxSp (step-b)'!$BC$23 &amp; BP$16),"")</f>
        <v/>
      </c>
      <c r="BQ58" s="1317" t="str">
        <f ca="1">IF(INDIRECT("'SpxSp (step-b)'!$B" &amp; BQ$16)=$Z58,INDIRECT("'SpxSp (step-b)'!$" &amp; 'SpxSp (step-b)'!$BC$23 &amp; BQ$16),"")</f>
        <v/>
      </c>
      <c r="BR58" s="1317" t="str">
        <f ca="1">IF(INDIRECT("'SpxSp (step-b)'!$B" &amp; BR$16)=$Z58,INDIRECT("'SpxSp (step-b)'!$" &amp; 'SpxSp (step-b)'!$BC$23 &amp; BR$16),"")</f>
        <v/>
      </c>
      <c r="BS58" s="1317" t="str">
        <f ca="1">IF(INDIRECT("'SpxSp (step-b)'!$B" &amp; BS$16)=$Z58,INDIRECT("'SpxSp (step-b)'!$" &amp; 'SpxSp (step-b)'!$BC$23 &amp; BS$16),"")</f>
        <v/>
      </c>
      <c r="BT58" s="1317" t="str">
        <f ca="1">IF(INDIRECT("'SpxSp (step-b)'!$B" &amp; BT$16)=$Z58,INDIRECT("'SpxSp (step-b)'!$" &amp; 'SpxSp (step-b)'!$BC$23 &amp; BT$16),"")</f>
        <v/>
      </c>
      <c r="BU58" s="1317" t="str">
        <f ca="1">IF(INDIRECT("'SpxSp (step-b)'!$B" &amp; BU$16)=$Z58,INDIRECT("'SpxSp (step-b)'!$" &amp; 'SpxSp (step-b)'!$BC$23 &amp; BU$16),"")</f>
        <v/>
      </c>
      <c r="BV58" s="1317" t="str">
        <f ca="1">IF(INDIRECT("'SpxSp (step-b)'!$B" &amp; BV$16)=$Z58,INDIRECT("'SpxSp (step-b)'!$" &amp; 'SpxSp (step-b)'!$BC$23 &amp; BV$16),"")</f>
        <v/>
      </c>
      <c r="BW58" s="1317" t="str">
        <f ca="1">IF(INDIRECT("'SpxSp (step-b)'!$B" &amp; BW$16)=$Z58,INDIRECT("'SpxSp (step-b)'!$" &amp; 'SpxSp (step-b)'!$BC$23 &amp; BW$16),"")</f>
        <v/>
      </c>
      <c r="BX58" s="1317" t="str">
        <f ca="1">IF(INDIRECT("'SpxSp (step-b)'!$B" &amp; BX$16)=$Z58,INDIRECT("'SpxSp (step-b)'!$" &amp; 'SpxSp (step-b)'!$BC$23 &amp; BX$16),"")</f>
        <v/>
      </c>
      <c r="BY58" s="1317" t="str">
        <f ca="1">IF(INDIRECT("'SpxSp (step-b)'!$B" &amp; BY$16)=$Z58,INDIRECT("'SpxSp (step-b)'!$" &amp; 'SpxSp (step-b)'!$BC$23 &amp; BY$16),"")</f>
        <v/>
      </c>
      <c r="BZ58" s="1317" t="str">
        <f ca="1">IF(INDIRECT("'SpxSp (step-b)'!$B" &amp; BZ$16)=$Z58,INDIRECT("'SpxSp (step-b)'!$" &amp; 'SpxSp (step-b)'!$BC$23 &amp; BZ$16),"")</f>
        <v/>
      </c>
      <c r="CA58" s="1317" t="str">
        <f ca="1">IF(INDIRECT("'SpxSp (step-b)'!$B" &amp; CA$16)=$Z58,INDIRECT("'SpxSp (step-b)'!$" &amp; 'SpxSp (step-b)'!$BC$23 &amp; CA$16),"")</f>
        <v/>
      </c>
      <c r="CB58" s="1317" t="str">
        <f ca="1">IF(INDIRECT("'SpxSp (step-b)'!$B" &amp; CB$16)=$Z58,INDIRECT("'SpxSp (step-b)'!$" &amp; 'SpxSp (step-b)'!$BC$23 &amp; CB$16),"")</f>
        <v/>
      </c>
      <c r="CC58" s="1317" t="str">
        <f ca="1">IF(INDIRECT("'SpxSp (step-b)'!$B" &amp; CC$16)=$Z58,INDIRECT("'SpxSp (step-b)'!$" &amp; 'SpxSp (step-b)'!$BC$23 &amp; CC$16),"")</f>
        <v/>
      </c>
      <c r="CD58" s="1317" t="str">
        <f ca="1">IF(INDIRECT("'SpxSp (step-b)'!$B" &amp; CD$16)=$Z58,INDIRECT("'SpxSp (step-b)'!$" &amp; 'SpxSp (step-b)'!$BC$23 &amp; CD$16),"")</f>
        <v/>
      </c>
      <c r="CE58" s="1317" t="str">
        <f ca="1">IF(INDIRECT("'SpxSp (step-b)'!$B" &amp; CE$16)=$Z58,INDIRECT("'SpxSp (step-b)'!$" &amp; 'SpxSp (step-b)'!$BC$23 &amp; CE$16),"")</f>
        <v/>
      </c>
      <c r="CF58" s="1317" t="str">
        <f ca="1">IF(INDIRECT("'SpxSp (step-b)'!$B" &amp; CF$16)=$Z58,INDIRECT("'SpxSp (step-b)'!$" &amp; 'SpxSp (step-b)'!$BC$23 &amp; CF$16),"")</f>
        <v/>
      </c>
      <c r="CG58" s="1317" t="str">
        <f ca="1">IF(INDIRECT("'SpxSp (step-b)'!$B" &amp; CG$16)=$Z58,INDIRECT("'SpxSp (step-b)'!$" &amp; 'SpxSp (step-b)'!$BC$23 &amp; CG$16),"")</f>
        <v/>
      </c>
      <c r="CH58" s="1317" t="str">
        <f ca="1">IF(INDIRECT("'SpxSp (step-b)'!$B" &amp; CH$16)=$Z58,INDIRECT("'SpxSp (step-b)'!$" &amp; 'SpxSp (step-b)'!$BC$23 &amp; CH$16),"")</f>
        <v/>
      </c>
      <c r="CI58" s="1317" t="str">
        <f ca="1">IF(INDIRECT("'SpxSp (step-b)'!$B" &amp; CI$16)=$Z58,INDIRECT("'SpxSp (step-b)'!$" &amp; 'SpxSp (step-b)'!$BC$23 &amp; CI$16),"")</f>
        <v/>
      </c>
      <c r="CJ58" s="1317" t="str">
        <f ca="1">IF(INDIRECT("'SpxSp (step-b)'!$B" &amp; CJ$16)=$Z58,INDIRECT("'SpxSp (step-b)'!$" &amp; 'SpxSp (step-b)'!$BC$23 &amp; CJ$16),"")</f>
        <v/>
      </c>
      <c r="CK58" s="1317" t="str">
        <f ca="1">IF(INDIRECT("'SpxSp (step-b)'!$B" &amp; CK$16)=$Z58,INDIRECT("'SpxSp (step-b)'!$" &amp; 'SpxSp (step-b)'!$BC$23 &amp; CK$16),"")</f>
        <v/>
      </c>
      <c r="CL58" s="1317" t="str">
        <f ca="1">IF(INDIRECT("'SpxSp (step-b)'!$B" &amp; CL$16)=$Z58,INDIRECT("'SpxSp (step-b)'!$" &amp; 'SpxSp (step-b)'!$BC$23 &amp; CL$16),"")</f>
        <v/>
      </c>
      <c r="CM58" s="1317" t="str">
        <f ca="1">IF(INDIRECT("'SpxSp (step-b)'!$B" &amp; CM$16)=$Z58,INDIRECT("'SpxSp (step-b)'!$" &amp; 'SpxSp (step-b)'!$BC$23 &amp; CM$16),"")</f>
        <v/>
      </c>
      <c r="CN58" s="1317" t="str">
        <f ca="1">IF(INDIRECT("'SpxSp (step-b)'!$B" &amp; CN$16)=$Z58,INDIRECT("'SpxSp (step-b)'!$" &amp; 'SpxSp (step-b)'!$BC$23 &amp; CN$16),"")</f>
        <v/>
      </c>
      <c r="CO58" s="1317" t="str">
        <f ca="1">IF(INDIRECT("'SpxSp (step-b)'!$B" &amp; CO$16)=$Z58,INDIRECT("'SpxSp (step-b)'!$" &amp; 'SpxSp (step-b)'!$BC$23 &amp; CO$16),"")</f>
        <v/>
      </c>
      <c r="CP58" s="1317" t="str">
        <f ca="1">IF(INDIRECT("'SpxSp (step-b)'!$B" &amp; CP$16)=$Z58,INDIRECT("'SpxSp (step-b)'!$" &amp; 'SpxSp (step-b)'!$BC$23 &amp; CP$16),"")</f>
        <v/>
      </c>
      <c r="CQ58" s="1317" t="str">
        <f ca="1">IF(INDIRECT("'SpxSp (step-b)'!$B" &amp; CQ$16)=$Z58,INDIRECT("'SpxSp (step-b)'!$" &amp; 'SpxSp (step-b)'!$BC$23 &amp; CQ$16),"")</f>
        <v/>
      </c>
      <c r="CR58" s="1317" t="str">
        <f ca="1">IF(INDIRECT("'SpxSp (step-b)'!$B" &amp; CR$16)=$Z58,INDIRECT("'SpxSp (step-b)'!$" &amp; 'SpxSp (step-b)'!$BC$23 &amp; CR$16),"")</f>
        <v/>
      </c>
      <c r="CS58" s="1317" t="str">
        <f ca="1">IF(INDIRECT("'SpxSp (step-b)'!$B" &amp; CS$16)=$Z58,INDIRECT("'SpxSp (step-b)'!$" &amp; 'SpxSp (step-b)'!$BC$23 &amp; CS$16),"")</f>
        <v/>
      </c>
      <c r="CT58" s="1317" t="str">
        <f ca="1">IF(INDIRECT("'SpxSp (step-b)'!$B" &amp; CT$16)=$Z58,INDIRECT("'SpxSp (step-b)'!$" &amp; 'SpxSp (step-b)'!$BC$23 &amp; CT$16),"")</f>
        <v/>
      </c>
      <c r="CU58" s="1317" t="str">
        <f ca="1">IF(INDIRECT("'SpxSp (step-b)'!$B" &amp; CU$16)=$Z58,INDIRECT("'SpxSp (step-b)'!$" &amp; 'SpxSp (step-b)'!$BC$23 &amp; CU$16),"")</f>
        <v/>
      </c>
      <c r="CV58" s="1317" t="str">
        <f ca="1">IF(INDIRECT("'SpxSp (step-b)'!$B" &amp; CV$16)=$Z58,INDIRECT("'SpxSp (step-b)'!$" &amp; 'SpxSp (step-b)'!$BC$23 &amp; CV$16),"")</f>
        <v/>
      </c>
      <c r="CW58" s="1317" t="str">
        <f ca="1">IF(INDIRECT("'SpxSp (step-b)'!$B" &amp; CW$16)=$Z58,INDIRECT("'SpxSp (step-b)'!$" &amp; 'SpxSp (step-b)'!$BC$23 &amp; CW$16),"")</f>
        <v/>
      </c>
      <c r="CX58" s="1317" t="str">
        <f ca="1">IF(INDIRECT("'SpxSp (step-b)'!$B" &amp; CX$16)=$Z58,INDIRECT("'SpxSp (step-b)'!$" &amp; 'SpxSp (step-b)'!$BC$23 &amp; CX$16),"")</f>
        <v/>
      </c>
      <c r="CY58" s="1317" t="str">
        <f ca="1">IF(INDIRECT("'SpxSp (step-b)'!$B" &amp; CY$16)=$Z58,INDIRECT("'SpxSp (step-b)'!$" &amp; 'SpxSp (step-b)'!$BC$23 &amp; CY$16),"")</f>
        <v/>
      </c>
      <c r="CZ58" s="1317" t="str">
        <f ca="1">IF(INDIRECT("'SpxSp (step-b)'!$B" &amp; CZ$16)=$Z58,INDIRECT("'SpxSp (step-b)'!$" &amp; 'SpxSp (step-b)'!$BC$23 &amp; CZ$16),"")</f>
        <v/>
      </c>
      <c r="DA58" s="1317" t="str">
        <f ca="1">IF(INDIRECT("'SpxSp (step-b)'!$B" &amp; DA$16)=$Z58,INDIRECT("'SpxSp (step-b)'!$" &amp; 'SpxSp (step-b)'!$BC$23 &amp; DA$16),"")</f>
        <v/>
      </c>
      <c r="DB58" s="1317" t="str">
        <f ca="1">IF(INDIRECT("'SpxSp (step-b)'!$B" &amp; DB$16)=$Z58,INDIRECT("'SpxSp (step-b)'!$" &amp; 'SpxSp (step-b)'!$BC$23 &amp; DB$16),"")</f>
        <v/>
      </c>
      <c r="DC58" s="1317" t="str">
        <f ca="1">IF(INDIRECT("'SpxSp (step-b)'!$B" &amp; DC$16)=$Z58,INDIRECT("'SpxSp (step-b)'!$" &amp; 'SpxSp (step-b)'!$BC$23 &amp; DC$16),"")</f>
        <v/>
      </c>
      <c r="DD58" s="1317" t="str">
        <f ca="1">IF(INDIRECT("'SpxSp (step-b)'!$B" &amp; DD$16)=$Z58,INDIRECT("'SpxSp (step-b)'!$" &amp; 'SpxSp (step-b)'!$BC$23 &amp; DD$16),"")</f>
        <v/>
      </c>
      <c r="DE58" s="1317" t="str">
        <f ca="1">IF(INDIRECT("'SpxSp (step-b)'!$B" &amp; DE$16)=$Z58,INDIRECT("'SpxSp (step-b)'!$" &amp; 'SpxSp (step-b)'!$BC$23 &amp; DE$16),"")</f>
        <v/>
      </c>
      <c r="DF58" s="1317" t="str">
        <f ca="1">IF(INDIRECT("'SpxSp (step-b)'!$B" &amp; DF$16)=$Z58,INDIRECT("'SpxSp (step-b)'!$" &amp; 'SpxSp (step-b)'!$BC$23 &amp; DF$16),"")</f>
        <v/>
      </c>
      <c r="DG58" s="1317" t="str">
        <f ca="1">IF(INDIRECT("'SpxSp (step-b)'!$B" &amp; DG$16)=$Z58,INDIRECT("'SpxSp (step-b)'!$" &amp; 'SpxSp (step-b)'!$BC$23 &amp; DG$16),"")</f>
        <v/>
      </c>
      <c r="DH58" s="1317" t="str">
        <f ca="1">IF(INDIRECT("'SpxSp (step-b)'!$B" &amp; DH$16)=$Z58,INDIRECT("'SpxSp (step-b)'!$" &amp; 'SpxSp (step-b)'!$BC$23 &amp; DH$16),"")</f>
        <v/>
      </c>
      <c r="DI58" s="1317" t="str">
        <f ca="1">IF(INDIRECT("'SpxSp (step-b)'!$B" &amp; DI$16)=$Z58,INDIRECT("'SpxSp (step-b)'!$" &amp; 'SpxSp (step-b)'!$BC$23 &amp; DI$16),"")</f>
        <v/>
      </c>
      <c r="DJ58" s="1317" t="str">
        <f ca="1">IF(INDIRECT("'SpxSp (step-b)'!$B" &amp; DJ$16)=$Z58,INDIRECT("'SpxSp (step-b)'!$" &amp; 'SpxSp (step-b)'!$BC$23 &amp; DJ$16),"")</f>
        <v/>
      </c>
      <c r="DK58" s="1317" t="str">
        <f ca="1">IF(INDIRECT("'SpxSp (step-b)'!$B" &amp; DK$16)=$Z58,INDIRECT("'SpxSp (step-b)'!$" &amp; 'SpxSp (step-b)'!$BC$23 &amp; DK$16),"")</f>
        <v/>
      </c>
      <c r="DL58" s="1317" t="str">
        <f ca="1">IF(INDIRECT("'SpxSp (step-b)'!$B" &amp; DL$16)=$Z58,INDIRECT("'SpxSp (step-b)'!$" &amp; 'SpxSp (step-b)'!$BC$23 &amp; DL$16),"")</f>
        <v/>
      </c>
      <c r="DM58" s="1317" t="str">
        <f ca="1">IF(INDIRECT("'SpxSp (step-b)'!$B" &amp; DM$16)=$Z58,INDIRECT("'SpxSp (step-b)'!$" &amp; 'SpxSp (step-b)'!$BC$23 &amp; DM$16),"")</f>
        <v/>
      </c>
      <c r="DN58" s="1318" t="str">
        <f t="shared" ca="1" si="32"/>
        <v/>
      </c>
      <c r="DO58" s="1246" t="s">
        <v>1201</v>
      </c>
    </row>
    <row r="59" spans="2:119" ht="40" x14ac:dyDescent="0.2">
      <c r="B59" s="1450" t="str">
        <f t="shared" si="13"/>
        <v/>
      </c>
      <c r="C59" s="1451"/>
      <c r="D59" s="1451"/>
      <c r="E59" s="1451"/>
      <c r="F59" s="1452"/>
      <c r="G59" s="1319" t="str">
        <f t="shared" si="31"/>
        <v/>
      </c>
      <c r="H59" s="1320" t="str">
        <f t="shared" si="14"/>
        <v/>
      </c>
      <c r="I59" s="1321" t="str">
        <f t="shared" si="33"/>
        <v/>
      </c>
      <c r="J59" s="1296"/>
      <c r="K59" s="1322" t="str">
        <f>IFERROR(IF(OR(B59="",H59=0),"",VLOOKUP(B59,'SpxSp (step-c)'!B$18:O$67,6,FALSE)),"")</f>
        <v/>
      </c>
      <c r="L59" s="1323" t="str">
        <f ca="1">IFERROR(F(OR(B59="",H59=0),"",VLOOKUP($B59,'SpxSp (step-c)'!$B$18:O$67,12,FALSE)),"")</f>
        <v/>
      </c>
      <c r="M59" s="1321" t="str">
        <f ca="1">IF(AND(B59&lt;&gt;"",L59=""),"NA",IFERROR(VLOOKUP($B59,'SpxSp (step-c)'!$B$18:P$67,13,FALSE),""))</f>
        <v/>
      </c>
      <c r="N59" s="1324"/>
      <c r="O59" s="1322" t="str">
        <f>IFERROR(IF(OR(B59="",H59=0),"",VLOOKUP($B59,'SpxSp (step-d)'!$B$18:$P$67,12,FALSE)),"")</f>
        <v/>
      </c>
      <c r="P59" s="1323" t="str">
        <f>IFERROR(IF(OR(B59="",H59=0),"",VLOOKUP($B59,'SpxSp (step-d)'!$B$18:$P$67,13,FALSE)),"")</f>
        <v/>
      </c>
      <c r="Q59" s="1323" t="str">
        <f>IFERROR(IF(OR(B59="",H59=0),"",VLOOKUP($B59,'SpxSp (step-d)'!$B$18:$P$67,14,FALSE)),"")</f>
        <v/>
      </c>
      <c r="R59" s="1321" t="str">
        <f>IF(AND(B59&lt;&gt;"",P59=""),"NA",IFERROR(VLOOKUP(B59,'SpxSp (step-d)'!$B$18:$V$67,15,FALSE),""))</f>
        <v/>
      </c>
      <c r="S59" s="1296"/>
      <c r="T59" s="1325" t="str">
        <f t="shared" si="34"/>
        <v/>
      </c>
      <c r="U59" s="1326" t="str">
        <f t="shared" si="17"/>
        <v/>
      </c>
      <c r="Y59" s="1302">
        <v>42</v>
      </c>
      <c r="Z59" s="1303" t="str">
        <f>'SpxSp (step-a)'!B63</f>
        <v/>
      </c>
      <c r="AA59" s="1303" t="str">
        <f>'SpxSp (step-a)'!H63</f>
        <v/>
      </c>
      <c r="AB59" s="1290" t="str">
        <f>VLOOKUP($Z59,'SpxSp (step-a)'!$B$22:$O$71,AB$14,FALSE)</f>
        <v/>
      </c>
      <c r="AD59" s="1290" t="str">
        <f>IF(Z59="","",IFERROR(VLOOKUP($Z59,'SpxSp (step-a)'!$B$22:$O$71,AD$14,FALSE),0))</f>
        <v/>
      </c>
      <c r="AE59" s="1290" t="str">
        <f>IF(Z59="","",IFERROR(VLOOKUP($Z59,'SpxSp (step-a)'!$B$22:$O$71,AE$14,FALSE),0))</f>
        <v/>
      </c>
      <c r="AG59" s="1290" t="str">
        <f t="shared" si="36"/>
        <v/>
      </c>
      <c r="AI59" s="1290" t="str">
        <f>IF($Z59="","",SUMIFS('SpxSp (step-b)'!L$26:L$75,'SpxSp (step-b)'!B$26:B$75,Z59,'SpxSp (step-b)'!N$26:N$75,"New"))</f>
        <v/>
      </c>
      <c r="AJ59" s="1290" t="str">
        <f>IF($Z59="","",SUMIFS('SpxSp (step-b)'!$L$26:$L$75,'SpxSp (step-b)'!$B$26:$B$75,$Z59,'SpxSp (step-b)'!N$26:N$75,""))</f>
        <v/>
      </c>
      <c r="AK59" s="1290" t="str">
        <f>IF($Z59="","",SUMIFS('SpxSp (step-b)'!$J$26:$J$75,'SpxSp (step-b)'!$B$26:$B$75,$Z59,'SpxSp (step-b)'!$N$26:$N$75,"New")+SUMIFS('SpxSp (step-b)'!$J$26:$J$75,'SpxSp (step-b)'!$B$26:$B$75,$Z59,'SpxSp (step-b)'!$N$26:$N$75,""))</f>
        <v/>
      </c>
      <c r="AL59" s="1290" t="str">
        <f>IF($Z59="","",SUMIFS('SpxSp (step-b)'!$L$26:$L$75,'SpxSp (step-b)'!$B$26:$B$75,$Z59,'SpxSp (step-b)'!$N$26:$N$75,"Existing Remains"))</f>
        <v/>
      </c>
      <c r="AM59" s="1290" t="str">
        <f>IF($Z59="","",SUMIFS('SpxSp (step-b)'!$L$26:$L$75,'SpxSp (step-b)'!$B$26:$B$75,$Z59,'SpxSp (step-b)'!$N$26:$N$75,"Existing Removed"))</f>
        <v/>
      </c>
      <c r="AN59" s="1290" t="str">
        <f>IF($Z59="","",SUMIFS('SpxSp (step-b)'!$J$26:$J$75,'SpxSp (step-b)'!$B$26:$B$75,$Z59,'SpxSp (step-b)'!$N$26:$N$75,"Existing Removed"))</f>
        <v/>
      </c>
      <c r="AO59" s="1290" t="str">
        <f t="shared" si="37"/>
        <v/>
      </c>
      <c r="AP59" s="1290" t="str">
        <f t="shared" si="18"/>
        <v/>
      </c>
      <c r="AQ59" s="1304"/>
      <c r="AR59" s="1305" t="str">
        <f t="shared" si="19"/>
        <v/>
      </c>
      <c r="AS59" s="1306" t="str">
        <f t="shared" si="20"/>
        <v/>
      </c>
      <c r="AT59" s="1307"/>
      <c r="AU59" s="1308" t="str">
        <f t="shared" si="21"/>
        <v/>
      </c>
      <c r="AV59" s="1309" t="str">
        <f t="shared" si="38"/>
        <v/>
      </c>
      <c r="AW59" s="1309" t="str">
        <f t="shared" si="22"/>
        <v/>
      </c>
      <c r="AX59" s="1310" t="str">
        <f t="shared" si="23"/>
        <v/>
      </c>
      <c r="AY59" s="1307"/>
      <c r="AZ59" s="1311" t="str">
        <f t="shared" si="24"/>
        <v/>
      </c>
      <c r="BA59" s="1309" t="str">
        <f t="shared" si="25"/>
        <v/>
      </c>
      <c r="BB59" s="1310" t="str">
        <f t="shared" si="26"/>
        <v/>
      </c>
      <c r="BC59" s="1312"/>
      <c r="BD59" s="1313" t="str">
        <f t="shared" si="35"/>
        <v/>
      </c>
      <c r="BE59" s="1290" t="str">
        <f t="shared" si="27"/>
        <v/>
      </c>
      <c r="BF59" s="1290" t="str">
        <f t="shared" si="28"/>
        <v/>
      </c>
      <c r="BH59" s="1315" t="str">
        <f t="shared" si="39"/>
        <v/>
      </c>
      <c r="BI59" s="1315"/>
      <c r="BJ59" s="1303" t="str">
        <f>IF(OR(BH59="Fail",BH59="Fail LPA",BH59=""),"",'SpxSp (step-a)'!CM63)</f>
        <v/>
      </c>
      <c r="BK59" s="1290">
        <f t="shared" si="30"/>
        <v>0</v>
      </c>
      <c r="BN59" s="178">
        <v>42</v>
      </c>
      <c r="BO59" s="1316" t="str">
        <f t="shared" ca="1" si="29"/>
        <v/>
      </c>
      <c r="BP59" s="1317" t="str">
        <f ca="1">IF(INDIRECT("'SpxSp (step-b)'!$B" &amp; BP$16)=$Z59,INDIRECT("'SpxSp (step-b)'!$" &amp; 'SpxSp (step-b)'!$BC$23 &amp; BP$16),"")</f>
        <v/>
      </c>
      <c r="BQ59" s="1317" t="str">
        <f ca="1">IF(INDIRECT("'SpxSp (step-b)'!$B" &amp; BQ$16)=$Z59,INDIRECT("'SpxSp (step-b)'!$" &amp; 'SpxSp (step-b)'!$BC$23 &amp; BQ$16),"")</f>
        <v/>
      </c>
      <c r="BR59" s="1317" t="str">
        <f ca="1">IF(INDIRECT("'SpxSp (step-b)'!$B" &amp; BR$16)=$Z59,INDIRECT("'SpxSp (step-b)'!$" &amp; 'SpxSp (step-b)'!$BC$23 &amp; BR$16),"")</f>
        <v/>
      </c>
      <c r="BS59" s="1317" t="str">
        <f ca="1">IF(INDIRECT("'SpxSp (step-b)'!$B" &amp; BS$16)=$Z59,INDIRECT("'SpxSp (step-b)'!$" &amp; 'SpxSp (step-b)'!$BC$23 &amp; BS$16),"")</f>
        <v/>
      </c>
      <c r="BT59" s="1317" t="str">
        <f ca="1">IF(INDIRECT("'SpxSp (step-b)'!$B" &amp; BT$16)=$Z59,INDIRECT("'SpxSp (step-b)'!$" &amp; 'SpxSp (step-b)'!$BC$23 &amp; BT$16),"")</f>
        <v/>
      </c>
      <c r="BU59" s="1317" t="str">
        <f ca="1">IF(INDIRECT("'SpxSp (step-b)'!$B" &amp; BU$16)=$Z59,INDIRECT("'SpxSp (step-b)'!$" &amp; 'SpxSp (step-b)'!$BC$23 &amp; BU$16),"")</f>
        <v/>
      </c>
      <c r="BV59" s="1317" t="str">
        <f ca="1">IF(INDIRECT("'SpxSp (step-b)'!$B" &amp; BV$16)=$Z59,INDIRECT("'SpxSp (step-b)'!$" &amp; 'SpxSp (step-b)'!$BC$23 &amp; BV$16),"")</f>
        <v/>
      </c>
      <c r="BW59" s="1317" t="str">
        <f ca="1">IF(INDIRECT("'SpxSp (step-b)'!$B" &amp; BW$16)=$Z59,INDIRECT("'SpxSp (step-b)'!$" &amp; 'SpxSp (step-b)'!$BC$23 &amp; BW$16),"")</f>
        <v/>
      </c>
      <c r="BX59" s="1317" t="str">
        <f ca="1">IF(INDIRECT("'SpxSp (step-b)'!$B" &amp; BX$16)=$Z59,INDIRECT("'SpxSp (step-b)'!$" &amp; 'SpxSp (step-b)'!$BC$23 &amp; BX$16),"")</f>
        <v/>
      </c>
      <c r="BY59" s="1317" t="str">
        <f ca="1">IF(INDIRECT("'SpxSp (step-b)'!$B" &amp; BY$16)=$Z59,INDIRECT("'SpxSp (step-b)'!$" &amp; 'SpxSp (step-b)'!$BC$23 &amp; BY$16),"")</f>
        <v/>
      </c>
      <c r="BZ59" s="1317" t="str">
        <f ca="1">IF(INDIRECT("'SpxSp (step-b)'!$B" &amp; BZ$16)=$Z59,INDIRECT("'SpxSp (step-b)'!$" &amp; 'SpxSp (step-b)'!$BC$23 &amp; BZ$16),"")</f>
        <v/>
      </c>
      <c r="CA59" s="1317" t="str">
        <f ca="1">IF(INDIRECT("'SpxSp (step-b)'!$B" &amp; CA$16)=$Z59,INDIRECT("'SpxSp (step-b)'!$" &amp; 'SpxSp (step-b)'!$BC$23 &amp; CA$16),"")</f>
        <v/>
      </c>
      <c r="CB59" s="1317" t="str">
        <f ca="1">IF(INDIRECT("'SpxSp (step-b)'!$B" &amp; CB$16)=$Z59,INDIRECT("'SpxSp (step-b)'!$" &amp; 'SpxSp (step-b)'!$BC$23 &amp; CB$16),"")</f>
        <v/>
      </c>
      <c r="CC59" s="1317" t="str">
        <f ca="1">IF(INDIRECT("'SpxSp (step-b)'!$B" &amp; CC$16)=$Z59,INDIRECT("'SpxSp (step-b)'!$" &amp; 'SpxSp (step-b)'!$BC$23 &amp; CC$16),"")</f>
        <v/>
      </c>
      <c r="CD59" s="1317" t="str">
        <f ca="1">IF(INDIRECT("'SpxSp (step-b)'!$B" &amp; CD$16)=$Z59,INDIRECT("'SpxSp (step-b)'!$" &amp; 'SpxSp (step-b)'!$BC$23 &amp; CD$16),"")</f>
        <v/>
      </c>
      <c r="CE59" s="1317" t="str">
        <f ca="1">IF(INDIRECT("'SpxSp (step-b)'!$B" &amp; CE$16)=$Z59,INDIRECT("'SpxSp (step-b)'!$" &amp; 'SpxSp (step-b)'!$BC$23 &amp; CE$16),"")</f>
        <v/>
      </c>
      <c r="CF59" s="1317" t="str">
        <f ca="1">IF(INDIRECT("'SpxSp (step-b)'!$B" &amp; CF$16)=$Z59,INDIRECT("'SpxSp (step-b)'!$" &amp; 'SpxSp (step-b)'!$BC$23 &amp; CF$16),"")</f>
        <v/>
      </c>
      <c r="CG59" s="1317" t="str">
        <f ca="1">IF(INDIRECT("'SpxSp (step-b)'!$B" &amp; CG$16)=$Z59,INDIRECT("'SpxSp (step-b)'!$" &amp; 'SpxSp (step-b)'!$BC$23 &amp; CG$16),"")</f>
        <v/>
      </c>
      <c r="CH59" s="1317" t="str">
        <f ca="1">IF(INDIRECT("'SpxSp (step-b)'!$B" &amp; CH$16)=$Z59,INDIRECT("'SpxSp (step-b)'!$" &amp; 'SpxSp (step-b)'!$BC$23 &amp; CH$16),"")</f>
        <v/>
      </c>
      <c r="CI59" s="1317" t="str">
        <f ca="1">IF(INDIRECT("'SpxSp (step-b)'!$B" &amp; CI$16)=$Z59,INDIRECT("'SpxSp (step-b)'!$" &amp; 'SpxSp (step-b)'!$BC$23 &amp; CI$16),"")</f>
        <v/>
      </c>
      <c r="CJ59" s="1317" t="str">
        <f ca="1">IF(INDIRECT("'SpxSp (step-b)'!$B" &amp; CJ$16)=$Z59,INDIRECT("'SpxSp (step-b)'!$" &amp; 'SpxSp (step-b)'!$BC$23 &amp; CJ$16),"")</f>
        <v/>
      </c>
      <c r="CK59" s="1317" t="str">
        <f ca="1">IF(INDIRECT("'SpxSp (step-b)'!$B" &amp; CK$16)=$Z59,INDIRECT("'SpxSp (step-b)'!$" &amp; 'SpxSp (step-b)'!$BC$23 &amp; CK$16),"")</f>
        <v/>
      </c>
      <c r="CL59" s="1317" t="str">
        <f ca="1">IF(INDIRECT("'SpxSp (step-b)'!$B" &amp; CL$16)=$Z59,INDIRECT("'SpxSp (step-b)'!$" &amp; 'SpxSp (step-b)'!$BC$23 &amp; CL$16),"")</f>
        <v/>
      </c>
      <c r="CM59" s="1317" t="str">
        <f ca="1">IF(INDIRECT("'SpxSp (step-b)'!$B" &amp; CM$16)=$Z59,INDIRECT("'SpxSp (step-b)'!$" &amp; 'SpxSp (step-b)'!$BC$23 &amp; CM$16),"")</f>
        <v/>
      </c>
      <c r="CN59" s="1317" t="str">
        <f ca="1">IF(INDIRECT("'SpxSp (step-b)'!$B" &amp; CN$16)=$Z59,INDIRECT("'SpxSp (step-b)'!$" &amp; 'SpxSp (step-b)'!$BC$23 &amp; CN$16),"")</f>
        <v/>
      </c>
      <c r="CO59" s="1317" t="str">
        <f ca="1">IF(INDIRECT("'SpxSp (step-b)'!$B" &amp; CO$16)=$Z59,INDIRECT("'SpxSp (step-b)'!$" &amp; 'SpxSp (step-b)'!$BC$23 &amp; CO$16),"")</f>
        <v/>
      </c>
      <c r="CP59" s="1317" t="str">
        <f ca="1">IF(INDIRECT("'SpxSp (step-b)'!$B" &amp; CP$16)=$Z59,INDIRECT("'SpxSp (step-b)'!$" &amp; 'SpxSp (step-b)'!$BC$23 &amp; CP$16),"")</f>
        <v/>
      </c>
      <c r="CQ59" s="1317" t="str">
        <f ca="1">IF(INDIRECT("'SpxSp (step-b)'!$B" &amp; CQ$16)=$Z59,INDIRECT("'SpxSp (step-b)'!$" &amp; 'SpxSp (step-b)'!$BC$23 &amp; CQ$16),"")</f>
        <v/>
      </c>
      <c r="CR59" s="1317" t="str">
        <f ca="1">IF(INDIRECT("'SpxSp (step-b)'!$B" &amp; CR$16)=$Z59,INDIRECT("'SpxSp (step-b)'!$" &amp; 'SpxSp (step-b)'!$BC$23 &amp; CR$16),"")</f>
        <v/>
      </c>
      <c r="CS59" s="1317" t="str">
        <f ca="1">IF(INDIRECT("'SpxSp (step-b)'!$B" &amp; CS$16)=$Z59,INDIRECT("'SpxSp (step-b)'!$" &amp; 'SpxSp (step-b)'!$BC$23 &amp; CS$16),"")</f>
        <v/>
      </c>
      <c r="CT59" s="1317" t="str">
        <f ca="1">IF(INDIRECT("'SpxSp (step-b)'!$B" &amp; CT$16)=$Z59,INDIRECT("'SpxSp (step-b)'!$" &amp; 'SpxSp (step-b)'!$BC$23 &amp; CT$16),"")</f>
        <v/>
      </c>
      <c r="CU59" s="1317" t="str">
        <f ca="1">IF(INDIRECT("'SpxSp (step-b)'!$B" &amp; CU$16)=$Z59,INDIRECT("'SpxSp (step-b)'!$" &amp; 'SpxSp (step-b)'!$BC$23 &amp; CU$16),"")</f>
        <v/>
      </c>
      <c r="CV59" s="1317" t="str">
        <f ca="1">IF(INDIRECT("'SpxSp (step-b)'!$B" &amp; CV$16)=$Z59,INDIRECT("'SpxSp (step-b)'!$" &amp; 'SpxSp (step-b)'!$BC$23 &amp; CV$16),"")</f>
        <v/>
      </c>
      <c r="CW59" s="1317" t="str">
        <f ca="1">IF(INDIRECT("'SpxSp (step-b)'!$B" &amp; CW$16)=$Z59,INDIRECT("'SpxSp (step-b)'!$" &amp; 'SpxSp (step-b)'!$BC$23 &amp; CW$16),"")</f>
        <v/>
      </c>
      <c r="CX59" s="1317" t="str">
        <f ca="1">IF(INDIRECT("'SpxSp (step-b)'!$B" &amp; CX$16)=$Z59,INDIRECT("'SpxSp (step-b)'!$" &amp; 'SpxSp (step-b)'!$BC$23 &amp; CX$16),"")</f>
        <v/>
      </c>
      <c r="CY59" s="1317" t="str">
        <f ca="1">IF(INDIRECT("'SpxSp (step-b)'!$B" &amp; CY$16)=$Z59,INDIRECT("'SpxSp (step-b)'!$" &amp; 'SpxSp (step-b)'!$BC$23 &amp; CY$16),"")</f>
        <v/>
      </c>
      <c r="CZ59" s="1317" t="str">
        <f ca="1">IF(INDIRECT("'SpxSp (step-b)'!$B" &amp; CZ$16)=$Z59,INDIRECT("'SpxSp (step-b)'!$" &amp; 'SpxSp (step-b)'!$BC$23 &amp; CZ$16),"")</f>
        <v/>
      </c>
      <c r="DA59" s="1317" t="str">
        <f ca="1">IF(INDIRECT("'SpxSp (step-b)'!$B" &amp; DA$16)=$Z59,INDIRECT("'SpxSp (step-b)'!$" &amp; 'SpxSp (step-b)'!$BC$23 &amp; DA$16),"")</f>
        <v/>
      </c>
      <c r="DB59" s="1317" t="str">
        <f ca="1">IF(INDIRECT("'SpxSp (step-b)'!$B" &amp; DB$16)=$Z59,INDIRECT("'SpxSp (step-b)'!$" &amp; 'SpxSp (step-b)'!$BC$23 &amp; DB$16),"")</f>
        <v/>
      </c>
      <c r="DC59" s="1317" t="str">
        <f ca="1">IF(INDIRECT("'SpxSp (step-b)'!$B" &amp; DC$16)=$Z59,INDIRECT("'SpxSp (step-b)'!$" &amp; 'SpxSp (step-b)'!$BC$23 &amp; DC$16),"")</f>
        <v/>
      </c>
      <c r="DD59" s="1317" t="str">
        <f ca="1">IF(INDIRECT("'SpxSp (step-b)'!$B" &amp; DD$16)=$Z59,INDIRECT("'SpxSp (step-b)'!$" &amp; 'SpxSp (step-b)'!$BC$23 &amp; DD$16),"")</f>
        <v/>
      </c>
      <c r="DE59" s="1317" t="str">
        <f ca="1">IF(INDIRECT("'SpxSp (step-b)'!$B" &amp; DE$16)=$Z59,INDIRECT("'SpxSp (step-b)'!$" &amp; 'SpxSp (step-b)'!$BC$23 &amp; DE$16),"")</f>
        <v/>
      </c>
      <c r="DF59" s="1317" t="str">
        <f ca="1">IF(INDIRECT("'SpxSp (step-b)'!$B" &amp; DF$16)=$Z59,INDIRECT("'SpxSp (step-b)'!$" &amp; 'SpxSp (step-b)'!$BC$23 &amp; DF$16),"")</f>
        <v/>
      </c>
      <c r="DG59" s="1317" t="str">
        <f ca="1">IF(INDIRECT("'SpxSp (step-b)'!$B" &amp; DG$16)=$Z59,INDIRECT("'SpxSp (step-b)'!$" &amp; 'SpxSp (step-b)'!$BC$23 &amp; DG$16),"")</f>
        <v/>
      </c>
      <c r="DH59" s="1317" t="str">
        <f ca="1">IF(INDIRECT("'SpxSp (step-b)'!$B" &amp; DH$16)=$Z59,INDIRECT("'SpxSp (step-b)'!$" &amp; 'SpxSp (step-b)'!$BC$23 &amp; DH$16),"")</f>
        <v/>
      </c>
      <c r="DI59" s="1317" t="str">
        <f ca="1">IF(INDIRECT("'SpxSp (step-b)'!$B" &amp; DI$16)=$Z59,INDIRECT("'SpxSp (step-b)'!$" &amp; 'SpxSp (step-b)'!$BC$23 &amp; DI$16),"")</f>
        <v/>
      </c>
      <c r="DJ59" s="1317" t="str">
        <f ca="1">IF(INDIRECT("'SpxSp (step-b)'!$B" &amp; DJ$16)=$Z59,INDIRECT("'SpxSp (step-b)'!$" &amp; 'SpxSp (step-b)'!$BC$23 &amp; DJ$16),"")</f>
        <v/>
      </c>
      <c r="DK59" s="1317" t="str">
        <f ca="1">IF(INDIRECT("'SpxSp (step-b)'!$B" &amp; DK$16)=$Z59,INDIRECT("'SpxSp (step-b)'!$" &amp; 'SpxSp (step-b)'!$BC$23 &amp; DK$16),"")</f>
        <v/>
      </c>
      <c r="DL59" s="1317" t="str">
        <f ca="1">IF(INDIRECT("'SpxSp (step-b)'!$B" &amp; DL$16)=$Z59,INDIRECT("'SpxSp (step-b)'!$" &amp; 'SpxSp (step-b)'!$BC$23 &amp; DL$16),"")</f>
        <v/>
      </c>
      <c r="DM59" s="1317" t="str">
        <f ca="1">IF(INDIRECT("'SpxSp (step-b)'!$B" &amp; DM$16)=$Z59,INDIRECT("'SpxSp (step-b)'!$" &amp; 'SpxSp (step-b)'!$BC$23 &amp; DM$16),"")</f>
        <v/>
      </c>
      <c r="DN59" s="1318" t="str">
        <f t="shared" ca="1" si="32"/>
        <v/>
      </c>
      <c r="DO59" s="1246" t="s">
        <v>1201</v>
      </c>
    </row>
    <row r="60" spans="2:119" ht="40" x14ac:dyDescent="0.2">
      <c r="B60" s="1450" t="str">
        <f t="shared" si="13"/>
        <v/>
      </c>
      <c r="C60" s="1451"/>
      <c r="D60" s="1451"/>
      <c r="E60" s="1451"/>
      <c r="F60" s="1452"/>
      <c r="G60" s="1319" t="str">
        <f t="shared" si="31"/>
        <v/>
      </c>
      <c r="H60" s="1320" t="str">
        <f t="shared" si="14"/>
        <v/>
      </c>
      <c r="I60" s="1321" t="str">
        <f t="shared" si="33"/>
        <v/>
      </c>
      <c r="J60" s="1296"/>
      <c r="K60" s="1322" t="str">
        <f>IFERROR(IF(OR(B60="",H60=0),"",VLOOKUP(B60,'SpxSp (step-c)'!B$18:O$67,6,FALSE)),"")</f>
        <v/>
      </c>
      <c r="L60" s="1323" t="str">
        <f ca="1">IFERROR(F(OR(B60="",H60=0),"",VLOOKUP($B60,'SpxSp (step-c)'!$B$18:O$67,12,FALSE)),"")</f>
        <v/>
      </c>
      <c r="M60" s="1321" t="str">
        <f ca="1">IF(AND(B60&lt;&gt;"",L60=""),"NA",IFERROR(VLOOKUP($B60,'SpxSp (step-c)'!$B$18:P$67,13,FALSE),""))</f>
        <v/>
      </c>
      <c r="N60" s="1324"/>
      <c r="O60" s="1322" t="str">
        <f>IFERROR(IF(OR(B60="",H60=0),"",VLOOKUP($B60,'SpxSp (step-d)'!$B$18:$P$67,12,FALSE)),"")</f>
        <v/>
      </c>
      <c r="P60" s="1323" t="str">
        <f>IFERROR(IF(OR(B60="",H60=0),"",VLOOKUP($B60,'SpxSp (step-d)'!$B$18:$P$67,13,FALSE)),"")</f>
        <v/>
      </c>
      <c r="Q60" s="1323" t="str">
        <f>IFERROR(IF(OR(B60="",H60=0),"",VLOOKUP($B60,'SpxSp (step-d)'!$B$18:$P$67,14,FALSE)),"")</f>
        <v/>
      </c>
      <c r="R60" s="1321" t="str">
        <f>IF(AND(B60&lt;&gt;"",P60=""),"NA",IFERROR(VLOOKUP(B60,'SpxSp (step-d)'!$B$18:$V$67,15,FALSE),""))</f>
        <v/>
      </c>
      <c r="S60" s="1296"/>
      <c r="T60" s="1325" t="str">
        <f t="shared" si="34"/>
        <v/>
      </c>
      <c r="U60" s="1326" t="str">
        <f t="shared" si="17"/>
        <v/>
      </c>
      <c r="Y60" s="1302">
        <v>43</v>
      </c>
      <c r="Z60" s="1303" t="str">
        <f>'SpxSp (step-a)'!B64</f>
        <v/>
      </c>
      <c r="AA60" s="1303" t="str">
        <f>'SpxSp (step-a)'!H64</f>
        <v/>
      </c>
      <c r="AB60" s="1290" t="str">
        <f>VLOOKUP($Z60,'SpxSp (step-a)'!$B$22:$O$71,AB$14,FALSE)</f>
        <v/>
      </c>
      <c r="AD60" s="1290" t="str">
        <f>IF(Z60="","",IFERROR(VLOOKUP($Z60,'SpxSp (step-a)'!$B$22:$O$71,AD$14,FALSE),0))</f>
        <v/>
      </c>
      <c r="AE60" s="1290" t="str">
        <f>IF(Z60="","",IFERROR(VLOOKUP($Z60,'SpxSp (step-a)'!$B$22:$O$71,AE$14,FALSE),0))</f>
        <v/>
      </c>
      <c r="AG60" s="1290" t="str">
        <f t="shared" si="36"/>
        <v/>
      </c>
      <c r="AI60" s="1290" t="str">
        <f>IF($Z60="","",SUMIFS('SpxSp (step-b)'!L$26:L$75,'SpxSp (step-b)'!B$26:B$75,Z60,'SpxSp (step-b)'!N$26:N$75,"New"))</f>
        <v/>
      </c>
      <c r="AJ60" s="1290" t="str">
        <f>IF($Z60="","",SUMIFS('SpxSp (step-b)'!$L$26:$L$75,'SpxSp (step-b)'!$B$26:$B$75,$Z60,'SpxSp (step-b)'!N$26:N$75,""))</f>
        <v/>
      </c>
      <c r="AK60" s="1290" t="str">
        <f>IF($Z60="","",SUMIFS('SpxSp (step-b)'!$J$26:$J$75,'SpxSp (step-b)'!$B$26:$B$75,$Z60,'SpxSp (step-b)'!$N$26:$N$75,"New")+SUMIFS('SpxSp (step-b)'!$J$26:$J$75,'SpxSp (step-b)'!$B$26:$B$75,$Z60,'SpxSp (step-b)'!$N$26:$N$75,""))</f>
        <v/>
      </c>
      <c r="AL60" s="1290" t="str">
        <f>IF($Z60="","",SUMIFS('SpxSp (step-b)'!$L$26:$L$75,'SpxSp (step-b)'!$B$26:$B$75,$Z60,'SpxSp (step-b)'!$N$26:$N$75,"Existing Remains"))</f>
        <v/>
      </c>
      <c r="AM60" s="1290" t="str">
        <f>IF($Z60="","",SUMIFS('SpxSp (step-b)'!$L$26:$L$75,'SpxSp (step-b)'!$B$26:$B$75,$Z60,'SpxSp (step-b)'!$N$26:$N$75,"Existing Removed"))</f>
        <v/>
      </c>
      <c r="AN60" s="1290" t="str">
        <f>IF($Z60="","",SUMIFS('SpxSp (step-b)'!$J$26:$J$75,'SpxSp (step-b)'!$B$26:$B$75,$Z60,'SpxSp (step-b)'!$N$26:$N$75,"Existing Removed"))</f>
        <v/>
      </c>
      <c r="AO60" s="1290" t="str">
        <f t="shared" si="37"/>
        <v/>
      </c>
      <c r="AP60" s="1290" t="str">
        <f t="shared" si="18"/>
        <v/>
      </c>
      <c r="AQ60" s="1304"/>
      <c r="AR60" s="1305" t="str">
        <f t="shared" si="19"/>
        <v/>
      </c>
      <c r="AS60" s="1306" t="str">
        <f t="shared" si="20"/>
        <v/>
      </c>
      <c r="AT60" s="1307"/>
      <c r="AU60" s="1308" t="str">
        <f t="shared" si="21"/>
        <v/>
      </c>
      <c r="AV60" s="1309" t="str">
        <f t="shared" si="38"/>
        <v/>
      </c>
      <c r="AW60" s="1309" t="str">
        <f t="shared" si="22"/>
        <v/>
      </c>
      <c r="AX60" s="1310" t="str">
        <f t="shared" si="23"/>
        <v/>
      </c>
      <c r="AY60" s="1307"/>
      <c r="AZ60" s="1311" t="str">
        <f t="shared" si="24"/>
        <v/>
      </c>
      <c r="BA60" s="1309" t="str">
        <f t="shared" si="25"/>
        <v/>
      </c>
      <c r="BB60" s="1310" t="str">
        <f t="shared" si="26"/>
        <v/>
      </c>
      <c r="BC60" s="1312"/>
      <c r="BD60" s="1313" t="str">
        <f t="shared" si="35"/>
        <v/>
      </c>
      <c r="BE60" s="1290" t="str">
        <f t="shared" si="27"/>
        <v/>
      </c>
      <c r="BF60" s="1290" t="str">
        <f t="shared" si="28"/>
        <v/>
      </c>
      <c r="BH60" s="1315" t="str">
        <f t="shared" si="39"/>
        <v/>
      </c>
      <c r="BI60" s="1315"/>
      <c r="BJ60" s="1303" t="str">
        <f>IF(OR(BH60="Fail",BH60="Fail LPA",BH60=""),"",'SpxSp (step-a)'!CM64)</f>
        <v/>
      </c>
      <c r="BK60" s="1290">
        <f t="shared" si="30"/>
        <v>0</v>
      </c>
      <c r="BN60" s="178">
        <v>43</v>
      </c>
      <c r="BO60" s="1316" t="str">
        <f t="shared" ca="1" si="29"/>
        <v/>
      </c>
      <c r="BP60" s="1317" t="str">
        <f ca="1">IF(INDIRECT("'SpxSp (step-b)'!$B" &amp; BP$16)=$Z60,INDIRECT("'SpxSp (step-b)'!$" &amp; 'SpxSp (step-b)'!$BC$23 &amp; BP$16),"")</f>
        <v/>
      </c>
      <c r="BQ60" s="1317" t="str">
        <f ca="1">IF(INDIRECT("'SpxSp (step-b)'!$B" &amp; BQ$16)=$Z60,INDIRECT("'SpxSp (step-b)'!$" &amp; 'SpxSp (step-b)'!$BC$23 &amp; BQ$16),"")</f>
        <v/>
      </c>
      <c r="BR60" s="1317" t="str">
        <f ca="1">IF(INDIRECT("'SpxSp (step-b)'!$B" &amp; BR$16)=$Z60,INDIRECT("'SpxSp (step-b)'!$" &amp; 'SpxSp (step-b)'!$BC$23 &amp; BR$16),"")</f>
        <v/>
      </c>
      <c r="BS60" s="1317" t="str">
        <f ca="1">IF(INDIRECT("'SpxSp (step-b)'!$B" &amp; BS$16)=$Z60,INDIRECT("'SpxSp (step-b)'!$" &amp; 'SpxSp (step-b)'!$BC$23 &amp; BS$16),"")</f>
        <v/>
      </c>
      <c r="BT60" s="1317" t="str">
        <f ca="1">IF(INDIRECT("'SpxSp (step-b)'!$B" &amp; BT$16)=$Z60,INDIRECT("'SpxSp (step-b)'!$" &amp; 'SpxSp (step-b)'!$BC$23 &amp; BT$16),"")</f>
        <v/>
      </c>
      <c r="BU60" s="1317" t="str">
        <f ca="1">IF(INDIRECT("'SpxSp (step-b)'!$B" &amp; BU$16)=$Z60,INDIRECT("'SpxSp (step-b)'!$" &amp; 'SpxSp (step-b)'!$BC$23 &amp; BU$16),"")</f>
        <v/>
      </c>
      <c r="BV60" s="1317" t="str">
        <f ca="1">IF(INDIRECT("'SpxSp (step-b)'!$B" &amp; BV$16)=$Z60,INDIRECT("'SpxSp (step-b)'!$" &amp; 'SpxSp (step-b)'!$BC$23 &amp; BV$16),"")</f>
        <v/>
      </c>
      <c r="BW60" s="1317" t="str">
        <f ca="1">IF(INDIRECT("'SpxSp (step-b)'!$B" &amp; BW$16)=$Z60,INDIRECT("'SpxSp (step-b)'!$" &amp; 'SpxSp (step-b)'!$BC$23 &amp; BW$16),"")</f>
        <v/>
      </c>
      <c r="BX60" s="1317" t="str">
        <f ca="1">IF(INDIRECT("'SpxSp (step-b)'!$B" &amp; BX$16)=$Z60,INDIRECT("'SpxSp (step-b)'!$" &amp; 'SpxSp (step-b)'!$BC$23 &amp; BX$16),"")</f>
        <v/>
      </c>
      <c r="BY60" s="1317" t="str">
        <f ca="1">IF(INDIRECT("'SpxSp (step-b)'!$B" &amp; BY$16)=$Z60,INDIRECT("'SpxSp (step-b)'!$" &amp; 'SpxSp (step-b)'!$BC$23 &amp; BY$16),"")</f>
        <v/>
      </c>
      <c r="BZ60" s="1317" t="str">
        <f ca="1">IF(INDIRECT("'SpxSp (step-b)'!$B" &amp; BZ$16)=$Z60,INDIRECT("'SpxSp (step-b)'!$" &amp; 'SpxSp (step-b)'!$BC$23 &amp; BZ$16),"")</f>
        <v/>
      </c>
      <c r="CA60" s="1317" t="str">
        <f ca="1">IF(INDIRECT("'SpxSp (step-b)'!$B" &amp; CA$16)=$Z60,INDIRECT("'SpxSp (step-b)'!$" &amp; 'SpxSp (step-b)'!$BC$23 &amp; CA$16),"")</f>
        <v/>
      </c>
      <c r="CB60" s="1317" t="str">
        <f ca="1">IF(INDIRECT("'SpxSp (step-b)'!$B" &amp; CB$16)=$Z60,INDIRECT("'SpxSp (step-b)'!$" &amp; 'SpxSp (step-b)'!$BC$23 &amp; CB$16),"")</f>
        <v/>
      </c>
      <c r="CC60" s="1317" t="str">
        <f ca="1">IF(INDIRECT("'SpxSp (step-b)'!$B" &amp; CC$16)=$Z60,INDIRECT("'SpxSp (step-b)'!$" &amp; 'SpxSp (step-b)'!$BC$23 &amp; CC$16),"")</f>
        <v/>
      </c>
      <c r="CD60" s="1317" t="str">
        <f ca="1">IF(INDIRECT("'SpxSp (step-b)'!$B" &amp; CD$16)=$Z60,INDIRECT("'SpxSp (step-b)'!$" &amp; 'SpxSp (step-b)'!$BC$23 &amp; CD$16),"")</f>
        <v/>
      </c>
      <c r="CE60" s="1317" t="str">
        <f ca="1">IF(INDIRECT("'SpxSp (step-b)'!$B" &amp; CE$16)=$Z60,INDIRECT("'SpxSp (step-b)'!$" &amp; 'SpxSp (step-b)'!$BC$23 &amp; CE$16),"")</f>
        <v/>
      </c>
      <c r="CF60" s="1317" t="str">
        <f ca="1">IF(INDIRECT("'SpxSp (step-b)'!$B" &amp; CF$16)=$Z60,INDIRECT("'SpxSp (step-b)'!$" &amp; 'SpxSp (step-b)'!$BC$23 &amp; CF$16),"")</f>
        <v/>
      </c>
      <c r="CG60" s="1317" t="str">
        <f ca="1">IF(INDIRECT("'SpxSp (step-b)'!$B" &amp; CG$16)=$Z60,INDIRECT("'SpxSp (step-b)'!$" &amp; 'SpxSp (step-b)'!$BC$23 &amp; CG$16),"")</f>
        <v/>
      </c>
      <c r="CH60" s="1317" t="str">
        <f ca="1">IF(INDIRECT("'SpxSp (step-b)'!$B" &amp; CH$16)=$Z60,INDIRECT("'SpxSp (step-b)'!$" &amp; 'SpxSp (step-b)'!$BC$23 &amp; CH$16),"")</f>
        <v/>
      </c>
      <c r="CI60" s="1317" t="str">
        <f ca="1">IF(INDIRECT("'SpxSp (step-b)'!$B" &amp; CI$16)=$Z60,INDIRECT("'SpxSp (step-b)'!$" &amp; 'SpxSp (step-b)'!$BC$23 &amp; CI$16),"")</f>
        <v/>
      </c>
      <c r="CJ60" s="1317" t="str">
        <f ca="1">IF(INDIRECT("'SpxSp (step-b)'!$B" &amp; CJ$16)=$Z60,INDIRECT("'SpxSp (step-b)'!$" &amp; 'SpxSp (step-b)'!$BC$23 &amp; CJ$16),"")</f>
        <v/>
      </c>
      <c r="CK60" s="1317" t="str">
        <f ca="1">IF(INDIRECT("'SpxSp (step-b)'!$B" &amp; CK$16)=$Z60,INDIRECT("'SpxSp (step-b)'!$" &amp; 'SpxSp (step-b)'!$BC$23 &amp; CK$16),"")</f>
        <v/>
      </c>
      <c r="CL60" s="1317" t="str">
        <f ca="1">IF(INDIRECT("'SpxSp (step-b)'!$B" &amp; CL$16)=$Z60,INDIRECT("'SpxSp (step-b)'!$" &amp; 'SpxSp (step-b)'!$BC$23 &amp; CL$16),"")</f>
        <v/>
      </c>
      <c r="CM60" s="1317" t="str">
        <f ca="1">IF(INDIRECT("'SpxSp (step-b)'!$B" &amp; CM$16)=$Z60,INDIRECT("'SpxSp (step-b)'!$" &amp; 'SpxSp (step-b)'!$BC$23 &amp; CM$16),"")</f>
        <v/>
      </c>
      <c r="CN60" s="1317" t="str">
        <f ca="1">IF(INDIRECT("'SpxSp (step-b)'!$B" &amp; CN$16)=$Z60,INDIRECT("'SpxSp (step-b)'!$" &amp; 'SpxSp (step-b)'!$BC$23 &amp; CN$16),"")</f>
        <v/>
      </c>
      <c r="CO60" s="1317" t="str">
        <f ca="1">IF(INDIRECT("'SpxSp (step-b)'!$B" &amp; CO$16)=$Z60,INDIRECT("'SpxSp (step-b)'!$" &amp; 'SpxSp (step-b)'!$BC$23 &amp; CO$16),"")</f>
        <v/>
      </c>
      <c r="CP60" s="1317" t="str">
        <f ca="1">IF(INDIRECT("'SpxSp (step-b)'!$B" &amp; CP$16)=$Z60,INDIRECT("'SpxSp (step-b)'!$" &amp; 'SpxSp (step-b)'!$BC$23 &amp; CP$16),"")</f>
        <v/>
      </c>
      <c r="CQ60" s="1317" t="str">
        <f ca="1">IF(INDIRECT("'SpxSp (step-b)'!$B" &amp; CQ$16)=$Z60,INDIRECT("'SpxSp (step-b)'!$" &amp; 'SpxSp (step-b)'!$BC$23 &amp; CQ$16),"")</f>
        <v/>
      </c>
      <c r="CR60" s="1317" t="str">
        <f ca="1">IF(INDIRECT("'SpxSp (step-b)'!$B" &amp; CR$16)=$Z60,INDIRECT("'SpxSp (step-b)'!$" &amp; 'SpxSp (step-b)'!$BC$23 &amp; CR$16),"")</f>
        <v/>
      </c>
      <c r="CS60" s="1317" t="str">
        <f ca="1">IF(INDIRECT("'SpxSp (step-b)'!$B" &amp; CS$16)=$Z60,INDIRECT("'SpxSp (step-b)'!$" &amp; 'SpxSp (step-b)'!$BC$23 &amp; CS$16),"")</f>
        <v/>
      </c>
      <c r="CT60" s="1317" t="str">
        <f ca="1">IF(INDIRECT("'SpxSp (step-b)'!$B" &amp; CT$16)=$Z60,INDIRECT("'SpxSp (step-b)'!$" &amp; 'SpxSp (step-b)'!$BC$23 &amp; CT$16),"")</f>
        <v/>
      </c>
      <c r="CU60" s="1317" t="str">
        <f ca="1">IF(INDIRECT("'SpxSp (step-b)'!$B" &amp; CU$16)=$Z60,INDIRECT("'SpxSp (step-b)'!$" &amp; 'SpxSp (step-b)'!$BC$23 &amp; CU$16),"")</f>
        <v/>
      </c>
      <c r="CV60" s="1317" t="str">
        <f ca="1">IF(INDIRECT("'SpxSp (step-b)'!$B" &amp; CV$16)=$Z60,INDIRECT("'SpxSp (step-b)'!$" &amp; 'SpxSp (step-b)'!$BC$23 &amp; CV$16),"")</f>
        <v/>
      </c>
      <c r="CW60" s="1317" t="str">
        <f ca="1">IF(INDIRECT("'SpxSp (step-b)'!$B" &amp; CW$16)=$Z60,INDIRECT("'SpxSp (step-b)'!$" &amp; 'SpxSp (step-b)'!$BC$23 &amp; CW$16),"")</f>
        <v/>
      </c>
      <c r="CX60" s="1317" t="str">
        <f ca="1">IF(INDIRECT("'SpxSp (step-b)'!$B" &amp; CX$16)=$Z60,INDIRECT("'SpxSp (step-b)'!$" &amp; 'SpxSp (step-b)'!$BC$23 &amp; CX$16),"")</f>
        <v/>
      </c>
      <c r="CY60" s="1317" t="str">
        <f ca="1">IF(INDIRECT("'SpxSp (step-b)'!$B" &amp; CY$16)=$Z60,INDIRECT("'SpxSp (step-b)'!$" &amp; 'SpxSp (step-b)'!$BC$23 &amp; CY$16),"")</f>
        <v/>
      </c>
      <c r="CZ60" s="1317" t="str">
        <f ca="1">IF(INDIRECT("'SpxSp (step-b)'!$B" &amp; CZ$16)=$Z60,INDIRECT("'SpxSp (step-b)'!$" &amp; 'SpxSp (step-b)'!$BC$23 &amp; CZ$16),"")</f>
        <v/>
      </c>
      <c r="DA60" s="1317" t="str">
        <f ca="1">IF(INDIRECT("'SpxSp (step-b)'!$B" &amp; DA$16)=$Z60,INDIRECT("'SpxSp (step-b)'!$" &amp; 'SpxSp (step-b)'!$BC$23 &amp; DA$16),"")</f>
        <v/>
      </c>
      <c r="DB60" s="1317" t="str">
        <f ca="1">IF(INDIRECT("'SpxSp (step-b)'!$B" &amp; DB$16)=$Z60,INDIRECT("'SpxSp (step-b)'!$" &amp; 'SpxSp (step-b)'!$BC$23 &amp; DB$16),"")</f>
        <v/>
      </c>
      <c r="DC60" s="1317" t="str">
        <f ca="1">IF(INDIRECT("'SpxSp (step-b)'!$B" &amp; DC$16)=$Z60,INDIRECT("'SpxSp (step-b)'!$" &amp; 'SpxSp (step-b)'!$BC$23 &amp; DC$16),"")</f>
        <v/>
      </c>
      <c r="DD60" s="1317" t="str">
        <f ca="1">IF(INDIRECT("'SpxSp (step-b)'!$B" &amp; DD$16)=$Z60,INDIRECT("'SpxSp (step-b)'!$" &amp; 'SpxSp (step-b)'!$BC$23 &amp; DD$16),"")</f>
        <v/>
      </c>
      <c r="DE60" s="1317" t="str">
        <f ca="1">IF(INDIRECT("'SpxSp (step-b)'!$B" &amp; DE$16)=$Z60,INDIRECT("'SpxSp (step-b)'!$" &amp; 'SpxSp (step-b)'!$BC$23 &amp; DE$16),"")</f>
        <v/>
      </c>
      <c r="DF60" s="1317" t="str">
        <f ca="1">IF(INDIRECT("'SpxSp (step-b)'!$B" &amp; DF$16)=$Z60,INDIRECT("'SpxSp (step-b)'!$" &amp; 'SpxSp (step-b)'!$BC$23 &amp; DF$16),"")</f>
        <v/>
      </c>
      <c r="DG60" s="1317" t="str">
        <f ca="1">IF(INDIRECT("'SpxSp (step-b)'!$B" &amp; DG$16)=$Z60,INDIRECT("'SpxSp (step-b)'!$" &amp; 'SpxSp (step-b)'!$BC$23 &amp; DG$16),"")</f>
        <v/>
      </c>
      <c r="DH60" s="1317" t="str">
        <f ca="1">IF(INDIRECT("'SpxSp (step-b)'!$B" &amp; DH$16)=$Z60,INDIRECT("'SpxSp (step-b)'!$" &amp; 'SpxSp (step-b)'!$BC$23 &amp; DH$16),"")</f>
        <v/>
      </c>
      <c r="DI60" s="1317" t="str">
        <f ca="1">IF(INDIRECT("'SpxSp (step-b)'!$B" &amp; DI$16)=$Z60,INDIRECT("'SpxSp (step-b)'!$" &amp; 'SpxSp (step-b)'!$BC$23 &amp; DI$16),"")</f>
        <v/>
      </c>
      <c r="DJ60" s="1317" t="str">
        <f ca="1">IF(INDIRECT("'SpxSp (step-b)'!$B" &amp; DJ$16)=$Z60,INDIRECT("'SpxSp (step-b)'!$" &amp; 'SpxSp (step-b)'!$BC$23 &amp; DJ$16),"")</f>
        <v/>
      </c>
      <c r="DK60" s="1317" t="str">
        <f ca="1">IF(INDIRECT("'SpxSp (step-b)'!$B" &amp; DK$16)=$Z60,INDIRECT("'SpxSp (step-b)'!$" &amp; 'SpxSp (step-b)'!$BC$23 &amp; DK$16),"")</f>
        <v/>
      </c>
      <c r="DL60" s="1317" t="str">
        <f ca="1">IF(INDIRECT("'SpxSp (step-b)'!$B" &amp; DL$16)=$Z60,INDIRECT("'SpxSp (step-b)'!$" &amp; 'SpxSp (step-b)'!$BC$23 &amp; DL$16),"")</f>
        <v/>
      </c>
      <c r="DM60" s="1317" t="str">
        <f ca="1">IF(INDIRECT("'SpxSp (step-b)'!$B" &amp; DM$16)=$Z60,INDIRECT("'SpxSp (step-b)'!$" &amp; 'SpxSp (step-b)'!$BC$23 &amp; DM$16),"")</f>
        <v/>
      </c>
      <c r="DN60" s="1318" t="str">
        <f t="shared" ca="1" si="32"/>
        <v/>
      </c>
      <c r="DO60" s="1246" t="s">
        <v>1201</v>
      </c>
    </row>
    <row r="61" spans="2:119" ht="40" x14ac:dyDescent="0.2">
      <c r="B61" s="1450" t="str">
        <f t="shared" si="13"/>
        <v/>
      </c>
      <c r="C61" s="1451"/>
      <c r="D61" s="1451"/>
      <c r="E61" s="1451"/>
      <c r="F61" s="1452"/>
      <c r="G61" s="1319" t="str">
        <f t="shared" si="31"/>
        <v/>
      </c>
      <c r="H61" s="1320" t="str">
        <f t="shared" si="14"/>
        <v/>
      </c>
      <c r="I61" s="1321" t="str">
        <f t="shared" si="33"/>
        <v/>
      </c>
      <c r="J61" s="1296"/>
      <c r="K61" s="1322" t="str">
        <f>IFERROR(IF(OR(B61="",H61=0),"",VLOOKUP(B61,'SpxSp (step-c)'!B$18:O$67,6,FALSE)),"")</f>
        <v/>
      </c>
      <c r="L61" s="1323" t="str">
        <f ca="1">IFERROR(F(OR(B61="",H61=0),"",VLOOKUP($B61,'SpxSp (step-c)'!$B$18:O$67,12,FALSE)),"")</f>
        <v/>
      </c>
      <c r="M61" s="1321" t="str">
        <f ca="1">IF(AND(B61&lt;&gt;"",L61=""),"NA",IFERROR(VLOOKUP($B61,'SpxSp (step-c)'!$B$18:P$67,13,FALSE),""))</f>
        <v/>
      </c>
      <c r="N61" s="1324"/>
      <c r="O61" s="1322" t="str">
        <f>IFERROR(IF(OR(B61="",H61=0),"",VLOOKUP($B61,'SpxSp (step-d)'!$B$18:$P$67,12,FALSE)),"")</f>
        <v/>
      </c>
      <c r="P61" s="1323" t="str">
        <f>IFERROR(IF(OR(B61="",H61=0),"",VLOOKUP($B61,'SpxSp (step-d)'!$B$18:$P$67,13,FALSE)),"")</f>
        <v/>
      </c>
      <c r="Q61" s="1323" t="str">
        <f>IFERROR(IF(OR(B61="",H61=0),"",VLOOKUP($B61,'SpxSp (step-d)'!$B$18:$P$67,14,FALSE)),"")</f>
        <v/>
      </c>
      <c r="R61" s="1321" t="str">
        <f>IF(AND(B61&lt;&gt;"",P61=""),"NA",IFERROR(VLOOKUP(B61,'SpxSp (step-d)'!$B$18:$V$67,15,FALSE),""))</f>
        <v/>
      </c>
      <c r="S61" s="1296"/>
      <c r="T61" s="1325" t="str">
        <f t="shared" si="34"/>
        <v/>
      </c>
      <c r="U61" s="1326" t="str">
        <f t="shared" si="17"/>
        <v/>
      </c>
      <c r="Y61" s="1302">
        <v>44</v>
      </c>
      <c r="Z61" s="1303" t="str">
        <f>'SpxSp (step-a)'!B65</f>
        <v/>
      </c>
      <c r="AA61" s="1303" t="str">
        <f>'SpxSp (step-a)'!H65</f>
        <v/>
      </c>
      <c r="AB61" s="1290" t="str">
        <f>VLOOKUP($Z61,'SpxSp (step-a)'!$B$22:$O$71,AB$14,FALSE)</f>
        <v/>
      </c>
      <c r="AD61" s="1290" t="str">
        <f>IF(Z61="","",IFERROR(VLOOKUP($Z61,'SpxSp (step-a)'!$B$22:$O$71,AD$14,FALSE),0))</f>
        <v/>
      </c>
      <c r="AE61" s="1290" t="str">
        <f>IF(Z61="","",IFERROR(VLOOKUP($Z61,'SpxSp (step-a)'!$B$22:$O$71,AE$14,FALSE),0))</f>
        <v/>
      </c>
      <c r="AG61" s="1290" t="str">
        <f t="shared" si="36"/>
        <v/>
      </c>
      <c r="AI61" s="1290" t="str">
        <f>IF($Z61="","",SUMIFS('SpxSp (step-b)'!L$26:L$75,'SpxSp (step-b)'!B$26:B$75,Z61,'SpxSp (step-b)'!N$26:N$75,"New"))</f>
        <v/>
      </c>
      <c r="AJ61" s="1290" t="str">
        <f>IF($Z61="","",SUMIFS('SpxSp (step-b)'!$L$26:$L$75,'SpxSp (step-b)'!$B$26:$B$75,$Z61,'SpxSp (step-b)'!N$26:N$75,""))</f>
        <v/>
      </c>
      <c r="AK61" s="1290" t="str">
        <f>IF($Z61="","",SUMIFS('SpxSp (step-b)'!$J$26:$J$75,'SpxSp (step-b)'!$B$26:$B$75,$Z61,'SpxSp (step-b)'!$N$26:$N$75,"New")+SUMIFS('SpxSp (step-b)'!$J$26:$J$75,'SpxSp (step-b)'!$B$26:$B$75,$Z61,'SpxSp (step-b)'!$N$26:$N$75,""))</f>
        <v/>
      </c>
      <c r="AL61" s="1290" t="str">
        <f>IF($Z61="","",SUMIFS('SpxSp (step-b)'!$L$26:$L$75,'SpxSp (step-b)'!$B$26:$B$75,$Z61,'SpxSp (step-b)'!$N$26:$N$75,"Existing Remains"))</f>
        <v/>
      </c>
      <c r="AM61" s="1290" t="str">
        <f>IF($Z61="","",SUMIFS('SpxSp (step-b)'!$L$26:$L$75,'SpxSp (step-b)'!$B$26:$B$75,$Z61,'SpxSp (step-b)'!$N$26:$N$75,"Existing Removed"))</f>
        <v/>
      </c>
      <c r="AN61" s="1290" t="str">
        <f>IF($Z61="","",SUMIFS('SpxSp (step-b)'!$J$26:$J$75,'SpxSp (step-b)'!$B$26:$B$75,$Z61,'SpxSp (step-b)'!$N$26:$N$75,"Existing Removed"))</f>
        <v/>
      </c>
      <c r="AO61" s="1290" t="str">
        <f t="shared" si="37"/>
        <v/>
      </c>
      <c r="AP61" s="1290" t="str">
        <f t="shared" si="18"/>
        <v/>
      </c>
      <c r="AQ61" s="1304"/>
      <c r="AR61" s="1305" t="str">
        <f t="shared" si="19"/>
        <v/>
      </c>
      <c r="AS61" s="1306" t="str">
        <f t="shared" si="20"/>
        <v/>
      </c>
      <c r="AT61" s="1307"/>
      <c r="AU61" s="1308" t="str">
        <f t="shared" si="21"/>
        <v/>
      </c>
      <c r="AV61" s="1309" t="str">
        <f t="shared" si="38"/>
        <v/>
      </c>
      <c r="AW61" s="1309" t="str">
        <f t="shared" si="22"/>
        <v/>
      </c>
      <c r="AX61" s="1310" t="str">
        <f t="shared" si="23"/>
        <v/>
      </c>
      <c r="AY61" s="1307"/>
      <c r="AZ61" s="1311" t="str">
        <f t="shared" si="24"/>
        <v/>
      </c>
      <c r="BA61" s="1309" t="str">
        <f t="shared" si="25"/>
        <v/>
      </c>
      <c r="BB61" s="1310" t="str">
        <f t="shared" si="26"/>
        <v/>
      </c>
      <c r="BC61" s="1312"/>
      <c r="BD61" s="1313" t="str">
        <f t="shared" si="35"/>
        <v/>
      </c>
      <c r="BE61" s="1290" t="str">
        <f t="shared" si="27"/>
        <v/>
      </c>
      <c r="BF61" s="1290" t="str">
        <f t="shared" si="28"/>
        <v/>
      </c>
      <c r="BH61" s="1315" t="str">
        <f t="shared" si="39"/>
        <v/>
      </c>
      <c r="BI61" s="1315"/>
      <c r="BJ61" s="1303" t="str">
        <f>IF(OR(BH61="Fail",BH61="Fail LPA",BH61=""),"",'SpxSp (step-a)'!CM65)</f>
        <v/>
      </c>
      <c r="BK61" s="1290">
        <f t="shared" si="30"/>
        <v>0</v>
      </c>
      <c r="BN61" s="178">
        <v>44</v>
      </c>
      <c r="BO61" s="1316" t="str">
        <f t="shared" ca="1" si="29"/>
        <v/>
      </c>
      <c r="BP61" s="1317" t="str">
        <f ca="1">IF(INDIRECT("'SpxSp (step-b)'!$B" &amp; BP$16)=$Z61,INDIRECT("'SpxSp (step-b)'!$" &amp; 'SpxSp (step-b)'!$BC$23 &amp; BP$16),"")</f>
        <v/>
      </c>
      <c r="BQ61" s="1317" t="str">
        <f ca="1">IF(INDIRECT("'SpxSp (step-b)'!$B" &amp; BQ$16)=$Z61,INDIRECT("'SpxSp (step-b)'!$" &amp; 'SpxSp (step-b)'!$BC$23 &amp; BQ$16),"")</f>
        <v/>
      </c>
      <c r="BR61" s="1317" t="str">
        <f ca="1">IF(INDIRECT("'SpxSp (step-b)'!$B" &amp; BR$16)=$Z61,INDIRECT("'SpxSp (step-b)'!$" &amp; 'SpxSp (step-b)'!$BC$23 &amp; BR$16),"")</f>
        <v/>
      </c>
      <c r="BS61" s="1317" t="str">
        <f ca="1">IF(INDIRECT("'SpxSp (step-b)'!$B" &amp; BS$16)=$Z61,INDIRECT("'SpxSp (step-b)'!$" &amp; 'SpxSp (step-b)'!$BC$23 &amp; BS$16),"")</f>
        <v/>
      </c>
      <c r="BT61" s="1317" t="str">
        <f ca="1">IF(INDIRECT("'SpxSp (step-b)'!$B" &amp; BT$16)=$Z61,INDIRECT("'SpxSp (step-b)'!$" &amp; 'SpxSp (step-b)'!$BC$23 &amp; BT$16),"")</f>
        <v/>
      </c>
      <c r="BU61" s="1317" t="str">
        <f ca="1">IF(INDIRECT("'SpxSp (step-b)'!$B" &amp; BU$16)=$Z61,INDIRECT("'SpxSp (step-b)'!$" &amp; 'SpxSp (step-b)'!$BC$23 &amp; BU$16),"")</f>
        <v/>
      </c>
      <c r="BV61" s="1317" t="str">
        <f ca="1">IF(INDIRECT("'SpxSp (step-b)'!$B" &amp; BV$16)=$Z61,INDIRECT("'SpxSp (step-b)'!$" &amp; 'SpxSp (step-b)'!$BC$23 &amp; BV$16),"")</f>
        <v/>
      </c>
      <c r="BW61" s="1317" t="str">
        <f ca="1">IF(INDIRECT("'SpxSp (step-b)'!$B" &amp; BW$16)=$Z61,INDIRECT("'SpxSp (step-b)'!$" &amp; 'SpxSp (step-b)'!$BC$23 &amp; BW$16),"")</f>
        <v/>
      </c>
      <c r="BX61" s="1317" t="str">
        <f ca="1">IF(INDIRECT("'SpxSp (step-b)'!$B" &amp; BX$16)=$Z61,INDIRECT("'SpxSp (step-b)'!$" &amp; 'SpxSp (step-b)'!$BC$23 &amp; BX$16),"")</f>
        <v/>
      </c>
      <c r="BY61" s="1317" t="str">
        <f ca="1">IF(INDIRECT("'SpxSp (step-b)'!$B" &amp; BY$16)=$Z61,INDIRECT("'SpxSp (step-b)'!$" &amp; 'SpxSp (step-b)'!$BC$23 &amp; BY$16),"")</f>
        <v/>
      </c>
      <c r="BZ61" s="1317" t="str">
        <f ca="1">IF(INDIRECT("'SpxSp (step-b)'!$B" &amp; BZ$16)=$Z61,INDIRECT("'SpxSp (step-b)'!$" &amp; 'SpxSp (step-b)'!$BC$23 &amp; BZ$16),"")</f>
        <v/>
      </c>
      <c r="CA61" s="1317" t="str">
        <f ca="1">IF(INDIRECT("'SpxSp (step-b)'!$B" &amp; CA$16)=$Z61,INDIRECT("'SpxSp (step-b)'!$" &amp; 'SpxSp (step-b)'!$BC$23 &amp; CA$16),"")</f>
        <v/>
      </c>
      <c r="CB61" s="1317" t="str">
        <f ca="1">IF(INDIRECT("'SpxSp (step-b)'!$B" &amp; CB$16)=$Z61,INDIRECT("'SpxSp (step-b)'!$" &amp; 'SpxSp (step-b)'!$BC$23 &amp; CB$16),"")</f>
        <v/>
      </c>
      <c r="CC61" s="1317" t="str">
        <f ca="1">IF(INDIRECT("'SpxSp (step-b)'!$B" &amp; CC$16)=$Z61,INDIRECT("'SpxSp (step-b)'!$" &amp; 'SpxSp (step-b)'!$BC$23 &amp; CC$16),"")</f>
        <v/>
      </c>
      <c r="CD61" s="1317" t="str">
        <f ca="1">IF(INDIRECT("'SpxSp (step-b)'!$B" &amp; CD$16)=$Z61,INDIRECT("'SpxSp (step-b)'!$" &amp; 'SpxSp (step-b)'!$BC$23 &amp; CD$16),"")</f>
        <v/>
      </c>
      <c r="CE61" s="1317" t="str">
        <f ca="1">IF(INDIRECT("'SpxSp (step-b)'!$B" &amp; CE$16)=$Z61,INDIRECT("'SpxSp (step-b)'!$" &amp; 'SpxSp (step-b)'!$BC$23 &amp; CE$16),"")</f>
        <v/>
      </c>
      <c r="CF61" s="1317" t="str">
        <f ca="1">IF(INDIRECT("'SpxSp (step-b)'!$B" &amp; CF$16)=$Z61,INDIRECT("'SpxSp (step-b)'!$" &amp; 'SpxSp (step-b)'!$BC$23 &amp; CF$16),"")</f>
        <v/>
      </c>
      <c r="CG61" s="1317" t="str">
        <f ca="1">IF(INDIRECT("'SpxSp (step-b)'!$B" &amp; CG$16)=$Z61,INDIRECT("'SpxSp (step-b)'!$" &amp; 'SpxSp (step-b)'!$BC$23 &amp; CG$16),"")</f>
        <v/>
      </c>
      <c r="CH61" s="1317" t="str">
        <f ca="1">IF(INDIRECT("'SpxSp (step-b)'!$B" &amp; CH$16)=$Z61,INDIRECT("'SpxSp (step-b)'!$" &amp; 'SpxSp (step-b)'!$BC$23 &amp; CH$16),"")</f>
        <v/>
      </c>
      <c r="CI61" s="1317" t="str">
        <f ca="1">IF(INDIRECT("'SpxSp (step-b)'!$B" &amp; CI$16)=$Z61,INDIRECT("'SpxSp (step-b)'!$" &amp; 'SpxSp (step-b)'!$BC$23 &amp; CI$16),"")</f>
        <v/>
      </c>
      <c r="CJ61" s="1317" t="str">
        <f ca="1">IF(INDIRECT("'SpxSp (step-b)'!$B" &amp; CJ$16)=$Z61,INDIRECT("'SpxSp (step-b)'!$" &amp; 'SpxSp (step-b)'!$BC$23 &amp; CJ$16),"")</f>
        <v/>
      </c>
      <c r="CK61" s="1317" t="str">
        <f ca="1">IF(INDIRECT("'SpxSp (step-b)'!$B" &amp; CK$16)=$Z61,INDIRECT("'SpxSp (step-b)'!$" &amp; 'SpxSp (step-b)'!$BC$23 &amp; CK$16),"")</f>
        <v/>
      </c>
      <c r="CL61" s="1317" t="str">
        <f ca="1">IF(INDIRECT("'SpxSp (step-b)'!$B" &amp; CL$16)=$Z61,INDIRECT("'SpxSp (step-b)'!$" &amp; 'SpxSp (step-b)'!$BC$23 &amp; CL$16),"")</f>
        <v/>
      </c>
      <c r="CM61" s="1317" t="str">
        <f ca="1">IF(INDIRECT("'SpxSp (step-b)'!$B" &amp; CM$16)=$Z61,INDIRECT("'SpxSp (step-b)'!$" &amp; 'SpxSp (step-b)'!$BC$23 &amp; CM$16),"")</f>
        <v/>
      </c>
      <c r="CN61" s="1317" t="str">
        <f ca="1">IF(INDIRECT("'SpxSp (step-b)'!$B" &amp; CN$16)=$Z61,INDIRECT("'SpxSp (step-b)'!$" &amp; 'SpxSp (step-b)'!$BC$23 &amp; CN$16),"")</f>
        <v/>
      </c>
      <c r="CO61" s="1317" t="str">
        <f ca="1">IF(INDIRECT("'SpxSp (step-b)'!$B" &amp; CO$16)=$Z61,INDIRECT("'SpxSp (step-b)'!$" &amp; 'SpxSp (step-b)'!$BC$23 &amp; CO$16),"")</f>
        <v/>
      </c>
      <c r="CP61" s="1317" t="str">
        <f ca="1">IF(INDIRECT("'SpxSp (step-b)'!$B" &amp; CP$16)=$Z61,INDIRECT("'SpxSp (step-b)'!$" &amp; 'SpxSp (step-b)'!$BC$23 &amp; CP$16),"")</f>
        <v/>
      </c>
      <c r="CQ61" s="1317" t="str">
        <f ca="1">IF(INDIRECT("'SpxSp (step-b)'!$B" &amp; CQ$16)=$Z61,INDIRECT("'SpxSp (step-b)'!$" &amp; 'SpxSp (step-b)'!$BC$23 &amp; CQ$16),"")</f>
        <v/>
      </c>
      <c r="CR61" s="1317" t="str">
        <f ca="1">IF(INDIRECT("'SpxSp (step-b)'!$B" &amp; CR$16)=$Z61,INDIRECT("'SpxSp (step-b)'!$" &amp; 'SpxSp (step-b)'!$BC$23 &amp; CR$16),"")</f>
        <v/>
      </c>
      <c r="CS61" s="1317" t="str">
        <f ca="1">IF(INDIRECT("'SpxSp (step-b)'!$B" &amp; CS$16)=$Z61,INDIRECT("'SpxSp (step-b)'!$" &amp; 'SpxSp (step-b)'!$BC$23 &amp; CS$16),"")</f>
        <v/>
      </c>
      <c r="CT61" s="1317" t="str">
        <f ca="1">IF(INDIRECT("'SpxSp (step-b)'!$B" &amp; CT$16)=$Z61,INDIRECT("'SpxSp (step-b)'!$" &amp; 'SpxSp (step-b)'!$BC$23 &amp; CT$16),"")</f>
        <v/>
      </c>
      <c r="CU61" s="1317" t="str">
        <f ca="1">IF(INDIRECT("'SpxSp (step-b)'!$B" &amp; CU$16)=$Z61,INDIRECT("'SpxSp (step-b)'!$" &amp; 'SpxSp (step-b)'!$BC$23 &amp; CU$16),"")</f>
        <v/>
      </c>
      <c r="CV61" s="1317" t="str">
        <f ca="1">IF(INDIRECT("'SpxSp (step-b)'!$B" &amp; CV$16)=$Z61,INDIRECT("'SpxSp (step-b)'!$" &amp; 'SpxSp (step-b)'!$BC$23 &amp; CV$16),"")</f>
        <v/>
      </c>
      <c r="CW61" s="1317" t="str">
        <f ca="1">IF(INDIRECT("'SpxSp (step-b)'!$B" &amp; CW$16)=$Z61,INDIRECT("'SpxSp (step-b)'!$" &amp; 'SpxSp (step-b)'!$BC$23 &amp; CW$16),"")</f>
        <v/>
      </c>
      <c r="CX61" s="1317" t="str">
        <f ca="1">IF(INDIRECT("'SpxSp (step-b)'!$B" &amp; CX$16)=$Z61,INDIRECT("'SpxSp (step-b)'!$" &amp; 'SpxSp (step-b)'!$BC$23 &amp; CX$16),"")</f>
        <v/>
      </c>
      <c r="CY61" s="1317" t="str">
        <f ca="1">IF(INDIRECT("'SpxSp (step-b)'!$B" &amp; CY$16)=$Z61,INDIRECT("'SpxSp (step-b)'!$" &amp; 'SpxSp (step-b)'!$BC$23 &amp; CY$16),"")</f>
        <v/>
      </c>
      <c r="CZ61" s="1317" t="str">
        <f ca="1">IF(INDIRECT("'SpxSp (step-b)'!$B" &amp; CZ$16)=$Z61,INDIRECT("'SpxSp (step-b)'!$" &amp; 'SpxSp (step-b)'!$BC$23 &amp; CZ$16),"")</f>
        <v/>
      </c>
      <c r="DA61" s="1317" t="str">
        <f ca="1">IF(INDIRECT("'SpxSp (step-b)'!$B" &amp; DA$16)=$Z61,INDIRECT("'SpxSp (step-b)'!$" &amp; 'SpxSp (step-b)'!$BC$23 &amp; DA$16),"")</f>
        <v/>
      </c>
      <c r="DB61" s="1317" t="str">
        <f ca="1">IF(INDIRECT("'SpxSp (step-b)'!$B" &amp; DB$16)=$Z61,INDIRECT("'SpxSp (step-b)'!$" &amp; 'SpxSp (step-b)'!$BC$23 &amp; DB$16),"")</f>
        <v/>
      </c>
      <c r="DC61" s="1317" t="str">
        <f ca="1">IF(INDIRECT("'SpxSp (step-b)'!$B" &amp; DC$16)=$Z61,INDIRECT("'SpxSp (step-b)'!$" &amp; 'SpxSp (step-b)'!$BC$23 &amp; DC$16),"")</f>
        <v/>
      </c>
      <c r="DD61" s="1317" t="str">
        <f ca="1">IF(INDIRECT("'SpxSp (step-b)'!$B" &amp; DD$16)=$Z61,INDIRECT("'SpxSp (step-b)'!$" &amp; 'SpxSp (step-b)'!$BC$23 &amp; DD$16),"")</f>
        <v/>
      </c>
      <c r="DE61" s="1317" t="str">
        <f ca="1">IF(INDIRECT("'SpxSp (step-b)'!$B" &amp; DE$16)=$Z61,INDIRECT("'SpxSp (step-b)'!$" &amp; 'SpxSp (step-b)'!$BC$23 &amp; DE$16),"")</f>
        <v/>
      </c>
      <c r="DF61" s="1317" t="str">
        <f ca="1">IF(INDIRECT("'SpxSp (step-b)'!$B" &amp; DF$16)=$Z61,INDIRECT("'SpxSp (step-b)'!$" &amp; 'SpxSp (step-b)'!$BC$23 &amp; DF$16),"")</f>
        <v/>
      </c>
      <c r="DG61" s="1317" t="str">
        <f ca="1">IF(INDIRECT("'SpxSp (step-b)'!$B" &amp; DG$16)=$Z61,INDIRECT("'SpxSp (step-b)'!$" &amp; 'SpxSp (step-b)'!$BC$23 &amp; DG$16),"")</f>
        <v/>
      </c>
      <c r="DH61" s="1317" t="str">
        <f ca="1">IF(INDIRECT("'SpxSp (step-b)'!$B" &amp; DH$16)=$Z61,INDIRECT("'SpxSp (step-b)'!$" &amp; 'SpxSp (step-b)'!$BC$23 &amp; DH$16),"")</f>
        <v/>
      </c>
      <c r="DI61" s="1317" t="str">
        <f ca="1">IF(INDIRECT("'SpxSp (step-b)'!$B" &amp; DI$16)=$Z61,INDIRECT("'SpxSp (step-b)'!$" &amp; 'SpxSp (step-b)'!$BC$23 &amp; DI$16),"")</f>
        <v/>
      </c>
      <c r="DJ61" s="1317" t="str">
        <f ca="1">IF(INDIRECT("'SpxSp (step-b)'!$B" &amp; DJ$16)=$Z61,INDIRECT("'SpxSp (step-b)'!$" &amp; 'SpxSp (step-b)'!$BC$23 &amp; DJ$16),"")</f>
        <v/>
      </c>
      <c r="DK61" s="1317" t="str">
        <f ca="1">IF(INDIRECT("'SpxSp (step-b)'!$B" &amp; DK$16)=$Z61,INDIRECT("'SpxSp (step-b)'!$" &amp; 'SpxSp (step-b)'!$BC$23 &amp; DK$16),"")</f>
        <v/>
      </c>
      <c r="DL61" s="1317" t="str">
        <f ca="1">IF(INDIRECT("'SpxSp (step-b)'!$B" &amp; DL$16)=$Z61,INDIRECT("'SpxSp (step-b)'!$" &amp; 'SpxSp (step-b)'!$BC$23 &amp; DL$16),"")</f>
        <v/>
      </c>
      <c r="DM61" s="1317" t="str">
        <f ca="1">IF(INDIRECT("'SpxSp (step-b)'!$B" &amp; DM$16)=$Z61,INDIRECT("'SpxSp (step-b)'!$" &amp; 'SpxSp (step-b)'!$BC$23 &amp; DM$16),"")</f>
        <v/>
      </c>
      <c r="DN61" s="1318" t="str">
        <f t="shared" ca="1" si="32"/>
        <v/>
      </c>
      <c r="DO61" s="1246" t="s">
        <v>1201</v>
      </c>
    </row>
    <row r="62" spans="2:119" ht="40" x14ac:dyDescent="0.2">
      <c r="B62" s="1450" t="str">
        <f t="shared" si="13"/>
        <v/>
      </c>
      <c r="C62" s="1451"/>
      <c r="D62" s="1451"/>
      <c r="E62" s="1451"/>
      <c r="F62" s="1452"/>
      <c r="G62" s="1319" t="str">
        <f t="shared" si="31"/>
        <v/>
      </c>
      <c r="H62" s="1320" t="str">
        <f t="shared" si="14"/>
        <v/>
      </c>
      <c r="I62" s="1321" t="str">
        <f t="shared" si="33"/>
        <v/>
      </c>
      <c r="J62" s="1296"/>
      <c r="K62" s="1322" t="str">
        <f>IFERROR(IF(OR(B62="",H62=0),"",VLOOKUP(B62,'SpxSp (step-c)'!B$18:O$67,6,FALSE)),"")</f>
        <v/>
      </c>
      <c r="L62" s="1323" t="str">
        <f ca="1">IFERROR(F(OR(B62="",H62=0),"",VLOOKUP($B62,'SpxSp (step-c)'!$B$18:O$67,12,FALSE)),"")</f>
        <v/>
      </c>
      <c r="M62" s="1321" t="str">
        <f ca="1">IF(AND(B62&lt;&gt;"",L62=""),"NA",IFERROR(VLOOKUP($B62,'SpxSp (step-c)'!$B$18:P$67,13,FALSE),""))</f>
        <v/>
      </c>
      <c r="N62" s="1324"/>
      <c r="O62" s="1322" t="str">
        <f>IFERROR(IF(OR(B62="",H62=0),"",VLOOKUP($B62,'SpxSp (step-d)'!$B$18:$P$67,12,FALSE)),"")</f>
        <v/>
      </c>
      <c r="P62" s="1323" t="str">
        <f>IFERROR(IF(OR(B62="",H62=0),"",VLOOKUP($B62,'SpxSp (step-d)'!$B$18:$P$67,13,FALSE)),"")</f>
        <v/>
      </c>
      <c r="Q62" s="1323" t="str">
        <f>IFERROR(IF(OR(B62="",H62=0),"",VLOOKUP($B62,'SpxSp (step-d)'!$B$18:$P$67,14,FALSE)),"")</f>
        <v/>
      </c>
      <c r="R62" s="1321" t="str">
        <f>IF(AND(B62&lt;&gt;"",P62=""),"NA",IFERROR(VLOOKUP(B62,'SpxSp (step-d)'!$B$18:$V$67,15,FALSE),""))</f>
        <v/>
      </c>
      <c r="S62" s="1296"/>
      <c r="T62" s="1325" t="str">
        <f t="shared" si="34"/>
        <v/>
      </c>
      <c r="U62" s="1326" t="str">
        <f t="shared" si="17"/>
        <v/>
      </c>
      <c r="Y62" s="1302">
        <v>45</v>
      </c>
      <c r="Z62" s="1303" t="str">
        <f>'SpxSp (step-a)'!B66</f>
        <v/>
      </c>
      <c r="AA62" s="1303" t="str">
        <f>'SpxSp (step-a)'!H66</f>
        <v/>
      </c>
      <c r="AB62" s="1290" t="str">
        <f>VLOOKUP($Z62,'SpxSp (step-a)'!$B$22:$O$71,AB$14,FALSE)</f>
        <v/>
      </c>
      <c r="AD62" s="1290" t="str">
        <f>IF(Z62="","",IFERROR(VLOOKUP($Z62,'SpxSp (step-a)'!$B$22:$O$71,AD$14,FALSE),0))</f>
        <v/>
      </c>
      <c r="AE62" s="1290" t="str">
        <f>IF(Z62="","",IFERROR(VLOOKUP($Z62,'SpxSp (step-a)'!$B$22:$O$71,AE$14,FALSE),0))</f>
        <v/>
      </c>
      <c r="AG62" s="1290" t="str">
        <f t="shared" si="36"/>
        <v/>
      </c>
      <c r="AI62" s="1290" t="str">
        <f>IF($Z62="","",SUMIFS('SpxSp (step-b)'!L$26:L$75,'SpxSp (step-b)'!B$26:B$75,Z62,'SpxSp (step-b)'!N$26:N$75,"New"))</f>
        <v/>
      </c>
      <c r="AJ62" s="1290" t="str">
        <f>IF($Z62="","",SUMIFS('SpxSp (step-b)'!$L$26:$L$75,'SpxSp (step-b)'!$B$26:$B$75,$Z62,'SpxSp (step-b)'!N$26:N$75,""))</f>
        <v/>
      </c>
      <c r="AK62" s="1290" t="str">
        <f>IF($Z62="","",SUMIFS('SpxSp (step-b)'!$J$26:$J$75,'SpxSp (step-b)'!$B$26:$B$75,$Z62,'SpxSp (step-b)'!$N$26:$N$75,"New")+SUMIFS('SpxSp (step-b)'!$J$26:$J$75,'SpxSp (step-b)'!$B$26:$B$75,$Z62,'SpxSp (step-b)'!$N$26:$N$75,""))</f>
        <v/>
      </c>
      <c r="AL62" s="1290" t="str">
        <f>IF($Z62="","",SUMIFS('SpxSp (step-b)'!$L$26:$L$75,'SpxSp (step-b)'!$B$26:$B$75,$Z62,'SpxSp (step-b)'!$N$26:$N$75,"Existing Remains"))</f>
        <v/>
      </c>
      <c r="AM62" s="1290" t="str">
        <f>IF($Z62="","",SUMIFS('SpxSp (step-b)'!$L$26:$L$75,'SpxSp (step-b)'!$B$26:$B$75,$Z62,'SpxSp (step-b)'!$N$26:$N$75,"Existing Removed"))</f>
        <v/>
      </c>
      <c r="AN62" s="1290" t="str">
        <f>IF($Z62="","",SUMIFS('SpxSp (step-b)'!$J$26:$J$75,'SpxSp (step-b)'!$B$26:$B$75,$Z62,'SpxSp (step-b)'!$N$26:$N$75,"Existing Removed"))</f>
        <v/>
      </c>
      <c r="AO62" s="1290" t="str">
        <f t="shared" si="37"/>
        <v/>
      </c>
      <c r="AP62" s="1290" t="str">
        <f t="shared" si="18"/>
        <v/>
      </c>
      <c r="AQ62" s="1304"/>
      <c r="AR62" s="1305" t="str">
        <f t="shared" si="19"/>
        <v/>
      </c>
      <c r="AS62" s="1306" t="str">
        <f t="shared" si="20"/>
        <v/>
      </c>
      <c r="AT62" s="1307"/>
      <c r="AU62" s="1308" t="str">
        <f t="shared" si="21"/>
        <v/>
      </c>
      <c r="AV62" s="1309" t="str">
        <f t="shared" si="38"/>
        <v/>
      </c>
      <c r="AW62" s="1309" t="str">
        <f t="shared" si="22"/>
        <v/>
      </c>
      <c r="AX62" s="1310" t="str">
        <f t="shared" si="23"/>
        <v/>
      </c>
      <c r="AY62" s="1307"/>
      <c r="AZ62" s="1311" t="str">
        <f t="shared" si="24"/>
        <v/>
      </c>
      <c r="BA62" s="1309" t="str">
        <f t="shared" si="25"/>
        <v/>
      </c>
      <c r="BB62" s="1310" t="str">
        <f t="shared" si="26"/>
        <v/>
      </c>
      <c r="BC62" s="1312"/>
      <c r="BD62" s="1313" t="str">
        <f t="shared" si="35"/>
        <v/>
      </c>
      <c r="BE62" s="1290" t="str">
        <f t="shared" si="27"/>
        <v/>
      </c>
      <c r="BF62" s="1290" t="str">
        <f t="shared" si="28"/>
        <v/>
      </c>
      <c r="BH62" s="1315" t="str">
        <f t="shared" si="39"/>
        <v/>
      </c>
      <c r="BI62" s="1315"/>
      <c r="BJ62" s="1303" t="str">
        <f>IF(OR(BH62="Fail",BH62="Fail LPA",BH62=""),"",'SpxSp (step-a)'!CM66)</f>
        <v/>
      </c>
      <c r="BK62" s="1290">
        <f t="shared" si="30"/>
        <v>0</v>
      </c>
      <c r="BN62" s="178">
        <v>45</v>
      </c>
      <c r="BO62" s="1316" t="str">
        <f t="shared" ca="1" si="29"/>
        <v/>
      </c>
      <c r="BP62" s="1317" t="str">
        <f ca="1">IF(INDIRECT("'SpxSp (step-b)'!$B" &amp; BP$16)=$Z62,INDIRECT("'SpxSp (step-b)'!$" &amp; 'SpxSp (step-b)'!$BC$23 &amp; BP$16),"")</f>
        <v/>
      </c>
      <c r="BQ62" s="1317" t="str">
        <f ca="1">IF(INDIRECT("'SpxSp (step-b)'!$B" &amp; BQ$16)=$Z62,INDIRECT("'SpxSp (step-b)'!$" &amp; 'SpxSp (step-b)'!$BC$23 &amp; BQ$16),"")</f>
        <v/>
      </c>
      <c r="BR62" s="1317" t="str">
        <f ca="1">IF(INDIRECT("'SpxSp (step-b)'!$B" &amp; BR$16)=$Z62,INDIRECT("'SpxSp (step-b)'!$" &amp; 'SpxSp (step-b)'!$BC$23 &amp; BR$16),"")</f>
        <v/>
      </c>
      <c r="BS62" s="1317" t="str">
        <f ca="1">IF(INDIRECT("'SpxSp (step-b)'!$B" &amp; BS$16)=$Z62,INDIRECT("'SpxSp (step-b)'!$" &amp; 'SpxSp (step-b)'!$BC$23 &amp; BS$16),"")</f>
        <v/>
      </c>
      <c r="BT62" s="1317" t="str">
        <f ca="1">IF(INDIRECT("'SpxSp (step-b)'!$B" &amp; BT$16)=$Z62,INDIRECT("'SpxSp (step-b)'!$" &amp; 'SpxSp (step-b)'!$BC$23 &amp; BT$16),"")</f>
        <v/>
      </c>
      <c r="BU62" s="1317" t="str">
        <f ca="1">IF(INDIRECT("'SpxSp (step-b)'!$B" &amp; BU$16)=$Z62,INDIRECT("'SpxSp (step-b)'!$" &amp; 'SpxSp (step-b)'!$BC$23 &amp; BU$16),"")</f>
        <v/>
      </c>
      <c r="BV62" s="1317" t="str">
        <f ca="1">IF(INDIRECT("'SpxSp (step-b)'!$B" &amp; BV$16)=$Z62,INDIRECT("'SpxSp (step-b)'!$" &amp; 'SpxSp (step-b)'!$BC$23 &amp; BV$16),"")</f>
        <v/>
      </c>
      <c r="BW62" s="1317" t="str">
        <f ca="1">IF(INDIRECT("'SpxSp (step-b)'!$B" &amp; BW$16)=$Z62,INDIRECT("'SpxSp (step-b)'!$" &amp; 'SpxSp (step-b)'!$BC$23 &amp; BW$16),"")</f>
        <v/>
      </c>
      <c r="BX62" s="1317" t="str">
        <f ca="1">IF(INDIRECT("'SpxSp (step-b)'!$B" &amp; BX$16)=$Z62,INDIRECT("'SpxSp (step-b)'!$" &amp; 'SpxSp (step-b)'!$BC$23 &amp; BX$16),"")</f>
        <v/>
      </c>
      <c r="BY62" s="1317" t="str">
        <f ca="1">IF(INDIRECT("'SpxSp (step-b)'!$B" &amp; BY$16)=$Z62,INDIRECT("'SpxSp (step-b)'!$" &amp; 'SpxSp (step-b)'!$BC$23 &amp; BY$16),"")</f>
        <v/>
      </c>
      <c r="BZ62" s="1317" t="str">
        <f ca="1">IF(INDIRECT("'SpxSp (step-b)'!$B" &amp; BZ$16)=$Z62,INDIRECT("'SpxSp (step-b)'!$" &amp; 'SpxSp (step-b)'!$BC$23 &amp; BZ$16),"")</f>
        <v/>
      </c>
      <c r="CA62" s="1317" t="str">
        <f ca="1">IF(INDIRECT("'SpxSp (step-b)'!$B" &amp; CA$16)=$Z62,INDIRECT("'SpxSp (step-b)'!$" &amp; 'SpxSp (step-b)'!$BC$23 &amp; CA$16),"")</f>
        <v/>
      </c>
      <c r="CB62" s="1317" t="str">
        <f ca="1">IF(INDIRECT("'SpxSp (step-b)'!$B" &amp; CB$16)=$Z62,INDIRECT("'SpxSp (step-b)'!$" &amp; 'SpxSp (step-b)'!$BC$23 &amp; CB$16),"")</f>
        <v/>
      </c>
      <c r="CC62" s="1317" t="str">
        <f ca="1">IF(INDIRECT("'SpxSp (step-b)'!$B" &amp; CC$16)=$Z62,INDIRECT("'SpxSp (step-b)'!$" &amp; 'SpxSp (step-b)'!$BC$23 &amp; CC$16),"")</f>
        <v/>
      </c>
      <c r="CD62" s="1317" t="str">
        <f ca="1">IF(INDIRECT("'SpxSp (step-b)'!$B" &amp; CD$16)=$Z62,INDIRECT("'SpxSp (step-b)'!$" &amp; 'SpxSp (step-b)'!$BC$23 &amp; CD$16),"")</f>
        <v/>
      </c>
      <c r="CE62" s="1317" t="str">
        <f ca="1">IF(INDIRECT("'SpxSp (step-b)'!$B" &amp; CE$16)=$Z62,INDIRECT("'SpxSp (step-b)'!$" &amp; 'SpxSp (step-b)'!$BC$23 &amp; CE$16),"")</f>
        <v/>
      </c>
      <c r="CF62" s="1317" t="str">
        <f ca="1">IF(INDIRECT("'SpxSp (step-b)'!$B" &amp; CF$16)=$Z62,INDIRECT("'SpxSp (step-b)'!$" &amp; 'SpxSp (step-b)'!$BC$23 &amp; CF$16),"")</f>
        <v/>
      </c>
      <c r="CG62" s="1317" t="str">
        <f ca="1">IF(INDIRECT("'SpxSp (step-b)'!$B" &amp; CG$16)=$Z62,INDIRECT("'SpxSp (step-b)'!$" &amp; 'SpxSp (step-b)'!$BC$23 &amp; CG$16),"")</f>
        <v/>
      </c>
      <c r="CH62" s="1317" t="str">
        <f ca="1">IF(INDIRECT("'SpxSp (step-b)'!$B" &amp; CH$16)=$Z62,INDIRECT("'SpxSp (step-b)'!$" &amp; 'SpxSp (step-b)'!$BC$23 &amp; CH$16),"")</f>
        <v/>
      </c>
      <c r="CI62" s="1317" t="str">
        <f ca="1">IF(INDIRECT("'SpxSp (step-b)'!$B" &amp; CI$16)=$Z62,INDIRECT("'SpxSp (step-b)'!$" &amp; 'SpxSp (step-b)'!$BC$23 &amp; CI$16),"")</f>
        <v/>
      </c>
      <c r="CJ62" s="1317" t="str">
        <f ca="1">IF(INDIRECT("'SpxSp (step-b)'!$B" &amp; CJ$16)=$Z62,INDIRECT("'SpxSp (step-b)'!$" &amp; 'SpxSp (step-b)'!$BC$23 &amp; CJ$16),"")</f>
        <v/>
      </c>
      <c r="CK62" s="1317" t="str">
        <f ca="1">IF(INDIRECT("'SpxSp (step-b)'!$B" &amp; CK$16)=$Z62,INDIRECT("'SpxSp (step-b)'!$" &amp; 'SpxSp (step-b)'!$BC$23 &amp; CK$16),"")</f>
        <v/>
      </c>
      <c r="CL62" s="1317" t="str">
        <f ca="1">IF(INDIRECT("'SpxSp (step-b)'!$B" &amp; CL$16)=$Z62,INDIRECT("'SpxSp (step-b)'!$" &amp; 'SpxSp (step-b)'!$BC$23 &amp; CL$16),"")</f>
        <v/>
      </c>
      <c r="CM62" s="1317" t="str">
        <f ca="1">IF(INDIRECT("'SpxSp (step-b)'!$B" &amp; CM$16)=$Z62,INDIRECT("'SpxSp (step-b)'!$" &amp; 'SpxSp (step-b)'!$BC$23 &amp; CM$16),"")</f>
        <v/>
      </c>
      <c r="CN62" s="1317" t="str">
        <f ca="1">IF(INDIRECT("'SpxSp (step-b)'!$B" &amp; CN$16)=$Z62,INDIRECT("'SpxSp (step-b)'!$" &amp; 'SpxSp (step-b)'!$BC$23 &amp; CN$16),"")</f>
        <v/>
      </c>
      <c r="CO62" s="1317" t="str">
        <f ca="1">IF(INDIRECT("'SpxSp (step-b)'!$B" &amp; CO$16)=$Z62,INDIRECT("'SpxSp (step-b)'!$" &amp; 'SpxSp (step-b)'!$BC$23 &amp; CO$16),"")</f>
        <v/>
      </c>
      <c r="CP62" s="1317" t="str">
        <f ca="1">IF(INDIRECT("'SpxSp (step-b)'!$B" &amp; CP$16)=$Z62,INDIRECT("'SpxSp (step-b)'!$" &amp; 'SpxSp (step-b)'!$BC$23 &amp; CP$16),"")</f>
        <v/>
      </c>
      <c r="CQ62" s="1317" t="str">
        <f ca="1">IF(INDIRECT("'SpxSp (step-b)'!$B" &amp; CQ$16)=$Z62,INDIRECT("'SpxSp (step-b)'!$" &amp; 'SpxSp (step-b)'!$BC$23 &amp; CQ$16),"")</f>
        <v/>
      </c>
      <c r="CR62" s="1317" t="str">
        <f ca="1">IF(INDIRECT("'SpxSp (step-b)'!$B" &amp; CR$16)=$Z62,INDIRECT("'SpxSp (step-b)'!$" &amp; 'SpxSp (step-b)'!$BC$23 &amp; CR$16),"")</f>
        <v/>
      </c>
      <c r="CS62" s="1317" t="str">
        <f ca="1">IF(INDIRECT("'SpxSp (step-b)'!$B" &amp; CS$16)=$Z62,INDIRECT("'SpxSp (step-b)'!$" &amp; 'SpxSp (step-b)'!$BC$23 &amp; CS$16),"")</f>
        <v/>
      </c>
      <c r="CT62" s="1317" t="str">
        <f ca="1">IF(INDIRECT("'SpxSp (step-b)'!$B" &amp; CT$16)=$Z62,INDIRECT("'SpxSp (step-b)'!$" &amp; 'SpxSp (step-b)'!$BC$23 &amp; CT$16),"")</f>
        <v/>
      </c>
      <c r="CU62" s="1317" t="str">
        <f ca="1">IF(INDIRECT("'SpxSp (step-b)'!$B" &amp; CU$16)=$Z62,INDIRECT("'SpxSp (step-b)'!$" &amp; 'SpxSp (step-b)'!$BC$23 &amp; CU$16),"")</f>
        <v/>
      </c>
      <c r="CV62" s="1317" t="str">
        <f ca="1">IF(INDIRECT("'SpxSp (step-b)'!$B" &amp; CV$16)=$Z62,INDIRECT("'SpxSp (step-b)'!$" &amp; 'SpxSp (step-b)'!$BC$23 &amp; CV$16),"")</f>
        <v/>
      </c>
      <c r="CW62" s="1317" t="str">
        <f ca="1">IF(INDIRECT("'SpxSp (step-b)'!$B" &amp; CW$16)=$Z62,INDIRECT("'SpxSp (step-b)'!$" &amp; 'SpxSp (step-b)'!$BC$23 &amp; CW$16),"")</f>
        <v/>
      </c>
      <c r="CX62" s="1317" t="str">
        <f ca="1">IF(INDIRECT("'SpxSp (step-b)'!$B" &amp; CX$16)=$Z62,INDIRECT("'SpxSp (step-b)'!$" &amp; 'SpxSp (step-b)'!$BC$23 &amp; CX$16),"")</f>
        <v/>
      </c>
      <c r="CY62" s="1317" t="str">
        <f ca="1">IF(INDIRECT("'SpxSp (step-b)'!$B" &amp; CY$16)=$Z62,INDIRECT("'SpxSp (step-b)'!$" &amp; 'SpxSp (step-b)'!$BC$23 &amp; CY$16),"")</f>
        <v/>
      </c>
      <c r="CZ62" s="1317" t="str">
        <f ca="1">IF(INDIRECT("'SpxSp (step-b)'!$B" &amp; CZ$16)=$Z62,INDIRECT("'SpxSp (step-b)'!$" &amp; 'SpxSp (step-b)'!$BC$23 &amp; CZ$16),"")</f>
        <v/>
      </c>
      <c r="DA62" s="1317" t="str">
        <f ca="1">IF(INDIRECT("'SpxSp (step-b)'!$B" &amp; DA$16)=$Z62,INDIRECT("'SpxSp (step-b)'!$" &amp; 'SpxSp (step-b)'!$BC$23 &amp; DA$16),"")</f>
        <v/>
      </c>
      <c r="DB62" s="1317" t="str">
        <f ca="1">IF(INDIRECT("'SpxSp (step-b)'!$B" &amp; DB$16)=$Z62,INDIRECT("'SpxSp (step-b)'!$" &amp; 'SpxSp (step-b)'!$BC$23 &amp; DB$16),"")</f>
        <v/>
      </c>
      <c r="DC62" s="1317" t="str">
        <f ca="1">IF(INDIRECT("'SpxSp (step-b)'!$B" &amp; DC$16)=$Z62,INDIRECT("'SpxSp (step-b)'!$" &amp; 'SpxSp (step-b)'!$BC$23 &amp; DC$16),"")</f>
        <v/>
      </c>
      <c r="DD62" s="1317" t="str">
        <f ca="1">IF(INDIRECT("'SpxSp (step-b)'!$B" &amp; DD$16)=$Z62,INDIRECT("'SpxSp (step-b)'!$" &amp; 'SpxSp (step-b)'!$BC$23 &amp; DD$16),"")</f>
        <v/>
      </c>
      <c r="DE62" s="1317" t="str">
        <f ca="1">IF(INDIRECT("'SpxSp (step-b)'!$B" &amp; DE$16)=$Z62,INDIRECT("'SpxSp (step-b)'!$" &amp; 'SpxSp (step-b)'!$BC$23 &amp; DE$16),"")</f>
        <v/>
      </c>
      <c r="DF62" s="1317" t="str">
        <f ca="1">IF(INDIRECT("'SpxSp (step-b)'!$B" &amp; DF$16)=$Z62,INDIRECT("'SpxSp (step-b)'!$" &amp; 'SpxSp (step-b)'!$BC$23 &amp; DF$16),"")</f>
        <v/>
      </c>
      <c r="DG62" s="1317" t="str">
        <f ca="1">IF(INDIRECT("'SpxSp (step-b)'!$B" &amp; DG$16)=$Z62,INDIRECT("'SpxSp (step-b)'!$" &amp; 'SpxSp (step-b)'!$BC$23 &amp; DG$16),"")</f>
        <v/>
      </c>
      <c r="DH62" s="1317" t="str">
        <f ca="1">IF(INDIRECT("'SpxSp (step-b)'!$B" &amp; DH$16)=$Z62,INDIRECT("'SpxSp (step-b)'!$" &amp; 'SpxSp (step-b)'!$BC$23 &amp; DH$16),"")</f>
        <v/>
      </c>
      <c r="DI62" s="1317" t="str">
        <f ca="1">IF(INDIRECT("'SpxSp (step-b)'!$B" &amp; DI$16)=$Z62,INDIRECT("'SpxSp (step-b)'!$" &amp; 'SpxSp (step-b)'!$BC$23 &amp; DI$16),"")</f>
        <v/>
      </c>
      <c r="DJ62" s="1317" t="str">
        <f ca="1">IF(INDIRECT("'SpxSp (step-b)'!$B" &amp; DJ$16)=$Z62,INDIRECT("'SpxSp (step-b)'!$" &amp; 'SpxSp (step-b)'!$BC$23 &amp; DJ$16),"")</f>
        <v/>
      </c>
      <c r="DK62" s="1317" t="str">
        <f ca="1">IF(INDIRECT("'SpxSp (step-b)'!$B" &amp; DK$16)=$Z62,INDIRECT("'SpxSp (step-b)'!$" &amp; 'SpxSp (step-b)'!$BC$23 &amp; DK$16),"")</f>
        <v/>
      </c>
      <c r="DL62" s="1317" t="str">
        <f ca="1">IF(INDIRECT("'SpxSp (step-b)'!$B" &amp; DL$16)=$Z62,INDIRECT("'SpxSp (step-b)'!$" &amp; 'SpxSp (step-b)'!$BC$23 &amp; DL$16),"")</f>
        <v/>
      </c>
      <c r="DM62" s="1317" t="str">
        <f ca="1">IF(INDIRECT("'SpxSp (step-b)'!$B" &amp; DM$16)=$Z62,INDIRECT("'SpxSp (step-b)'!$" &amp; 'SpxSp (step-b)'!$BC$23 &amp; DM$16),"")</f>
        <v/>
      </c>
      <c r="DN62" s="1318" t="str">
        <f t="shared" ca="1" si="32"/>
        <v/>
      </c>
      <c r="DO62" s="1246" t="s">
        <v>1201</v>
      </c>
    </row>
    <row r="63" spans="2:119" ht="40" x14ac:dyDescent="0.2">
      <c r="B63" s="1450" t="str">
        <f t="shared" si="13"/>
        <v/>
      </c>
      <c r="C63" s="1451"/>
      <c r="D63" s="1451"/>
      <c r="E63" s="1451"/>
      <c r="F63" s="1452"/>
      <c r="G63" s="1319" t="str">
        <f t="shared" si="31"/>
        <v/>
      </c>
      <c r="H63" s="1320" t="str">
        <f t="shared" si="14"/>
        <v/>
      </c>
      <c r="I63" s="1321" t="str">
        <f t="shared" si="33"/>
        <v/>
      </c>
      <c r="J63" s="1296"/>
      <c r="K63" s="1322" t="str">
        <f>IFERROR(IF(OR(B63="",H63=0),"",VLOOKUP(B63,'SpxSp (step-c)'!B$18:O$67,6,FALSE)),"")</f>
        <v/>
      </c>
      <c r="L63" s="1323" t="str">
        <f ca="1">IFERROR(F(OR(B63="",H63=0),"",VLOOKUP($B63,'SpxSp (step-c)'!$B$18:O$67,12,FALSE)),"")</f>
        <v/>
      </c>
      <c r="M63" s="1321" t="str">
        <f ca="1">IF(AND(B63&lt;&gt;"",L63=""),"NA",IFERROR(VLOOKUP($B63,'SpxSp (step-c)'!$B$18:P$67,13,FALSE),""))</f>
        <v/>
      </c>
      <c r="N63" s="1324"/>
      <c r="O63" s="1322" t="str">
        <f>IFERROR(IF(OR(B63="",H63=0),"",VLOOKUP($B63,'SpxSp (step-d)'!$B$18:$P$67,12,FALSE)),"")</f>
        <v/>
      </c>
      <c r="P63" s="1323" t="str">
        <f>IFERROR(IF(OR(B63="",H63=0),"",VLOOKUP($B63,'SpxSp (step-d)'!$B$18:$P$67,13,FALSE)),"")</f>
        <v/>
      </c>
      <c r="Q63" s="1323" t="str">
        <f>IFERROR(IF(OR(B63="",H63=0),"",VLOOKUP($B63,'SpxSp (step-d)'!$B$18:$P$67,14,FALSE)),"")</f>
        <v/>
      </c>
      <c r="R63" s="1321" t="str">
        <f>IF(AND(B63&lt;&gt;"",P63=""),"NA",IFERROR(VLOOKUP(B63,'SpxSp (step-d)'!$B$18:$V$67,15,FALSE),""))</f>
        <v/>
      </c>
      <c r="S63" s="1296"/>
      <c r="T63" s="1325" t="str">
        <f t="shared" si="34"/>
        <v/>
      </c>
      <c r="U63" s="1326" t="str">
        <f t="shared" si="17"/>
        <v/>
      </c>
      <c r="Y63" s="1302">
        <v>46</v>
      </c>
      <c r="Z63" s="1303" t="str">
        <f>'SpxSp (step-a)'!B67</f>
        <v/>
      </c>
      <c r="AA63" s="1303" t="str">
        <f>'SpxSp (step-a)'!H67</f>
        <v/>
      </c>
      <c r="AB63" s="1290" t="str">
        <f>VLOOKUP($Z63,'SpxSp (step-a)'!$B$22:$O$71,AB$14,FALSE)</f>
        <v/>
      </c>
      <c r="AD63" s="1290" t="str">
        <f>IF(Z63="","",IFERROR(VLOOKUP($Z63,'SpxSp (step-a)'!$B$22:$O$71,AD$14,FALSE),0))</f>
        <v/>
      </c>
      <c r="AE63" s="1290" t="str">
        <f>IF(Z63="","",IFERROR(VLOOKUP($Z63,'SpxSp (step-a)'!$B$22:$O$71,AE$14,FALSE),0))</f>
        <v/>
      </c>
      <c r="AG63" s="1290" t="str">
        <f t="shared" si="36"/>
        <v/>
      </c>
      <c r="AI63" s="1290" t="str">
        <f>IF($Z63="","",SUMIFS('SpxSp (step-b)'!L$26:L$75,'SpxSp (step-b)'!B$26:B$75,Z63,'SpxSp (step-b)'!N$26:N$75,"New"))</f>
        <v/>
      </c>
      <c r="AJ63" s="1290" t="str">
        <f>IF($Z63="","",SUMIFS('SpxSp (step-b)'!$L$26:$L$75,'SpxSp (step-b)'!$B$26:$B$75,$Z63,'SpxSp (step-b)'!N$26:N$75,""))</f>
        <v/>
      </c>
      <c r="AK63" s="1290" t="str">
        <f>IF($Z63="","",SUMIFS('SpxSp (step-b)'!$J$26:$J$75,'SpxSp (step-b)'!$B$26:$B$75,$Z63,'SpxSp (step-b)'!$N$26:$N$75,"New")+SUMIFS('SpxSp (step-b)'!$J$26:$J$75,'SpxSp (step-b)'!$B$26:$B$75,$Z63,'SpxSp (step-b)'!$N$26:$N$75,""))</f>
        <v/>
      </c>
      <c r="AL63" s="1290" t="str">
        <f>IF($Z63="","",SUMIFS('SpxSp (step-b)'!$L$26:$L$75,'SpxSp (step-b)'!$B$26:$B$75,$Z63,'SpxSp (step-b)'!$N$26:$N$75,"Existing Remains"))</f>
        <v/>
      </c>
      <c r="AM63" s="1290" t="str">
        <f>IF($Z63="","",SUMIFS('SpxSp (step-b)'!$L$26:$L$75,'SpxSp (step-b)'!$B$26:$B$75,$Z63,'SpxSp (step-b)'!$N$26:$N$75,"Existing Removed"))</f>
        <v/>
      </c>
      <c r="AN63" s="1290" t="str">
        <f>IF($Z63="","",SUMIFS('SpxSp (step-b)'!$J$26:$J$75,'SpxSp (step-b)'!$B$26:$B$75,$Z63,'SpxSp (step-b)'!$N$26:$N$75,"Existing Removed"))</f>
        <v/>
      </c>
      <c r="AO63" s="1290" t="str">
        <f t="shared" si="37"/>
        <v/>
      </c>
      <c r="AP63" s="1290" t="str">
        <f t="shared" si="18"/>
        <v/>
      </c>
      <c r="AQ63" s="1304"/>
      <c r="AR63" s="1305" t="str">
        <f t="shared" si="19"/>
        <v/>
      </c>
      <c r="AS63" s="1306" t="str">
        <f t="shared" si="20"/>
        <v/>
      </c>
      <c r="AT63" s="1307"/>
      <c r="AU63" s="1308" t="str">
        <f t="shared" si="21"/>
        <v/>
      </c>
      <c r="AV63" s="1309" t="str">
        <f t="shared" si="38"/>
        <v/>
      </c>
      <c r="AW63" s="1309" t="str">
        <f t="shared" si="22"/>
        <v/>
      </c>
      <c r="AX63" s="1310" t="str">
        <f t="shared" si="23"/>
        <v/>
      </c>
      <c r="AY63" s="1307"/>
      <c r="AZ63" s="1311" t="str">
        <f t="shared" si="24"/>
        <v/>
      </c>
      <c r="BA63" s="1309" t="str">
        <f t="shared" si="25"/>
        <v/>
      </c>
      <c r="BB63" s="1310" t="str">
        <f t="shared" si="26"/>
        <v/>
      </c>
      <c r="BC63" s="1312"/>
      <c r="BD63" s="1313" t="str">
        <f t="shared" si="35"/>
        <v/>
      </c>
      <c r="BE63" s="1290" t="str">
        <f t="shared" si="27"/>
        <v/>
      </c>
      <c r="BF63" s="1290" t="str">
        <f t="shared" si="28"/>
        <v/>
      </c>
      <c r="BH63" s="1315" t="str">
        <f t="shared" si="39"/>
        <v/>
      </c>
      <c r="BI63" s="1315"/>
      <c r="BJ63" s="1303" t="str">
        <f>IF(OR(BH63="Fail",BH63="Fail LPA",BH63=""),"",'SpxSp (step-a)'!CM67)</f>
        <v/>
      </c>
      <c r="BK63" s="1290">
        <f t="shared" si="30"/>
        <v>0</v>
      </c>
      <c r="BN63" s="178">
        <v>46</v>
      </c>
      <c r="BO63" s="1316" t="str">
        <f t="shared" ca="1" si="29"/>
        <v/>
      </c>
      <c r="BP63" s="1317" t="str">
        <f ca="1">IF(INDIRECT("'SpxSp (step-b)'!$B" &amp; BP$16)=$Z63,INDIRECT("'SpxSp (step-b)'!$" &amp; 'SpxSp (step-b)'!$BC$23 &amp; BP$16),"")</f>
        <v/>
      </c>
      <c r="BQ63" s="1317" t="str">
        <f ca="1">IF(INDIRECT("'SpxSp (step-b)'!$B" &amp; BQ$16)=$Z63,INDIRECT("'SpxSp (step-b)'!$" &amp; 'SpxSp (step-b)'!$BC$23 &amp; BQ$16),"")</f>
        <v/>
      </c>
      <c r="BR63" s="1317" t="str">
        <f ca="1">IF(INDIRECT("'SpxSp (step-b)'!$B" &amp; BR$16)=$Z63,INDIRECT("'SpxSp (step-b)'!$" &amp; 'SpxSp (step-b)'!$BC$23 &amp; BR$16),"")</f>
        <v/>
      </c>
      <c r="BS63" s="1317" t="str">
        <f ca="1">IF(INDIRECT("'SpxSp (step-b)'!$B" &amp; BS$16)=$Z63,INDIRECT("'SpxSp (step-b)'!$" &amp; 'SpxSp (step-b)'!$BC$23 &amp; BS$16),"")</f>
        <v/>
      </c>
      <c r="BT63" s="1317" t="str">
        <f ca="1">IF(INDIRECT("'SpxSp (step-b)'!$B" &amp; BT$16)=$Z63,INDIRECT("'SpxSp (step-b)'!$" &amp; 'SpxSp (step-b)'!$BC$23 &amp; BT$16),"")</f>
        <v/>
      </c>
      <c r="BU63" s="1317" t="str">
        <f ca="1">IF(INDIRECT("'SpxSp (step-b)'!$B" &amp; BU$16)=$Z63,INDIRECT("'SpxSp (step-b)'!$" &amp; 'SpxSp (step-b)'!$BC$23 &amp; BU$16),"")</f>
        <v/>
      </c>
      <c r="BV63" s="1317" t="str">
        <f ca="1">IF(INDIRECT("'SpxSp (step-b)'!$B" &amp; BV$16)=$Z63,INDIRECT("'SpxSp (step-b)'!$" &amp; 'SpxSp (step-b)'!$BC$23 &amp; BV$16),"")</f>
        <v/>
      </c>
      <c r="BW63" s="1317" t="str">
        <f ca="1">IF(INDIRECT("'SpxSp (step-b)'!$B" &amp; BW$16)=$Z63,INDIRECT("'SpxSp (step-b)'!$" &amp; 'SpxSp (step-b)'!$BC$23 &amp; BW$16),"")</f>
        <v/>
      </c>
      <c r="BX63" s="1317" t="str">
        <f ca="1">IF(INDIRECT("'SpxSp (step-b)'!$B" &amp; BX$16)=$Z63,INDIRECT("'SpxSp (step-b)'!$" &amp; 'SpxSp (step-b)'!$BC$23 &amp; BX$16),"")</f>
        <v/>
      </c>
      <c r="BY63" s="1317" t="str">
        <f ca="1">IF(INDIRECT("'SpxSp (step-b)'!$B" &amp; BY$16)=$Z63,INDIRECT("'SpxSp (step-b)'!$" &amp; 'SpxSp (step-b)'!$BC$23 &amp; BY$16),"")</f>
        <v/>
      </c>
      <c r="BZ63" s="1317" t="str">
        <f ca="1">IF(INDIRECT("'SpxSp (step-b)'!$B" &amp; BZ$16)=$Z63,INDIRECT("'SpxSp (step-b)'!$" &amp; 'SpxSp (step-b)'!$BC$23 &amp; BZ$16),"")</f>
        <v/>
      </c>
      <c r="CA63" s="1317" t="str">
        <f ca="1">IF(INDIRECT("'SpxSp (step-b)'!$B" &amp; CA$16)=$Z63,INDIRECT("'SpxSp (step-b)'!$" &amp; 'SpxSp (step-b)'!$BC$23 &amp; CA$16),"")</f>
        <v/>
      </c>
      <c r="CB63" s="1317" t="str">
        <f ca="1">IF(INDIRECT("'SpxSp (step-b)'!$B" &amp; CB$16)=$Z63,INDIRECT("'SpxSp (step-b)'!$" &amp; 'SpxSp (step-b)'!$BC$23 &amp; CB$16),"")</f>
        <v/>
      </c>
      <c r="CC63" s="1317" t="str">
        <f ca="1">IF(INDIRECT("'SpxSp (step-b)'!$B" &amp; CC$16)=$Z63,INDIRECT("'SpxSp (step-b)'!$" &amp; 'SpxSp (step-b)'!$BC$23 &amp; CC$16),"")</f>
        <v/>
      </c>
      <c r="CD63" s="1317" t="str">
        <f ca="1">IF(INDIRECT("'SpxSp (step-b)'!$B" &amp; CD$16)=$Z63,INDIRECT("'SpxSp (step-b)'!$" &amp; 'SpxSp (step-b)'!$BC$23 &amp; CD$16),"")</f>
        <v/>
      </c>
      <c r="CE63" s="1317" t="str">
        <f ca="1">IF(INDIRECT("'SpxSp (step-b)'!$B" &amp; CE$16)=$Z63,INDIRECT("'SpxSp (step-b)'!$" &amp; 'SpxSp (step-b)'!$BC$23 &amp; CE$16),"")</f>
        <v/>
      </c>
      <c r="CF63" s="1317" t="str">
        <f ca="1">IF(INDIRECT("'SpxSp (step-b)'!$B" &amp; CF$16)=$Z63,INDIRECT("'SpxSp (step-b)'!$" &amp; 'SpxSp (step-b)'!$BC$23 &amp; CF$16),"")</f>
        <v/>
      </c>
      <c r="CG63" s="1317" t="str">
        <f ca="1">IF(INDIRECT("'SpxSp (step-b)'!$B" &amp; CG$16)=$Z63,INDIRECT("'SpxSp (step-b)'!$" &amp; 'SpxSp (step-b)'!$BC$23 &amp; CG$16),"")</f>
        <v/>
      </c>
      <c r="CH63" s="1317" t="str">
        <f ca="1">IF(INDIRECT("'SpxSp (step-b)'!$B" &amp; CH$16)=$Z63,INDIRECT("'SpxSp (step-b)'!$" &amp; 'SpxSp (step-b)'!$BC$23 &amp; CH$16),"")</f>
        <v/>
      </c>
      <c r="CI63" s="1317" t="str">
        <f ca="1">IF(INDIRECT("'SpxSp (step-b)'!$B" &amp; CI$16)=$Z63,INDIRECT("'SpxSp (step-b)'!$" &amp; 'SpxSp (step-b)'!$BC$23 &amp; CI$16),"")</f>
        <v/>
      </c>
      <c r="CJ63" s="1317" t="str">
        <f ca="1">IF(INDIRECT("'SpxSp (step-b)'!$B" &amp; CJ$16)=$Z63,INDIRECT("'SpxSp (step-b)'!$" &amp; 'SpxSp (step-b)'!$BC$23 &amp; CJ$16),"")</f>
        <v/>
      </c>
      <c r="CK63" s="1317" t="str">
        <f ca="1">IF(INDIRECT("'SpxSp (step-b)'!$B" &amp; CK$16)=$Z63,INDIRECT("'SpxSp (step-b)'!$" &amp; 'SpxSp (step-b)'!$BC$23 &amp; CK$16),"")</f>
        <v/>
      </c>
      <c r="CL63" s="1317" t="str">
        <f ca="1">IF(INDIRECT("'SpxSp (step-b)'!$B" &amp; CL$16)=$Z63,INDIRECT("'SpxSp (step-b)'!$" &amp; 'SpxSp (step-b)'!$BC$23 &amp; CL$16),"")</f>
        <v/>
      </c>
      <c r="CM63" s="1317" t="str">
        <f ca="1">IF(INDIRECT("'SpxSp (step-b)'!$B" &amp; CM$16)=$Z63,INDIRECT("'SpxSp (step-b)'!$" &amp; 'SpxSp (step-b)'!$BC$23 &amp; CM$16),"")</f>
        <v/>
      </c>
      <c r="CN63" s="1317" t="str">
        <f ca="1">IF(INDIRECT("'SpxSp (step-b)'!$B" &amp; CN$16)=$Z63,INDIRECT("'SpxSp (step-b)'!$" &amp; 'SpxSp (step-b)'!$BC$23 &amp; CN$16),"")</f>
        <v/>
      </c>
      <c r="CO63" s="1317" t="str">
        <f ca="1">IF(INDIRECT("'SpxSp (step-b)'!$B" &amp; CO$16)=$Z63,INDIRECT("'SpxSp (step-b)'!$" &amp; 'SpxSp (step-b)'!$BC$23 &amp; CO$16),"")</f>
        <v/>
      </c>
      <c r="CP63" s="1317" t="str">
        <f ca="1">IF(INDIRECT("'SpxSp (step-b)'!$B" &amp; CP$16)=$Z63,INDIRECT("'SpxSp (step-b)'!$" &amp; 'SpxSp (step-b)'!$BC$23 &amp; CP$16),"")</f>
        <v/>
      </c>
      <c r="CQ63" s="1317" t="str">
        <f ca="1">IF(INDIRECT("'SpxSp (step-b)'!$B" &amp; CQ$16)=$Z63,INDIRECT("'SpxSp (step-b)'!$" &amp; 'SpxSp (step-b)'!$BC$23 &amp; CQ$16),"")</f>
        <v/>
      </c>
      <c r="CR63" s="1317" t="str">
        <f ca="1">IF(INDIRECT("'SpxSp (step-b)'!$B" &amp; CR$16)=$Z63,INDIRECT("'SpxSp (step-b)'!$" &amp; 'SpxSp (step-b)'!$BC$23 &amp; CR$16),"")</f>
        <v/>
      </c>
      <c r="CS63" s="1317" t="str">
        <f ca="1">IF(INDIRECT("'SpxSp (step-b)'!$B" &amp; CS$16)=$Z63,INDIRECT("'SpxSp (step-b)'!$" &amp; 'SpxSp (step-b)'!$BC$23 &amp; CS$16),"")</f>
        <v/>
      </c>
      <c r="CT63" s="1317" t="str">
        <f ca="1">IF(INDIRECT("'SpxSp (step-b)'!$B" &amp; CT$16)=$Z63,INDIRECT("'SpxSp (step-b)'!$" &amp; 'SpxSp (step-b)'!$BC$23 &amp; CT$16),"")</f>
        <v/>
      </c>
      <c r="CU63" s="1317" t="str">
        <f ca="1">IF(INDIRECT("'SpxSp (step-b)'!$B" &amp; CU$16)=$Z63,INDIRECT("'SpxSp (step-b)'!$" &amp; 'SpxSp (step-b)'!$BC$23 &amp; CU$16),"")</f>
        <v/>
      </c>
      <c r="CV63" s="1317" t="str">
        <f ca="1">IF(INDIRECT("'SpxSp (step-b)'!$B" &amp; CV$16)=$Z63,INDIRECT("'SpxSp (step-b)'!$" &amp; 'SpxSp (step-b)'!$BC$23 &amp; CV$16),"")</f>
        <v/>
      </c>
      <c r="CW63" s="1317" t="str">
        <f ca="1">IF(INDIRECT("'SpxSp (step-b)'!$B" &amp; CW$16)=$Z63,INDIRECT("'SpxSp (step-b)'!$" &amp; 'SpxSp (step-b)'!$BC$23 &amp; CW$16),"")</f>
        <v/>
      </c>
      <c r="CX63" s="1317" t="str">
        <f ca="1">IF(INDIRECT("'SpxSp (step-b)'!$B" &amp; CX$16)=$Z63,INDIRECT("'SpxSp (step-b)'!$" &amp; 'SpxSp (step-b)'!$BC$23 &amp; CX$16),"")</f>
        <v/>
      </c>
      <c r="CY63" s="1317" t="str">
        <f ca="1">IF(INDIRECT("'SpxSp (step-b)'!$B" &amp; CY$16)=$Z63,INDIRECT("'SpxSp (step-b)'!$" &amp; 'SpxSp (step-b)'!$BC$23 &amp; CY$16),"")</f>
        <v/>
      </c>
      <c r="CZ63" s="1317" t="str">
        <f ca="1">IF(INDIRECT("'SpxSp (step-b)'!$B" &amp; CZ$16)=$Z63,INDIRECT("'SpxSp (step-b)'!$" &amp; 'SpxSp (step-b)'!$BC$23 &amp; CZ$16),"")</f>
        <v/>
      </c>
      <c r="DA63" s="1317" t="str">
        <f ca="1">IF(INDIRECT("'SpxSp (step-b)'!$B" &amp; DA$16)=$Z63,INDIRECT("'SpxSp (step-b)'!$" &amp; 'SpxSp (step-b)'!$BC$23 &amp; DA$16),"")</f>
        <v/>
      </c>
      <c r="DB63" s="1317" t="str">
        <f ca="1">IF(INDIRECT("'SpxSp (step-b)'!$B" &amp; DB$16)=$Z63,INDIRECT("'SpxSp (step-b)'!$" &amp; 'SpxSp (step-b)'!$BC$23 &amp; DB$16),"")</f>
        <v/>
      </c>
      <c r="DC63" s="1317" t="str">
        <f ca="1">IF(INDIRECT("'SpxSp (step-b)'!$B" &amp; DC$16)=$Z63,INDIRECT("'SpxSp (step-b)'!$" &amp; 'SpxSp (step-b)'!$BC$23 &amp; DC$16),"")</f>
        <v/>
      </c>
      <c r="DD63" s="1317" t="str">
        <f ca="1">IF(INDIRECT("'SpxSp (step-b)'!$B" &amp; DD$16)=$Z63,INDIRECT("'SpxSp (step-b)'!$" &amp; 'SpxSp (step-b)'!$BC$23 &amp; DD$16),"")</f>
        <v/>
      </c>
      <c r="DE63" s="1317" t="str">
        <f ca="1">IF(INDIRECT("'SpxSp (step-b)'!$B" &amp; DE$16)=$Z63,INDIRECT("'SpxSp (step-b)'!$" &amp; 'SpxSp (step-b)'!$BC$23 &amp; DE$16),"")</f>
        <v/>
      </c>
      <c r="DF63" s="1317" t="str">
        <f ca="1">IF(INDIRECT("'SpxSp (step-b)'!$B" &amp; DF$16)=$Z63,INDIRECT("'SpxSp (step-b)'!$" &amp; 'SpxSp (step-b)'!$BC$23 &amp; DF$16),"")</f>
        <v/>
      </c>
      <c r="DG63" s="1317" t="str">
        <f ca="1">IF(INDIRECT("'SpxSp (step-b)'!$B" &amp; DG$16)=$Z63,INDIRECT("'SpxSp (step-b)'!$" &amp; 'SpxSp (step-b)'!$BC$23 &amp; DG$16),"")</f>
        <v/>
      </c>
      <c r="DH63" s="1317" t="str">
        <f ca="1">IF(INDIRECT("'SpxSp (step-b)'!$B" &amp; DH$16)=$Z63,INDIRECT("'SpxSp (step-b)'!$" &amp; 'SpxSp (step-b)'!$BC$23 &amp; DH$16),"")</f>
        <v/>
      </c>
      <c r="DI63" s="1317" t="str">
        <f ca="1">IF(INDIRECT("'SpxSp (step-b)'!$B" &amp; DI$16)=$Z63,INDIRECT("'SpxSp (step-b)'!$" &amp; 'SpxSp (step-b)'!$BC$23 &amp; DI$16),"")</f>
        <v/>
      </c>
      <c r="DJ63" s="1317" t="str">
        <f ca="1">IF(INDIRECT("'SpxSp (step-b)'!$B" &amp; DJ$16)=$Z63,INDIRECT("'SpxSp (step-b)'!$" &amp; 'SpxSp (step-b)'!$BC$23 &amp; DJ$16),"")</f>
        <v/>
      </c>
      <c r="DK63" s="1317" t="str">
        <f ca="1">IF(INDIRECT("'SpxSp (step-b)'!$B" &amp; DK$16)=$Z63,INDIRECT("'SpxSp (step-b)'!$" &amp; 'SpxSp (step-b)'!$BC$23 &amp; DK$16),"")</f>
        <v/>
      </c>
      <c r="DL63" s="1317" t="str">
        <f ca="1">IF(INDIRECT("'SpxSp (step-b)'!$B" &amp; DL$16)=$Z63,INDIRECT("'SpxSp (step-b)'!$" &amp; 'SpxSp (step-b)'!$BC$23 &amp; DL$16),"")</f>
        <v/>
      </c>
      <c r="DM63" s="1317" t="str">
        <f ca="1">IF(INDIRECT("'SpxSp (step-b)'!$B" &amp; DM$16)=$Z63,INDIRECT("'SpxSp (step-b)'!$" &amp; 'SpxSp (step-b)'!$BC$23 &amp; DM$16),"")</f>
        <v/>
      </c>
      <c r="DN63" s="1318" t="str">
        <f t="shared" ca="1" si="32"/>
        <v/>
      </c>
      <c r="DO63" s="1246" t="s">
        <v>1201</v>
      </c>
    </row>
    <row r="64" spans="2:119" ht="40" x14ac:dyDescent="0.2">
      <c r="B64" s="1450" t="str">
        <f t="shared" si="13"/>
        <v/>
      </c>
      <c r="C64" s="1451"/>
      <c r="D64" s="1451"/>
      <c r="E64" s="1451"/>
      <c r="F64" s="1452"/>
      <c r="G64" s="1319" t="str">
        <f t="shared" si="31"/>
        <v/>
      </c>
      <c r="H64" s="1320" t="str">
        <f t="shared" si="14"/>
        <v/>
      </c>
      <c r="I64" s="1321" t="str">
        <f t="shared" si="33"/>
        <v/>
      </c>
      <c r="J64" s="1296"/>
      <c r="K64" s="1322" t="str">
        <f>IFERROR(IF(OR(B64="",H64=0),"",VLOOKUP(B64,'SpxSp (step-c)'!B$18:O$67,6,FALSE)),"")</f>
        <v/>
      </c>
      <c r="L64" s="1323" t="str">
        <f ca="1">IFERROR(F(OR(B64="",H64=0),"",VLOOKUP($B64,'SpxSp (step-c)'!$B$18:O$67,12,FALSE)),"")</f>
        <v/>
      </c>
      <c r="M64" s="1321" t="str">
        <f ca="1">IF(AND(B64&lt;&gt;"",L64=""),"NA",IFERROR(VLOOKUP($B64,'SpxSp (step-c)'!$B$18:P$67,13,FALSE),""))</f>
        <v/>
      </c>
      <c r="N64" s="1324"/>
      <c r="O64" s="1322" t="str">
        <f>IFERROR(IF(OR(B64="",H64=0),"",VLOOKUP($B64,'SpxSp (step-d)'!$B$18:$P$67,12,FALSE)),"")</f>
        <v/>
      </c>
      <c r="P64" s="1323" t="str">
        <f>IFERROR(IF(OR(B64="",H64=0),"",VLOOKUP($B64,'SpxSp (step-d)'!$B$18:$P$67,13,FALSE)),"")</f>
        <v/>
      </c>
      <c r="Q64" s="1323" t="str">
        <f>IFERROR(IF(OR(B64="",H64=0),"",VLOOKUP($B64,'SpxSp (step-d)'!$B$18:$P$67,14,FALSE)),"")</f>
        <v/>
      </c>
      <c r="R64" s="1321" t="str">
        <f>IF(AND(B64&lt;&gt;"",P64=""),"NA",IFERROR(VLOOKUP(B64,'SpxSp (step-d)'!$B$18:$V$67,15,FALSE),""))</f>
        <v/>
      </c>
      <c r="S64" s="1296"/>
      <c r="T64" s="1325" t="str">
        <f t="shared" si="34"/>
        <v/>
      </c>
      <c r="U64" s="1326" t="str">
        <f t="shared" si="17"/>
        <v/>
      </c>
      <c r="Y64" s="1302">
        <v>47</v>
      </c>
      <c r="Z64" s="1303" t="str">
        <f>'SpxSp (step-a)'!B68</f>
        <v/>
      </c>
      <c r="AA64" s="1303" t="str">
        <f>'SpxSp (step-a)'!H68</f>
        <v/>
      </c>
      <c r="AB64" s="1290" t="str">
        <f>VLOOKUP($Z64,'SpxSp (step-a)'!$B$22:$O$71,AB$14,FALSE)</f>
        <v/>
      </c>
      <c r="AD64" s="1290" t="str">
        <f>IF(Z64="","",IFERROR(VLOOKUP($Z64,'SpxSp (step-a)'!$B$22:$O$71,AD$14,FALSE),0))</f>
        <v/>
      </c>
      <c r="AE64" s="1290" t="str">
        <f>IF(Z64="","",IFERROR(VLOOKUP($Z64,'SpxSp (step-a)'!$B$22:$O$71,AE$14,FALSE),0))</f>
        <v/>
      </c>
      <c r="AG64" s="1290" t="str">
        <f t="shared" si="36"/>
        <v/>
      </c>
      <c r="AI64" s="1290" t="str">
        <f>IF($Z64="","",SUMIFS('SpxSp (step-b)'!L$26:L$75,'SpxSp (step-b)'!B$26:B$75,Z64,'SpxSp (step-b)'!N$26:N$75,"New"))</f>
        <v/>
      </c>
      <c r="AJ64" s="1290" t="str">
        <f>IF($Z64="","",SUMIFS('SpxSp (step-b)'!$L$26:$L$75,'SpxSp (step-b)'!$B$26:$B$75,$Z64,'SpxSp (step-b)'!N$26:N$75,""))</f>
        <v/>
      </c>
      <c r="AK64" s="1290" t="str">
        <f>IF($Z64="","",SUMIFS('SpxSp (step-b)'!$J$26:$J$75,'SpxSp (step-b)'!$B$26:$B$75,$Z64,'SpxSp (step-b)'!$N$26:$N$75,"New")+SUMIFS('SpxSp (step-b)'!$J$26:$J$75,'SpxSp (step-b)'!$B$26:$B$75,$Z64,'SpxSp (step-b)'!$N$26:$N$75,""))</f>
        <v/>
      </c>
      <c r="AL64" s="1290" t="str">
        <f>IF($Z64="","",SUMIFS('SpxSp (step-b)'!$L$26:$L$75,'SpxSp (step-b)'!$B$26:$B$75,$Z64,'SpxSp (step-b)'!$N$26:$N$75,"Existing Remains"))</f>
        <v/>
      </c>
      <c r="AM64" s="1290" t="str">
        <f>IF($Z64="","",SUMIFS('SpxSp (step-b)'!$L$26:$L$75,'SpxSp (step-b)'!$B$26:$B$75,$Z64,'SpxSp (step-b)'!$N$26:$N$75,"Existing Removed"))</f>
        <v/>
      </c>
      <c r="AN64" s="1290" t="str">
        <f>IF($Z64="","",SUMIFS('SpxSp (step-b)'!$J$26:$J$75,'SpxSp (step-b)'!$B$26:$B$75,$Z64,'SpxSp (step-b)'!$N$26:$N$75,"Existing Removed"))</f>
        <v/>
      </c>
      <c r="AO64" s="1290" t="str">
        <f t="shared" si="37"/>
        <v/>
      </c>
      <c r="AP64" s="1290" t="str">
        <f t="shared" si="18"/>
        <v/>
      </c>
      <c r="AQ64" s="1304"/>
      <c r="AR64" s="1305" t="str">
        <f t="shared" si="19"/>
        <v/>
      </c>
      <c r="AS64" s="1306" t="str">
        <f t="shared" si="20"/>
        <v/>
      </c>
      <c r="AT64" s="1307"/>
      <c r="AU64" s="1308" t="str">
        <f t="shared" si="21"/>
        <v/>
      </c>
      <c r="AV64" s="1309" t="str">
        <f t="shared" si="38"/>
        <v/>
      </c>
      <c r="AW64" s="1309" t="str">
        <f t="shared" si="22"/>
        <v/>
      </c>
      <c r="AX64" s="1310" t="str">
        <f t="shared" si="23"/>
        <v/>
      </c>
      <c r="AY64" s="1307"/>
      <c r="AZ64" s="1311" t="str">
        <f t="shared" si="24"/>
        <v/>
      </c>
      <c r="BA64" s="1309" t="str">
        <f t="shared" si="25"/>
        <v/>
      </c>
      <c r="BB64" s="1310" t="str">
        <f t="shared" si="26"/>
        <v/>
      </c>
      <c r="BC64" s="1312"/>
      <c r="BD64" s="1313" t="str">
        <f t="shared" si="35"/>
        <v/>
      </c>
      <c r="BE64" s="1290" t="str">
        <f t="shared" si="27"/>
        <v/>
      </c>
      <c r="BF64" s="1290" t="str">
        <f t="shared" si="28"/>
        <v/>
      </c>
      <c r="BH64" s="1315" t="str">
        <f t="shared" si="39"/>
        <v/>
      </c>
      <c r="BI64" s="1315"/>
      <c r="BJ64" s="1303" t="str">
        <f>IF(OR(BH64="Fail",BH64="Fail LPA",BH64=""),"",'SpxSp (step-a)'!CM68)</f>
        <v/>
      </c>
      <c r="BK64" s="1290">
        <f t="shared" si="30"/>
        <v>0</v>
      </c>
      <c r="BN64" s="178">
        <v>47</v>
      </c>
      <c r="BO64" s="1316" t="str">
        <f t="shared" ca="1" si="29"/>
        <v/>
      </c>
      <c r="BP64" s="1317" t="str">
        <f ca="1">IF(INDIRECT("'SpxSp (step-b)'!$B" &amp; BP$16)=$Z64,INDIRECT("'SpxSp (step-b)'!$" &amp; 'SpxSp (step-b)'!$BC$23 &amp; BP$16),"")</f>
        <v/>
      </c>
      <c r="BQ64" s="1317" t="str">
        <f ca="1">IF(INDIRECT("'SpxSp (step-b)'!$B" &amp; BQ$16)=$Z64,INDIRECT("'SpxSp (step-b)'!$" &amp; 'SpxSp (step-b)'!$BC$23 &amp; BQ$16),"")</f>
        <v/>
      </c>
      <c r="BR64" s="1317" t="str">
        <f ca="1">IF(INDIRECT("'SpxSp (step-b)'!$B" &amp; BR$16)=$Z64,INDIRECT("'SpxSp (step-b)'!$" &amp; 'SpxSp (step-b)'!$BC$23 &amp; BR$16),"")</f>
        <v/>
      </c>
      <c r="BS64" s="1317" t="str">
        <f ca="1">IF(INDIRECT("'SpxSp (step-b)'!$B" &amp; BS$16)=$Z64,INDIRECT("'SpxSp (step-b)'!$" &amp; 'SpxSp (step-b)'!$BC$23 &amp; BS$16),"")</f>
        <v/>
      </c>
      <c r="BT64" s="1317" t="str">
        <f ca="1">IF(INDIRECT("'SpxSp (step-b)'!$B" &amp; BT$16)=$Z64,INDIRECT("'SpxSp (step-b)'!$" &amp; 'SpxSp (step-b)'!$BC$23 &amp; BT$16),"")</f>
        <v/>
      </c>
      <c r="BU64" s="1317" t="str">
        <f ca="1">IF(INDIRECT("'SpxSp (step-b)'!$B" &amp; BU$16)=$Z64,INDIRECT("'SpxSp (step-b)'!$" &amp; 'SpxSp (step-b)'!$BC$23 &amp; BU$16),"")</f>
        <v/>
      </c>
      <c r="BV64" s="1317" t="str">
        <f ca="1">IF(INDIRECT("'SpxSp (step-b)'!$B" &amp; BV$16)=$Z64,INDIRECT("'SpxSp (step-b)'!$" &amp; 'SpxSp (step-b)'!$BC$23 &amp; BV$16),"")</f>
        <v/>
      </c>
      <c r="BW64" s="1317" t="str">
        <f ca="1">IF(INDIRECT("'SpxSp (step-b)'!$B" &amp; BW$16)=$Z64,INDIRECT("'SpxSp (step-b)'!$" &amp; 'SpxSp (step-b)'!$BC$23 &amp; BW$16),"")</f>
        <v/>
      </c>
      <c r="BX64" s="1317" t="str">
        <f ca="1">IF(INDIRECT("'SpxSp (step-b)'!$B" &amp; BX$16)=$Z64,INDIRECT("'SpxSp (step-b)'!$" &amp; 'SpxSp (step-b)'!$BC$23 &amp; BX$16),"")</f>
        <v/>
      </c>
      <c r="BY64" s="1317" t="str">
        <f ca="1">IF(INDIRECT("'SpxSp (step-b)'!$B" &amp; BY$16)=$Z64,INDIRECT("'SpxSp (step-b)'!$" &amp; 'SpxSp (step-b)'!$BC$23 &amp; BY$16),"")</f>
        <v/>
      </c>
      <c r="BZ64" s="1317" t="str">
        <f ca="1">IF(INDIRECT("'SpxSp (step-b)'!$B" &amp; BZ$16)=$Z64,INDIRECT("'SpxSp (step-b)'!$" &amp; 'SpxSp (step-b)'!$BC$23 &amp; BZ$16),"")</f>
        <v/>
      </c>
      <c r="CA64" s="1317" t="str">
        <f ca="1">IF(INDIRECT("'SpxSp (step-b)'!$B" &amp; CA$16)=$Z64,INDIRECT("'SpxSp (step-b)'!$" &amp; 'SpxSp (step-b)'!$BC$23 &amp; CA$16),"")</f>
        <v/>
      </c>
      <c r="CB64" s="1317" t="str">
        <f ca="1">IF(INDIRECT("'SpxSp (step-b)'!$B" &amp; CB$16)=$Z64,INDIRECT("'SpxSp (step-b)'!$" &amp; 'SpxSp (step-b)'!$BC$23 &amp; CB$16),"")</f>
        <v/>
      </c>
      <c r="CC64" s="1317" t="str">
        <f ca="1">IF(INDIRECT("'SpxSp (step-b)'!$B" &amp; CC$16)=$Z64,INDIRECT("'SpxSp (step-b)'!$" &amp; 'SpxSp (step-b)'!$BC$23 &amp; CC$16),"")</f>
        <v/>
      </c>
      <c r="CD64" s="1317" t="str">
        <f ca="1">IF(INDIRECT("'SpxSp (step-b)'!$B" &amp; CD$16)=$Z64,INDIRECT("'SpxSp (step-b)'!$" &amp; 'SpxSp (step-b)'!$BC$23 &amp; CD$16),"")</f>
        <v/>
      </c>
      <c r="CE64" s="1317" t="str">
        <f ca="1">IF(INDIRECT("'SpxSp (step-b)'!$B" &amp; CE$16)=$Z64,INDIRECT("'SpxSp (step-b)'!$" &amp; 'SpxSp (step-b)'!$BC$23 &amp; CE$16),"")</f>
        <v/>
      </c>
      <c r="CF64" s="1317" t="str">
        <f ca="1">IF(INDIRECT("'SpxSp (step-b)'!$B" &amp; CF$16)=$Z64,INDIRECT("'SpxSp (step-b)'!$" &amp; 'SpxSp (step-b)'!$BC$23 &amp; CF$16),"")</f>
        <v/>
      </c>
      <c r="CG64" s="1317" t="str">
        <f ca="1">IF(INDIRECT("'SpxSp (step-b)'!$B" &amp; CG$16)=$Z64,INDIRECT("'SpxSp (step-b)'!$" &amp; 'SpxSp (step-b)'!$BC$23 &amp; CG$16),"")</f>
        <v/>
      </c>
      <c r="CH64" s="1317" t="str">
        <f ca="1">IF(INDIRECT("'SpxSp (step-b)'!$B" &amp; CH$16)=$Z64,INDIRECT("'SpxSp (step-b)'!$" &amp; 'SpxSp (step-b)'!$BC$23 &amp; CH$16),"")</f>
        <v/>
      </c>
      <c r="CI64" s="1317" t="str">
        <f ca="1">IF(INDIRECT("'SpxSp (step-b)'!$B" &amp; CI$16)=$Z64,INDIRECT("'SpxSp (step-b)'!$" &amp; 'SpxSp (step-b)'!$BC$23 &amp; CI$16),"")</f>
        <v/>
      </c>
      <c r="CJ64" s="1317" t="str">
        <f ca="1">IF(INDIRECT("'SpxSp (step-b)'!$B" &amp; CJ$16)=$Z64,INDIRECT("'SpxSp (step-b)'!$" &amp; 'SpxSp (step-b)'!$BC$23 &amp; CJ$16),"")</f>
        <v/>
      </c>
      <c r="CK64" s="1317" t="str">
        <f ca="1">IF(INDIRECT("'SpxSp (step-b)'!$B" &amp; CK$16)=$Z64,INDIRECT("'SpxSp (step-b)'!$" &amp; 'SpxSp (step-b)'!$BC$23 &amp; CK$16),"")</f>
        <v/>
      </c>
      <c r="CL64" s="1317" t="str">
        <f ca="1">IF(INDIRECT("'SpxSp (step-b)'!$B" &amp; CL$16)=$Z64,INDIRECT("'SpxSp (step-b)'!$" &amp; 'SpxSp (step-b)'!$BC$23 &amp; CL$16),"")</f>
        <v/>
      </c>
      <c r="CM64" s="1317" t="str">
        <f ca="1">IF(INDIRECT("'SpxSp (step-b)'!$B" &amp; CM$16)=$Z64,INDIRECT("'SpxSp (step-b)'!$" &amp; 'SpxSp (step-b)'!$BC$23 &amp; CM$16),"")</f>
        <v/>
      </c>
      <c r="CN64" s="1317" t="str">
        <f ca="1">IF(INDIRECT("'SpxSp (step-b)'!$B" &amp; CN$16)=$Z64,INDIRECT("'SpxSp (step-b)'!$" &amp; 'SpxSp (step-b)'!$BC$23 &amp; CN$16),"")</f>
        <v/>
      </c>
      <c r="CO64" s="1317" t="str">
        <f ca="1">IF(INDIRECT("'SpxSp (step-b)'!$B" &amp; CO$16)=$Z64,INDIRECT("'SpxSp (step-b)'!$" &amp; 'SpxSp (step-b)'!$BC$23 &amp; CO$16),"")</f>
        <v/>
      </c>
      <c r="CP64" s="1317" t="str">
        <f ca="1">IF(INDIRECT("'SpxSp (step-b)'!$B" &amp; CP$16)=$Z64,INDIRECT("'SpxSp (step-b)'!$" &amp; 'SpxSp (step-b)'!$BC$23 &amp; CP$16),"")</f>
        <v/>
      </c>
      <c r="CQ64" s="1317" t="str">
        <f ca="1">IF(INDIRECT("'SpxSp (step-b)'!$B" &amp; CQ$16)=$Z64,INDIRECT("'SpxSp (step-b)'!$" &amp; 'SpxSp (step-b)'!$BC$23 &amp; CQ$16),"")</f>
        <v/>
      </c>
      <c r="CR64" s="1317" t="str">
        <f ca="1">IF(INDIRECT("'SpxSp (step-b)'!$B" &amp; CR$16)=$Z64,INDIRECT("'SpxSp (step-b)'!$" &amp; 'SpxSp (step-b)'!$BC$23 &amp; CR$16),"")</f>
        <v/>
      </c>
      <c r="CS64" s="1317" t="str">
        <f ca="1">IF(INDIRECT("'SpxSp (step-b)'!$B" &amp; CS$16)=$Z64,INDIRECT("'SpxSp (step-b)'!$" &amp; 'SpxSp (step-b)'!$BC$23 &amp; CS$16),"")</f>
        <v/>
      </c>
      <c r="CT64" s="1317" t="str">
        <f ca="1">IF(INDIRECT("'SpxSp (step-b)'!$B" &amp; CT$16)=$Z64,INDIRECT("'SpxSp (step-b)'!$" &amp; 'SpxSp (step-b)'!$BC$23 &amp; CT$16),"")</f>
        <v/>
      </c>
      <c r="CU64" s="1317" t="str">
        <f ca="1">IF(INDIRECT("'SpxSp (step-b)'!$B" &amp; CU$16)=$Z64,INDIRECT("'SpxSp (step-b)'!$" &amp; 'SpxSp (step-b)'!$BC$23 &amp; CU$16),"")</f>
        <v/>
      </c>
      <c r="CV64" s="1317" t="str">
        <f ca="1">IF(INDIRECT("'SpxSp (step-b)'!$B" &amp; CV$16)=$Z64,INDIRECT("'SpxSp (step-b)'!$" &amp; 'SpxSp (step-b)'!$BC$23 &amp; CV$16),"")</f>
        <v/>
      </c>
      <c r="CW64" s="1317" t="str">
        <f ca="1">IF(INDIRECT("'SpxSp (step-b)'!$B" &amp; CW$16)=$Z64,INDIRECT("'SpxSp (step-b)'!$" &amp; 'SpxSp (step-b)'!$BC$23 &amp; CW$16),"")</f>
        <v/>
      </c>
      <c r="CX64" s="1317" t="str">
        <f ca="1">IF(INDIRECT("'SpxSp (step-b)'!$B" &amp; CX$16)=$Z64,INDIRECT("'SpxSp (step-b)'!$" &amp; 'SpxSp (step-b)'!$BC$23 &amp; CX$16),"")</f>
        <v/>
      </c>
      <c r="CY64" s="1317" t="str">
        <f ca="1">IF(INDIRECT("'SpxSp (step-b)'!$B" &amp; CY$16)=$Z64,INDIRECT("'SpxSp (step-b)'!$" &amp; 'SpxSp (step-b)'!$BC$23 &amp; CY$16),"")</f>
        <v/>
      </c>
      <c r="CZ64" s="1317" t="str">
        <f ca="1">IF(INDIRECT("'SpxSp (step-b)'!$B" &amp; CZ$16)=$Z64,INDIRECT("'SpxSp (step-b)'!$" &amp; 'SpxSp (step-b)'!$BC$23 &amp; CZ$16),"")</f>
        <v/>
      </c>
      <c r="DA64" s="1317" t="str">
        <f ca="1">IF(INDIRECT("'SpxSp (step-b)'!$B" &amp; DA$16)=$Z64,INDIRECT("'SpxSp (step-b)'!$" &amp; 'SpxSp (step-b)'!$BC$23 &amp; DA$16),"")</f>
        <v/>
      </c>
      <c r="DB64" s="1317" t="str">
        <f ca="1">IF(INDIRECT("'SpxSp (step-b)'!$B" &amp; DB$16)=$Z64,INDIRECT("'SpxSp (step-b)'!$" &amp; 'SpxSp (step-b)'!$BC$23 &amp; DB$16),"")</f>
        <v/>
      </c>
      <c r="DC64" s="1317" t="str">
        <f ca="1">IF(INDIRECT("'SpxSp (step-b)'!$B" &amp; DC$16)=$Z64,INDIRECT("'SpxSp (step-b)'!$" &amp; 'SpxSp (step-b)'!$BC$23 &amp; DC$16),"")</f>
        <v/>
      </c>
      <c r="DD64" s="1317" t="str">
        <f ca="1">IF(INDIRECT("'SpxSp (step-b)'!$B" &amp; DD$16)=$Z64,INDIRECT("'SpxSp (step-b)'!$" &amp; 'SpxSp (step-b)'!$BC$23 &amp; DD$16),"")</f>
        <v/>
      </c>
      <c r="DE64" s="1317" t="str">
        <f ca="1">IF(INDIRECT("'SpxSp (step-b)'!$B" &amp; DE$16)=$Z64,INDIRECT("'SpxSp (step-b)'!$" &amp; 'SpxSp (step-b)'!$BC$23 &amp; DE$16),"")</f>
        <v/>
      </c>
      <c r="DF64" s="1317" t="str">
        <f ca="1">IF(INDIRECT("'SpxSp (step-b)'!$B" &amp; DF$16)=$Z64,INDIRECT("'SpxSp (step-b)'!$" &amp; 'SpxSp (step-b)'!$BC$23 &amp; DF$16),"")</f>
        <v/>
      </c>
      <c r="DG64" s="1317" t="str">
        <f ca="1">IF(INDIRECT("'SpxSp (step-b)'!$B" &amp; DG$16)=$Z64,INDIRECT("'SpxSp (step-b)'!$" &amp; 'SpxSp (step-b)'!$BC$23 &amp; DG$16),"")</f>
        <v/>
      </c>
      <c r="DH64" s="1317" t="str">
        <f ca="1">IF(INDIRECT("'SpxSp (step-b)'!$B" &amp; DH$16)=$Z64,INDIRECT("'SpxSp (step-b)'!$" &amp; 'SpxSp (step-b)'!$BC$23 &amp; DH$16),"")</f>
        <v/>
      </c>
      <c r="DI64" s="1317" t="str">
        <f ca="1">IF(INDIRECT("'SpxSp (step-b)'!$B" &amp; DI$16)=$Z64,INDIRECT("'SpxSp (step-b)'!$" &amp; 'SpxSp (step-b)'!$BC$23 &amp; DI$16),"")</f>
        <v/>
      </c>
      <c r="DJ64" s="1317" t="str">
        <f ca="1">IF(INDIRECT("'SpxSp (step-b)'!$B" &amp; DJ$16)=$Z64,INDIRECT("'SpxSp (step-b)'!$" &amp; 'SpxSp (step-b)'!$BC$23 &amp; DJ$16),"")</f>
        <v/>
      </c>
      <c r="DK64" s="1317" t="str">
        <f ca="1">IF(INDIRECT("'SpxSp (step-b)'!$B" &amp; DK$16)=$Z64,INDIRECT("'SpxSp (step-b)'!$" &amp; 'SpxSp (step-b)'!$BC$23 &amp; DK$16),"")</f>
        <v/>
      </c>
      <c r="DL64" s="1317" t="str">
        <f ca="1">IF(INDIRECT("'SpxSp (step-b)'!$B" &amp; DL$16)=$Z64,INDIRECT("'SpxSp (step-b)'!$" &amp; 'SpxSp (step-b)'!$BC$23 &amp; DL$16),"")</f>
        <v/>
      </c>
      <c r="DM64" s="1317" t="str">
        <f ca="1">IF(INDIRECT("'SpxSp (step-b)'!$B" &amp; DM$16)=$Z64,INDIRECT("'SpxSp (step-b)'!$" &amp; 'SpxSp (step-b)'!$BC$23 &amp; DM$16),"")</f>
        <v/>
      </c>
      <c r="DN64" s="1318" t="str">
        <f t="shared" ca="1" si="32"/>
        <v/>
      </c>
      <c r="DO64" s="1246" t="s">
        <v>1201</v>
      </c>
    </row>
    <row r="65" spans="2:119" ht="40" x14ac:dyDescent="0.2">
      <c r="B65" s="1450" t="str">
        <f t="shared" si="13"/>
        <v/>
      </c>
      <c r="C65" s="1451"/>
      <c r="D65" s="1451"/>
      <c r="E65" s="1451"/>
      <c r="F65" s="1452"/>
      <c r="G65" s="1319" t="str">
        <f t="shared" si="31"/>
        <v/>
      </c>
      <c r="H65" s="1320" t="str">
        <f t="shared" si="14"/>
        <v/>
      </c>
      <c r="I65" s="1321" t="str">
        <f t="shared" si="33"/>
        <v/>
      </c>
      <c r="J65" s="1296"/>
      <c r="K65" s="1322" t="str">
        <f>IFERROR(IF(OR(B65="",H65=0),"",VLOOKUP(B65,'SpxSp (step-c)'!B$18:O$67,6,FALSE)),"")</f>
        <v/>
      </c>
      <c r="L65" s="1323" t="str">
        <f ca="1">IFERROR(F(OR(B65="",H65=0),"",VLOOKUP($B65,'SpxSp (step-c)'!$B$18:O$67,12,FALSE)),"")</f>
        <v/>
      </c>
      <c r="M65" s="1321" t="str">
        <f ca="1">IF(AND(B65&lt;&gt;"",L65=""),"NA",IFERROR(VLOOKUP($B65,'SpxSp (step-c)'!$B$18:P$67,13,FALSE),""))</f>
        <v/>
      </c>
      <c r="N65" s="1324"/>
      <c r="O65" s="1322" t="str">
        <f>IFERROR(IF(OR(B65="",H65=0),"",VLOOKUP($B65,'SpxSp (step-d)'!$B$18:$P$67,12,FALSE)),"")</f>
        <v/>
      </c>
      <c r="P65" s="1323" t="str">
        <f>IFERROR(IF(OR(B65="",H65=0),"",VLOOKUP($B65,'SpxSp (step-d)'!$B$18:$P$67,13,FALSE)),"")</f>
        <v/>
      </c>
      <c r="Q65" s="1323" t="str">
        <f>IFERROR(IF(OR(B65="",H65=0),"",VLOOKUP($B65,'SpxSp (step-d)'!$B$18:$P$67,14,FALSE)),"")</f>
        <v/>
      </c>
      <c r="R65" s="1321" t="str">
        <f>IF(AND(B65&lt;&gt;"",P65=""),"NA",IFERROR(VLOOKUP(B65,'SpxSp (step-d)'!$B$18:$V$67,15,FALSE),""))</f>
        <v/>
      </c>
      <c r="S65" s="1296"/>
      <c r="T65" s="1325" t="str">
        <f t="shared" si="34"/>
        <v/>
      </c>
      <c r="U65" s="1326" t="str">
        <f t="shared" si="17"/>
        <v/>
      </c>
      <c r="Y65" s="1302">
        <v>48</v>
      </c>
      <c r="Z65" s="1303" t="str">
        <f>'SpxSp (step-a)'!B69</f>
        <v/>
      </c>
      <c r="AA65" s="1303" t="str">
        <f>'SpxSp (step-a)'!H69</f>
        <v/>
      </c>
      <c r="AB65" s="1290" t="str">
        <f>VLOOKUP($Z65,'SpxSp (step-a)'!$B$22:$O$71,AB$14,FALSE)</f>
        <v/>
      </c>
      <c r="AD65" s="1290" t="str">
        <f>IF(Z65="","",IFERROR(VLOOKUP($Z65,'SpxSp (step-a)'!$B$22:$O$71,AD$14,FALSE),0))</f>
        <v/>
      </c>
      <c r="AE65" s="1290" t="str">
        <f>IF(Z65="","",IFERROR(VLOOKUP($Z65,'SpxSp (step-a)'!$B$22:$O$71,AE$14,FALSE),0))</f>
        <v/>
      </c>
      <c r="AG65" s="1290" t="str">
        <f t="shared" si="36"/>
        <v/>
      </c>
      <c r="AI65" s="1290" t="str">
        <f>IF($Z65="","",SUMIFS('SpxSp (step-b)'!L$26:L$75,'SpxSp (step-b)'!B$26:B$75,Z65,'SpxSp (step-b)'!N$26:N$75,"New"))</f>
        <v/>
      </c>
      <c r="AJ65" s="1290" t="str">
        <f>IF($Z65="","",SUMIFS('SpxSp (step-b)'!$L$26:$L$75,'SpxSp (step-b)'!$B$26:$B$75,$Z65,'SpxSp (step-b)'!N$26:N$75,""))</f>
        <v/>
      </c>
      <c r="AK65" s="1290" t="str">
        <f>IF($Z65="","",SUMIFS('SpxSp (step-b)'!$J$26:$J$75,'SpxSp (step-b)'!$B$26:$B$75,$Z65,'SpxSp (step-b)'!$N$26:$N$75,"New")+SUMIFS('SpxSp (step-b)'!$J$26:$J$75,'SpxSp (step-b)'!$B$26:$B$75,$Z65,'SpxSp (step-b)'!$N$26:$N$75,""))</f>
        <v/>
      </c>
      <c r="AL65" s="1290" t="str">
        <f>IF($Z65="","",SUMIFS('SpxSp (step-b)'!$L$26:$L$75,'SpxSp (step-b)'!$B$26:$B$75,$Z65,'SpxSp (step-b)'!$N$26:$N$75,"Existing Remains"))</f>
        <v/>
      </c>
      <c r="AM65" s="1290" t="str">
        <f>IF($Z65="","",SUMIFS('SpxSp (step-b)'!$L$26:$L$75,'SpxSp (step-b)'!$B$26:$B$75,$Z65,'SpxSp (step-b)'!$N$26:$N$75,"Existing Removed"))</f>
        <v/>
      </c>
      <c r="AN65" s="1290" t="str">
        <f>IF($Z65="","",SUMIFS('SpxSp (step-b)'!$J$26:$J$75,'SpxSp (step-b)'!$B$26:$B$75,$Z65,'SpxSp (step-b)'!$N$26:$N$75,"Existing Removed"))</f>
        <v/>
      </c>
      <c r="AO65" s="1290" t="str">
        <f t="shared" si="37"/>
        <v/>
      </c>
      <c r="AP65" s="1290" t="str">
        <f t="shared" si="18"/>
        <v/>
      </c>
      <c r="AQ65" s="1304"/>
      <c r="AR65" s="1305" t="str">
        <f t="shared" si="19"/>
        <v/>
      </c>
      <c r="AS65" s="1306" t="str">
        <f t="shared" si="20"/>
        <v/>
      </c>
      <c r="AT65" s="1307"/>
      <c r="AU65" s="1308" t="str">
        <f t="shared" si="21"/>
        <v/>
      </c>
      <c r="AV65" s="1309" t="str">
        <f t="shared" si="38"/>
        <v/>
      </c>
      <c r="AW65" s="1309" t="str">
        <f t="shared" si="22"/>
        <v/>
      </c>
      <c r="AX65" s="1310" t="str">
        <f t="shared" si="23"/>
        <v/>
      </c>
      <c r="AY65" s="1307"/>
      <c r="AZ65" s="1311" t="str">
        <f t="shared" si="24"/>
        <v/>
      </c>
      <c r="BA65" s="1309" t="str">
        <f t="shared" si="25"/>
        <v/>
      </c>
      <c r="BB65" s="1310" t="str">
        <f t="shared" si="26"/>
        <v/>
      </c>
      <c r="BC65" s="1312"/>
      <c r="BD65" s="1313" t="str">
        <f t="shared" si="35"/>
        <v/>
      </c>
      <c r="BE65" s="1290" t="str">
        <f t="shared" si="27"/>
        <v/>
      </c>
      <c r="BF65" s="1290" t="str">
        <f t="shared" si="28"/>
        <v/>
      </c>
      <c r="BH65" s="1315" t="str">
        <f t="shared" si="39"/>
        <v/>
      </c>
      <c r="BI65" s="1315"/>
      <c r="BJ65" s="1303" t="str">
        <f>IF(OR(BH65="Fail",BH65="Fail LPA",BH65=""),"",'SpxSp (step-a)'!CM69)</f>
        <v/>
      </c>
      <c r="BK65" s="1290">
        <f t="shared" si="30"/>
        <v>0</v>
      </c>
      <c r="BN65" s="178">
        <v>48</v>
      </c>
      <c r="BO65" s="1316" t="str">
        <f t="shared" ca="1" si="29"/>
        <v/>
      </c>
      <c r="BP65" s="1317" t="str">
        <f ca="1">IF(INDIRECT("'SpxSp (step-b)'!$B" &amp; BP$16)=$Z65,INDIRECT("'SpxSp (step-b)'!$" &amp; 'SpxSp (step-b)'!$BC$23 &amp; BP$16),"")</f>
        <v/>
      </c>
      <c r="BQ65" s="1317" t="str">
        <f ca="1">IF(INDIRECT("'SpxSp (step-b)'!$B" &amp; BQ$16)=$Z65,INDIRECT("'SpxSp (step-b)'!$" &amp; 'SpxSp (step-b)'!$BC$23 &amp; BQ$16),"")</f>
        <v/>
      </c>
      <c r="BR65" s="1317" t="str">
        <f ca="1">IF(INDIRECT("'SpxSp (step-b)'!$B" &amp; BR$16)=$Z65,INDIRECT("'SpxSp (step-b)'!$" &amp; 'SpxSp (step-b)'!$BC$23 &amp; BR$16),"")</f>
        <v/>
      </c>
      <c r="BS65" s="1317" t="str">
        <f ca="1">IF(INDIRECT("'SpxSp (step-b)'!$B" &amp; BS$16)=$Z65,INDIRECT("'SpxSp (step-b)'!$" &amp; 'SpxSp (step-b)'!$BC$23 &amp; BS$16),"")</f>
        <v/>
      </c>
      <c r="BT65" s="1317" t="str">
        <f ca="1">IF(INDIRECT("'SpxSp (step-b)'!$B" &amp; BT$16)=$Z65,INDIRECT("'SpxSp (step-b)'!$" &amp; 'SpxSp (step-b)'!$BC$23 &amp; BT$16),"")</f>
        <v/>
      </c>
      <c r="BU65" s="1317" t="str">
        <f ca="1">IF(INDIRECT("'SpxSp (step-b)'!$B" &amp; BU$16)=$Z65,INDIRECT("'SpxSp (step-b)'!$" &amp; 'SpxSp (step-b)'!$BC$23 &amp; BU$16),"")</f>
        <v/>
      </c>
      <c r="BV65" s="1317" t="str">
        <f ca="1">IF(INDIRECT("'SpxSp (step-b)'!$B" &amp; BV$16)=$Z65,INDIRECT("'SpxSp (step-b)'!$" &amp; 'SpxSp (step-b)'!$BC$23 &amp; BV$16),"")</f>
        <v/>
      </c>
      <c r="BW65" s="1317" t="str">
        <f ca="1">IF(INDIRECT("'SpxSp (step-b)'!$B" &amp; BW$16)=$Z65,INDIRECT("'SpxSp (step-b)'!$" &amp; 'SpxSp (step-b)'!$BC$23 &amp; BW$16),"")</f>
        <v/>
      </c>
      <c r="BX65" s="1317" t="str">
        <f ca="1">IF(INDIRECT("'SpxSp (step-b)'!$B" &amp; BX$16)=$Z65,INDIRECT("'SpxSp (step-b)'!$" &amp; 'SpxSp (step-b)'!$BC$23 &amp; BX$16),"")</f>
        <v/>
      </c>
      <c r="BY65" s="1317" t="str">
        <f ca="1">IF(INDIRECT("'SpxSp (step-b)'!$B" &amp; BY$16)=$Z65,INDIRECT("'SpxSp (step-b)'!$" &amp; 'SpxSp (step-b)'!$BC$23 &amp; BY$16),"")</f>
        <v/>
      </c>
      <c r="BZ65" s="1317" t="str">
        <f ca="1">IF(INDIRECT("'SpxSp (step-b)'!$B" &amp; BZ$16)=$Z65,INDIRECT("'SpxSp (step-b)'!$" &amp; 'SpxSp (step-b)'!$BC$23 &amp; BZ$16),"")</f>
        <v/>
      </c>
      <c r="CA65" s="1317" t="str">
        <f ca="1">IF(INDIRECT("'SpxSp (step-b)'!$B" &amp; CA$16)=$Z65,INDIRECT("'SpxSp (step-b)'!$" &amp; 'SpxSp (step-b)'!$BC$23 &amp; CA$16),"")</f>
        <v/>
      </c>
      <c r="CB65" s="1317" t="str">
        <f ca="1">IF(INDIRECT("'SpxSp (step-b)'!$B" &amp; CB$16)=$Z65,INDIRECT("'SpxSp (step-b)'!$" &amp; 'SpxSp (step-b)'!$BC$23 &amp; CB$16),"")</f>
        <v/>
      </c>
      <c r="CC65" s="1317" t="str">
        <f ca="1">IF(INDIRECT("'SpxSp (step-b)'!$B" &amp; CC$16)=$Z65,INDIRECT("'SpxSp (step-b)'!$" &amp; 'SpxSp (step-b)'!$BC$23 &amp; CC$16),"")</f>
        <v/>
      </c>
      <c r="CD65" s="1317" t="str">
        <f ca="1">IF(INDIRECT("'SpxSp (step-b)'!$B" &amp; CD$16)=$Z65,INDIRECT("'SpxSp (step-b)'!$" &amp; 'SpxSp (step-b)'!$BC$23 &amp; CD$16),"")</f>
        <v/>
      </c>
      <c r="CE65" s="1317" t="str">
        <f ca="1">IF(INDIRECT("'SpxSp (step-b)'!$B" &amp; CE$16)=$Z65,INDIRECT("'SpxSp (step-b)'!$" &amp; 'SpxSp (step-b)'!$BC$23 &amp; CE$16),"")</f>
        <v/>
      </c>
      <c r="CF65" s="1317" t="str">
        <f ca="1">IF(INDIRECT("'SpxSp (step-b)'!$B" &amp; CF$16)=$Z65,INDIRECT("'SpxSp (step-b)'!$" &amp; 'SpxSp (step-b)'!$BC$23 &amp; CF$16),"")</f>
        <v/>
      </c>
      <c r="CG65" s="1317" t="str">
        <f ca="1">IF(INDIRECT("'SpxSp (step-b)'!$B" &amp; CG$16)=$Z65,INDIRECT("'SpxSp (step-b)'!$" &amp; 'SpxSp (step-b)'!$BC$23 &amp; CG$16),"")</f>
        <v/>
      </c>
      <c r="CH65" s="1317" t="str">
        <f ca="1">IF(INDIRECT("'SpxSp (step-b)'!$B" &amp; CH$16)=$Z65,INDIRECT("'SpxSp (step-b)'!$" &amp; 'SpxSp (step-b)'!$BC$23 &amp; CH$16),"")</f>
        <v/>
      </c>
      <c r="CI65" s="1317" t="str">
        <f ca="1">IF(INDIRECT("'SpxSp (step-b)'!$B" &amp; CI$16)=$Z65,INDIRECT("'SpxSp (step-b)'!$" &amp; 'SpxSp (step-b)'!$BC$23 &amp; CI$16),"")</f>
        <v/>
      </c>
      <c r="CJ65" s="1317" t="str">
        <f ca="1">IF(INDIRECT("'SpxSp (step-b)'!$B" &amp; CJ$16)=$Z65,INDIRECT("'SpxSp (step-b)'!$" &amp; 'SpxSp (step-b)'!$BC$23 &amp; CJ$16),"")</f>
        <v/>
      </c>
      <c r="CK65" s="1317" t="str">
        <f ca="1">IF(INDIRECT("'SpxSp (step-b)'!$B" &amp; CK$16)=$Z65,INDIRECT("'SpxSp (step-b)'!$" &amp; 'SpxSp (step-b)'!$BC$23 &amp; CK$16),"")</f>
        <v/>
      </c>
      <c r="CL65" s="1317" t="str">
        <f ca="1">IF(INDIRECT("'SpxSp (step-b)'!$B" &amp; CL$16)=$Z65,INDIRECT("'SpxSp (step-b)'!$" &amp; 'SpxSp (step-b)'!$BC$23 &amp; CL$16),"")</f>
        <v/>
      </c>
      <c r="CM65" s="1317" t="str">
        <f ca="1">IF(INDIRECT("'SpxSp (step-b)'!$B" &amp; CM$16)=$Z65,INDIRECT("'SpxSp (step-b)'!$" &amp; 'SpxSp (step-b)'!$BC$23 &amp; CM$16),"")</f>
        <v/>
      </c>
      <c r="CN65" s="1317" t="str">
        <f ca="1">IF(INDIRECT("'SpxSp (step-b)'!$B" &amp; CN$16)=$Z65,INDIRECT("'SpxSp (step-b)'!$" &amp; 'SpxSp (step-b)'!$BC$23 &amp; CN$16),"")</f>
        <v/>
      </c>
      <c r="CO65" s="1317" t="str">
        <f ca="1">IF(INDIRECT("'SpxSp (step-b)'!$B" &amp; CO$16)=$Z65,INDIRECT("'SpxSp (step-b)'!$" &amp; 'SpxSp (step-b)'!$BC$23 &amp; CO$16),"")</f>
        <v/>
      </c>
      <c r="CP65" s="1317" t="str">
        <f ca="1">IF(INDIRECT("'SpxSp (step-b)'!$B" &amp; CP$16)=$Z65,INDIRECT("'SpxSp (step-b)'!$" &amp; 'SpxSp (step-b)'!$BC$23 &amp; CP$16),"")</f>
        <v/>
      </c>
      <c r="CQ65" s="1317" t="str">
        <f ca="1">IF(INDIRECT("'SpxSp (step-b)'!$B" &amp; CQ$16)=$Z65,INDIRECT("'SpxSp (step-b)'!$" &amp; 'SpxSp (step-b)'!$BC$23 &amp; CQ$16),"")</f>
        <v/>
      </c>
      <c r="CR65" s="1317" t="str">
        <f ca="1">IF(INDIRECT("'SpxSp (step-b)'!$B" &amp; CR$16)=$Z65,INDIRECT("'SpxSp (step-b)'!$" &amp; 'SpxSp (step-b)'!$BC$23 &amp; CR$16),"")</f>
        <v/>
      </c>
      <c r="CS65" s="1317" t="str">
        <f ca="1">IF(INDIRECT("'SpxSp (step-b)'!$B" &amp; CS$16)=$Z65,INDIRECT("'SpxSp (step-b)'!$" &amp; 'SpxSp (step-b)'!$BC$23 &amp; CS$16),"")</f>
        <v/>
      </c>
      <c r="CT65" s="1317" t="str">
        <f ca="1">IF(INDIRECT("'SpxSp (step-b)'!$B" &amp; CT$16)=$Z65,INDIRECT("'SpxSp (step-b)'!$" &amp; 'SpxSp (step-b)'!$BC$23 &amp; CT$16),"")</f>
        <v/>
      </c>
      <c r="CU65" s="1317" t="str">
        <f ca="1">IF(INDIRECT("'SpxSp (step-b)'!$B" &amp; CU$16)=$Z65,INDIRECT("'SpxSp (step-b)'!$" &amp; 'SpxSp (step-b)'!$BC$23 &amp; CU$16),"")</f>
        <v/>
      </c>
      <c r="CV65" s="1317" t="str">
        <f ca="1">IF(INDIRECT("'SpxSp (step-b)'!$B" &amp; CV$16)=$Z65,INDIRECT("'SpxSp (step-b)'!$" &amp; 'SpxSp (step-b)'!$BC$23 &amp; CV$16),"")</f>
        <v/>
      </c>
      <c r="CW65" s="1317" t="str">
        <f ca="1">IF(INDIRECT("'SpxSp (step-b)'!$B" &amp; CW$16)=$Z65,INDIRECT("'SpxSp (step-b)'!$" &amp; 'SpxSp (step-b)'!$BC$23 &amp; CW$16),"")</f>
        <v/>
      </c>
      <c r="CX65" s="1317" t="str">
        <f ca="1">IF(INDIRECT("'SpxSp (step-b)'!$B" &amp; CX$16)=$Z65,INDIRECT("'SpxSp (step-b)'!$" &amp; 'SpxSp (step-b)'!$BC$23 &amp; CX$16),"")</f>
        <v/>
      </c>
      <c r="CY65" s="1317" t="str">
        <f ca="1">IF(INDIRECT("'SpxSp (step-b)'!$B" &amp; CY$16)=$Z65,INDIRECT("'SpxSp (step-b)'!$" &amp; 'SpxSp (step-b)'!$BC$23 &amp; CY$16),"")</f>
        <v/>
      </c>
      <c r="CZ65" s="1317" t="str">
        <f ca="1">IF(INDIRECT("'SpxSp (step-b)'!$B" &amp; CZ$16)=$Z65,INDIRECT("'SpxSp (step-b)'!$" &amp; 'SpxSp (step-b)'!$BC$23 &amp; CZ$16),"")</f>
        <v/>
      </c>
      <c r="DA65" s="1317" t="str">
        <f ca="1">IF(INDIRECT("'SpxSp (step-b)'!$B" &amp; DA$16)=$Z65,INDIRECT("'SpxSp (step-b)'!$" &amp; 'SpxSp (step-b)'!$BC$23 &amp; DA$16),"")</f>
        <v/>
      </c>
      <c r="DB65" s="1317" t="str">
        <f ca="1">IF(INDIRECT("'SpxSp (step-b)'!$B" &amp; DB$16)=$Z65,INDIRECT("'SpxSp (step-b)'!$" &amp; 'SpxSp (step-b)'!$BC$23 &amp; DB$16),"")</f>
        <v/>
      </c>
      <c r="DC65" s="1317" t="str">
        <f ca="1">IF(INDIRECT("'SpxSp (step-b)'!$B" &amp; DC$16)=$Z65,INDIRECT("'SpxSp (step-b)'!$" &amp; 'SpxSp (step-b)'!$BC$23 &amp; DC$16),"")</f>
        <v/>
      </c>
      <c r="DD65" s="1317" t="str">
        <f ca="1">IF(INDIRECT("'SpxSp (step-b)'!$B" &amp; DD$16)=$Z65,INDIRECT("'SpxSp (step-b)'!$" &amp; 'SpxSp (step-b)'!$BC$23 &amp; DD$16),"")</f>
        <v/>
      </c>
      <c r="DE65" s="1317" t="str">
        <f ca="1">IF(INDIRECT("'SpxSp (step-b)'!$B" &amp; DE$16)=$Z65,INDIRECT("'SpxSp (step-b)'!$" &amp; 'SpxSp (step-b)'!$BC$23 &amp; DE$16),"")</f>
        <v/>
      </c>
      <c r="DF65" s="1317" t="str">
        <f ca="1">IF(INDIRECT("'SpxSp (step-b)'!$B" &amp; DF$16)=$Z65,INDIRECT("'SpxSp (step-b)'!$" &amp; 'SpxSp (step-b)'!$BC$23 &amp; DF$16),"")</f>
        <v/>
      </c>
      <c r="DG65" s="1317" t="str">
        <f ca="1">IF(INDIRECT("'SpxSp (step-b)'!$B" &amp; DG$16)=$Z65,INDIRECT("'SpxSp (step-b)'!$" &amp; 'SpxSp (step-b)'!$BC$23 &amp; DG$16),"")</f>
        <v/>
      </c>
      <c r="DH65" s="1317" t="str">
        <f ca="1">IF(INDIRECT("'SpxSp (step-b)'!$B" &amp; DH$16)=$Z65,INDIRECT("'SpxSp (step-b)'!$" &amp; 'SpxSp (step-b)'!$BC$23 &amp; DH$16),"")</f>
        <v/>
      </c>
      <c r="DI65" s="1317" t="str">
        <f ca="1">IF(INDIRECT("'SpxSp (step-b)'!$B" &amp; DI$16)=$Z65,INDIRECT("'SpxSp (step-b)'!$" &amp; 'SpxSp (step-b)'!$BC$23 &amp; DI$16),"")</f>
        <v/>
      </c>
      <c r="DJ65" s="1317" t="str">
        <f ca="1">IF(INDIRECT("'SpxSp (step-b)'!$B" &amp; DJ$16)=$Z65,INDIRECT("'SpxSp (step-b)'!$" &amp; 'SpxSp (step-b)'!$BC$23 &amp; DJ$16),"")</f>
        <v/>
      </c>
      <c r="DK65" s="1317" t="str">
        <f ca="1">IF(INDIRECT("'SpxSp (step-b)'!$B" &amp; DK$16)=$Z65,INDIRECT("'SpxSp (step-b)'!$" &amp; 'SpxSp (step-b)'!$BC$23 &amp; DK$16),"")</f>
        <v/>
      </c>
      <c r="DL65" s="1317" t="str">
        <f ca="1">IF(INDIRECT("'SpxSp (step-b)'!$B" &amp; DL$16)=$Z65,INDIRECT("'SpxSp (step-b)'!$" &amp; 'SpxSp (step-b)'!$BC$23 &amp; DL$16),"")</f>
        <v/>
      </c>
      <c r="DM65" s="1317" t="str">
        <f ca="1">IF(INDIRECT("'SpxSp (step-b)'!$B" &amp; DM$16)=$Z65,INDIRECT("'SpxSp (step-b)'!$" &amp; 'SpxSp (step-b)'!$BC$23 &amp; DM$16),"")</f>
        <v/>
      </c>
      <c r="DN65" s="1318" t="str">
        <f t="shared" ca="1" si="32"/>
        <v/>
      </c>
      <c r="DO65" s="1246" t="s">
        <v>1201</v>
      </c>
    </row>
    <row r="66" spans="2:119" ht="40" x14ac:dyDescent="0.2">
      <c r="B66" s="1450" t="str">
        <f t="shared" si="13"/>
        <v/>
      </c>
      <c r="C66" s="1451"/>
      <c r="D66" s="1451"/>
      <c r="E66" s="1451"/>
      <c r="F66" s="1452"/>
      <c r="G66" s="1319" t="str">
        <f t="shared" si="31"/>
        <v/>
      </c>
      <c r="H66" s="1320" t="str">
        <f t="shared" si="14"/>
        <v/>
      </c>
      <c r="I66" s="1321" t="str">
        <f t="shared" si="33"/>
        <v/>
      </c>
      <c r="J66" s="1296"/>
      <c r="K66" s="1322" t="str">
        <f>IFERROR(IF(OR(B66="",H66=0),"",VLOOKUP(B66,'SpxSp (step-c)'!B$18:O$67,6,FALSE)),"")</f>
        <v/>
      </c>
      <c r="L66" s="1323" t="str">
        <f ca="1">IFERROR(F(OR(B66="",H66=0),"",VLOOKUP($B66,'SpxSp (step-c)'!$B$18:O$67,12,FALSE)),"")</f>
        <v/>
      </c>
      <c r="M66" s="1321" t="str">
        <f ca="1">IF(AND(B66&lt;&gt;"",L66=""),"NA",IFERROR(VLOOKUP($B66,'SpxSp (step-c)'!$B$18:P$67,13,FALSE),""))</f>
        <v/>
      </c>
      <c r="N66" s="1324"/>
      <c r="O66" s="1322" t="str">
        <f>IFERROR(IF(OR(B66="",H66=0),"",VLOOKUP($B66,'SpxSp (step-d)'!$B$18:$P$67,12,FALSE)),"")</f>
        <v/>
      </c>
      <c r="P66" s="1323" t="str">
        <f>IFERROR(IF(OR(B66="",H66=0),"",VLOOKUP($B66,'SpxSp (step-d)'!$B$18:$P$67,13,FALSE)),"")</f>
        <v/>
      </c>
      <c r="Q66" s="1323" t="str">
        <f>IFERROR(IF(OR(B66="",H66=0),"",VLOOKUP($B66,'SpxSp (step-d)'!$B$18:$P$67,14,FALSE)),"")</f>
        <v/>
      </c>
      <c r="R66" s="1321" t="str">
        <f>IF(AND(B66&lt;&gt;"",P66=""),"NA",IFERROR(VLOOKUP(B66,'SpxSp (step-d)'!$B$18:$V$67,15,FALSE),""))</f>
        <v/>
      </c>
      <c r="S66" s="1296"/>
      <c r="T66" s="1325" t="str">
        <f t="shared" si="34"/>
        <v/>
      </c>
      <c r="U66" s="1326" t="str">
        <f t="shared" si="17"/>
        <v/>
      </c>
      <c r="Y66" s="1302">
        <v>49</v>
      </c>
      <c r="Z66" s="1303" t="str">
        <f>'SpxSp (step-a)'!B70</f>
        <v/>
      </c>
      <c r="AA66" s="1303" t="str">
        <f>'SpxSp (step-a)'!H70</f>
        <v/>
      </c>
      <c r="AB66" s="1290" t="str">
        <f>VLOOKUP($Z66,'SpxSp (step-a)'!$B$22:$O$71,AB$14,FALSE)</f>
        <v/>
      </c>
      <c r="AD66" s="1290" t="str">
        <f>IF(Z66="","",IFERROR(VLOOKUP($Z66,'SpxSp (step-a)'!$B$22:$O$71,AD$14,FALSE),0))</f>
        <v/>
      </c>
      <c r="AE66" s="1290" t="str">
        <f>IF(Z66="","",IFERROR(VLOOKUP($Z66,'SpxSp (step-a)'!$B$22:$O$71,AE$14,FALSE),0))</f>
        <v/>
      </c>
      <c r="AG66" s="1290" t="str">
        <f t="shared" si="36"/>
        <v/>
      </c>
      <c r="AI66" s="1290" t="str">
        <f>IF($Z66="","",SUMIFS('SpxSp (step-b)'!L$26:L$75,'SpxSp (step-b)'!B$26:B$75,Z66,'SpxSp (step-b)'!N$26:N$75,"New"))</f>
        <v/>
      </c>
      <c r="AJ66" s="1290" t="str">
        <f>IF($Z66="","",SUMIFS('SpxSp (step-b)'!$L$26:$L$75,'SpxSp (step-b)'!$B$26:$B$75,$Z66,'SpxSp (step-b)'!N$26:N$75,""))</f>
        <v/>
      </c>
      <c r="AK66" s="1290" t="str">
        <f>IF($Z66="","",SUMIFS('SpxSp (step-b)'!$J$26:$J$75,'SpxSp (step-b)'!$B$26:$B$75,$Z66,'SpxSp (step-b)'!$N$26:$N$75,"New")+SUMIFS('SpxSp (step-b)'!$J$26:$J$75,'SpxSp (step-b)'!$B$26:$B$75,$Z66,'SpxSp (step-b)'!$N$26:$N$75,""))</f>
        <v/>
      </c>
      <c r="AL66" s="1290" t="str">
        <f>IF($Z66="","",SUMIFS('SpxSp (step-b)'!$L$26:$L$75,'SpxSp (step-b)'!$B$26:$B$75,$Z66,'SpxSp (step-b)'!$N$26:$N$75,"Existing Remains"))</f>
        <v/>
      </c>
      <c r="AM66" s="1290" t="str">
        <f>IF($Z66="","",SUMIFS('SpxSp (step-b)'!$L$26:$L$75,'SpxSp (step-b)'!$B$26:$B$75,$Z66,'SpxSp (step-b)'!$N$26:$N$75,"Existing Removed"))</f>
        <v/>
      </c>
      <c r="AN66" s="1290" t="str">
        <f>IF($Z66="","",SUMIFS('SpxSp (step-b)'!$J$26:$J$75,'SpxSp (step-b)'!$B$26:$B$75,$Z66,'SpxSp (step-b)'!$N$26:$N$75,"Existing Removed"))</f>
        <v/>
      </c>
      <c r="AO66" s="1290" t="str">
        <f t="shared" si="37"/>
        <v/>
      </c>
      <c r="AP66" s="1290" t="str">
        <f t="shared" si="18"/>
        <v/>
      </c>
      <c r="AQ66" s="1304"/>
      <c r="AR66" s="1305" t="str">
        <f t="shared" si="19"/>
        <v/>
      </c>
      <c r="AS66" s="1306" t="str">
        <f t="shared" si="20"/>
        <v/>
      </c>
      <c r="AT66" s="1307"/>
      <c r="AU66" s="1308" t="str">
        <f t="shared" si="21"/>
        <v/>
      </c>
      <c r="AV66" s="1309" t="str">
        <f t="shared" si="38"/>
        <v/>
      </c>
      <c r="AW66" s="1309" t="str">
        <f t="shared" si="22"/>
        <v/>
      </c>
      <c r="AX66" s="1310" t="str">
        <f t="shared" si="23"/>
        <v/>
      </c>
      <c r="AY66" s="1307"/>
      <c r="AZ66" s="1311" t="str">
        <f t="shared" si="24"/>
        <v/>
      </c>
      <c r="BA66" s="1309" t="str">
        <f t="shared" si="25"/>
        <v/>
      </c>
      <c r="BB66" s="1310" t="str">
        <f t="shared" si="26"/>
        <v/>
      </c>
      <c r="BC66" s="1312"/>
      <c r="BD66" s="1313" t="str">
        <f t="shared" si="35"/>
        <v/>
      </c>
      <c r="BE66" s="1290" t="str">
        <f t="shared" si="27"/>
        <v/>
      </c>
      <c r="BF66" s="1290" t="str">
        <f t="shared" si="28"/>
        <v/>
      </c>
      <c r="BH66" s="1315" t="str">
        <f t="shared" si="39"/>
        <v/>
      </c>
      <c r="BI66" s="1315"/>
      <c r="BJ66" s="1303" t="str">
        <f>IF(OR(BH66="Fail",BH66="Fail LPA",BH66=""),"",'SpxSp (step-a)'!CM70)</f>
        <v/>
      </c>
      <c r="BK66" s="1290">
        <f t="shared" si="30"/>
        <v>0</v>
      </c>
      <c r="BN66" s="178">
        <v>49</v>
      </c>
      <c r="BO66" s="1316" t="str">
        <f t="shared" ca="1" si="29"/>
        <v/>
      </c>
      <c r="BP66" s="1317" t="str">
        <f ca="1">IF(INDIRECT("'SpxSp (step-b)'!$B" &amp; BP$16)=$Z66,INDIRECT("'SpxSp (step-b)'!$" &amp; 'SpxSp (step-b)'!$BC$23 &amp; BP$16),"")</f>
        <v/>
      </c>
      <c r="BQ66" s="1317" t="str">
        <f ca="1">IF(INDIRECT("'SpxSp (step-b)'!$B" &amp; BQ$16)=$Z66,INDIRECT("'SpxSp (step-b)'!$" &amp; 'SpxSp (step-b)'!$BC$23 &amp; BQ$16),"")</f>
        <v/>
      </c>
      <c r="BR66" s="1317" t="str">
        <f ca="1">IF(INDIRECT("'SpxSp (step-b)'!$B" &amp; BR$16)=$Z66,INDIRECT("'SpxSp (step-b)'!$" &amp; 'SpxSp (step-b)'!$BC$23 &amp; BR$16),"")</f>
        <v/>
      </c>
      <c r="BS66" s="1317" t="str">
        <f ca="1">IF(INDIRECT("'SpxSp (step-b)'!$B" &amp; BS$16)=$Z66,INDIRECT("'SpxSp (step-b)'!$" &amp; 'SpxSp (step-b)'!$BC$23 &amp; BS$16),"")</f>
        <v/>
      </c>
      <c r="BT66" s="1317" t="str">
        <f ca="1">IF(INDIRECT("'SpxSp (step-b)'!$B" &amp; BT$16)=$Z66,INDIRECT("'SpxSp (step-b)'!$" &amp; 'SpxSp (step-b)'!$BC$23 &amp; BT$16),"")</f>
        <v/>
      </c>
      <c r="BU66" s="1317" t="str">
        <f ca="1">IF(INDIRECT("'SpxSp (step-b)'!$B" &amp; BU$16)=$Z66,INDIRECT("'SpxSp (step-b)'!$" &amp; 'SpxSp (step-b)'!$BC$23 &amp; BU$16),"")</f>
        <v/>
      </c>
      <c r="BV66" s="1317" t="str">
        <f ca="1">IF(INDIRECT("'SpxSp (step-b)'!$B" &amp; BV$16)=$Z66,INDIRECT("'SpxSp (step-b)'!$" &amp; 'SpxSp (step-b)'!$BC$23 &amp; BV$16),"")</f>
        <v/>
      </c>
      <c r="BW66" s="1317" t="str">
        <f ca="1">IF(INDIRECT("'SpxSp (step-b)'!$B" &amp; BW$16)=$Z66,INDIRECT("'SpxSp (step-b)'!$" &amp; 'SpxSp (step-b)'!$BC$23 &amp; BW$16),"")</f>
        <v/>
      </c>
      <c r="BX66" s="1317" t="str">
        <f ca="1">IF(INDIRECT("'SpxSp (step-b)'!$B" &amp; BX$16)=$Z66,INDIRECT("'SpxSp (step-b)'!$" &amp; 'SpxSp (step-b)'!$BC$23 &amp; BX$16),"")</f>
        <v/>
      </c>
      <c r="BY66" s="1317" t="str">
        <f ca="1">IF(INDIRECT("'SpxSp (step-b)'!$B" &amp; BY$16)=$Z66,INDIRECT("'SpxSp (step-b)'!$" &amp; 'SpxSp (step-b)'!$BC$23 &amp; BY$16),"")</f>
        <v/>
      </c>
      <c r="BZ66" s="1317" t="str">
        <f ca="1">IF(INDIRECT("'SpxSp (step-b)'!$B" &amp; BZ$16)=$Z66,INDIRECT("'SpxSp (step-b)'!$" &amp; 'SpxSp (step-b)'!$BC$23 &amp; BZ$16),"")</f>
        <v/>
      </c>
      <c r="CA66" s="1317" t="str">
        <f ca="1">IF(INDIRECT("'SpxSp (step-b)'!$B" &amp; CA$16)=$Z66,INDIRECT("'SpxSp (step-b)'!$" &amp; 'SpxSp (step-b)'!$BC$23 &amp; CA$16),"")</f>
        <v/>
      </c>
      <c r="CB66" s="1317" t="str">
        <f ca="1">IF(INDIRECT("'SpxSp (step-b)'!$B" &amp; CB$16)=$Z66,INDIRECT("'SpxSp (step-b)'!$" &amp; 'SpxSp (step-b)'!$BC$23 &amp; CB$16),"")</f>
        <v/>
      </c>
      <c r="CC66" s="1317" t="str">
        <f ca="1">IF(INDIRECT("'SpxSp (step-b)'!$B" &amp; CC$16)=$Z66,INDIRECT("'SpxSp (step-b)'!$" &amp; 'SpxSp (step-b)'!$BC$23 &amp; CC$16),"")</f>
        <v/>
      </c>
      <c r="CD66" s="1317" t="str">
        <f ca="1">IF(INDIRECT("'SpxSp (step-b)'!$B" &amp; CD$16)=$Z66,INDIRECT("'SpxSp (step-b)'!$" &amp; 'SpxSp (step-b)'!$BC$23 &amp; CD$16),"")</f>
        <v/>
      </c>
      <c r="CE66" s="1317" t="str">
        <f ca="1">IF(INDIRECT("'SpxSp (step-b)'!$B" &amp; CE$16)=$Z66,INDIRECT("'SpxSp (step-b)'!$" &amp; 'SpxSp (step-b)'!$BC$23 &amp; CE$16),"")</f>
        <v/>
      </c>
      <c r="CF66" s="1317" t="str">
        <f ca="1">IF(INDIRECT("'SpxSp (step-b)'!$B" &amp; CF$16)=$Z66,INDIRECT("'SpxSp (step-b)'!$" &amp; 'SpxSp (step-b)'!$BC$23 &amp; CF$16),"")</f>
        <v/>
      </c>
      <c r="CG66" s="1317" t="str">
        <f ca="1">IF(INDIRECT("'SpxSp (step-b)'!$B" &amp; CG$16)=$Z66,INDIRECT("'SpxSp (step-b)'!$" &amp; 'SpxSp (step-b)'!$BC$23 &amp; CG$16),"")</f>
        <v/>
      </c>
      <c r="CH66" s="1317" t="str">
        <f ca="1">IF(INDIRECT("'SpxSp (step-b)'!$B" &amp; CH$16)=$Z66,INDIRECT("'SpxSp (step-b)'!$" &amp; 'SpxSp (step-b)'!$BC$23 &amp; CH$16),"")</f>
        <v/>
      </c>
      <c r="CI66" s="1317" t="str">
        <f ca="1">IF(INDIRECT("'SpxSp (step-b)'!$B" &amp; CI$16)=$Z66,INDIRECT("'SpxSp (step-b)'!$" &amp; 'SpxSp (step-b)'!$BC$23 &amp; CI$16),"")</f>
        <v/>
      </c>
      <c r="CJ66" s="1317" t="str">
        <f ca="1">IF(INDIRECT("'SpxSp (step-b)'!$B" &amp; CJ$16)=$Z66,INDIRECT("'SpxSp (step-b)'!$" &amp; 'SpxSp (step-b)'!$BC$23 &amp; CJ$16),"")</f>
        <v/>
      </c>
      <c r="CK66" s="1317" t="str">
        <f ca="1">IF(INDIRECT("'SpxSp (step-b)'!$B" &amp; CK$16)=$Z66,INDIRECT("'SpxSp (step-b)'!$" &amp; 'SpxSp (step-b)'!$BC$23 &amp; CK$16),"")</f>
        <v/>
      </c>
      <c r="CL66" s="1317" t="str">
        <f ca="1">IF(INDIRECT("'SpxSp (step-b)'!$B" &amp; CL$16)=$Z66,INDIRECT("'SpxSp (step-b)'!$" &amp; 'SpxSp (step-b)'!$BC$23 &amp; CL$16),"")</f>
        <v/>
      </c>
      <c r="CM66" s="1317" t="str">
        <f ca="1">IF(INDIRECT("'SpxSp (step-b)'!$B" &amp; CM$16)=$Z66,INDIRECT("'SpxSp (step-b)'!$" &amp; 'SpxSp (step-b)'!$BC$23 &amp; CM$16),"")</f>
        <v/>
      </c>
      <c r="CN66" s="1317" t="str">
        <f ca="1">IF(INDIRECT("'SpxSp (step-b)'!$B" &amp; CN$16)=$Z66,INDIRECT("'SpxSp (step-b)'!$" &amp; 'SpxSp (step-b)'!$BC$23 &amp; CN$16),"")</f>
        <v/>
      </c>
      <c r="CO66" s="1317" t="str">
        <f ca="1">IF(INDIRECT("'SpxSp (step-b)'!$B" &amp; CO$16)=$Z66,INDIRECT("'SpxSp (step-b)'!$" &amp; 'SpxSp (step-b)'!$BC$23 &amp; CO$16),"")</f>
        <v/>
      </c>
      <c r="CP66" s="1317" t="str">
        <f ca="1">IF(INDIRECT("'SpxSp (step-b)'!$B" &amp; CP$16)=$Z66,INDIRECT("'SpxSp (step-b)'!$" &amp; 'SpxSp (step-b)'!$BC$23 &amp; CP$16),"")</f>
        <v/>
      </c>
      <c r="CQ66" s="1317" t="str">
        <f ca="1">IF(INDIRECT("'SpxSp (step-b)'!$B" &amp; CQ$16)=$Z66,INDIRECT("'SpxSp (step-b)'!$" &amp; 'SpxSp (step-b)'!$BC$23 &amp; CQ$16),"")</f>
        <v/>
      </c>
      <c r="CR66" s="1317" t="str">
        <f ca="1">IF(INDIRECT("'SpxSp (step-b)'!$B" &amp; CR$16)=$Z66,INDIRECT("'SpxSp (step-b)'!$" &amp; 'SpxSp (step-b)'!$BC$23 &amp; CR$16),"")</f>
        <v/>
      </c>
      <c r="CS66" s="1317" t="str">
        <f ca="1">IF(INDIRECT("'SpxSp (step-b)'!$B" &amp; CS$16)=$Z66,INDIRECT("'SpxSp (step-b)'!$" &amp; 'SpxSp (step-b)'!$BC$23 &amp; CS$16),"")</f>
        <v/>
      </c>
      <c r="CT66" s="1317" t="str">
        <f ca="1">IF(INDIRECT("'SpxSp (step-b)'!$B" &amp; CT$16)=$Z66,INDIRECT("'SpxSp (step-b)'!$" &amp; 'SpxSp (step-b)'!$BC$23 &amp; CT$16),"")</f>
        <v/>
      </c>
      <c r="CU66" s="1317" t="str">
        <f ca="1">IF(INDIRECT("'SpxSp (step-b)'!$B" &amp; CU$16)=$Z66,INDIRECT("'SpxSp (step-b)'!$" &amp; 'SpxSp (step-b)'!$BC$23 &amp; CU$16),"")</f>
        <v/>
      </c>
      <c r="CV66" s="1317" t="str">
        <f ca="1">IF(INDIRECT("'SpxSp (step-b)'!$B" &amp; CV$16)=$Z66,INDIRECT("'SpxSp (step-b)'!$" &amp; 'SpxSp (step-b)'!$BC$23 &amp; CV$16),"")</f>
        <v/>
      </c>
      <c r="CW66" s="1317" t="str">
        <f ca="1">IF(INDIRECT("'SpxSp (step-b)'!$B" &amp; CW$16)=$Z66,INDIRECT("'SpxSp (step-b)'!$" &amp; 'SpxSp (step-b)'!$BC$23 &amp; CW$16),"")</f>
        <v/>
      </c>
      <c r="CX66" s="1317" t="str">
        <f ca="1">IF(INDIRECT("'SpxSp (step-b)'!$B" &amp; CX$16)=$Z66,INDIRECT("'SpxSp (step-b)'!$" &amp; 'SpxSp (step-b)'!$BC$23 &amp; CX$16),"")</f>
        <v/>
      </c>
      <c r="CY66" s="1317" t="str">
        <f ca="1">IF(INDIRECT("'SpxSp (step-b)'!$B" &amp; CY$16)=$Z66,INDIRECT("'SpxSp (step-b)'!$" &amp; 'SpxSp (step-b)'!$BC$23 &amp; CY$16),"")</f>
        <v/>
      </c>
      <c r="CZ66" s="1317" t="str">
        <f ca="1">IF(INDIRECT("'SpxSp (step-b)'!$B" &amp; CZ$16)=$Z66,INDIRECT("'SpxSp (step-b)'!$" &amp; 'SpxSp (step-b)'!$BC$23 &amp; CZ$16),"")</f>
        <v/>
      </c>
      <c r="DA66" s="1317" t="str">
        <f ca="1">IF(INDIRECT("'SpxSp (step-b)'!$B" &amp; DA$16)=$Z66,INDIRECT("'SpxSp (step-b)'!$" &amp; 'SpxSp (step-b)'!$BC$23 &amp; DA$16),"")</f>
        <v/>
      </c>
      <c r="DB66" s="1317" t="str">
        <f ca="1">IF(INDIRECT("'SpxSp (step-b)'!$B" &amp; DB$16)=$Z66,INDIRECT("'SpxSp (step-b)'!$" &amp; 'SpxSp (step-b)'!$BC$23 &amp; DB$16),"")</f>
        <v/>
      </c>
      <c r="DC66" s="1317" t="str">
        <f ca="1">IF(INDIRECT("'SpxSp (step-b)'!$B" &amp; DC$16)=$Z66,INDIRECT("'SpxSp (step-b)'!$" &amp; 'SpxSp (step-b)'!$BC$23 &amp; DC$16),"")</f>
        <v/>
      </c>
      <c r="DD66" s="1317" t="str">
        <f ca="1">IF(INDIRECT("'SpxSp (step-b)'!$B" &amp; DD$16)=$Z66,INDIRECT("'SpxSp (step-b)'!$" &amp; 'SpxSp (step-b)'!$BC$23 &amp; DD$16),"")</f>
        <v/>
      </c>
      <c r="DE66" s="1317" t="str">
        <f ca="1">IF(INDIRECT("'SpxSp (step-b)'!$B" &amp; DE$16)=$Z66,INDIRECT("'SpxSp (step-b)'!$" &amp; 'SpxSp (step-b)'!$BC$23 &amp; DE$16),"")</f>
        <v/>
      </c>
      <c r="DF66" s="1317" t="str">
        <f ca="1">IF(INDIRECT("'SpxSp (step-b)'!$B" &amp; DF$16)=$Z66,INDIRECT("'SpxSp (step-b)'!$" &amp; 'SpxSp (step-b)'!$BC$23 &amp; DF$16),"")</f>
        <v/>
      </c>
      <c r="DG66" s="1317" t="str">
        <f ca="1">IF(INDIRECT("'SpxSp (step-b)'!$B" &amp; DG$16)=$Z66,INDIRECT("'SpxSp (step-b)'!$" &amp; 'SpxSp (step-b)'!$BC$23 &amp; DG$16),"")</f>
        <v/>
      </c>
      <c r="DH66" s="1317" t="str">
        <f ca="1">IF(INDIRECT("'SpxSp (step-b)'!$B" &amp; DH$16)=$Z66,INDIRECT("'SpxSp (step-b)'!$" &amp; 'SpxSp (step-b)'!$BC$23 &amp; DH$16),"")</f>
        <v/>
      </c>
      <c r="DI66" s="1317" t="str">
        <f ca="1">IF(INDIRECT("'SpxSp (step-b)'!$B" &amp; DI$16)=$Z66,INDIRECT("'SpxSp (step-b)'!$" &amp; 'SpxSp (step-b)'!$BC$23 &amp; DI$16),"")</f>
        <v/>
      </c>
      <c r="DJ66" s="1317" t="str">
        <f ca="1">IF(INDIRECT("'SpxSp (step-b)'!$B" &amp; DJ$16)=$Z66,INDIRECT("'SpxSp (step-b)'!$" &amp; 'SpxSp (step-b)'!$BC$23 &amp; DJ$16),"")</f>
        <v/>
      </c>
      <c r="DK66" s="1317" t="str">
        <f ca="1">IF(INDIRECT("'SpxSp (step-b)'!$B" &amp; DK$16)=$Z66,INDIRECT("'SpxSp (step-b)'!$" &amp; 'SpxSp (step-b)'!$BC$23 &amp; DK$16),"")</f>
        <v/>
      </c>
      <c r="DL66" s="1317" t="str">
        <f ca="1">IF(INDIRECT("'SpxSp (step-b)'!$B" &amp; DL$16)=$Z66,INDIRECT("'SpxSp (step-b)'!$" &amp; 'SpxSp (step-b)'!$BC$23 &amp; DL$16),"")</f>
        <v/>
      </c>
      <c r="DM66" s="1317" t="str">
        <f ca="1">IF(INDIRECT("'SpxSp (step-b)'!$B" &amp; DM$16)=$Z66,INDIRECT("'SpxSp (step-b)'!$" &amp; 'SpxSp (step-b)'!$BC$23 &amp; DM$16),"")</f>
        <v/>
      </c>
      <c r="DN66" s="1318" t="str">
        <f t="shared" ca="1" si="32"/>
        <v/>
      </c>
      <c r="DO66" s="1246" t="s">
        <v>1201</v>
      </c>
    </row>
    <row r="67" spans="2:119" ht="40.5" thickBot="1" x14ac:dyDescent="0.25">
      <c r="B67" s="1453" t="str">
        <f t="shared" si="13"/>
        <v/>
      </c>
      <c r="C67" s="1454"/>
      <c r="D67" s="1454"/>
      <c r="E67" s="1454"/>
      <c r="F67" s="1455"/>
      <c r="G67" s="1327" t="str">
        <f t="shared" si="31"/>
        <v/>
      </c>
      <c r="H67" s="1328" t="str">
        <f t="shared" si="14"/>
        <v/>
      </c>
      <c r="I67" s="1329" t="str">
        <f t="shared" si="33"/>
        <v/>
      </c>
      <c r="J67" s="1296"/>
      <c r="K67" s="1330" t="str">
        <f>IFERROR(IF(OR(B67="",H67=0),"",VLOOKUP(B67,'SpxSp (step-c)'!B$18:O$67,6,FALSE)),"")</f>
        <v/>
      </c>
      <c r="L67" s="1331" t="str">
        <f ca="1">IFERROR(F(OR(B67="",H67=0),"",VLOOKUP($B67,'SpxSp (step-c)'!$B$18:O$67,12,FALSE)),"")</f>
        <v/>
      </c>
      <c r="M67" s="1329" t="str">
        <f ca="1">IF(AND(B67&lt;&gt;"",L67=""),"NA",IFERROR(VLOOKUP($B67,'SpxSp (step-c)'!$B$18:P$67,13,FALSE),""))</f>
        <v/>
      </c>
      <c r="N67" s="1332"/>
      <c r="O67" s="1330" t="str">
        <f>IFERROR(IF(OR(B67="",H67=0),"",VLOOKUP($B67,'SpxSp (step-d)'!$B$18:$P$67,12,FALSE)),"")</f>
        <v/>
      </c>
      <c r="P67" s="1331" t="str">
        <f>IFERROR(IF(OR(B67="",H67=0),"",VLOOKUP($B67,'SpxSp (step-d)'!$B$18:$P$67,13,FALSE)),"")</f>
        <v/>
      </c>
      <c r="Q67" s="1331" t="str">
        <f>IFERROR(IF(OR(B67="",H67=0),"",VLOOKUP($B67,'SpxSp (step-d)'!$B$18:$P$67,14,FALSE)),"")</f>
        <v/>
      </c>
      <c r="R67" s="1329" t="str">
        <f>IF(AND(B67&lt;&gt;"",P67=""),"NA",IFERROR(VLOOKUP(B67,'SpxSp (step-d)'!$B$18:$V$67,15,FALSE),""))</f>
        <v/>
      </c>
      <c r="S67" s="1296"/>
      <c r="T67" s="1333" t="str">
        <f t="shared" si="34"/>
        <v/>
      </c>
      <c r="U67" s="1334" t="str">
        <f t="shared" si="17"/>
        <v/>
      </c>
      <c r="Y67" s="1302">
        <v>50</v>
      </c>
      <c r="Z67" s="1303" t="str">
        <f>'SpxSp (step-a)'!B71</f>
        <v/>
      </c>
      <c r="AA67" s="1303" t="str">
        <f>'SpxSp (step-a)'!H71</f>
        <v/>
      </c>
      <c r="AB67" s="1290" t="str">
        <f>VLOOKUP($Z67,'SpxSp (step-a)'!$B$22:$O$71,AB$14,FALSE)</f>
        <v/>
      </c>
      <c r="AD67" s="1290" t="str">
        <f>IF(Z67="","",IFERROR(VLOOKUP($Z67,'SpxSp (step-a)'!$B$22:$O$71,AD$14,FALSE),0))</f>
        <v/>
      </c>
      <c r="AE67" s="1290" t="str">
        <f>IF(Z67="","",IFERROR(VLOOKUP($Z67,'SpxSp (step-a)'!$B$22:$O$71,AE$14,FALSE),0))</f>
        <v/>
      </c>
      <c r="AG67" s="1290" t="str">
        <f t="shared" si="36"/>
        <v/>
      </c>
      <c r="AI67" s="1290" t="str">
        <f>IF($Z67="","",SUMIFS('SpxSp (step-b)'!L$26:L$75,'SpxSp (step-b)'!B$26:B$75,Z67,'SpxSp (step-b)'!N$26:N$75,"New"))</f>
        <v/>
      </c>
      <c r="AJ67" s="1290" t="str">
        <f>IF($Z67="","",SUMIFS('SpxSp (step-b)'!$L$26:$L$75,'SpxSp (step-b)'!$B$26:$B$75,$Z67,'SpxSp (step-b)'!N$26:N$75,""))</f>
        <v/>
      </c>
      <c r="AK67" s="1290" t="str">
        <f>IF($Z67="","",SUMIFS('SpxSp (step-b)'!$J$26:$J$75,'SpxSp (step-b)'!$B$26:$B$75,$Z67,'SpxSp (step-b)'!$N$26:$N$75,"New")+SUMIFS('SpxSp (step-b)'!$J$26:$J$75,'SpxSp (step-b)'!$B$26:$B$75,$Z67,'SpxSp (step-b)'!$N$26:$N$75,""))</f>
        <v/>
      </c>
      <c r="AL67" s="1290" t="str">
        <f>IF($Z67="","",SUMIFS('SpxSp (step-b)'!$L$26:$L$75,'SpxSp (step-b)'!$B$26:$B$75,$Z67,'SpxSp (step-b)'!$N$26:$N$75,"Existing Remains"))</f>
        <v/>
      </c>
      <c r="AM67" s="1290" t="str">
        <f>IF($Z67="","",SUMIFS('SpxSp (step-b)'!$L$26:$L$75,'SpxSp (step-b)'!$B$26:$B$75,$Z67,'SpxSp (step-b)'!$N$26:$N$75,"Existing Removed"))</f>
        <v/>
      </c>
      <c r="AN67" s="1290" t="str">
        <f>IF($Z67="","",SUMIFS('SpxSp (step-b)'!$J$26:$J$75,'SpxSp (step-b)'!$B$26:$B$75,$Z67,'SpxSp (step-b)'!$N$26:$N$75,"Existing Removed"))</f>
        <v/>
      </c>
      <c r="AO67" s="1290" t="str">
        <f t="shared" si="37"/>
        <v/>
      </c>
      <c r="AP67" s="1290" t="str">
        <f t="shared" si="18"/>
        <v/>
      </c>
      <c r="AQ67" s="1304"/>
      <c r="AR67" s="1305" t="str">
        <f t="shared" si="19"/>
        <v/>
      </c>
      <c r="AS67" s="1306" t="str">
        <f t="shared" si="20"/>
        <v/>
      </c>
      <c r="AT67" s="1307"/>
      <c r="AU67" s="1308" t="str">
        <f t="shared" si="21"/>
        <v/>
      </c>
      <c r="AV67" s="1309" t="str">
        <f t="shared" si="38"/>
        <v/>
      </c>
      <c r="AW67" s="1309" t="str">
        <f t="shared" si="22"/>
        <v/>
      </c>
      <c r="AX67" s="1310" t="str">
        <f t="shared" si="23"/>
        <v/>
      </c>
      <c r="AY67" s="1307"/>
      <c r="AZ67" s="1311" t="str">
        <f t="shared" si="24"/>
        <v/>
      </c>
      <c r="BA67" s="1309" t="str">
        <f t="shared" si="25"/>
        <v/>
      </c>
      <c r="BB67" s="1310" t="str">
        <f t="shared" si="26"/>
        <v/>
      </c>
      <c r="BC67" s="1312"/>
      <c r="BD67" s="1313" t="str">
        <f t="shared" si="35"/>
        <v/>
      </c>
      <c r="BE67" s="1290" t="str">
        <f t="shared" si="27"/>
        <v/>
      </c>
      <c r="BF67" s="1290" t="str">
        <f t="shared" si="28"/>
        <v/>
      </c>
      <c r="BH67" s="1315" t="str">
        <f t="shared" si="39"/>
        <v/>
      </c>
      <c r="BI67" s="1315"/>
      <c r="BJ67" s="1303" t="str">
        <f>IF(OR(BH67="Fail",BH67="Fail LPA",BH67=""),"",'SpxSp (step-a)'!CM71)</f>
        <v/>
      </c>
      <c r="BK67" s="1290">
        <f t="shared" si="30"/>
        <v>0</v>
      </c>
      <c r="BN67" s="178">
        <v>50</v>
      </c>
      <c r="BO67" s="1316" t="str">
        <f t="shared" ca="1" si="29"/>
        <v/>
      </c>
      <c r="BP67" s="1317" t="str">
        <f ca="1">IF(INDIRECT("'SpxSp (step-b)'!$B" &amp; BP$16)=$Z67,INDIRECT("'SpxSp (step-b)'!$" &amp; 'SpxSp (step-b)'!$BC$23 &amp; BP$16),"")</f>
        <v/>
      </c>
      <c r="BQ67" s="1317" t="str">
        <f ca="1">IF(INDIRECT("'SpxSp (step-b)'!$B" &amp; BQ$16)=$Z67,INDIRECT("'SpxSp (step-b)'!$" &amp; 'SpxSp (step-b)'!$BC$23 &amp; BQ$16),"")</f>
        <v/>
      </c>
      <c r="BR67" s="1317" t="str">
        <f ca="1">IF(INDIRECT("'SpxSp (step-b)'!$B" &amp; BR$16)=$Z67,INDIRECT("'SpxSp (step-b)'!$" &amp; 'SpxSp (step-b)'!$BC$23 &amp; BR$16),"")</f>
        <v/>
      </c>
      <c r="BS67" s="1317" t="str">
        <f ca="1">IF(INDIRECT("'SpxSp (step-b)'!$B" &amp; BS$16)=$Z67,INDIRECT("'SpxSp (step-b)'!$" &amp; 'SpxSp (step-b)'!$BC$23 &amp; BS$16),"")</f>
        <v/>
      </c>
      <c r="BT67" s="1317" t="str">
        <f ca="1">IF(INDIRECT("'SpxSp (step-b)'!$B" &amp; BT$16)=$Z67,INDIRECT("'SpxSp (step-b)'!$" &amp; 'SpxSp (step-b)'!$BC$23 &amp; BT$16),"")</f>
        <v/>
      </c>
      <c r="BU67" s="1317" t="str">
        <f ca="1">IF(INDIRECT("'SpxSp (step-b)'!$B" &amp; BU$16)=$Z67,INDIRECT("'SpxSp (step-b)'!$" &amp; 'SpxSp (step-b)'!$BC$23 &amp; BU$16),"")</f>
        <v/>
      </c>
      <c r="BV67" s="1317" t="str">
        <f ca="1">IF(INDIRECT("'SpxSp (step-b)'!$B" &amp; BV$16)=$Z67,INDIRECT("'SpxSp (step-b)'!$" &amp; 'SpxSp (step-b)'!$BC$23 &amp; BV$16),"")</f>
        <v/>
      </c>
      <c r="BW67" s="1317" t="str">
        <f ca="1">IF(INDIRECT("'SpxSp (step-b)'!$B" &amp; BW$16)=$Z67,INDIRECT("'SpxSp (step-b)'!$" &amp; 'SpxSp (step-b)'!$BC$23 &amp; BW$16),"")</f>
        <v/>
      </c>
      <c r="BX67" s="1317" t="str">
        <f ca="1">IF(INDIRECT("'SpxSp (step-b)'!$B" &amp; BX$16)=$Z67,INDIRECT("'SpxSp (step-b)'!$" &amp; 'SpxSp (step-b)'!$BC$23 &amp; BX$16),"")</f>
        <v/>
      </c>
      <c r="BY67" s="1317" t="str">
        <f ca="1">IF(INDIRECT("'SpxSp (step-b)'!$B" &amp; BY$16)=$Z67,INDIRECT("'SpxSp (step-b)'!$" &amp; 'SpxSp (step-b)'!$BC$23 &amp; BY$16),"")</f>
        <v/>
      </c>
      <c r="BZ67" s="1317" t="str">
        <f ca="1">IF(INDIRECT("'SpxSp (step-b)'!$B" &amp; BZ$16)=$Z67,INDIRECT("'SpxSp (step-b)'!$" &amp; 'SpxSp (step-b)'!$BC$23 &amp; BZ$16),"")</f>
        <v/>
      </c>
      <c r="CA67" s="1317" t="str">
        <f ca="1">IF(INDIRECT("'SpxSp (step-b)'!$B" &amp; CA$16)=$Z67,INDIRECT("'SpxSp (step-b)'!$" &amp; 'SpxSp (step-b)'!$BC$23 &amp; CA$16),"")</f>
        <v/>
      </c>
      <c r="CB67" s="1317" t="str">
        <f ca="1">IF(INDIRECT("'SpxSp (step-b)'!$B" &amp; CB$16)=$Z67,INDIRECT("'SpxSp (step-b)'!$" &amp; 'SpxSp (step-b)'!$BC$23 &amp; CB$16),"")</f>
        <v/>
      </c>
      <c r="CC67" s="1317" t="str">
        <f ca="1">IF(INDIRECT("'SpxSp (step-b)'!$B" &amp; CC$16)=$Z67,INDIRECT("'SpxSp (step-b)'!$" &amp; 'SpxSp (step-b)'!$BC$23 &amp; CC$16),"")</f>
        <v/>
      </c>
      <c r="CD67" s="1317" t="str">
        <f ca="1">IF(INDIRECT("'SpxSp (step-b)'!$B" &amp; CD$16)=$Z67,INDIRECT("'SpxSp (step-b)'!$" &amp; 'SpxSp (step-b)'!$BC$23 &amp; CD$16),"")</f>
        <v/>
      </c>
      <c r="CE67" s="1317" t="str">
        <f ca="1">IF(INDIRECT("'SpxSp (step-b)'!$B" &amp; CE$16)=$Z67,INDIRECT("'SpxSp (step-b)'!$" &amp; 'SpxSp (step-b)'!$BC$23 &amp; CE$16),"")</f>
        <v/>
      </c>
      <c r="CF67" s="1317" t="str">
        <f ca="1">IF(INDIRECT("'SpxSp (step-b)'!$B" &amp; CF$16)=$Z67,INDIRECT("'SpxSp (step-b)'!$" &amp; 'SpxSp (step-b)'!$BC$23 &amp; CF$16),"")</f>
        <v/>
      </c>
      <c r="CG67" s="1317" t="str">
        <f ca="1">IF(INDIRECT("'SpxSp (step-b)'!$B" &amp; CG$16)=$Z67,INDIRECT("'SpxSp (step-b)'!$" &amp; 'SpxSp (step-b)'!$BC$23 &amp; CG$16),"")</f>
        <v/>
      </c>
      <c r="CH67" s="1317" t="str">
        <f ca="1">IF(INDIRECT("'SpxSp (step-b)'!$B" &amp; CH$16)=$Z67,INDIRECT("'SpxSp (step-b)'!$" &amp; 'SpxSp (step-b)'!$BC$23 &amp; CH$16),"")</f>
        <v/>
      </c>
      <c r="CI67" s="1317" t="str">
        <f ca="1">IF(INDIRECT("'SpxSp (step-b)'!$B" &amp; CI$16)=$Z67,INDIRECT("'SpxSp (step-b)'!$" &amp; 'SpxSp (step-b)'!$BC$23 &amp; CI$16),"")</f>
        <v/>
      </c>
      <c r="CJ67" s="1317" t="str">
        <f ca="1">IF(INDIRECT("'SpxSp (step-b)'!$B" &amp; CJ$16)=$Z67,INDIRECT("'SpxSp (step-b)'!$" &amp; 'SpxSp (step-b)'!$BC$23 &amp; CJ$16),"")</f>
        <v/>
      </c>
      <c r="CK67" s="1317" t="str">
        <f ca="1">IF(INDIRECT("'SpxSp (step-b)'!$B" &amp; CK$16)=$Z67,INDIRECT("'SpxSp (step-b)'!$" &amp; 'SpxSp (step-b)'!$BC$23 &amp; CK$16),"")</f>
        <v/>
      </c>
      <c r="CL67" s="1317" t="str">
        <f ca="1">IF(INDIRECT("'SpxSp (step-b)'!$B" &amp; CL$16)=$Z67,INDIRECT("'SpxSp (step-b)'!$" &amp; 'SpxSp (step-b)'!$BC$23 &amp; CL$16),"")</f>
        <v/>
      </c>
      <c r="CM67" s="1317" t="str">
        <f ca="1">IF(INDIRECT("'SpxSp (step-b)'!$B" &amp; CM$16)=$Z67,INDIRECT("'SpxSp (step-b)'!$" &amp; 'SpxSp (step-b)'!$BC$23 &amp; CM$16),"")</f>
        <v/>
      </c>
      <c r="CN67" s="1317" t="str">
        <f ca="1">IF(INDIRECT("'SpxSp (step-b)'!$B" &amp; CN$16)=$Z67,INDIRECT("'SpxSp (step-b)'!$" &amp; 'SpxSp (step-b)'!$BC$23 &amp; CN$16),"")</f>
        <v/>
      </c>
      <c r="CO67" s="1317" t="str">
        <f ca="1">IF(INDIRECT("'SpxSp (step-b)'!$B" &amp; CO$16)=$Z67,INDIRECT("'SpxSp (step-b)'!$" &amp; 'SpxSp (step-b)'!$BC$23 &amp; CO$16),"")</f>
        <v/>
      </c>
      <c r="CP67" s="1317" t="str">
        <f ca="1">IF(INDIRECT("'SpxSp (step-b)'!$B" &amp; CP$16)=$Z67,INDIRECT("'SpxSp (step-b)'!$" &amp; 'SpxSp (step-b)'!$BC$23 &amp; CP$16),"")</f>
        <v/>
      </c>
      <c r="CQ67" s="1317" t="str">
        <f ca="1">IF(INDIRECT("'SpxSp (step-b)'!$B" &amp; CQ$16)=$Z67,INDIRECT("'SpxSp (step-b)'!$" &amp; 'SpxSp (step-b)'!$BC$23 &amp; CQ$16),"")</f>
        <v/>
      </c>
      <c r="CR67" s="1317" t="str">
        <f ca="1">IF(INDIRECT("'SpxSp (step-b)'!$B" &amp; CR$16)=$Z67,INDIRECT("'SpxSp (step-b)'!$" &amp; 'SpxSp (step-b)'!$BC$23 &amp; CR$16),"")</f>
        <v/>
      </c>
      <c r="CS67" s="1317" t="str">
        <f ca="1">IF(INDIRECT("'SpxSp (step-b)'!$B" &amp; CS$16)=$Z67,INDIRECT("'SpxSp (step-b)'!$" &amp; 'SpxSp (step-b)'!$BC$23 &amp; CS$16),"")</f>
        <v/>
      </c>
      <c r="CT67" s="1317" t="str">
        <f ca="1">IF(INDIRECT("'SpxSp (step-b)'!$B" &amp; CT$16)=$Z67,INDIRECT("'SpxSp (step-b)'!$" &amp; 'SpxSp (step-b)'!$BC$23 &amp; CT$16),"")</f>
        <v/>
      </c>
      <c r="CU67" s="1317" t="str">
        <f ca="1">IF(INDIRECT("'SpxSp (step-b)'!$B" &amp; CU$16)=$Z67,INDIRECT("'SpxSp (step-b)'!$" &amp; 'SpxSp (step-b)'!$BC$23 &amp; CU$16),"")</f>
        <v/>
      </c>
      <c r="CV67" s="1317" t="str">
        <f ca="1">IF(INDIRECT("'SpxSp (step-b)'!$B" &amp; CV$16)=$Z67,INDIRECT("'SpxSp (step-b)'!$" &amp; 'SpxSp (step-b)'!$BC$23 &amp; CV$16),"")</f>
        <v/>
      </c>
      <c r="CW67" s="1317" t="str">
        <f ca="1">IF(INDIRECT("'SpxSp (step-b)'!$B" &amp; CW$16)=$Z67,INDIRECT("'SpxSp (step-b)'!$" &amp; 'SpxSp (step-b)'!$BC$23 &amp; CW$16),"")</f>
        <v/>
      </c>
      <c r="CX67" s="1317" t="str">
        <f ca="1">IF(INDIRECT("'SpxSp (step-b)'!$B" &amp; CX$16)=$Z67,INDIRECT("'SpxSp (step-b)'!$" &amp; 'SpxSp (step-b)'!$BC$23 &amp; CX$16),"")</f>
        <v/>
      </c>
      <c r="CY67" s="1317" t="str">
        <f ca="1">IF(INDIRECT("'SpxSp (step-b)'!$B" &amp; CY$16)=$Z67,INDIRECT("'SpxSp (step-b)'!$" &amp; 'SpxSp (step-b)'!$BC$23 &amp; CY$16),"")</f>
        <v/>
      </c>
      <c r="CZ67" s="1317" t="str">
        <f ca="1">IF(INDIRECT("'SpxSp (step-b)'!$B" &amp; CZ$16)=$Z67,INDIRECT("'SpxSp (step-b)'!$" &amp; 'SpxSp (step-b)'!$BC$23 &amp; CZ$16),"")</f>
        <v/>
      </c>
      <c r="DA67" s="1317" t="str">
        <f ca="1">IF(INDIRECT("'SpxSp (step-b)'!$B" &amp; DA$16)=$Z67,INDIRECT("'SpxSp (step-b)'!$" &amp; 'SpxSp (step-b)'!$BC$23 &amp; DA$16),"")</f>
        <v/>
      </c>
      <c r="DB67" s="1317" t="str">
        <f ca="1">IF(INDIRECT("'SpxSp (step-b)'!$B" &amp; DB$16)=$Z67,INDIRECT("'SpxSp (step-b)'!$" &amp; 'SpxSp (step-b)'!$BC$23 &amp; DB$16),"")</f>
        <v/>
      </c>
      <c r="DC67" s="1317" t="str">
        <f ca="1">IF(INDIRECT("'SpxSp (step-b)'!$B" &amp; DC$16)=$Z67,INDIRECT("'SpxSp (step-b)'!$" &amp; 'SpxSp (step-b)'!$BC$23 &amp; DC$16),"")</f>
        <v/>
      </c>
      <c r="DD67" s="1317" t="str">
        <f ca="1">IF(INDIRECT("'SpxSp (step-b)'!$B" &amp; DD$16)=$Z67,INDIRECT("'SpxSp (step-b)'!$" &amp; 'SpxSp (step-b)'!$BC$23 &amp; DD$16),"")</f>
        <v/>
      </c>
      <c r="DE67" s="1317" t="str">
        <f ca="1">IF(INDIRECT("'SpxSp (step-b)'!$B" &amp; DE$16)=$Z67,INDIRECT("'SpxSp (step-b)'!$" &amp; 'SpxSp (step-b)'!$BC$23 &amp; DE$16),"")</f>
        <v/>
      </c>
      <c r="DF67" s="1317" t="str">
        <f ca="1">IF(INDIRECT("'SpxSp (step-b)'!$B" &amp; DF$16)=$Z67,INDIRECT("'SpxSp (step-b)'!$" &amp; 'SpxSp (step-b)'!$BC$23 &amp; DF$16),"")</f>
        <v/>
      </c>
      <c r="DG67" s="1317" t="str">
        <f ca="1">IF(INDIRECT("'SpxSp (step-b)'!$B" &amp; DG$16)=$Z67,INDIRECT("'SpxSp (step-b)'!$" &amp; 'SpxSp (step-b)'!$BC$23 &amp; DG$16),"")</f>
        <v/>
      </c>
      <c r="DH67" s="1317" t="str">
        <f ca="1">IF(INDIRECT("'SpxSp (step-b)'!$B" &amp; DH$16)=$Z67,INDIRECT("'SpxSp (step-b)'!$" &amp; 'SpxSp (step-b)'!$BC$23 &amp; DH$16),"")</f>
        <v/>
      </c>
      <c r="DI67" s="1317" t="str">
        <f ca="1">IF(INDIRECT("'SpxSp (step-b)'!$B" &amp; DI$16)=$Z67,INDIRECT("'SpxSp (step-b)'!$" &amp; 'SpxSp (step-b)'!$BC$23 &amp; DI$16),"")</f>
        <v/>
      </c>
      <c r="DJ67" s="1317" t="str">
        <f ca="1">IF(INDIRECT("'SpxSp (step-b)'!$B" &amp; DJ$16)=$Z67,INDIRECT("'SpxSp (step-b)'!$" &amp; 'SpxSp (step-b)'!$BC$23 &amp; DJ$16),"")</f>
        <v/>
      </c>
      <c r="DK67" s="1317" t="str">
        <f ca="1">IF(INDIRECT("'SpxSp (step-b)'!$B" &amp; DK$16)=$Z67,INDIRECT("'SpxSp (step-b)'!$" &amp; 'SpxSp (step-b)'!$BC$23 &amp; DK$16),"")</f>
        <v/>
      </c>
      <c r="DL67" s="1317" t="str">
        <f ca="1">IF(INDIRECT("'SpxSp (step-b)'!$B" &amp; DL$16)=$Z67,INDIRECT("'SpxSp (step-b)'!$" &amp; 'SpxSp (step-b)'!$BC$23 &amp; DL$16),"")</f>
        <v/>
      </c>
      <c r="DM67" s="1317" t="str">
        <f ca="1">IF(INDIRECT("'SpxSp (step-b)'!$B" &amp; DM$16)=$Z67,INDIRECT("'SpxSp (step-b)'!$" &amp; 'SpxSp (step-b)'!$BC$23 &amp; DM$16),"")</f>
        <v/>
      </c>
      <c r="DN67" s="1318" t="str">
        <f t="shared" ca="1" si="32"/>
        <v/>
      </c>
      <c r="DO67" s="1246" t="s">
        <v>1201</v>
      </c>
    </row>
    <row r="68" spans="2:119" x14ac:dyDescent="0.2">
      <c r="BC68" s="1248"/>
      <c r="BD68" s="1248"/>
    </row>
    <row r="69" spans="2:119" x14ac:dyDescent="0.2">
      <c r="BC69" s="1248"/>
      <c r="BD69" s="1248"/>
    </row>
    <row r="70" spans="2:119" x14ac:dyDescent="0.2">
      <c r="BC70" s="1248"/>
      <c r="BD70" s="1248"/>
    </row>
    <row r="71" spans="2:119" x14ac:dyDescent="0.2">
      <c r="X71" s="178" t="s">
        <v>167</v>
      </c>
      <c r="BC71" s="1248"/>
      <c r="BD71" s="1248"/>
      <c r="BE71" s="1335" t="s">
        <v>1067</v>
      </c>
      <c r="BF71" s="1336">
        <f ca="1">ROUND('SpxSp (step-a)'!W18,0)</f>
        <v>0</v>
      </c>
      <c r="BP71" s="178">
        <v>1</v>
      </c>
      <c r="BQ71" s="178">
        <v>2</v>
      </c>
      <c r="BR71" s="178">
        <v>3</v>
      </c>
      <c r="BS71" s="178">
        <v>4</v>
      </c>
      <c r="BT71" s="178">
        <v>5</v>
      </c>
      <c r="BU71" s="178">
        <v>6</v>
      </c>
      <c r="BV71" s="178">
        <v>7</v>
      </c>
      <c r="BW71" s="178">
        <v>8</v>
      </c>
      <c r="BX71" s="178">
        <v>9</v>
      </c>
      <c r="BY71" s="178">
        <v>10</v>
      </c>
      <c r="BZ71" s="178">
        <v>11</v>
      </c>
      <c r="CA71" s="178">
        <v>12</v>
      </c>
      <c r="CB71" s="178">
        <v>13</v>
      </c>
      <c r="CC71" s="178">
        <v>14</v>
      </c>
      <c r="CD71" s="178">
        <v>15</v>
      </c>
      <c r="CE71" s="178">
        <v>16</v>
      </c>
      <c r="CF71" s="178">
        <v>17</v>
      </c>
      <c r="CG71" s="178">
        <v>18</v>
      </c>
      <c r="CH71" s="178">
        <v>19</v>
      </c>
      <c r="CI71" s="178">
        <v>20</v>
      </c>
      <c r="CJ71" s="178">
        <v>21</v>
      </c>
      <c r="CK71" s="178">
        <v>22</v>
      </c>
      <c r="CL71" s="178">
        <v>23</v>
      </c>
      <c r="CM71" s="178">
        <v>24</v>
      </c>
      <c r="CN71" s="178">
        <v>25</v>
      </c>
      <c r="CO71" s="178">
        <v>26</v>
      </c>
      <c r="CP71" s="178">
        <v>27</v>
      </c>
      <c r="CQ71" s="178">
        <v>28</v>
      </c>
      <c r="CR71" s="178">
        <v>29</v>
      </c>
      <c r="CS71" s="178">
        <v>30</v>
      </c>
      <c r="CT71" s="178">
        <v>31</v>
      </c>
      <c r="CU71" s="178">
        <v>32</v>
      </c>
      <c r="CV71" s="178">
        <v>33</v>
      </c>
      <c r="CW71" s="178">
        <v>34</v>
      </c>
      <c r="CX71" s="178">
        <v>35</v>
      </c>
      <c r="CY71" s="178">
        <v>36</v>
      </c>
      <c r="CZ71" s="178">
        <v>37</v>
      </c>
      <c r="DA71" s="178">
        <v>38</v>
      </c>
      <c r="DB71" s="178">
        <v>39</v>
      </c>
      <c r="DC71" s="178">
        <v>40</v>
      </c>
      <c r="DD71" s="178">
        <v>41</v>
      </c>
      <c r="DE71" s="178">
        <v>42</v>
      </c>
      <c r="DF71" s="178">
        <v>43</v>
      </c>
      <c r="DG71" s="178">
        <v>44</v>
      </c>
      <c r="DH71" s="178">
        <v>45</v>
      </c>
      <c r="DI71" s="178">
        <v>46</v>
      </c>
      <c r="DJ71" s="178">
        <v>47</v>
      </c>
      <c r="DK71" s="178">
        <v>48</v>
      </c>
      <c r="DL71" s="178">
        <v>49</v>
      </c>
      <c r="DM71" s="178">
        <v>50</v>
      </c>
    </row>
    <row r="72" spans="2:119" x14ac:dyDescent="0.2">
      <c r="BC72" s="1248"/>
      <c r="BD72" s="1248"/>
      <c r="BP72" s="178">
        <v>18</v>
      </c>
      <c r="BQ72" s="178">
        <v>19</v>
      </c>
      <c r="BR72" s="178">
        <v>20</v>
      </c>
      <c r="BS72" s="178">
        <v>21</v>
      </c>
      <c r="BT72" s="178">
        <v>22</v>
      </c>
      <c r="BU72" s="178">
        <v>23</v>
      </c>
      <c r="BV72" s="178">
        <v>24</v>
      </c>
      <c r="BW72" s="178">
        <v>25</v>
      </c>
      <c r="BX72" s="178">
        <v>26</v>
      </c>
      <c r="BY72" s="178">
        <v>27</v>
      </c>
      <c r="BZ72" s="178">
        <v>28</v>
      </c>
      <c r="CA72" s="178">
        <v>29</v>
      </c>
      <c r="CB72" s="178">
        <v>30</v>
      </c>
      <c r="CC72" s="178">
        <v>31</v>
      </c>
      <c r="CD72" s="178">
        <v>32</v>
      </c>
      <c r="CE72" s="178">
        <v>33</v>
      </c>
      <c r="CF72" s="178">
        <v>34</v>
      </c>
      <c r="CG72" s="178">
        <v>35</v>
      </c>
      <c r="CH72" s="178">
        <v>36</v>
      </c>
      <c r="CI72" s="178">
        <v>37</v>
      </c>
      <c r="CJ72" s="178">
        <v>38</v>
      </c>
      <c r="CK72" s="178">
        <v>39</v>
      </c>
      <c r="CL72" s="178">
        <v>40</v>
      </c>
      <c r="CM72" s="178">
        <v>41</v>
      </c>
      <c r="CN72" s="178">
        <v>42</v>
      </c>
      <c r="CO72" s="178">
        <v>43</v>
      </c>
      <c r="CP72" s="178">
        <v>44</v>
      </c>
      <c r="CQ72" s="178">
        <v>45</v>
      </c>
      <c r="CR72" s="178">
        <v>46</v>
      </c>
      <c r="CS72" s="178">
        <v>47</v>
      </c>
      <c r="CT72" s="178">
        <v>48</v>
      </c>
      <c r="CU72" s="178">
        <v>49</v>
      </c>
      <c r="CV72" s="178">
        <v>50</v>
      </c>
      <c r="CW72" s="178">
        <v>51</v>
      </c>
      <c r="CX72" s="178">
        <v>52</v>
      </c>
      <c r="CY72" s="178">
        <v>53</v>
      </c>
      <c r="CZ72" s="178">
        <v>54</v>
      </c>
      <c r="DA72" s="178">
        <v>55</v>
      </c>
      <c r="DB72" s="178">
        <v>56</v>
      </c>
      <c r="DC72" s="178">
        <v>57</v>
      </c>
      <c r="DD72" s="178">
        <v>58</v>
      </c>
      <c r="DE72" s="178">
        <v>59</v>
      </c>
      <c r="DF72" s="178">
        <v>60</v>
      </c>
      <c r="DG72" s="178">
        <v>61</v>
      </c>
      <c r="DH72" s="178">
        <v>62</v>
      </c>
      <c r="DI72" s="178">
        <v>63</v>
      </c>
      <c r="DJ72" s="178">
        <v>64</v>
      </c>
      <c r="DK72" s="178">
        <v>65</v>
      </c>
      <c r="DL72" s="178">
        <v>66</v>
      </c>
      <c r="DM72" s="178">
        <v>67</v>
      </c>
    </row>
    <row r="73" spans="2:119" ht="20" x14ac:dyDescent="0.2">
      <c r="Z73" s="1317" t="str">
        <f>Z18</f>
        <v/>
      </c>
      <c r="AA73" s="1317" t="str">
        <f>AA18</f>
        <v/>
      </c>
      <c r="BN73" s="178">
        <v>1</v>
      </c>
      <c r="BO73" s="1316" t="str">
        <f t="shared" ref="BO73:BO74" ca="1" si="40">CONCATENATE(BP73,BQ73,BR73,BS73,BT73,BU73,BV73,BW73,BX73,BY73,BZ73,CA73,CB73,CC73,CD73,CE73,CF73,CG73,CH73,CI73,CJ73,CK73,CL73,CM73,CN73,CO73,CP73,CQ73,CR73,CS73,CT73,CU73,CV73,CW73,CX73,CY73,CZ73,DA73,DB73,DC73,DD73,DE73,DF73,DG73,DH73,DI73,DJ73,DK73,DL73,DM73)</f>
        <v/>
      </c>
      <c r="BP73" s="1317" t="str">
        <f ca="1">IF(INDIRECT("'SpxSp (step-c)'!$B" &amp; BP$72)=$Z73,INDIRECT("'SpxSp (step-c)'!$" &amp; 'SpxSp (step-c)'!$AC$16 &amp; BP$72),"")</f>
        <v/>
      </c>
      <c r="BQ73" s="1317" t="str">
        <f ca="1">IF(INDIRECT("'SpxSp (step-c)'!$B" &amp; BQ$72)=$Z73,INDIRECT("'SpxSp (step-c)'!$" &amp; 'SpxSp (step-c)'!$AC$16 &amp; BQ$72),"")</f>
        <v/>
      </c>
      <c r="BR73" s="1317" t="str">
        <f ca="1">IF(INDIRECT("'SpxSp (step-c)'!$B" &amp; BR$72)=$Z73,INDIRECT("'SpxSp (step-c)'!$" &amp; 'SpxSp (step-c)'!$AC$16 &amp; BR$72),"")</f>
        <v/>
      </c>
      <c r="BS73" s="1317" t="str">
        <f ca="1">IF(INDIRECT("'SpxSp (step-c)'!$B" &amp; BS$72)=$Z73,INDIRECT("'SpxSp (step-c)'!$" &amp; 'SpxSp (step-c)'!$AC$16 &amp; BS$72),"")</f>
        <v/>
      </c>
      <c r="BT73" s="1317" t="str">
        <f ca="1">IF(INDIRECT("'SpxSp (step-c)'!$B" &amp; BT$72)=$Z73,INDIRECT("'SpxSp (step-c)'!$" &amp; 'SpxSp (step-c)'!$AC$16 &amp; BT$72),"")</f>
        <v/>
      </c>
      <c r="BU73" s="1317" t="str">
        <f ca="1">IF(INDIRECT("'SpxSp (step-c)'!$B" &amp; BU$72)=$Z73,INDIRECT("'SpxSp (step-c)'!$" &amp; 'SpxSp (step-c)'!$AC$16 &amp; BU$72),"")</f>
        <v/>
      </c>
      <c r="BV73" s="1317" t="str">
        <f ca="1">IF(INDIRECT("'SpxSp (step-c)'!$B" &amp; BV$72)=$Z73,INDIRECT("'SpxSp (step-c)'!$" &amp; 'SpxSp (step-c)'!$AC$16 &amp; BV$72),"")</f>
        <v/>
      </c>
      <c r="BW73" s="1317" t="str">
        <f ca="1">IF(INDIRECT("'SpxSp (step-c)'!$B" &amp; BW$72)=$Z73,INDIRECT("'SpxSp (step-c)'!$" &amp; 'SpxSp (step-c)'!$AC$16 &amp; BW$72),"")</f>
        <v/>
      </c>
      <c r="BX73" s="1317" t="str">
        <f ca="1">IF(INDIRECT("'SpxSp (step-c)'!$B" &amp; BX$72)=$Z73,INDIRECT("'SpxSp (step-c)'!$" &amp; 'SpxSp (step-c)'!$AC$16 &amp; BX$72),"")</f>
        <v/>
      </c>
      <c r="BY73" s="1317" t="str">
        <f ca="1">IF(INDIRECT("'SpxSp (step-c)'!$B" &amp; BY$72)=$Z73,INDIRECT("'SpxSp (step-c)'!$" &amp; 'SpxSp (step-c)'!$AC$16 &amp; BY$72),"")</f>
        <v/>
      </c>
      <c r="BZ73" s="1317" t="str">
        <f ca="1">IF(INDIRECT("'SpxSp (step-c)'!$B" &amp; BZ$72)=$Z73,INDIRECT("'SpxSp (step-c)'!$" &amp; 'SpxSp (step-c)'!$AC$16 &amp; BZ$72),"")</f>
        <v/>
      </c>
      <c r="CA73" s="1317" t="str">
        <f ca="1">IF(INDIRECT("'SpxSp (step-c)'!$B" &amp; CA$72)=$Z73,INDIRECT("'SpxSp (step-c)'!$" &amp; 'SpxSp (step-c)'!$AC$16 &amp; CA$72),"")</f>
        <v/>
      </c>
      <c r="CB73" s="1317" t="str">
        <f ca="1">IF(INDIRECT("'SpxSp (step-c)'!$B" &amp; CB$72)=$Z73,INDIRECT("'SpxSp (step-c)'!$" &amp; 'SpxSp (step-c)'!$AC$16 &amp; CB$72),"")</f>
        <v/>
      </c>
      <c r="CC73" s="1317" t="str">
        <f ca="1">IF(INDIRECT("'SpxSp (step-c)'!$B" &amp; CC$72)=$Z73,INDIRECT("'SpxSp (step-c)'!$" &amp; 'SpxSp (step-c)'!$AC$16 &amp; CC$72),"")</f>
        <v/>
      </c>
      <c r="CD73" s="1317" t="str">
        <f ca="1">IF(INDIRECT("'SpxSp (step-c)'!$B" &amp; CD$72)=$Z73,INDIRECT("'SpxSp (step-c)'!$" &amp; 'SpxSp (step-c)'!$AC$16 &amp; CD$72),"")</f>
        <v/>
      </c>
      <c r="CE73" s="1317" t="str">
        <f ca="1">IF(INDIRECT("'SpxSp (step-c)'!$B" &amp; CE$72)=$Z73,INDIRECT("'SpxSp (step-c)'!$" &amp; 'SpxSp (step-c)'!$AC$16 &amp; CE$72),"")</f>
        <v/>
      </c>
      <c r="CF73" s="1317" t="str">
        <f ca="1">IF(INDIRECT("'SpxSp (step-c)'!$B" &amp; CF$72)=$Z73,INDIRECT("'SpxSp (step-c)'!$" &amp; 'SpxSp (step-c)'!$AC$16 &amp; CF$72),"")</f>
        <v/>
      </c>
      <c r="CG73" s="1317" t="str">
        <f ca="1">IF(INDIRECT("'SpxSp (step-c)'!$B" &amp; CG$72)=$Z73,INDIRECT("'SpxSp (step-c)'!$" &amp; 'SpxSp (step-c)'!$AC$16 &amp; CG$72),"")</f>
        <v/>
      </c>
      <c r="CH73" s="1317" t="str">
        <f ca="1">IF(INDIRECT("'SpxSp (step-c)'!$B" &amp; CH$72)=$Z73,INDIRECT("'SpxSp (step-c)'!$" &amp; 'SpxSp (step-c)'!$AC$16 &amp; CH$72),"")</f>
        <v/>
      </c>
      <c r="CI73" s="1317" t="str">
        <f ca="1">IF(INDIRECT("'SpxSp (step-c)'!$B" &amp; CI$72)=$Z73,INDIRECT("'SpxSp (step-c)'!$" &amp; 'SpxSp (step-c)'!$AC$16 &amp; CI$72),"")</f>
        <v/>
      </c>
      <c r="CJ73" s="1317" t="str">
        <f ca="1">IF(INDIRECT("'SpxSp (step-c)'!$B" &amp; CJ$72)=$Z73,INDIRECT("'SpxSp (step-c)'!$" &amp; 'SpxSp (step-c)'!$AC$16 &amp; CJ$72),"")</f>
        <v/>
      </c>
      <c r="CK73" s="1317" t="str">
        <f ca="1">IF(INDIRECT("'SpxSp (step-c)'!$B" &amp; CK$72)=$Z73,INDIRECT("'SpxSp (step-c)'!$" &amp; 'SpxSp (step-c)'!$AC$16 &amp; CK$72),"")</f>
        <v/>
      </c>
      <c r="CL73" s="1317" t="str">
        <f ca="1">IF(INDIRECT("'SpxSp (step-c)'!$B" &amp; CL$72)=$Z73,INDIRECT("'SpxSp (step-c)'!$" &amp; 'SpxSp (step-c)'!$AC$16 &amp; CL$72),"")</f>
        <v/>
      </c>
      <c r="CM73" s="1317" t="str">
        <f ca="1">IF(INDIRECT("'SpxSp (step-c)'!$B" &amp; CM$72)=$Z73,INDIRECT("'SpxSp (step-c)'!$" &amp; 'SpxSp (step-c)'!$AC$16 &amp; CM$72),"")</f>
        <v/>
      </c>
      <c r="CN73" s="1317" t="str">
        <f ca="1">IF(INDIRECT("'SpxSp (step-c)'!$B" &amp; CN$72)=$Z73,INDIRECT("'SpxSp (step-c)'!$" &amp; 'SpxSp (step-c)'!$AC$16 &amp; CN$72),"")</f>
        <v/>
      </c>
      <c r="CO73" s="1317" t="str">
        <f ca="1">IF(INDIRECT("'SpxSp (step-c)'!$B" &amp; CO$72)=$Z73,INDIRECT("'SpxSp (step-c)'!$" &amp; 'SpxSp (step-c)'!$AC$16 &amp; CO$72),"")</f>
        <v/>
      </c>
      <c r="CP73" s="1317" t="str">
        <f ca="1">IF(INDIRECT("'SpxSp (step-c)'!$B" &amp; CP$72)=$Z73,INDIRECT("'SpxSp (step-c)'!$" &amp; 'SpxSp (step-c)'!$AC$16 &amp; CP$72),"")</f>
        <v/>
      </c>
      <c r="CQ73" s="1317" t="str">
        <f ca="1">IF(INDIRECT("'SpxSp (step-c)'!$B" &amp; CQ$72)=$Z73,INDIRECT("'SpxSp (step-c)'!$" &amp; 'SpxSp (step-c)'!$AC$16 &amp; CQ$72),"")</f>
        <v/>
      </c>
      <c r="CR73" s="1317" t="str">
        <f ca="1">IF(INDIRECT("'SpxSp (step-c)'!$B" &amp; CR$72)=$Z73,INDIRECT("'SpxSp (step-c)'!$" &amp; 'SpxSp (step-c)'!$AC$16 &amp; CR$72),"")</f>
        <v/>
      </c>
      <c r="CS73" s="1317" t="str">
        <f ca="1">IF(INDIRECT("'SpxSp (step-c)'!$B" &amp; CS$72)=$Z73,INDIRECT("'SpxSp (step-c)'!$" &amp; 'SpxSp (step-c)'!$AC$16 &amp; CS$72),"")</f>
        <v/>
      </c>
      <c r="CT73" s="1317" t="str">
        <f ca="1">IF(INDIRECT("'SpxSp (step-c)'!$B" &amp; CT$72)=$Z73,INDIRECT("'SpxSp (step-c)'!$" &amp; 'SpxSp (step-c)'!$AC$16 &amp; CT$72),"")</f>
        <v/>
      </c>
      <c r="CU73" s="1317" t="str">
        <f ca="1">IF(INDIRECT("'SpxSp (step-c)'!$B" &amp; CU$72)=$Z73,INDIRECT("'SpxSp (step-c)'!$" &amp; 'SpxSp (step-c)'!$AC$16 &amp; CU$72),"")</f>
        <v/>
      </c>
      <c r="CV73" s="1317" t="str">
        <f ca="1">IF(INDIRECT("'SpxSp (step-c)'!$B" &amp; CV$72)=$Z73,INDIRECT("'SpxSp (step-c)'!$" &amp; 'SpxSp (step-c)'!$AC$16 &amp; CV$72),"")</f>
        <v/>
      </c>
      <c r="CW73" s="1317" t="str">
        <f ca="1">IF(INDIRECT("'SpxSp (step-c)'!$B" &amp; CW$72)=$Z73,INDIRECT("'SpxSp (step-c)'!$" &amp; 'SpxSp (step-c)'!$AC$16 &amp; CW$72),"")</f>
        <v/>
      </c>
      <c r="CX73" s="1317" t="str">
        <f ca="1">IF(INDIRECT("'SpxSp (step-c)'!$B" &amp; CX$72)=$Z73,INDIRECT("'SpxSp (step-c)'!$" &amp; 'SpxSp (step-c)'!$AC$16 &amp; CX$72),"")</f>
        <v/>
      </c>
      <c r="CY73" s="1317" t="str">
        <f ca="1">IF(INDIRECT("'SpxSp (step-c)'!$B" &amp; CY$72)=$Z73,INDIRECT("'SpxSp (step-c)'!$" &amp; 'SpxSp (step-c)'!$AC$16 &amp; CY$72),"")</f>
        <v/>
      </c>
      <c r="CZ73" s="1317" t="str">
        <f ca="1">IF(INDIRECT("'SpxSp (step-c)'!$B" &amp; CZ$72)=$Z73,INDIRECT("'SpxSp (step-c)'!$" &amp; 'SpxSp (step-c)'!$AC$16 &amp; CZ$72),"")</f>
        <v/>
      </c>
      <c r="DA73" s="1317" t="str">
        <f ca="1">IF(INDIRECT("'SpxSp (step-c)'!$B" &amp; DA$72)=$Z73,INDIRECT("'SpxSp (step-c)'!$" &amp; 'SpxSp (step-c)'!$AC$16 &amp; DA$72),"")</f>
        <v/>
      </c>
      <c r="DB73" s="1317" t="str">
        <f ca="1">IF(INDIRECT("'SpxSp (step-c)'!$B" &amp; DB$72)=$Z73,INDIRECT("'SpxSp (step-c)'!$" &amp; 'SpxSp (step-c)'!$AC$16 &amp; DB$72),"")</f>
        <v/>
      </c>
      <c r="DC73" s="1317" t="str">
        <f ca="1">IF(INDIRECT("'SpxSp (step-c)'!$B" &amp; DC$72)=$Z73,INDIRECT("'SpxSp (step-c)'!$" &amp; 'SpxSp (step-c)'!$AC$16 &amp; DC$72),"")</f>
        <v/>
      </c>
      <c r="DD73" s="1317" t="str">
        <f ca="1">IF(INDIRECT("'SpxSp (step-c)'!$B" &amp; DD$72)=$Z73,INDIRECT("'SpxSp (step-c)'!$" &amp; 'SpxSp (step-c)'!$AC$16 &amp; DD$72),"")</f>
        <v/>
      </c>
      <c r="DE73" s="1317" t="str">
        <f ca="1">IF(INDIRECT("'SpxSp (step-c)'!$B" &amp; DE$72)=$Z73,INDIRECT("'SpxSp (step-c)'!$" &amp; 'SpxSp (step-c)'!$AC$16 &amp; DE$72),"")</f>
        <v/>
      </c>
      <c r="DF73" s="1317" t="str">
        <f ca="1">IF(INDIRECT("'SpxSp (step-c)'!$B" &amp; DF$72)=$Z73,INDIRECT("'SpxSp (step-c)'!$" &amp; 'SpxSp (step-c)'!$AC$16 &amp; DF$72),"")</f>
        <v/>
      </c>
      <c r="DG73" s="1317" t="str">
        <f ca="1">IF(INDIRECT("'SpxSp (step-c)'!$B" &amp; DG$72)=$Z73,INDIRECT("'SpxSp (step-c)'!$" &amp; 'SpxSp (step-c)'!$AC$16 &amp; DG$72),"")</f>
        <v/>
      </c>
      <c r="DH73" s="1317" t="str">
        <f ca="1">IF(INDIRECT("'SpxSp (step-c)'!$B" &amp; DH$72)=$Z73,INDIRECT("'SpxSp (step-c)'!$" &amp; 'SpxSp (step-c)'!$AC$16 &amp; DH$72),"")</f>
        <v/>
      </c>
      <c r="DI73" s="1317" t="str">
        <f ca="1">IF(INDIRECT("'SpxSp (step-c)'!$B" &amp; DI$72)=$Z73,INDIRECT("'SpxSp (step-c)'!$" &amp; 'SpxSp (step-c)'!$AC$16 &amp; DI$72),"")</f>
        <v/>
      </c>
      <c r="DJ73" s="1317" t="str">
        <f ca="1">IF(INDIRECT("'SpxSp (step-c)'!$B" &amp; DJ$72)=$Z73,INDIRECT("'SpxSp (step-c)'!$" &amp; 'SpxSp (step-c)'!$AC$16 &amp; DJ$72),"")</f>
        <v/>
      </c>
      <c r="DK73" s="1317" t="str">
        <f ca="1">IF(INDIRECT("'SpxSp (step-c)'!$B" &amp; DK$72)=$Z73,INDIRECT("'SpxSp (step-c)'!$" &amp; 'SpxSp (step-c)'!$AC$16 &amp; DK$72),"")</f>
        <v/>
      </c>
      <c r="DL73" s="1317" t="str">
        <f ca="1">IF(INDIRECT("'SpxSp (step-c)'!$B" &amp; DL$72)=$Z73,INDIRECT("'SpxSp (step-c)'!$" &amp; 'SpxSp (step-c)'!$AC$16 &amp; DL$72),"")</f>
        <v/>
      </c>
      <c r="DM73" s="1317" t="str">
        <f ca="1">IF(INDIRECT("'SpxSp (step-c)'!$B" &amp; DM$72)=$Z73,INDIRECT("'SpxSp (step-c)'!$" &amp; 'SpxSp (step-c)'!$AC$16 &amp; DM$72),"")</f>
        <v/>
      </c>
      <c r="DO73" s="1246" t="s">
        <v>1200</v>
      </c>
    </row>
    <row r="74" spans="2:119" ht="20" x14ac:dyDescent="0.2">
      <c r="Z74" s="1317" t="str">
        <f t="shared" ref="Z74:AA74" si="41">Z19</f>
        <v/>
      </c>
      <c r="AA74" s="1317" t="str">
        <f t="shared" si="41"/>
        <v/>
      </c>
      <c r="BN74" s="178">
        <v>2</v>
      </c>
      <c r="BO74" s="1316" t="str">
        <f t="shared" ca="1" si="40"/>
        <v/>
      </c>
      <c r="BP74" s="1317" t="str">
        <f ca="1">IF(INDIRECT("'SpxSp (step-c)'!$B" &amp; BP$72)=$Z74,INDIRECT("'SpxSp (step-c)'!$" &amp; 'SpxSp (step-c)'!$AC$16 &amp; BP$72),"")</f>
        <v/>
      </c>
      <c r="BQ74" s="1317" t="str">
        <f ca="1">IF(INDIRECT("'SpxSp (step-c)'!$B" &amp; BQ$72)=$Z74,INDIRECT("'SpxSp (step-c)'!$" &amp; 'SpxSp (step-c)'!$AC$16 &amp; BQ$72),"")</f>
        <v/>
      </c>
      <c r="BR74" s="1317" t="str">
        <f ca="1">IF(INDIRECT("'SpxSp (step-c)'!$B" &amp; BR$72)=$Z74,INDIRECT("'SpxSp (step-c)'!$" &amp; 'SpxSp (step-c)'!$AC$16 &amp; BR$72),"")</f>
        <v/>
      </c>
      <c r="BS74" s="1317" t="str">
        <f ca="1">IF(INDIRECT("'SpxSp (step-c)'!$B" &amp; BS$72)=$Z74,INDIRECT("'SpxSp (step-c)'!$" &amp; 'SpxSp (step-c)'!$AC$16 &amp; BS$72),"")</f>
        <v/>
      </c>
      <c r="BT74" s="1317" t="str">
        <f ca="1">IF(INDIRECT("'SpxSp (step-c)'!$B" &amp; BT$72)=$Z74,INDIRECT("'SpxSp (step-c)'!$" &amp; 'SpxSp (step-c)'!$AC$16 &amp; BT$72),"")</f>
        <v/>
      </c>
      <c r="BU74" s="1317" t="str">
        <f ca="1">IF(INDIRECT("'SpxSp (step-c)'!$B" &amp; BU$72)=$Z74,INDIRECT("'SpxSp (step-c)'!$" &amp; 'SpxSp (step-c)'!$AC$16 &amp; BU$72),"")</f>
        <v/>
      </c>
      <c r="BV74" s="1317" t="str">
        <f ca="1">IF(INDIRECT("'SpxSp (step-c)'!$B" &amp; BV$72)=$Z74,INDIRECT("'SpxSp (step-c)'!$" &amp; 'SpxSp (step-c)'!$AC$16 &amp; BV$72),"")</f>
        <v/>
      </c>
      <c r="BW74" s="1317" t="str">
        <f ca="1">IF(INDIRECT("'SpxSp (step-c)'!$B" &amp; BW$72)=$Z74,INDIRECT("'SpxSp (step-c)'!$" &amp; 'SpxSp (step-c)'!$AC$16 &amp; BW$72),"")</f>
        <v/>
      </c>
      <c r="BX74" s="1317" t="str">
        <f ca="1">IF(INDIRECT("'SpxSp (step-c)'!$B" &amp; BX$72)=$Z74,INDIRECT("'SpxSp (step-c)'!$" &amp; 'SpxSp (step-c)'!$AC$16 &amp; BX$72),"")</f>
        <v/>
      </c>
      <c r="BY74" s="1317" t="str">
        <f ca="1">IF(INDIRECT("'SpxSp (step-c)'!$B" &amp; BY$72)=$Z74,INDIRECT("'SpxSp (step-c)'!$" &amp; 'SpxSp (step-c)'!$AC$16 &amp; BY$72),"")</f>
        <v/>
      </c>
      <c r="BZ74" s="1317" t="str">
        <f ca="1">IF(INDIRECT("'SpxSp (step-c)'!$B" &amp; BZ$72)=$Z74,INDIRECT("'SpxSp (step-c)'!$" &amp; 'SpxSp (step-c)'!$AC$16 &amp; BZ$72),"")</f>
        <v/>
      </c>
      <c r="CA74" s="1317" t="str">
        <f ca="1">IF(INDIRECT("'SpxSp (step-c)'!$B" &amp; CA$72)=$Z74,INDIRECT("'SpxSp (step-c)'!$" &amp; 'SpxSp (step-c)'!$AC$16 &amp; CA$72),"")</f>
        <v/>
      </c>
      <c r="CB74" s="1317" t="str">
        <f ca="1">IF(INDIRECT("'SpxSp (step-c)'!$B" &amp; CB$72)=$Z74,INDIRECT("'SpxSp (step-c)'!$" &amp; 'SpxSp (step-c)'!$AC$16 &amp; CB$72),"")</f>
        <v/>
      </c>
      <c r="CC74" s="1317" t="str">
        <f ca="1">IF(INDIRECT("'SpxSp (step-c)'!$B" &amp; CC$72)=$Z74,INDIRECT("'SpxSp (step-c)'!$" &amp; 'SpxSp (step-c)'!$AC$16 &amp; CC$72),"")</f>
        <v/>
      </c>
      <c r="CD74" s="1317" t="str">
        <f ca="1">IF(INDIRECT("'SpxSp (step-c)'!$B" &amp; CD$72)=$Z74,INDIRECT("'SpxSp (step-c)'!$" &amp; 'SpxSp (step-c)'!$AC$16 &amp; CD$72),"")</f>
        <v/>
      </c>
      <c r="CE74" s="1317" t="str">
        <f ca="1">IF(INDIRECT("'SpxSp (step-c)'!$B" &amp; CE$72)=$Z74,INDIRECT("'SpxSp (step-c)'!$" &amp; 'SpxSp (step-c)'!$AC$16 &amp; CE$72),"")</f>
        <v/>
      </c>
      <c r="CF74" s="1317" t="str">
        <f ca="1">IF(INDIRECT("'SpxSp (step-c)'!$B" &amp; CF$72)=$Z74,INDIRECT("'SpxSp (step-c)'!$" &amp; 'SpxSp (step-c)'!$AC$16 &amp; CF$72),"")</f>
        <v/>
      </c>
      <c r="CG74" s="1317" t="str">
        <f ca="1">IF(INDIRECT("'SpxSp (step-c)'!$B" &amp; CG$72)=$Z74,INDIRECT("'SpxSp (step-c)'!$" &amp; 'SpxSp (step-c)'!$AC$16 &amp; CG$72),"")</f>
        <v/>
      </c>
      <c r="CH74" s="1317" t="str">
        <f ca="1">IF(INDIRECT("'SpxSp (step-c)'!$B" &amp; CH$72)=$Z74,INDIRECT("'SpxSp (step-c)'!$" &amp; 'SpxSp (step-c)'!$AC$16 &amp; CH$72),"")</f>
        <v/>
      </c>
      <c r="CI74" s="1317" t="str">
        <f ca="1">IF(INDIRECT("'SpxSp (step-c)'!$B" &amp; CI$72)=$Z74,INDIRECT("'SpxSp (step-c)'!$" &amp; 'SpxSp (step-c)'!$AC$16 &amp; CI$72),"")</f>
        <v/>
      </c>
      <c r="CJ74" s="1317" t="str">
        <f ca="1">IF(INDIRECT("'SpxSp (step-c)'!$B" &amp; CJ$72)=$Z74,INDIRECT("'SpxSp (step-c)'!$" &amp; 'SpxSp (step-c)'!$AC$16 &amp; CJ$72),"")</f>
        <v/>
      </c>
      <c r="CK74" s="1317" t="str">
        <f ca="1">IF(INDIRECT("'SpxSp (step-c)'!$B" &amp; CK$72)=$Z74,INDIRECT("'SpxSp (step-c)'!$" &amp; 'SpxSp (step-c)'!$AC$16 &amp; CK$72),"")</f>
        <v/>
      </c>
      <c r="CL74" s="1317" t="str">
        <f ca="1">IF(INDIRECT("'SpxSp (step-c)'!$B" &amp; CL$72)=$Z74,INDIRECT("'SpxSp (step-c)'!$" &amp; 'SpxSp (step-c)'!$AC$16 &amp; CL$72),"")</f>
        <v/>
      </c>
      <c r="CM74" s="1317" t="str">
        <f ca="1">IF(INDIRECT("'SpxSp (step-c)'!$B" &amp; CM$72)=$Z74,INDIRECT("'SpxSp (step-c)'!$" &amp; 'SpxSp (step-c)'!$AC$16 &amp; CM$72),"")</f>
        <v/>
      </c>
      <c r="CN74" s="1317" t="str">
        <f ca="1">IF(INDIRECT("'SpxSp (step-c)'!$B" &amp; CN$72)=$Z74,INDIRECT("'SpxSp (step-c)'!$" &amp; 'SpxSp (step-c)'!$AC$16 &amp; CN$72),"")</f>
        <v/>
      </c>
      <c r="CO74" s="1317" t="str">
        <f ca="1">IF(INDIRECT("'SpxSp (step-c)'!$B" &amp; CO$72)=$Z74,INDIRECT("'SpxSp (step-c)'!$" &amp; 'SpxSp (step-c)'!$AC$16 &amp; CO$72),"")</f>
        <v/>
      </c>
      <c r="CP74" s="1317" t="str">
        <f ca="1">IF(INDIRECT("'SpxSp (step-c)'!$B" &amp; CP$72)=$Z74,INDIRECT("'SpxSp (step-c)'!$" &amp; 'SpxSp (step-c)'!$AC$16 &amp; CP$72),"")</f>
        <v/>
      </c>
      <c r="CQ74" s="1317" t="str">
        <f ca="1">IF(INDIRECT("'SpxSp (step-c)'!$B" &amp; CQ$72)=$Z74,INDIRECT("'SpxSp (step-c)'!$" &amp; 'SpxSp (step-c)'!$AC$16 &amp; CQ$72),"")</f>
        <v/>
      </c>
      <c r="CR74" s="1317" t="str">
        <f ca="1">IF(INDIRECT("'SpxSp (step-c)'!$B" &amp; CR$72)=$Z74,INDIRECT("'SpxSp (step-c)'!$" &amp; 'SpxSp (step-c)'!$AC$16 &amp; CR$72),"")</f>
        <v/>
      </c>
      <c r="CS74" s="1317" t="str">
        <f ca="1">IF(INDIRECT("'SpxSp (step-c)'!$B" &amp; CS$72)=$Z74,INDIRECT("'SpxSp (step-c)'!$" &amp; 'SpxSp (step-c)'!$AC$16 &amp; CS$72),"")</f>
        <v/>
      </c>
      <c r="CT74" s="1317" t="str">
        <f ca="1">IF(INDIRECT("'SpxSp (step-c)'!$B" &amp; CT$72)=$Z74,INDIRECT("'SpxSp (step-c)'!$" &amp; 'SpxSp (step-c)'!$AC$16 &amp; CT$72),"")</f>
        <v/>
      </c>
      <c r="CU74" s="1317" t="str">
        <f ca="1">IF(INDIRECT("'SpxSp (step-c)'!$B" &amp; CU$72)=$Z74,INDIRECT("'SpxSp (step-c)'!$" &amp; 'SpxSp (step-c)'!$AC$16 &amp; CU$72),"")</f>
        <v/>
      </c>
      <c r="CV74" s="1317" t="str">
        <f ca="1">IF(INDIRECT("'SpxSp (step-c)'!$B" &amp; CV$72)=$Z74,INDIRECT("'SpxSp (step-c)'!$" &amp; 'SpxSp (step-c)'!$AC$16 &amp; CV$72),"")</f>
        <v/>
      </c>
      <c r="CW74" s="1317" t="str">
        <f ca="1">IF(INDIRECT("'SpxSp (step-c)'!$B" &amp; CW$72)=$Z74,INDIRECT("'SpxSp (step-c)'!$" &amp; 'SpxSp (step-c)'!$AC$16 &amp; CW$72),"")</f>
        <v/>
      </c>
      <c r="CX74" s="1317" t="str">
        <f ca="1">IF(INDIRECT("'SpxSp (step-c)'!$B" &amp; CX$72)=$Z74,INDIRECT("'SpxSp (step-c)'!$" &amp; 'SpxSp (step-c)'!$AC$16 &amp; CX$72),"")</f>
        <v/>
      </c>
      <c r="CY74" s="1317" t="str">
        <f ca="1">IF(INDIRECT("'SpxSp (step-c)'!$B" &amp; CY$72)=$Z74,INDIRECT("'SpxSp (step-c)'!$" &amp; 'SpxSp (step-c)'!$AC$16 &amp; CY$72),"")</f>
        <v/>
      </c>
      <c r="CZ74" s="1317" t="str">
        <f ca="1">IF(INDIRECT("'SpxSp (step-c)'!$B" &amp; CZ$72)=$Z74,INDIRECT("'SpxSp (step-c)'!$" &amp; 'SpxSp (step-c)'!$AC$16 &amp; CZ$72),"")</f>
        <v/>
      </c>
      <c r="DA74" s="1317" t="str">
        <f ca="1">IF(INDIRECT("'SpxSp (step-c)'!$B" &amp; DA$72)=$Z74,INDIRECT("'SpxSp (step-c)'!$" &amp; 'SpxSp (step-c)'!$AC$16 &amp; DA$72),"")</f>
        <v/>
      </c>
      <c r="DB74" s="1317" t="str">
        <f ca="1">IF(INDIRECT("'SpxSp (step-c)'!$B" &amp; DB$72)=$Z74,INDIRECT("'SpxSp (step-c)'!$" &amp; 'SpxSp (step-c)'!$AC$16 &amp; DB$72),"")</f>
        <v/>
      </c>
      <c r="DC74" s="1317" t="str">
        <f ca="1">IF(INDIRECT("'SpxSp (step-c)'!$B" &amp; DC$72)=$Z74,INDIRECT("'SpxSp (step-c)'!$" &amp; 'SpxSp (step-c)'!$AC$16 &amp; DC$72),"")</f>
        <v/>
      </c>
      <c r="DD74" s="1317" t="str">
        <f ca="1">IF(INDIRECT("'SpxSp (step-c)'!$B" &amp; DD$72)=$Z74,INDIRECT("'SpxSp (step-c)'!$" &amp; 'SpxSp (step-c)'!$AC$16 &amp; DD$72),"")</f>
        <v/>
      </c>
      <c r="DE74" s="1317" t="str">
        <f ca="1">IF(INDIRECT("'SpxSp (step-c)'!$B" &amp; DE$72)=$Z74,INDIRECT("'SpxSp (step-c)'!$" &amp; 'SpxSp (step-c)'!$AC$16 &amp; DE$72),"")</f>
        <v/>
      </c>
      <c r="DF74" s="1317" t="str">
        <f ca="1">IF(INDIRECT("'SpxSp (step-c)'!$B" &amp; DF$72)=$Z74,INDIRECT("'SpxSp (step-c)'!$" &amp; 'SpxSp (step-c)'!$AC$16 &amp; DF$72),"")</f>
        <v/>
      </c>
      <c r="DG74" s="1317" t="str">
        <f ca="1">IF(INDIRECT("'SpxSp (step-c)'!$B" &amp; DG$72)=$Z74,INDIRECT("'SpxSp (step-c)'!$" &amp; 'SpxSp (step-c)'!$AC$16 &amp; DG$72),"")</f>
        <v/>
      </c>
      <c r="DH74" s="1317" t="str">
        <f ca="1">IF(INDIRECT("'SpxSp (step-c)'!$B" &amp; DH$72)=$Z74,INDIRECT("'SpxSp (step-c)'!$" &amp; 'SpxSp (step-c)'!$AC$16 &amp; DH$72),"")</f>
        <v/>
      </c>
      <c r="DI74" s="1317" t="str">
        <f ca="1">IF(INDIRECT("'SpxSp (step-c)'!$B" &amp; DI$72)=$Z74,INDIRECT("'SpxSp (step-c)'!$" &amp; 'SpxSp (step-c)'!$AC$16 &amp; DI$72),"")</f>
        <v/>
      </c>
      <c r="DJ74" s="1317" t="str">
        <f ca="1">IF(INDIRECT("'SpxSp (step-c)'!$B" &amp; DJ$72)=$Z74,INDIRECT("'SpxSp (step-c)'!$" &amp; 'SpxSp (step-c)'!$AC$16 &amp; DJ$72),"")</f>
        <v/>
      </c>
      <c r="DK74" s="1317" t="str">
        <f ca="1">IF(INDIRECT("'SpxSp (step-c)'!$B" &amp; DK$72)=$Z74,INDIRECT("'SpxSp (step-c)'!$" &amp; 'SpxSp (step-c)'!$AC$16 &amp; DK$72),"")</f>
        <v/>
      </c>
      <c r="DL74" s="1317" t="str">
        <f ca="1">IF(INDIRECT("'SpxSp (step-c)'!$B" &amp; DL$72)=$Z74,INDIRECT("'SpxSp (step-c)'!$" &amp; 'SpxSp (step-c)'!$AC$16 &amp; DL$72),"")</f>
        <v/>
      </c>
      <c r="DM74" s="1317" t="str">
        <f ca="1">IF(INDIRECT("'SpxSp (step-c)'!$B" &amp; DM$72)=$Z74,INDIRECT("'SpxSp (step-c)'!$" &amp; 'SpxSp (step-c)'!$AC$16 &amp; DM$72),"")</f>
        <v/>
      </c>
      <c r="DO74" s="1246" t="s">
        <v>1200</v>
      </c>
    </row>
    <row r="75" spans="2:119" ht="20" x14ac:dyDescent="0.2">
      <c r="Z75" s="1317" t="str">
        <f t="shared" ref="Z75:AA75" si="42">Z20</f>
        <v/>
      </c>
      <c r="AA75" s="1317" t="str">
        <f t="shared" si="42"/>
        <v/>
      </c>
      <c r="BN75" s="178">
        <v>3</v>
      </c>
      <c r="BO75" s="1316" t="str">
        <f t="shared" ref="BO75:BO121" ca="1" si="43">CONCATENATE(BP75,BQ75,BR75,BS75,BT75,BU75,BV75,BW75,BX75,BY75,BZ75,CA75,CB75,CC75,CD75,CE75,CF75,CG75,CH75,CI75,CJ75,CK75,CL75,CM75,CN75,CO75,CP75,CQ75,CR75,CS75,CT75,CU75,CV75,CW75,CX75,CY75,CZ75,DA75,DB75,DC75,DD75,DE75,DF75,DG75,DH75,DI75,DJ75,DK75,DL75,DM75)</f>
        <v/>
      </c>
      <c r="BP75" s="1317" t="str">
        <f ca="1">IF(INDIRECT("'SpxSp (step-c)'!$B" &amp; BP$72)=$Z75,INDIRECT("'SpxSp (step-c)'!$" &amp; 'SpxSp (step-c)'!$AC$16 &amp; BP$72),"")</f>
        <v/>
      </c>
      <c r="BQ75" s="1317" t="str">
        <f ca="1">IF(INDIRECT("'SpxSp (step-c)'!$B" &amp; BQ$72)=$Z75,INDIRECT("'SpxSp (step-c)'!$" &amp; 'SpxSp (step-c)'!$AC$16 &amp; BQ$72),"")</f>
        <v/>
      </c>
      <c r="BR75" s="1317" t="str">
        <f ca="1">IF(INDIRECT("'SpxSp (step-c)'!$B" &amp; BR$72)=$Z75,INDIRECT("'SpxSp (step-c)'!$" &amp; 'SpxSp (step-c)'!$AC$16 &amp; BR$72),"")</f>
        <v/>
      </c>
      <c r="BS75" s="1317" t="str">
        <f ca="1">IF(INDIRECT("'SpxSp (step-c)'!$B" &amp; BS$72)=$Z75,INDIRECT("'SpxSp (step-c)'!$" &amp; 'SpxSp (step-c)'!$AC$16 &amp; BS$72),"")</f>
        <v/>
      </c>
      <c r="BT75" s="1317" t="str">
        <f ca="1">IF(INDIRECT("'SpxSp (step-c)'!$B" &amp; BT$72)=$Z75,INDIRECT("'SpxSp (step-c)'!$" &amp; 'SpxSp (step-c)'!$AC$16 &amp; BT$72),"")</f>
        <v/>
      </c>
      <c r="BU75" s="1317" t="str">
        <f ca="1">IF(INDIRECT("'SpxSp (step-c)'!$B" &amp; BU$72)=$Z75,INDIRECT("'SpxSp (step-c)'!$" &amp; 'SpxSp (step-c)'!$AC$16 &amp; BU$72),"")</f>
        <v/>
      </c>
      <c r="BV75" s="1317" t="str">
        <f ca="1">IF(INDIRECT("'SpxSp (step-c)'!$B" &amp; BV$72)=$Z75,INDIRECT("'SpxSp (step-c)'!$" &amp; 'SpxSp (step-c)'!$AC$16 &amp; BV$72),"")</f>
        <v/>
      </c>
      <c r="BW75" s="1317" t="str">
        <f ca="1">IF(INDIRECT("'SpxSp (step-c)'!$B" &amp; BW$72)=$Z75,INDIRECT("'SpxSp (step-c)'!$" &amp; 'SpxSp (step-c)'!$AC$16 &amp; BW$72),"")</f>
        <v/>
      </c>
      <c r="BX75" s="1317" t="str">
        <f ca="1">IF(INDIRECT("'SpxSp (step-c)'!$B" &amp; BX$72)=$Z75,INDIRECT("'SpxSp (step-c)'!$" &amp; 'SpxSp (step-c)'!$AC$16 &amp; BX$72),"")</f>
        <v/>
      </c>
      <c r="BY75" s="1317" t="str">
        <f ca="1">IF(INDIRECT("'SpxSp (step-c)'!$B" &amp; BY$72)=$Z75,INDIRECT("'SpxSp (step-c)'!$" &amp; 'SpxSp (step-c)'!$AC$16 &amp; BY$72),"")</f>
        <v/>
      </c>
      <c r="BZ75" s="1317" t="str">
        <f ca="1">IF(INDIRECT("'SpxSp (step-c)'!$B" &amp; BZ$72)=$Z75,INDIRECT("'SpxSp (step-c)'!$" &amp; 'SpxSp (step-c)'!$AC$16 &amp; BZ$72),"")</f>
        <v/>
      </c>
      <c r="CA75" s="1317" t="str">
        <f ca="1">IF(INDIRECT("'SpxSp (step-c)'!$B" &amp; CA$72)=$Z75,INDIRECT("'SpxSp (step-c)'!$" &amp; 'SpxSp (step-c)'!$AC$16 &amp; CA$72),"")</f>
        <v/>
      </c>
      <c r="CB75" s="1317" t="str">
        <f ca="1">IF(INDIRECT("'SpxSp (step-c)'!$B" &amp; CB$72)=$Z75,INDIRECT("'SpxSp (step-c)'!$" &amp; 'SpxSp (step-c)'!$AC$16 &amp; CB$72),"")</f>
        <v/>
      </c>
      <c r="CC75" s="1317" t="str">
        <f ca="1">IF(INDIRECT("'SpxSp (step-c)'!$B" &amp; CC$72)=$Z75,INDIRECT("'SpxSp (step-c)'!$" &amp; 'SpxSp (step-c)'!$AC$16 &amp; CC$72),"")</f>
        <v/>
      </c>
      <c r="CD75" s="1317" t="str">
        <f ca="1">IF(INDIRECT("'SpxSp (step-c)'!$B" &amp; CD$72)=$Z75,INDIRECT("'SpxSp (step-c)'!$" &amp; 'SpxSp (step-c)'!$AC$16 &amp; CD$72),"")</f>
        <v/>
      </c>
      <c r="CE75" s="1317" t="str">
        <f ca="1">IF(INDIRECT("'SpxSp (step-c)'!$B" &amp; CE$72)=$Z75,INDIRECT("'SpxSp (step-c)'!$" &amp; 'SpxSp (step-c)'!$AC$16 &amp; CE$72),"")</f>
        <v/>
      </c>
      <c r="CF75" s="1317" t="str">
        <f ca="1">IF(INDIRECT("'SpxSp (step-c)'!$B" &amp; CF$72)=$Z75,INDIRECT("'SpxSp (step-c)'!$" &amp; 'SpxSp (step-c)'!$AC$16 &amp; CF$72),"")</f>
        <v/>
      </c>
      <c r="CG75" s="1317" t="str">
        <f ca="1">IF(INDIRECT("'SpxSp (step-c)'!$B" &amp; CG$72)=$Z75,INDIRECT("'SpxSp (step-c)'!$" &amp; 'SpxSp (step-c)'!$AC$16 &amp; CG$72),"")</f>
        <v/>
      </c>
      <c r="CH75" s="1317" t="str">
        <f ca="1">IF(INDIRECT("'SpxSp (step-c)'!$B" &amp; CH$72)=$Z75,INDIRECT("'SpxSp (step-c)'!$" &amp; 'SpxSp (step-c)'!$AC$16 &amp; CH$72),"")</f>
        <v/>
      </c>
      <c r="CI75" s="1317" t="str">
        <f ca="1">IF(INDIRECT("'SpxSp (step-c)'!$B" &amp; CI$72)=$Z75,INDIRECT("'SpxSp (step-c)'!$" &amp; 'SpxSp (step-c)'!$AC$16 &amp; CI$72),"")</f>
        <v/>
      </c>
      <c r="CJ75" s="1317" t="str">
        <f ca="1">IF(INDIRECT("'SpxSp (step-c)'!$B" &amp; CJ$72)=$Z75,INDIRECT("'SpxSp (step-c)'!$" &amp; 'SpxSp (step-c)'!$AC$16 &amp; CJ$72),"")</f>
        <v/>
      </c>
      <c r="CK75" s="1317" t="str">
        <f ca="1">IF(INDIRECT("'SpxSp (step-c)'!$B" &amp; CK$72)=$Z75,INDIRECT("'SpxSp (step-c)'!$" &amp; 'SpxSp (step-c)'!$AC$16 &amp; CK$72),"")</f>
        <v/>
      </c>
      <c r="CL75" s="1317" t="str">
        <f ca="1">IF(INDIRECT("'SpxSp (step-c)'!$B" &amp; CL$72)=$Z75,INDIRECT("'SpxSp (step-c)'!$" &amp; 'SpxSp (step-c)'!$AC$16 &amp; CL$72),"")</f>
        <v/>
      </c>
      <c r="CM75" s="1317" t="str">
        <f ca="1">IF(INDIRECT("'SpxSp (step-c)'!$B" &amp; CM$72)=$Z75,INDIRECT("'SpxSp (step-c)'!$" &amp; 'SpxSp (step-c)'!$AC$16 &amp; CM$72),"")</f>
        <v/>
      </c>
      <c r="CN75" s="1317" t="str">
        <f ca="1">IF(INDIRECT("'SpxSp (step-c)'!$B" &amp; CN$72)=$Z75,INDIRECT("'SpxSp (step-c)'!$" &amp; 'SpxSp (step-c)'!$AC$16 &amp; CN$72),"")</f>
        <v/>
      </c>
      <c r="CO75" s="1317" t="str">
        <f ca="1">IF(INDIRECT("'SpxSp (step-c)'!$B" &amp; CO$72)=$Z75,INDIRECT("'SpxSp (step-c)'!$" &amp; 'SpxSp (step-c)'!$AC$16 &amp; CO$72),"")</f>
        <v/>
      </c>
      <c r="CP75" s="1317" t="str">
        <f ca="1">IF(INDIRECT("'SpxSp (step-c)'!$B" &amp; CP$72)=$Z75,INDIRECT("'SpxSp (step-c)'!$" &amp; 'SpxSp (step-c)'!$AC$16 &amp; CP$72),"")</f>
        <v/>
      </c>
      <c r="CQ75" s="1317" t="str">
        <f ca="1">IF(INDIRECT("'SpxSp (step-c)'!$B" &amp; CQ$72)=$Z75,INDIRECT("'SpxSp (step-c)'!$" &amp; 'SpxSp (step-c)'!$AC$16 &amp; CQ$72),"")</f>
        <v/>
      </c>
      <c r="CR75" s="1317" t="str">
        <f ca="1">IF(INDIRECT("'SpxSp (step-c)'!$B" &amp; CR$72)=$Z75,INDIRECT("'SpxSp (step-c)'!$" &amp; 'SpxSp (step-c)'!$AC$16 &amp; CR$72),"")</f>
        <v/>
      </c>
      <c r="CS75" s="1317" t="str">
        <f ca="1">IF(INDIRECT("'SpxSp (step-c)'!$B" &amp; CS$72)=$Z75,INDIRECT("'SpxSp (step-c)'!$" &amp; 'SpxSp (step-c)'!$AC$16 &amp; CS$72),"")</f>
        <v/>
      </c>
      <c r="CT75" s="1317" t="str">
        <f ca="1">IF(INDIRECT("'SpxSp (step-c)'!$B" &amp; CT$72)=$Z75,INDIRECT("'SpxSp (step-c)'!$" &amp; 'SpxSp (step-c)'!$AC$16 &amp; CT$72),"")</f>
        <v/>
      </c>
      <c r="CU75" s="1317" t="str">
        <f ca="1">IF(INDIRECT("'SpxSp (step-c)'!$B" &amp; CU$72)=$Z75,INDIRECT("'SpxSp (step-c)'!$" &amp; 'SpxSp (step-c)'!$AC$16 &amp; CU$72),"")</f>
        <v/>
      </c>
      <c r="CV75" s="1317" t="str">
        <f ca="1">IF(INDIRECT("'SpxSp (step-c)'!$B" &amp; CV$72)=$Z75,INDIRECT("'SpxSp (step-c)'!$" &amp; 'SpxSp (step-c)'!$AC$16 &amp; CV$72),"")</f>
        <v/>
      </c>
      <c r="CW75" s="1317" t="str">
        <f ca="1">IF(INDIRECT("'SpxSp (step-c)'!$B" &amp; CW$72)=$Z75,INDIRECT("'SpxSp (step-c)'!$" &amp; 'SpxSp (step-c)'!$AC$16 &amp; CW$72),"")</f>
        <v/>
      </c>
      <c r="CX75" s="1317" t="str">
        <f ca="1">IF(INDIRECT("'SpxSp (step-c)'!$B" &amp; CX$72)=$Z75,INDIRECT("'SpxSp (step-c)'!$" &amp; 'SpxSp (step-c)'!$AC$16 &amp; CX$72),"")</f>
        <v/>
      </c>
      <c r="CY75" s="1317" t="str">
        <f ca="1">IF(INDIRECT("'SpxSp (step-c)'!$B" &amp; CY$72)=$Z75,INDIRECT("'SpxSp (step-c)'!$" &amp; 'SpxSp (step-c)'!$AC$16 &amp; CY$72),"")</f>
        <v/>
      </c>
      <c r="CZ75" s="1317" t="str">
        <f ca="1">IF(INDIRECT("'SpxSp (step-c)'!$B" &amp; CZ$72)=$Z75,INDIRECT("'SpxSp (step-c)'!$" &amp; 'SpxSp (step-c)'!$AC$16 &amp; CZ$72),"")</f>
        <v/>
      </c>
      <c r="DA75" s="1317" t="str">
        <f ca="1">IF(INDIRECT("'SpxSp (step-c)'!$B" &amp; DA$72)=$Z75,INDIRECT("'SpxSp (step-c)'!$" &amp; 'SpxSp (step-c)'!$AC$16 &amp; DA$72),"")</f>
        <v/>
      </c>
      <c r="DB75" s="1317" t="str">
        <f ca="1">IF(INDIRECT("'SpxSp (step-c)'!$B" &amp; DB$72)=$Z75,INDIRECT("'SpxSp (step-c)'!$" &amp; 'SpxSp (step-c)'!$AC$16 &amp; DB$72),"")</f>
        <v/>
      </c>
      <c r="DC75" s="1317" t="str">
        <f ca="1">IF(INDIRECT("'SpxSp (step-c)'!$B" &amp; DC$72)=$Z75,INDIRECT("'SpxSp (step-c)'!$" &amp; 'SpxSp (step-c)'!$AC$16 &amp; DC$72),"")</f>
        <v/>
      </c>
      <c r="DD75" s="1317" t="str">
        <f ca="1">IF(INDIRECT("'SpxSp (step-c)'!$B" &amp; DD$72)=$Z75,INDIRECT("'SpxSp (step-c)'!$" &amp; 'SpxSp (step-c)'!$AC$16 &amp; DD$72),"")</f>
        <v/>
      </c>
      <c r="DE75" s="1317" t="str">
        <f ca="1">IF(INDIRECT("'SpxSp (step-c)'!$B" &amp; DE$72)=$Z75,INDIRECT("'SpxSp (step-c)'!$" &amp; 'SpxSp (step-c)'!$AC$16 &amp; DE$72),"")</f>
        <v/>
      </c>
      <c r="DF75" s="1317" t="str">
        <f ca="1">IF(INDIRECT("'SpxSp (step-c)'!$B" &amp; DF$72)=$Z75,INDIRECT("'SpxSp (step-c)'!$" &amp; 'SpxSp (step-c)'!$AC$16 &amp; DF$72),"")</f>
        <v/>
      </c>
      <c r="DG75" s="1317" t="str">
        <f ca="1">IF(INDIRECT("'SpxSp (step-c)'!$B" &amp; DG$72)=$Z75,INDIRECT("'SpxSp (step-c)'!$" &amp; 'SpxSp (step-c)'!$AC$16 &amp; DG$72),"")</f>
        <v/>
      </c>
      <c r="DH75" s="1317" t="str">
        <f ca="1">IF(INDIRECT("'SpxSp (step-c)'!$B" &amp; DH$72)=$Z75,INDIRECT("'SpxSp (step-c)'!$" &amp; 'SpxSp (step-c)'!$AC$16 &amp; DH$72),"")</f>
        <v/>
      </c>
      <c r="DI75" s="1317" t="str">
        <f ca="1">IF(INDIRECT("'SpxSp (step-c)'!$B" &amp; DI$72)=$Z75,INDIRECT("'SpxSp (step-c)'!$" &amp; 'SpxSp (step-c)'!$AC$16 &amp; DI$72),"")</f>
        <v/>
      </c>
      <c r="DJ75" s="1317" t="str">
        <f ca="1">IF(INDIRECT("'SpxSp (step-c)'!$B" &amp; DJ$72)=$Z75,INDIRECT("'SpxSp (step-c)'!$" &amp; 'SpxSp (step-c)'!$AC$16 &amp; DJ$72),"")</f>
        <v/>
      </c>
      <c r="DK75" s="1317" t="str">
        <f ca="1">IF(INDIRECT("'SpxSp (step-c)'!$B" &amp; DK$72)=$Z75,INDIRECT("'SpxSp (step-c)'!$" &amp; 'SpxSp (step-c)'!$AC$16 &amp; DK$72),"")</f>
        <v/>
      </c>
      <c r="DL75" s="1317" t="str">
        <f ca="1">IF(INDIRECT("'SpxSp (step-c)'!$B" &amp; DL$72)=$Z75,INDIRECT("'SpxSp (step-c)'!$" &amp; 'SpxSp (step-c)'!$AC$16 &amp; DL$72),"")</f>
        <v/>
      </c>
      <c r="DM75" s="1317" t="str">
        <f ca="1">IF(INDIRECT("'SpxSp (step-c)'!$B" &amp; DM$72)=$Z75,INDIRECT("'SpxSp (step-c)'!$" &amp; 'SpxSp (step-c)'!$AC$16 &amp; DM$72),"")</f>
        <v/>
      </c>
      <c r="DO75" s="1246" t="s">
        <v>1200</v>
      </c>
    </row>
    <row r="76" spans="2:119" ht="20" x14ac:dyDescent="0.2">
      <c r="Z76" s="1317" t="str">
        <f t="shared" ref="Z76:AA76" si="44">Z21</f>
        <v/>
      </c>
      <c r="AA76" s="1317" t="str">
        <f t="shared" si="44"/>
        <v/>
      </c>
      <c r="BN76" s="178">
        <v>4</v>
      </c>
      <c r="BO76" s="1316" t="str">
        <f t="shared" ca="1" si="43"/>
        <v/>
      </c>
      <c r="BP76" s="1317" t="str">
        <f ca="1">IF(INDIRECT("'SpxSp (step-c)'!$B" &amp; BP$72)=$Z76,INDIRECT("'SpxSp (step-c)'!$" &amp; 'SpxSp (step-c)'!$AC$16 &amp; BP$72),"")</f>
        <v/>
      </c>
      <c r="BQ76" s="1317" t="str">
        <f ca="1">IF(INDIRECT("'SpxSp (step-c)'!$B" &amp; BQ$72)=$Z76,INDIRECT("'SpxSp (step-c)'!$" &amp; 'SpxSp (step-c)'!$AC$16 &amp; BQ$72),"")</f>
        <v/>
      </c>
      <c r="BR76" s="1317" t="str">
        <f ca="1">IF(INDIRECT("'SpxSp (step-c)'!$B" &amp; BR$72)=$Z76,INDIRECT("'SpxSp (step-c)'!$" &amp; 'SpxSp (step-c)'!$AC$16 &amp; BR$72),"")</f>
        <v/>
      </c>
      <c r="BS76" s="1317" t="str">
        <f ca="1">IF(INDIRECT("'SpxSp (step-c)'!$B" &amp; BS$72)=$Z76,INDIRECT("'SpxSp (step-c)'!$" &amp; 'SpxSp (step-c)'!$AC$16 &amp; BS$72),"")</f>
        <v/>
      </c>
      <c r="BT76" s="1317" t="str">
        <f ca="1">IF(INDIRECT("'SpxSp (step-c)'!$B" &amp; BT$72)=$Z76,INDIRECT("'SpxSp (step-c)'!$" &amp; 'SpxSp (step-c)'!$AC$16 &amp; BT$72),"")</f>
        <v/>
      </c>
      <c r="BU76" s="1317" t="str">
        <f ca="1">IF(INDIRECT("'SpxSp (step-c)'!$B" &amp; BU$72)=$Z76,INDIRECT("'SpxSp (step-c)'!$" &amp; 'SpxSp (step-c)'!$AC$16 &amp; BU$72),"")</f>
        <v/>
      </c>
      <c r="BV76" s="1317" t="str">
        <f ca="1">IF(INDIRECT("'SpxSp (step-c)'!$B" &amp; BV$72)=$Z76,INDIRECT("'SpxSp (step-c)'!$" &amp; 'SpxSp (step-c)'!$AC$16 &amp; BV$72),"")</f>
        <v/>
      </c>
      <c r="BW76" s="1317" t="str">
        <f ca="1">IF(INDIRECT("'SpxSp (step-c)'!$B" &amp; BW$72)=$Z76,INDIRECT("'SpxSp (step-c)'!$" &amp; 'SpxSp (step-c)'!$AC$16 &amp; BW$72),"")</f>
        <v/>
      </c>
      <c r="BX76" s="1317" t="str">
        <f ca="1">IF(INDIRECT("'SpxSp (step-c)'!$B" &amp; BX$72)=$Z76,INDIRECT("'SpxSp (step-c)'!$" &amp; 'SpxSp (step-c)'!$AC$16 &amp; BX$72),"")</f>
        <v/>
      </c>
      <c r="BY76" s="1317" t="str">
        <f ca="1">IF(INDIRECT("'SpxSp (step-c)'!$B" &amp; BY$72)=$Z76,INDIRECT("'SpxSp (step-c)'!$" &amp; 'SpxSp (step-c)'!$AC$16 &amp; BY$72),"")</f>
        <v/>
      </c>
      <c r="BZ76" s="1317" t="str">
        <f ca="1">IF(INDIRECT("'SpxSp (step-c)'!$B" &amp; BZ$72)=$Z76,INDIRECT("'SpxSp (step-c)'!$" &amp; 'SpxSp (step-c)'!$AC$16 &amp; BZ$72),"")</f>
        <v/>
      </c>
      <c r="CA76" s="1317" t="str">
        <f ca="1">IF(INDIRECT("'SpxSp (step-c)'!$B" &amp; CA$72)=$Z76,INDIRECT("'SpxSp (step-c)'!$" &amp; 'SpxSp (step-c)'!$AC$16 &amp; CA$72),"")</f>
        <v/>
      </c>
      <c r="CB76" s="1317" t="str">
        <f ca="1">IF(INDIRECT("'SpxSp (step-c)'!$B" &amp; CB$72)=$Z76,INDIRECT("'SpxSp (step-c)'!$" &amp; 'SpxSp (step-c)'!$AC$16 &amp; CB$72),"")</f>
        <v/>
      </c>
      <c r="CC76" s="1317" t="str">
        <f ca="1">IF(INDIRECT("'SpxSp (step-c)'!$B" &amp; CC$72)=$Z76,INDIRECT("'SpxSp (step-c)'!$" &amp; 'SpxSp (step-c)'!$AC$16 &amp; CC$72),"")</f>
        <v/>
      </c>
      <c r="CD76" s="1317" t="str">
        <f ca="1">IF(INDIRECT("'SpxSp (step-c)'!$B" &amp; CD$72)=$Z76,INDIRECT("'SpxSp (step-c)'!$" &amp; 'SpxSp (step-c)'!$AC$16 &amp; CD$72),"")</f>
        <v/>
      </c>
      <c r="CE76" s="1317" t="str">
        <f ca="1">IF(INDIRECT("'SpxSp (step-c)'!$B" &amp; CE$72)=$Z76,INDIRECT("'SpxSp (step-c)'!$" &amp; 'SpxSp (step-c)'!$AC$16 &amp; CE$72),"")</f>
        <v/>
      </c>
      <c r="CF76" s="1317" t="str">
        <f ca="1">IF(INDIRECT("'SpxSp (step-c)'!$B" &amp; CF$72)=$Z76,INDIRECT("'SpxSp (step-c)'!$" &amp; 'SpxSp (step-c)'!$AC$16 &amp; CF$72),"")</f>
        <v/>
      </c>
      <c r="CG76" s="1317" t="str">
        <f ca="1">IF(INDIRECT("'SpxSp (step-c)'!$B" &amp; CG$72)=$Z76,INDIRECT("'SpxSp (step-c)'!$" &amp; 'SpxSp (step-c)'!$AC$16 &amp; CG$72),"")</f>
        <v/>
      </c>
      <c r="CH76" s="1317" t="str">
        <f ca="1">IF(INDIRECT("'SpxSp (step-c)'!$B" &amp; CH$72)=$Z76,INDIRECT("'SpxSp (step-c)'!$" &amp; 'SpxSp (step-c)'!$AC$16 &amp; CH$72),"")</f>
        <v/>
      </c>
      <c r="CI76" s="1317" t="str">
        <f ca="1">IF(INDIRECT("'SpxSp (step-c)'!$B" &amp; CI$72)=$Z76,INDIRECT("'SpxSp (step-c)'!$" &amp; 'SpxSp (step-c)'!$AC$16 &amp; CI$72),"")</f>
        <v/>
      </c>
      <c r="CJ76" s="1317" t="str">
        <f ca="1">IF(INDIRECT("'SpxSp (step-c)'!$B" &amp; CJ$72)=$Z76,INDIRECT("'SpxSp (step-c)'!$" &amp; 'SpxSp (step-c)'!$AC$16 &amp; CJ$72),"")</f>
        <v/>
      </c>
      <c r="CK76" s="1317" t="str">
        <f ca="1">IF(INDIRECT("'SpxSp (step-c)'!$B" &amp; CK$72)=$Z76,INDIRECT("'SpxSp (step-c)'!$" &amp; 'SpxSp (step-c)'!$AC$16 &amp; CK$72),"")</f>
        <v/>
      </c>
      <c r="CL76" s="1317" t="str">
        <f ca="1">IF(INDIRECT("'SpxSp (step-c)'!$B" &amp; CL$72)=$Z76,INDIRECT("'SpxSp (step-c)'!$" &amp; 'SpxSp (step-c)'!$AC$16 &amp; CL$72),"")</f>
        <v/>
      </c>
      <c r="CM76" s="1317" t="str">
        <f ca="1">IF(INDIRECT("'SpxSp (step-c)'!$B" &amp; CM$72)=$Z76,INDIRECT("'SpxSp (step-c)'!$" &amp; 'SpxSp (step-c)'!$AC$16 &amp; CM$72),"")</f>
        <v/>
      </c>
      <c r="CN76" s="1317" t="str">
        <f ca="1">IF(INDIRECT("'SpxSp (step-c)'!$B" &amp; CN$72)=$Z76,INDIRECT("'SpxSp (step-c)'!$" &amp; 'SpxSp (step-c)'!$AC$16 &amp; CN$72),"")</f>
        <v/>
      </c>
      <c r="CO76" s="1317" t="str">
        <f ca="1">IF(INDIRECT("'SpxSp (step-c)'!$B" &amp; CO$72)=$Z76,INDIRECT("'SpxSp (step-c)'!$" &amp; 'SpxSp (step-c)'!$AC$16 &amp; CO$72),"")</f>
        <v/>
      </c>
      <c r="CP76" s="1317" t="str">
        <f ca="1">IF(INDIRECT("'SpxSp (step-c)'!$B" &amp; CP$72)=$Z76,INDIRECT("'SpxSp (step-c)'!$" &amp; 'SpxSp (step-c)'!$AC$16 &amp; CP$72),"")</f>
        <v/>
      </c>
      <c r="CQ76" s="1317" t="str">
        <f ca="1">IF(INDIRECT("'SpxSp (step-c)'!$B" &amp; CQ$72)=$Z76,INDIRECT("'SpxSp (step-c)'!$" &amp; 'SpxSp (step-c)'!$AC$16 &amp; CQ$72),"")</f>
        <v/>
      </c>
      <c r="CR76" s="1317" t="str">
        <f ca="1">IF(INDIRECT("'SpxSp (step-c)'!$B" &amp; CR$72)=$Z76,INDIRECT("'SpxSp (step-c)'!$" &amp; 'SpxSp (step-c)'!$AC$16 &amp; CR$72),"")</f>
        <v/>
      </c>
      <c r="CS76" s="1317" t="str">
        <f ca="1">IF(INDIRECT("'SpxSp (step-c)'!$B" &amp; CS$72)=$Z76,INDIRECT("'SpxSp (step-c)'!$" &amp; 'SpxSp (step-c)'!$AC$16 &amp; CS$72),"")</f>
        <v/>
      </c>
      <c r="CT76" s="1317" t="str">
        <f ca="1">IF(INDIRECT("'SpxSp (step-c)'!$B" &amp; CT$72)=$Z76,INDIRECT("'SpxSp (step-c)'!$" &amp; 'SpxSp (step-c)'!$AC$16 &amp; CT$72),"")</f>
        <v/>
      </c>
      <c r="CU76" s="1317" t="str">
        <f ca="1">IF(INDIRECT("'SpxSp (step-c)'!$B" &amp; CU$72)=$Z76,INDIRECT("'SpxSp (step-c)'!$" &amp; 'SpxSp (step-c)'!$AC$16 &amp; CU$72),"")</f>
        <v/>
      </c>
      <c r="CV76" s="1317" t="str">
        <f ca="1">IF(INDIRECT("'SpxSp (step-c)'!$B" &amp; CV$72)=$Z76,INDIRECT("'SpxSp (step-c)'!$" &amp; 'SpxSp (step-c)'!$AC$16 &amp; CV$72),"")</f>
        <v/>
      </c>
      <c r="CW76" s="1317" t="str">
        <f ca="1">IF(INDIRECT("'SpxSp (step-c)'!$B" &amp; CW$72)=$Z76,INDIRECT("'SpxSp (step-c)'!$" &amp; 'SpxSp (step-c)'!$AC$16 &amp; CW$72),"")</f>
        <v/>
      </c>
      <c r="CX76" s="1317" t="str">
        <f ca="1">IF(INDIRECT("'SpxSp (step-c)'!$B" &amp; CX$72)=$Z76,INDIRECT("'SpxSp (step-c)'!$" &amp; 'SpxSp (step-c)'!$AC$16 &amp; CX$72),"")</f>
        <v/>
      </c>
      <c r="CY76" s="1317" t="str">
        <f ca="1">IF(INDIRECT("'SpxSp (step-c)'!$B" &amp; CY$72)=$Z76,INDIRECT("'SpxSp (step-c)'!$" &amp; 'SpxSp (step-c)'!$AC$16 &amp; CY$72),"")</f>
        <v/>
      </c>
      <c r="CZ76" s="1317" t="str">
        <f ca="1">IF(INDIRECT("'SpxSp (step-c)'!$B" &amp; CZ$72)=$Z76,INDIRECT("'SpxSp (step-c)'!$" &amp; 'SpxSp (step-c)'!$AC$16 &amp; CZ$72),"")</f>
        <v/>
      </c>
      <c r="DA76" s="1317" t="str">
        <f ca="1">IF(INDIRECT("'SpxSp (step-c)'!$B" &amp; DA$72)=$Z76,INDIRECT("'SpxSp (step-c)'!$" &amp; 'SpxSp (step-c)'!$AC$16 &amp; DA$72),"")</f>
        <v/>
      </c>
      <c r="DB76" s="1317" t="str">
        <f ca="1">IF(INDIRECT("'SpxSp (step-c)'!$B" &amp; DB$72)=$Z76,INDIRECT("'SpxSp (step-c)'!$" &amp; 'SpxSp (step-c)'!$AC$16 &amp; DB$72),"")</f>
        <v/>
      </c>
      <c r="DC76" s="1317" t="str">
        <f ca="1">IF(INDIRECT("'SpxSp (step-c)'!$B" &amp; DC$72)=$Z76,INDIRECT("'SpxSp (step-c)'!$" &amp; 'SpxSp (step-c)'!$AC$16 &amp; DC$72),"")</f>
        <v/>
      </c>
      <c r="DD76" s="1317" t="str">
        <f ca="1">IF(INDIRECT("'SpxSp (step-c)'!$B" &amp; DD$72)=$Z76,INDIRECT("'SpxSp (step-c)'!$" &amp; 'SpxSp (step-c)'!$AC$16 &amp; DD$72),"")</f>
        <v/>
      </c>
      <c r="DE76" s="1317" t="str">
        <f ca="1">IF(INDIRECT("'SpxSp (step-c)'!$B" &amp; DE$72)=$Z76,INDIRECT("'SpxSp (step-c)'!$" &amp; 'SpxSp (step-c)'!$AC$16 &amp; DE$72),"")</f>
        <v/>
      </c>
      <c r="DF76" s="1317" t="str">
        <f ca="1">IF(INDIRECT("'SpxSp (step-c)'!$B" &amp; DF$72)=$Z76,INDIRECT("'SpxSp (step-c)'!$" &amp; 'SpxSp (step-c)'!$AC$16 &amp; DF$72),"")</f>
        <v/>
      </c>
      <c r="DG76" s="1317" t="str">
        <f ca="1">IF(INDIRECT("'SpxSp (step-c)'!$B" &amp; DG$72)=$Z76,INDIRECT("'SpxSp (step-c)'!$" &amp; 'SpxSp (step-c)'!$AC$16 &amp; DG$72),"")</f>
        <v/>
      </c>
      <c r="DH76" s="1317" t="str">
        <f ca="1">IF(INDIRECT("'SpxSp (step-c)'!$B" &amp; DH$72)=$Z76,INDIRECT("'SpxSp (step-c)'!$" &amp; 'SpxSp (step-c)'!$AC$16 &amp; DH$72),"")</f>
        <v/>
      </c>
      <c r="DI76" s="1317" t="str">
        <f ca="1">IF(INDIRECT("'SpxSp (step-c)'!$B" &amp; DI$72)=$Z76,INDIRECT("'SpxSp (step-c)'!$" &amp; 'SpxSp (step-c)'!$AC$16 &amp; DI$72),"")</f>
        <v/>
      </c>
      <c r="DJ76" s="1317" t="str">
        <f ca="1">IF(INDIRECT("'SpxSp (step-c)'!$B" &amp; DJ$72)=$Z76,INDIRECT("'SpxSp (step-c)'!$" &amp; 'SpxSp (step-c)'!$AC$16 &amp; DJ$72),"")</f>
        <v/>
      </c>
      <c r="DK76" s="1317" t="str">
        <f ca="1">IF(INDIRECT("'SpxSp (step-c)'!$B" &amp; DK$72)=$Z76,INDIRECT("'SpxSp (step-c)'!$" &amp; 'SpxSp (step-c)'!$AC$16 &amp; DK$72),"")</f>
        <v/>
      </c>
      <c r="DL76" s="1317" t="str">
        <f ca="1">IF(INDIRECT("'SpxSp (step-c)'!$B" &amp; DL$72)=$Z76,INDIRECT("'SpxSp (step-c)'!$" &amp; 'SpxSp (step-c)'!$AC$16 &amp; DL$72),"")</f>
        <v/>
      </c>
      <c r="DM76" s="1317" t="str">
        <f ca="1">IF(INDIRECT("'SpxSp (step-c)'!$B" &amp; DM$72)=$Z76,INDIRECT("'SpxSp (step-c)'!$" &amp; 'SpxSp (step-c)'!$AC$16 &amp; DM$72),"")</f>
        <v/>
      </c>
      <c r="DO76" s="1246" t="s">
        <v>1200</v>
      </c>
    </row>
    <row r="77" spans="2:119" ht="20" x14ac:dyDescent="0.2">
      <c r="Z77" s="1317" t="str">
        <f t="shared" ref="Z77:AA77" si="45">Z22</f>
        <v/>
      </c>
      <c r="AA77" s="1317" t="str">
        <f t="shared" si="45"/>
        <v/>
      </c>
      <c r="BN77" s="178">
        <v>5</v>
      </c>
      <c r="BO77" s="1316" t="str">
        <f t="shared" ca="1" si="43"/>
        <v/>
      </c>
      <c r="BP77" s="1317" t="str">
        <f ca="1">IF(INDIRECT("'SpxSp (step-c)'!$B" &amp; BP$72)=$Z77,INDIRECT("'SpxSp (step-c)'!$" &amp; 'SpxSp (step-c)'!$AC$16 &amp; BP$72),"")</f>
        <v/>
      </c>
      <c r="BQ77" s="1317" t="str">
        <f ca="1">IF(INDIRECT("'SpxSp (step-c)'!$B" &amp; BQ$72)=$Z77,INDIRECT("'SpxSp (step-c)'!$" &amp; 'SpxSp (step-c)'!$AC$16 &amp; BQ$72),"")</f>
        <v/>
      </c>
      <c r="BR77" s="1317" t="str">
        <f ca="1">IF(INDIRECT("'SpxSp (step-c)'!$B" &amp; BR$72)=$Z77,INDIRECT("'SpxSp (step-c)'!$" &amp; 'SpxSp (step-c)'!$AC$16 &amp; BR$72),"")</f>
        <v/>
      </c>
      <c r="BS77" s="1317" t="str">
        <f ca="1">IF(INDIRECT("'SpxSp (step-c)'!$B" &amp; BS$72)=$Z77,INDIRECT("'SpxSp (step-c)'!$" &amp; 'SpxSp (step-c)'!$AC$16 &amp; BS$72),"")</f>
        <v/>
      </c>
      <c r="BT77" s="1317" t="str">
        <f ca="1">IF(INDIRECT("'SpxSp (step-c)'!$B" &amp; BT$72)=$Z77,INDIRECT("'SpxSp (step-c)'!$" &amp; 'SpxSp (step-c)'!$AC$16 &amp; BT$72),"")</f>
        <v/>
      </c>
      <c r="BU77" s="1317" t="str">
        <f ca="1">IF(INDIRECT("'SpxSp (step-c)'!$B" &amp; BU$72)=$Z77,INDIRECT("'SpxSp (step-c)'!$" &amp; 'SpxSp (step-c)'!$AC$16 &amp; BU$72),"")</f>
        <v/>
      </c>
      <c r="BV77" s="1317" t="str">
        <f ca="1">IF(INDIRECT("'SpxSp (step-c)'!$B" &amp; BV$72)=$Z77,INDIRECT("'SpxSp (step-c)'!$" &amp; 'SpxSp (step-c)'!$AC$16 &amp; BV$72),"")</f>
        <v/>
      </c>
      <c r="BW77" s="1317" t="str">
        <f ca="1">IF(INDIRECT("'SpxSp (step-c)'!$B" &amp; BW$72)=$Z77,INDIRECT("'SpxSp (step-c)'!$" &amp; 'SpxSp (step-c)'!$AC$16 &amp; BW$72),"")</f>
        <v/>
      </c>
      <c r="BX77" s="1317" t="str">
        <f ca="1">IF(INDIRECT("'SpxSp (step-c)'!$B" &amp; BX$72)=$Z77,INDIRECT("'SpxSp (step-c)'!$" &amp; 'SpxSp (step-c)'!$AC$16 &amp; BX$72),"")</f>
        <v/>
      </c>
      <c r="BY77" s="1317" t="str">
        <f ca="1">IF(INDIRECT("'SpxSp (step-c)'!$B" &amp; BY$72)=$Z77,INDIRECT("'SpxSp (step-c)'!$" &amp; 'SpxSp (step-c)'!$AC$16 &amp; BY$72),"")</f>
        <v/>
      </c>
      <c r="BZ77" s="1317" t="str">
        <f ca="1">IF(INDIRECT("'SpxSp (step-c)'!$B" &amp; BZ$72)=$Z77,INDIRECT("'SpxSp (step-c)'!$" &amp; 'SpxSp (step-c)'!$AC$16 &amp; BZ$72),"")</f>
        <v/>
      </c>
      <c r="CA77" s="1317" t="str">
        <f ca="1">IF(INDIRECT("'SpxSp (step-c)'!$B" &amp; CA$72)=$Z77,INDIRECT("'SpxSp (step-c)'!$" &amp; 'SpxSp (step-c)'!$AC$16 &amp; CA$72),"")</f>
        <v/>
      </c>
      <c r="CB77" s="1317" t="str">
        <f ca="1">IF(INDIRECT("'SpxSp (step-c)'!$B" &amp; CB$72)=$Z77,INDIRECT("'SpxSp (step-c)'!$" &amp; 'SpxSp (step-c)'!$AC$16 &amp; CB$72),"")</f>
        <v/>
      </c>
      <c r="CC77" s="1317" t="str">
        <f ca="1">IF(INDIRECT("'SpxSp (step-c)'!$B" &amp; CC$72)=$Z77,INDIRECT("'SpxSp (step-c)'!$" &amp; 'SpxSp (step-c)'!$AC$16 &amp; CC$72),"")</f>
        <v/>
      </c>
      <c r="CD77" s="1317" t="str">
        <f ca="1">IF(INDIRECT("'SpxSp (step-c)'!$B" &amp; CD$72)=$Z77,INDIRECT("'SpxSp (step-c)'!$" &amp; 'SpxSp (step-c)'!$AC$16 &amp; CD$72),"")</f>
        <v/>
      </c>
      <c r="CE77" s="1317" t="str">
        <f ca="1">IF(INDIRECT("'SpxSp (step-c)'!$B" &amp; CE$72)=$Z77,INDIRECT("'SpxSp (step-c)'!$" &amp; 'SpxSp (step-c)'!$AC$16 &amp; CE$72),"")</f>
        <v/>
      </c>
      <c r="CF77" s="1317" t="str">
        <f ca="1">IF(INDIRECT("'SpxSp (step-c)'!$B" &amp; CF$72)=$Z77,INDIRECT("'SpxSp (step-c)'!$" &amp; 'SpxSp (step-c)'!$AC$16 &amp; CF$72),"")</f>
        <v/>
      </c>
      <c r="CG77" s="1317" t="str">
        <f ca="1">IF(INDIRECT("'SpxSp (step-c)'!$B" &amp; CG$72)=$Z77,INDIRECT("'SpxSp (step-c)'!$" &amp; 'SpxSp (step-c)'!$AC$16 &amp; CG$72),"")</f>
        <v/>
      </c>
      <c r="CH77" s="1317" t="str">
        <f ca="1">IF(INDIRECT("'SpxSp (step-c)'!$B" &amp; CH$72)=$Z77,INDIRECT("'SpxSp (step-c)'!$" &amp; 'SpxSp (step-c)'!$AC$16 &amp; CH$72),"")</f>
        <v/>
      </c>
      <c r="CI77" s="1317" t="str">
        <f ca="1">IF(INDIRECT("'SpxSp (step-c)'!$B" &amp; CI$72)=$Z77,INDIRECT("'SpxSp (step-c)'!$" &amp; 'SpxSp (step-c)'!$AC$16 &amp; CI$72),"")</f>
        <v/>
      </c>
      <c r="CJ77" s="1317" t="str">
        <f ca="1">IF(INDIRECT("'SpxSp (step-c)'!$B" &amp; CJ$72)=$Z77,INDIRECT("'SpxSp (step-c)'!$" &amp; 'SpxSp (step-c)'!$AC$16 &amp; CJ$72),"")</f>
        <v/>
      </c>
      <c r="CK77" s="1317" t="str">
        <f ca="1">IF(INDIRECT("'SpxSp (step-c)'!$B" &amp; CK$72)=$Z77,INDIRECT("'SpxSp (step-c)'!$" &amp; 'SpxSp (step-c)'!$AC$16 &amp; CK$72),"")</f>
        <v/>
      </c>
      <c r="CL77" s="1317" t="str">
        <f ca="1">IF(INDIRECT("'SpxSp (step-c)'!$B" &amp; CL$72)=$Z77,INDIRECT("'SpxSp (step-c)'!$" &amp; 'SpxSp (step-c)'!$AC$16 &amp; CL$72),"")</f>
        <v/>
      </c>
      <c r="CM77" s="1317" t="str">
        <f ca="1">IF(INDIRECT("'SpxSp (step-c)'!$B" &amp; CM$72)=$Z77,INDIRECT("'SpxSp (step-c)'!$" &amp; 'SpxSp (step-c)'!$AC$16 &amp; CM$72),"")</f>
        <v/>
      </c>
      <c r="CN77" s="1317" t="str">
        <f ca="1">IF(INDIRECT("'SpxSp (step-c)'!$B" &amp; CN$72)=$Z77,INDIRECT("'SpxSp (step-c)'!$" &amp; 'SpxSp (step-c)'!$AC$16 &amp; CN$72),"")</f>
        <v/>
      </c>
      <c r="CO77" s="1317" t="str">
        <f ca="1">IF(INDIRECT("'SpxSp (step-c)'!$B" &amp; CO$72)=$Z77,INDIRECT("'SpxSp (step-c)'!$" &amp; 'SpxSp (step-c)'!$AC$16 &amp; CO$72),"")</f>
        <v/>
      </c>
      <c r="CP77" s="1317" t="str">
        <f ca="1">IF(INDIRECT("'SpxSp (step-c)'!$B" &amp; CP$72)=$Z77,INDIRECT("'SpxSp (step-c)'!$" &amp; 'SpxSp (step-c)'!$AC$16 &amp; CP$72),"")</f>
        <v/>
      </c>
      <c r="CQ77" s="1317" t="str">
        <f ca="1">IF(INDIRECT("'SpxSp (step-c)'!$B" &amp; CQ$72)=$Z77,INDIRECT("'SpxSp (step-c)'!$" &amp; 'SpxSp (step-c)'!$AC$16 &amp; CQ$72),"")</f>
        <v/>
      </c>
      <c r="CR77" s="1317" t="str">
        <f ca="1">IF(INDIRECT("'SpxSp (step-c)'!$B" &amp; CR$72)=$Z77,INDIRECT("'SpxSp (step-c)'!$" &amp; 'SpxSp (step-c)'!$AC$16 &amp; CR$72),"")</f>
        <v/>
      </c>
      <c r="CS77" s="1317" t="str">
        <f ca="1">IF(INDIRECT("'SpxSp (step-c)'!$B" &amp; CS$72)=$Z77,INDIRECT("'SpxSp (step-c)'!$" &amp; 'SpxSp (step-c)'!$AC$16 &amp; CS$72),"")</f>
        <v/>
      </c>
      <c r="CT77" s="1317" t="str">
        <f ca="1">IF(INDIRECT("'SpxSp (step-c)'!$B" &amp; CT$72)=$Z77,INDIRECT("'SpxSp (step-c)'!$" &amp; 'SpxSp (step-c)'!$AC$16 &amp; CT$72),"")</f>
        <v/>
      </c>
      <c r="CU77" s="1317" t="str">
        <f ca="1">IF(INDIRECT("'SpxSp (step-c)'!$B" &amp; CU$72)=$Z77,INDIRECT("'SpxSp (step-c)'!$" &amp; 'SpxSp (step-c)'!$AC$16 &amp; CU$72),"")</f>
        <v/>
      </c>
      <c r="CV77" s="1317" t="str">
        <f ca="1">IF(INDIRECT("'SpxSp (step-c)'!$B" &amp; CV$72)=$Z77,INDIRECT("'SpxSp (step-c)'!$" &amp; 'SpxSp (step-c)'!$AC$16 &amp; CV$72),"")</f>
        <v/>
      </c>
      <c r="CW77" s="1317" t="str">
        <f ca="1">IF(INDIRECT("'SpxSp (step-c)'!$B" &amp; CW$72)=$Z77,INDIRECT("'SpxSp (step-c)'!$" &amp; 'SpxSp (step-c)'!$AC$16 &amp; CW$72),"")</f>
        <v/>
      </c>
      <c r="CX77" s="1317" t="str">
        <f ca="1">IF(INDIRECT("'SpxSp (step-c)'!$B" &amp; CX$72)=$Z77,INDIRECT("'SpxSp (step-c)'!$" &amp; 'SpxSp (step-c)'!$AC$16 &amp; CX$72),"")</f>
        <v/>
      </c>
      <c r="CY77" s="1317" t="str">
        <f ca="1">IF(INDIRECT("'SpxSp (step-c)'!$B" &amp; CY$72)=$Z77,INDIRECT("'SpxSp (step-c)'!$" &amp; 'SpxSp (step-c)'!$AC$16 &amp; CY$72),"")</f>
        <v/>
      </c>
      <c r="CZ77" s="1317" t="str">
        <f ca="1">IF(INDIRECT("'SpxSp (step-c)'!$B" &amp; CZ$72)=$Z77,INDIRECT("'SpxSp (step-c)'!$" &amp; 'SpxSp (step-c)'!$AC$16 &amp; CZ$72),"")</f>
        <v/>
      </c>
      <c r="DA77" s="1317" t="str">
        <f ca="1">IF(INDIRECT("'SpxSp (step-c)'!$B" &amp; DA$72)=$Z77,INDIRECT("'SpxSp (step-c)'!$" &amp; 'SpxSp (step-c)'!$AC$16 &amp; DA$72),"")</f>
        <v/>
      </c>
      <c r="DB77" s="1317" t="str">
        <f ca="1">IF(INDIRECT("'SpxSp (step-c)'!$B" &amp; DB$72)=$Z77,INDIRECT("'SpxSp (step-c)'!$" &amp; 'SpxSp (step-c)'!$AC$16 &amp; DB$72),"")</f>
        <v/>
      </c>
      <c r="DC77" s="1317" t="str">
        <f ca="1">IF(INDIRECT("'SpxSp (step-c)'!$B" &amp; DC$72)=$Z77,INDIRECT("'SpxSp (step-c)'!$" &amp; 'SpxSp (step-c)'!$AC$16 &amp; DC$72),"")</f>
        <v/>
      </c>
      <c r="DD77" s="1317" t="str">
        <f ca="1">IF(INDIRECT("'SpxSp (step-c)'!$B" &amp; DD$72)=$Z77,INDIRECT("'SpxSp (step-c)'!$" &amp; 'SpxSp (step-c)'!$AC$16 &amp; DD$72),"")</f>
        <v/>
      </c>
      <c r="DE77" s="1317" t="str">
        <f ca="1">IF(INDIRECT("'SpxSp (step-c)'!$B" &amp; DE$72)=$Z77,INDIRECT("'SpxSp (step-c)'!$" &amp; 'SpxSp (step-c)'!$AC$16 &amp; DE$72),"")</f>
        <v/>
      </c>
      <c r="DF77" s="1317" t="str">
        <f ca="1">IF(INDIRECT("'SpxSp (step-c)'!$B" &amp; DF$72)=$Z77,INDIRECT("'SpxSp (step-c)'!$" &amp; 'SpxSp (step-c)'!$AC$16 &amp; DF$72),"")</f>
        <v/>
      </c>
      <c r="DG77" s="1317" t="str">
        <f ca="1">IF(INDIRECT("'SpxSp (step-c)'!$B" &amp; DG$72)=$Z77,INDIRECT("'SpxSp (step-c)'!$" &amp; 'SpxSp (step-c)'!$AC$16 &amp; DG$72),"")</f>
        <v/>
      </c>
      <c r="DH77" s="1317" t="str">
        <f ca="1">IF(INDIRECT("'SpxSp (step-c)'!$B" &amp; DH$72)=$Z77,INDIRECT("'SpxSp (step-c)'!$" &amp; 'SpxSp (step-c)'!$AC$16 &amp; DH$72),"")</f>
        <v/>
      </c>
      <c r="DI77" s="1317" t="str">
        <f ca="1">IF(INDIRECT("'SpxSp (step-c)'!$B" &amp; DI$72)=$Z77,INDIRECT("'SpxSp (step-c)'!$" &amp; 'SpxSp (step-c)'!$AC$16 &amp; DI$72),"")</f>
        <v/>
      </c>
      <c r="DJ77" s="1317" t="str">
        <f ca="1">IF(INDIRECT("'SpxSp (step-c)'!$B" &amp; DJ$72)=$Z77,INDIRECT("'SpxSp (step-c)'!$" &amp; 'SpxSp (step-c)'!$AC$16 &amp; DJ$72),"")</f>
        <v/>
      </c>
      <c r="DK77" s="1317" t="str">
        <f ca="1">IF(INDIRECT("'SpxSp (step-c)'!$B" &amp; DK$72)=$Z77,INDIRECT("'SpxSp (step-c)'!$" &amp; 'SpxSp (step-c)'!$AC$16 &amp; DK$72),"")</f>
        <v/>
      </c>
      <c r="DL77" s="1317" t="str">
        <f ca="1">IF(INDIRECT("'SpxSp (step-c)'!$B" &amp; DL$72)=$Z77,INDIRECT("'SpxSp (step-c)'!$" &amp; 'SpxSp (step-c)'!$AC$16 &amp; DL$72),"")</f>
        <v/>
      </c>
      <c r="DM77" s="1317" t="str">
        <f ca="1">IF(INDIRECT("'SpxSp (step-c)'!$B" &amp; DM$72)=$Z77,INDIRECT("'SpxSp (step-c)'!$" &amp; 'SpxSp (step-c)'!$AC$16 &amp; DM$72),"")</f>
        <v/>
      </c>
      <c r="DO77" s="1246" t="s">
        <v>1200</v>
      </c>
    </row>
    <row r="78" spans="2:119" ht="20" x14ac:dyDescent="0.2">
      <c r="Z78" s="1317" t="str">
        <f t="shared" ref="Z78:AA78" si="46">Z23</f>
        <v/>
      </c>
      <c r="AA78" s="1317" t="str">
        <f t="shared" si="46"/>
        <v/>
      </c>
      <c r="BN78" s="178">
        <v>6</v>
      </c>
      <c r="BO78" s="1316" t="str">
        <f t="shared" ca="1" si="43"/>
        <v/>
      </c>
      <c r="BP78" s="1317" t="str">
        <f ca="1">IF(INDIRECT("'SpxSp (step-c)'!$B" &amp; BP$72)=$Z78,INDIRECT("'SpxSp (step-c)'!$" &amp; 'SpxSp (step-c)'!$AC$16 &amp; BP$72),"")</f>
        <v/>
      </c>
      <c r="BQ78" s="1317" t="str">
        <f ca="1">IF(INDIRECT("'SpxSp (step-c)'!$B" &amp; BQ$72)=$Z78,INDIRECT("'SpxSp (step-c)'!$" &amp; 'SpxSp (step-c)'!$AC$16 &amp; BQ$72),"")</f>
        <v/>
      </c>
      <c r="BR78" s="1317" t="str">
        <f ca="1">IF(INDIRECT("'SpxSp (step-c)'!$B" &amp; BR$72)=$Z78,INDIRECT("'SpxSp (step-c)'!$" &amp; 'SpxSp (step-c)'!$AC$16 &amp; BR$72),"")</f>
        <v/>
      </c>
      <c r="BS78" s="1317" t="str">
        <f ca="1">IF(INDIRECT("'SpxSp (step-c)'!$B" &amp; BS$72)=$Z78,INDIRECT("'SpxSp (step-c)'!$" &amp; 'SpxSp (step-c)'!$AC$16 &amp; BS$72),"")</f>
        <v/>
      </c>
      <c r="BT78" s="1317" t="str">
        <f ca="1">IF(INDIRECT("'SpxSp (step-c)'!$B" &amp; BT$72)=$Z78,INDIRECT("'SpxSp (step-c)'!$" &amp; 'SpxSp (step-c)'!$AC$16 &amp; BT$72),"")</f>
        <v/>
      </c>
      <c r="BU78" s="1317" t="str">
        <f ca="1">IF(INDIRECT("'SpxSp (step-c)'!$B" &amp; BU$72)=$Z78,INDIRECT("'SpxSp (step-c)'!$" &amp; 'SpxSp (step-c)'!$AC$16 &amp; BU$72),"")</f>
        <v/>
      </c>
      <c r="BV78" s="1317" t="str">
        <f ca="1">IF(INDIRECT("'SpxSp (step-c)'!$B" &amp; BV$72)=$Z78,INDIRECT("'SpxSp (step-c)'!$" &amp; 'SpxSp (step-c)'!$AC$16 &amp; BV$72),"")</f>
        <v/>
      </c>
      <c r="BW78" s="1317" t="str">
        <f ca="1">IF(INDIRECT("'SpxSp (step-c)'!$B" &amp; BW$72)=$Z78,INDIRECT("'SpxSp (step-c)'!$" &amp; 'SpxSp (step-c)'!$AC$16 &amp; BW$72),"")</f>
        <v/>
      </c>
      <c r="BX78" s="1317" t="str">
        <f ca="1">IF(INDIRECT("'SpxSp (step-c)'!$B" &amp; BX$72)=$Z78,INDIRECT("'SpxSp (step-c)'!$" &amp; 'SpxSp (step-c)'!$AC$16 &amp; BX$72),"")</f>
        <v/>
      </c>
      <c r="BY78" s="1317" t="str">
        <f ca="1">IF(INDIRECT("'SpxSp (step-c)'!$B" &amp; BY$72)=$Z78,INDIRECT("'SpxSp (step-c)'!$" &amp; 'SpxSp (step-c)'!$AC$16 &amp; BY$72),"")</f>
        <v/>
      </c>
      <c r="BZ78" s="1317" t="str">
        <f ca="1">IF(INDIRECT("'SpxSp (step-c)'!$B" &amp; BZ$72)=$Z78,INDIRECT("'SpxSp (step-c)'!$" &amp; 'SpxSp (step-c)'!$AC$16 &amp; BZ$72),"")</f>
        <v/>
      </c>
      <c r="CA78" s="1317" t="str">
        <f ca="1">IF(INDIRECT("'SpxSp (step-c)'!$B" &amp; CA$72)=$Z78,INDIRECT("'SpxSp (step-c)'!$" &amp; 'SpxSp (step-c)'!$AC$16 &amp; CA$72),"")</f>
        <v/>
      </c>
      <c r="CB78" s="1317" t="str">
        <f ca="1">IF(INDIRECT("'SpxSp (step-c)'!$B" &amp; CB$72)=$Z78,INDIRECT("'SpxSp (step-c)'!$" &amp; 'SpxSp (step-c)'!$AC$16 &amp; CB$72),"")</f>
        <v/>
      </c>
      <c r="CC78" s="1317" t="str">
        <f ca="1">IF(INDIRECT("'SpxSp (step-c)'!$B" &amp; CC$72)=$Z78,INDIRECT("'SpxSp (step-c)'!$" &amp; 'SpxSp (step-c)'!$AC$16 &amp; CC$72),"")</f>
        <v/>
      </c>
      <c r="CD78" s="1317" t="str">
        <f ca="1">IF(INDIRECT("'SpxSp (step-c)'!$B" &amp; CD$72)=$Z78,INDIRECT("'SpxSp (step-c)'!$" &amp; 'SpxSp (step-c)'!$AC$16 &amp; CD$72),"")</f>
        <v/>
      </c>
      <c r="CE78" s="1317" t="str">
        <f ca="1">IF(INDIRECT("'SpxSp (step-c)'!$B" &amp; CE$72)=$Z78,INDIRECT("'SpxSp (step-c)'!$" &amp; 'SpxSp (step-c)'!$AC$16 &amp; CE$72),"")</f>
        <v/>
      </c>
      <c r="CF78" s="1317" t="str">
        <f ca="1">IF(INDIRECT("'SpxSp (step-c)'!$B" &amp; CF$72)=$Z78,INDIRECT("'SpxSp (step-c)'!$" &amp; 'SpxSp (step-c)'!$AC$16 &amp; CF$72),"")</f>
        <v/>
      </c>
      <c r="CG78" s="1317" t="str">
        <f ca="1">IF(INDIRECT("'SpxSp (step-c)'!$B" &amp; CG$72)=$Z78,INDIRECT("'SpxSp (step-c)'!$" &amp; 'SpxSp (step-c)'!$AC$16 &amp; CG$72),"")</f>
        <v/>
      </c>
      <c r="CH78" s="1317" t="str">
        <f ca="1">IF(INDIRECT("'SpxSp (step-c)'!$B" &amp; CH$72)=$Z78,INDIRECT("'SpxSp (step-c)'!$" &amp; 'SpxSp (step-c)'!$AC$16 &amp; CH$72),"")</f>
        <v/>
      </c>
      <c r="CI78" s="1317" t="str">
        <f ca="1">IF(INDIRECT("'SpxSp (step-c)'!$B" &amp; CI$72)=$Z78,INDIRECT("'SpxSp (step-c)'!$" &amp; 'SpxSp (step-c)'!$AC$16 &amp; CI$72),"")</f>
        <v/>
      </c>
      <c r="CJ78" s="1317" t="str">
        <f ca="1">IF(INDIRECT("'SpxSp (step-c)'!$B" &amp; CJ$72)=$Z78,INDIRECT("'SpxSp (step-c)'!$" &amp; 'SpxSp (step-c)'!$AC$16 &amp; CJ$72),"")</f>
        <v/>
      </c>
      <c r="CK78" s="1317" t="str">
        <f ca="1">IF(INDIRECT("'SpxSp (step-c)'!$B" &amp; CK$72)=$Z78,INDIRECT("'SpxSp (step-c)'!$" &amp; 'SpxSp (step-c)'!$AC$16 &amp; CK$72),"")</f>
        <v/>
      </c>
      <c r="CL78" s="1317" t="str">
        <f ca="1">IF(INDIRECT("'SpxSp (step-c)'!$B" &amp; CL$72)=$Z78,INDIRECT("'SpxSp (step-c)'!$" &amp; 'SpxSp (step-c)'!$AC$16 &amp; CL$72),"")</f>
        <v/>
      </c>
      <c r="CM78" s="1317" t="str">
        <f ca="1">IF(INDIRECT("'SpxSp (step-c)'!$B" &amp; CM$72)=$Z78,INDIRECT("'SpxSp (step-c)'!$" &amp; 'SpxSp (step-c)'!$AC$16 &amp; CM$72),"")</f>
        <v/>
      </c>
      <c r="CN78" s="1317" t="str">
        <f ca="1">IF(INDIRECT("'SpxSp (step-c)'!$B" &amp; CN$72)=$Z78,INDIRECT("'SpxSp (step-c)'!$" &amp; 'SpxSp (step-c)'!$AC$16 &amp; CN$72),"")</f>
        <v/>
      </c>
      <c r="CO78" s="1317" t="str">
        <f ca="1">IF(INDIRECT("'SpxSp (step-c)'!$B" &amp; CO$72)=$Z78,INDIRECT("'SpxSp (step-c)'!$" &amp; 'SpxSp (step-c)'!$AC$16 &amp; CO$72),"")</f>
        <v/>
      </c>
      <c r="CP78" s="1317" t="str">
        <f ca="1">IF(INDIRECT("'SpxSp (step-c)'!$B" &amp; CP$72)=$Z78,INDIRECT("'SpxSp (step-c)'!$" &amp; 'SpxSp (step-c)'!$AC$16 &amp; CP$72),"")</f>
        <v/>
      </c>
      <c r="CQ78" s="1317" t="str">
        <f ca="1">IF(INDIRECT("'SpxSp (step-c)'!$B" &amp; CQ$72)=$Z78,INDIRECT("'SpxSp (step-c)'!$" &amp; 'SpxSp (step-c)'!$AC$16 &amp; CQ$72),"")</f>
        <v/>
      </c>
      <c r="CR78" s="1317" t="str">
        <f ca="1">IF(INDIRECT("'SpxSp (step-c)'!$B" &amp; CR$72)=$Z78,INDIRECT("'SpxSp (step-c)'!$" &amp; 'SpxSp (step-c)'!$AC$16 &amp; CR$72),"")</f>
        <v/>
      </c>
      <c r="CS78" s="1317" t="str">
        <f ca="1">IF(INDIRECT("'SpxSp (step-c)'!$B" &amp; CS$72)=$Z78,INDIRECT("'SpxSp (step-c)'!$" &amp; 'SpxSp (step-c)'!$AC$16 &amp; CS$72),"")</f>
        <v/>
      </c>
      <c r="CT78" s="1317" t="str">
        <f ca="1">IF(INDIRECT("'SpxSp (step-c)'!$B" &amp; CT$72)=$Z78,INDIRECT("'SpxSp (step-c)'!$" &amp; 'SpxSp (step-c)'!$AC$16 &amp; CT$72),"")</f>
        <v/>
      </c>
      <c r="CU78" s="1317" t="str">
        <f ca="1">IF(INDIRECT("'SpxSp (step-c)'!$B" &amp; CU$72)=$Z78,INDIRECT("'SpxSp (step-c)'!$" &amp; 'SpxSp (step-c)'!$AC$16 &amp; CU$72),"")</f>
        <v/>
      </c>
      <c r="CV78" s="1317" t="str">
        <f ca="1">IF(INDIRECT("'SpxSp (step-c)'!$B" &amp; CV$72)=$Z78,INDIRECT("'SpxSp (step-c)'!$" &amp; 'SpxSp (step-c)'!$AC$16 &amp; CV$72),"")</f>
        <v/>
      </c>
      <c r="CW78" s="1317" t="str">
        <f ca="1">IF(INDIRECT("'SpxSp (step-c)'!$B" &amp; CW$72)=$Z78,INDIRECT("'SpxSp (step-c)'!$" &amp; 'SpxSp (step-c)'!$AC$16 &amp; CW$72),"")</f>
        <v/>
      </c>
      <c r="CX78" s="1317" t="str">
        <f ca="1">IF(INDIRECT("'SpxSp (step-c)'!$B" &amp; CX$72)=$Z78,INDIRECT("'SpxSp (step-c)'!$" &amp; 'SpxSp (step-c)'!$AC$16 &amp; CX$72),"")</f>
        <v/>
      </c>
      <c r="CY78" s="1317" t="str">
        <f ca="1">IF(INDIRECT("'SpxSp (step-c)'!$B" &amp; CY$72)=$Z78,INDIRECT("'SpxSp (step-c)'!$" &amp; 'SpxSp (step-c)'!$AC$16 &amp; CY$72),"")</f>
        <v/>
      </c>
      <c r="CZ78" s="1317" t="str">
        <f ca="1">IF(INDIRECT("'SpxSp (step-c)'!$B" &amp; CZ$72)=$Z78,INDIRECT("'SpxSp (step-c)'!$" &amp; 'SpxSp (step-c)'!$AC$16 &amp; CZ$72),"")</f>
        <v/>
      </c>
      <c r="DA78" s="1317" t="str">
        <f ca="1">IF(INDIRECT("'SpxSp (step-c)'!$B" &amp; DA$72)=$Z78,INDIRECT("'SpxSp (step-c)'!$" &amp; 'SpxSp (step-c)'!$AC$16 &amp; DA$72),"")</f>
        <v/>
      </c>
      <c r="DB78" s="1317" t="str">
        <f ca="1">IF(INDIRECT("'SpxSp (step-c)'!$B" &amp; DB$72)=$Z78,INDIRECT("'SpxSp (step-c)'!$" &amp; 'SpxSp (step-c)'!$AC$16 &amp; DB$72),"")</f>
        <v/>
      </c>
      <c r="DC78" s="1317" t="str">
        <f ca="1">IF(INDIRECT("'SpxSp (step-c)'!$B" &amp; DC$72)=$Z78,INDIRECT("'SpxSp (step-c)'!$" &amp; 'SpxSp (step-c)'!$AC$16 &amp; DC$72),"")</f>
        <v/>
      </c>
      <c r="DD78" s="1317" t="str">
        <f ca="1">IF(INDIRECT("'SpxSp (step-c)'!$B" &amp; DD$72)=$Z78,INDIRECT("'SpxSp (step-c)'!$" &amp; 'SpxSp (step-c)'!$AC$16 &amp; DD$72),"")</f>
        <v/>
      </c>
      <c r="DE78" s="1317" t="str">
        <f ca="1">IF(INDIRECT("'SpxSp (step-c)'!$B" &amp; DE$72)=$Z78,INDIRECT("'SpxSp (step-c)'!$" &amp; 'SpxSp (step-c)'!$AC$16 &amp; DE$72),"")</f>
        <v/>
      </c>
      <c r="DF78" s="1317" t="str">
        <f ca="1">IF(INDIRECT("'SpxSp (step-c)'!$B" &amp; DF$72)=$Z78,INDIRECT("'SpxSp (step-c)'!$" &amp; 'SpxSp (step-c)'!$AC$16 &amp; DF$72),"")</f>
        <v/>
      </c>
      <c r="DG78" s="1317" t="str">
        <f ca="1">IF(INDIRECT("'SpxSp (step-c)'!$B" &amp; DG$72)=$Z78,INDIRECT("'SpxSp (step-c)'!$" &amp; 'SpxSp (step-c)'!$AC$16 &amp; DG$72),"")</f>
        <v/>
      </c>
      <c r="DH78" s="1317" t="str">
        <f ca="1">IF(INDIRECT("'SpxSp (step-c)'!$B" &amp; DH$72)=$Z78,INDIRECT("'SpxSp (step-c)'!$" &amp; 'SpxSp (step-c)'!$AC$16 &amp; DH$72),"")</f>
        <v/>
      </c>
      <c r="DI78" s="1317" t="str">
        <f ca="1">IF(INDIRECT("'SpxSp (step-c)'!$B" &amp; DI$72)=$Z78,INDIRECT("'SpxSp (step-c)'!$" &amp; 'SpxSp (step-c)'!$AC$16 &amp; DI$72),"")</f>
        <v/>
      </c>
      <c r="DJ78" s="1317" t="str">
        <f ca="1">IF(INDIRECT("'SpxSp (step-c)'!$B" &amp; DJ$72)=$Z78,INDIRECT("'SpxSp (step-c)'!$" &amp; 'SpxSp (step-c)'!$AC$16 &amp; DJ$72),"")</f>
        <v/>
      </c>
      <c r="DK78" s="1317" t="str">
        <f ca="1">IF(INDIRECT("'SpxSp (step-c)'!$B" &amp; DK$72)=$Z78,INDIRECT("'SpxSp (step-c)'!$" &amp; 'SpxSp (step-c)'!$AC$16 &amp; DK$72),"")</f>
        <v/>
      </c>
      <c r="DL78" s="1317" t="str">
        <f ca="1">IF(INDIRECT("'SpxSp (step-c)'!$B" &amp; DL$72)=$Z78,INDIRECT("'SpxSp (step-c)'!$" &amp; 'SpxSp (step-c)'!$AC$16 &amp; DL$72),"")</f>
        <v/>
      </c>
      <c r="DM78" s="1317" t="str">
        <f ca="1">IF(INDIRECT("'SpxSp (step-c)'!$B" &amp; DM$72)=$Z78,INDIRECT("'SpxSp (step-c)'!$" &amp; 'SpxSp (step-c)'!$AC$16 &amp; DM$72),"")</f>
        <v/>
      </c>
      <c r="DO78" s="1246" t="s">
        <v>1200</v>
      </c>
    </row>
    <row r="79" spans="2:119" ht="20" x14ac:dyDescent="0.2">
      <c r="Z79" s="1317" t="str">
        <f t="shared" ref="Z79:AA79" si="47">Z24</f>
        <v/>
      </c>
      <c r="AA79" s="1317" t="str">
        <f t="shared" si="47"/>
        <v/>
      </c>
      <c r="BN79" s="178">
        <v>7</v>
      </c>
      <c r="BO79" s="1316" t="str">
        <f t="shared" ca="1" si="43"/>
        <v/>
      </c>
      <c r="BP79" s="1317" t="str">
        <f ca="1">IF(INDIRECT("'SpxSp (step-c)'!$B" &amp; BP$72)=$Z79,INDIRECT("'SpxSp (step-c)'!$" &amp; 'SpxSp (step-c)'!$AC$16 &amp; BP$72),"")</f>
        <v/>
      </c>
      <c r="BQ79" s="1317" t="str">
        <f ca="1">IF(INDIRECT("'SpxSp (step-c)'!$B" &amp; BQ$72)=$Z79,INDIRECT("'SpxSp (step-c)'!$" &amp; 'SpxSp (step-c)'!$AC$16 &amp; BQ$72),"")</f>
        <v/>
      </c>
      <c r="BR79" s="1317" t="str">
        <f ca="1">IF(INDIRECT("'SpxSp (step-c)'!$B" &amp; BR$72)=$Z79,INDIRECT("'SpxSp (step-c)'!$" &amp; 'SpxSp (step-c)'!$AC$16 &amp; BR$72),"")</f>
        <v/>
      </c>
      <c r="BS79" s="1317" t="str">
        <f ca="1">IF(INDIRECT("'SpxSp (step-c)'!$B" &amp; BS$72)=$Z79,INDIRECT("'SpxSp (step-c)'!$" &amp; 'SpxSp (step-c)'!$AC$16 &amp; BS$72),"")</f>
        <v/>
      </c>
      <c r="BT79" s="1317" t="str">
        <f ca="1">IF(INDIRECT("'SpxSp (step-c)'!$B" &amp; BT$72)=$Z79,INDIRECT("'SpxSp (step-c)'!$" &amp; 'SpxSp (step-c)'!$AC$16 &amp; BT$72),"")</f>
        <v/>
      </c>
      <c r="BU79" s="1317" t="str">
        <f ca="1">IF(INDIRECT("'SpxSp (step-c)'!$B" &amp; BU$72)=$Z79,INDIRECT("'SpxSp (step-c)'!$" &amp; 'SpxSp (step-c)'!$AC$16 &amp; BU$72),"")</f>
        <v/>
      </c>
      <c r="BV79" s="1317" t="str">
        <f ca="1">IF(INDIRECT("'SpxSp (step-c)'!$B" &amp; BV$72)=$Z79,INDIRECT("'SpxSp (step-c)'!$" &amp; 'SpxSp (step-c)'!$AC$16 &amp; BV$72),"")</f>
        <v/>
      </c>
      <c r="BW79" s="1317" t="str">
        <f ca="1">IF(INDIRECT("'SpxSp (step-c)'!$B" &amp; BW$72)=$Z79,INDIRECT("'SpxSp (step-c)'!$" &amp; 'SpxSp (step-c)'!$AC$16 &amp; BW$72),"")</f>
        <v/>
      </c>
      <c r="BX79" s="1317" t="str">
        <f ca="1">IF(INDIRECT("'SpxSp (step-c)'!$B" &amp; BX$72)=$Z79,INDIRECT("'SpxSp (step-c)'!$" &amp; 'SpxSp (step-c)'!$AC$16 &amp; BX$72),"")</f>
        <v/>
      </c>
      <c r="BY79" s="1317" t="str">
        <f ca="1">IF(INDIRECT("'SpxSp (step-c)'!$B" &amp; BY$72)=$Z79,INDIRECT("'SpxSp (step-c)'!$" &amp; 'SpxSp (step-c)'!$AC$16 &amp; BY$72),"")</f>
        <v/>
      </c>
      <c r="BZ79" s="1317" t="str">
        <f ca="1">IF(INDIRECT("'SpxSp (step-c)'!$B" &amp; BZ$72)=$Z79,INDIRECT("'SpxSp (step-c)'!$" &amp; 'SpxSp (step-c)'!$AC$16 &amp; BZ$72),"")</f>
        <v/>
      </c>
      <c r="CA79" s="1317" t="str">
        <f ca="1">IF(INDIRECT("'SpxSp (step-c)'!$B" &amp; CA$72)=$Z79,INDIRECT("'SpxSp (step-c)'!$" &amp; 'SpxSp (step-c)'!$AC$16 &amp; CA$72),"")</f>
        <v/>
      </c>
      <c r="CB79" s="1317" t="str">
        <f ca="1">IF(INDIRECT("'SpxSp (step-c)'!$B" &amp; CB$72)=$Z79,INDIRECT("'SpxSp (step-c)'!$" &amp; 'SpxSp (step-c)'!$AC$16 &amp; CB$72),"")</f>
        <v/>
      </c>
      <c r="CC79" s="1317" t="str">
        <f ca="1">IF(INDIRECT("'SpxSp (step-c)'!$B" &amp; CC$72)=$Z79,INDIRECT("'SpxSp (step-c)'!$" &amp; 'SpxSp (step-c)'!$AC$16 &amp; CC$72),"")</f>
        <v/>
      </c>
      <c r="CD79" s="1317" t="str">
        <f ca="1">IF(INDIRECT("'SpxSp (step-c)'!$B" &amp; CD$72)=$Z79,INDIRECT("'SpxSp (step-c)'!$" &amp; 'SpxSp (step-c)'!$AC$16 &amp; CD$72),"")</f>
        <v/>
      </c>
      <c r="CE79" s="1317" t="str">
        <f ca="1">IF(INDIRECT("'SpxSp (step-c)'!$B" &amp; CE$72)=$Z79,INDIRECT("'SpxSp (step-c)'!$" &amp; 'SpxSp (step-c)'!$AC$16 &amp; CE$72),"")</f>
        <v/>
      </c>
      <c r="CF79" s="1317" t="str">
        <f ca="1">IF(INDIRECT("'SpxSp (step-c)'!$B" &amp; CF$72)=$Z79,INDIRECT("'SpxSp (step-c)'!$" &amp; 'SpxSp (step-c)'!$AC$16 &amp; CF$72),"")</f>
        <v/>
      </c>
      <c r="CG79" s="1317" t="str">
        <f ca="1">IF(INDIRECT("'SpxSp (step-c)'!$B" &amp; CG$72)=$Z79,INDIRECT("'SpxSp (step-c)'!$" &amp; 'SpxSp (step-c)'!$AC$16 &amp; CG$72),"")</f>
        <v/>
      </c>
      <c r="CH79" s="1317" t="str">
        <f ca="1">IF(INDIRECT("'SpxSp (step-c)'!$B" &amp; CH$72)=$Z79,INDIRECT("'SpxSp (step-c)'!$" &amp; 'SpxSp (step-c)'!$AC$16 &amp; CH$72),"")</f>
        <v/>
      </c>
      <c r="CI79" s="1317" t="str">
        <f ca="1">IF(INDIRECT("'SpxSp (step-c)'!$B" &amp; CI$72)=$Z79,INDIRECT("'SpxSp (step-c)'!$" &amp; 'SpxSp (step-c)'!$AC$16 &amp; CI$72),"")</f>
        <v/>
      </c>
      <c r="CJ79" s="1317" t="str">
        <f ca="1">IF(INDIRECT("'SpxSp (step-c)'!$B" &amp; CJ$72)=$Z79,INDIRECT("'SpxSp (step-c)'!$" &amp; 'SpxSp (step-c)'!$AC$16 &amp; CJ$72),"")</f>
        <v/>
      </c>
      <c r="CK79" s="1317" t="str">
        <f ca="1">IF(INDIRECT("'SpxSp (step-c)'!$B" &amp; CK$72)=$Z79,INDIRECT("'SpxSp (step-c)'!$" &amp; 'SpxSp (step-c)'!$AC$16 &amp; CK$72),"")</f>
        <v/>
      </c>
      <c r="CL79" s="1317" t="str">
        <f ca="1">IF(INDIRECT("'SpxSp (step-c)'!$B" &amp; CL$72)=$Z79,INDIRECT("'SpxSp (step-c)'!$" &amp; 'SpxSp (step-c)'!$AC$16 &amp; CL$72),"")</f>
        <v/>
      </c>
      <c r="CM79" s="1317" t="str">
        <f ca="1">IF(INDIRECT("'SpxSp (step-c)'!$B" &amp; CM$72)=$Z79,INDIRECT("'SpxSp (step-c)'!$" &amp; 'SpxSp (step-c)'!$AC$16 &amp; CM$72),"")</f>
        <v/>
      </c>
      <c r="CN79" s="1317" t="str">
        <f ca="1">IF(INDIRECT("'SpxSp (step-c)'!$B" &amp; CN$72)=$Z79,INDIRECT("'SpxSp (step-c)'!$" &amp; 'SpxSp (step-c)'!$AC$16 &amp; CN$72),"")</f>
        <v/>
      </c>
      <c r="CO79" s="1317" t="str">
        <f ca="1">IF(INDIRECT("'SpxSp (step-c)'!$B" &amp; CO$72)=$Z79,INDIRECT("'SpxSp (step-c)'!$" &amp; 'SpxSp (step-c)'!$AC$16 &amp; CO$72),"")</f>
        <v/>
      </c>
      <c r="CP79" s="1317" t="str">
        <f ca="1">IF(INDIRECT("'SpxSp (step-c)'!$B" &amp; CP$72)=$Z79,INDIRECT("'SpxSp (step-c)'!$" &amp; 'SpxSp (step-c)'!$AC$16 &amp; CP$72),"")</f>
        <v/>
      </c>
      <c r="CQ79" s="1317" t="str">
        <f ca="1">IF(INDIRECT("'SpxSp (step-c)'!$B" &amp; CQ$72)=$Z79,INDIRECT("'SpxSp (step-c)'!$" &amp; 'SpxSp (step-c)'!$AC$16 &amp; CQ$72),"")</f>
        <v/>
      </c>
      <c r="CR79" s="1317" t="str">
        <f ca="1">IF(INDIRECT("'SpxSp (step-c)'!$B" &amp; CR$72)=$Z79,INDIRECT("'SpxSp (step-c)'!$" &amp; 'SpxSp (step-c)'!$AC$16 &amp; CR$72),"")</f>
        <v/>
      </c>
      <c r="CS79" s="1317" t="str">
        <f ca="1">IF(INDIRECT("'SpxSp (step-c)'!$B" &amp; CS$72)=$Z79,INDIRECT("'SpxSp (step-c)'!$" &amp; 'SpxSp (step-c)'!$AC$16 &amp; CS$72),"")</f>
        <v/>
      </c>
      <c r="CT79" s="1317" t="str">
        <f ca="1">IF(INDIRECT("'SpxSp (step-c)'!$B" &amp; CT$72)=$Z79,INDIRECT("'SpxSp (step-c)'!$" &amp; 'SpxSp (step-c)'!$AC$16 &amp; CT$72),"")</f>
        <v/>
      </c>
      <c r="CU79" s="1317" t="str">
        <f ca="1">IF(INDIRECT("'SpxSp (step-c)'!$B" &amp; CU$72)=$Z79,INDIRECT("'SpxSp (step-c)'!$" &amp; 'SpxSp (step-c)'!$AC$16 &amp; CU$72),"")</f>
        <v/>
      </c>
      <c r="CV79" s="1317" t="str">
        <f ca="1">IF(INDIRECT("'SpxSp (step-c)'!$B" &amp; CV$72)=$Z79,INDIRECT("'SpxSp (step-c)'!$" &amp; 'SpxSp (step-c)'!$AC$16 &amp; CV$72),"")</f>
        <v/>
      </c>
      <c r="CW79" s="1317" t="str">
        <f ca="1">IF(INDIRECT("'SpxSp (step-c)'!$B" &amp; CW$72)=$Z79,INDIRECT("'SpxSp (step-c)'!$" &amp; 'SpxSp (step-c)'!$AC$16 &amp; CW$72),"")</f>
        <v/>
      </c>
      <c r="CX79" s="1317" t="str">
        <f ca="1">IF(INDIRECT("'SpxSp (step-c)'!$B" &amp; CX$72)=$Z79,INDIRECT("'SpxSp (step-c)'!$" &amp; 'SpxSp (step-c)'!$AC$16 &amp; CX$72),"")</f>
        <v/>
      </c>
      <c r="CY79" s="1317" t="str">
        <f ca="1">IF(INDIRECT("'SpxSp (step-c)'!$B" &amp; CY$72)=$Z79,INDIRECT("'SpxSp (step-c)'!$" &amp; 'SpxSp (step-c)'!$AC$16 &amp; CY$72),"")</f>
        <v/>
      </c>
      <c r="CZ79" s="1317" t="str">
        <f ca="1">IF(INDIRECT("'SpxSp (step-c)'!$B" &amp; CZ$72)=$Z79,INDIRECT("'SpxSp (step-c)'!$" &amp; 'SpxSp (step-c)'!$AC$16 &amp; CZ$72),"")</f>
        <v/>
      </c>
      <c r="DA79" s="1317" t="str">
        <f ca="1">IF(INDIRECT("'SpxSp (step-c)'!$B" &amp; DA$72)=$Z79,INDIRECT("'SpxSp (step-c)'!$" &amp; 'SpxSp (step-c)'!$AC$16 &amp; DA$72),"")</f>
        <v/>
      </c>
      <c r="DB79" s="1317" t="str">
        <f ca="1">IF(INDIRECT("'SpxSp (step-c)'!$B" &amp; DB$72)=$Z79,INDIRECT("'SpxSp (step-c)'!$" &amp; 'SpxSp (step-c)'!$AC$16 &amp; DB$72),"")</f>
        <v/>
      </c>
      <c r="DC79" s="1317" t="str">
        <f ca="1">IF(INDIRECT("'SpxSp (step-c)'!$B" &amp; DC$72)=$Z79,INDIRECT("'SpxSp (step-c)'!$" &amp; 'SpxSp (step-c)'!$AC$16 &amp; DC$72),"")</f>
        <v/>
      </c>
      <c r="DD79" s="1317" t="str">
        <f ca="1">IF(INDIRECT("'SpxSp (step-c)'!$B" &amp; DD$72)=$Z79,INDIRECT("'SpxSp (step-c)'!$" &amp; 'SpxSp (step-c)'!$AC$16 &amp; DD$72),"")</f>
        <v/>
      </c>
      <c r="DE79" s="1317" t="str">
        <f ca="1">IF(INDIRECT("'SpxSp (step-c)'!$B" &amp; DE$72)=$Z79,INDIRECT("'SpxSp (step-c)'!$" &amp; 'SpxSp (step-c)'!$AC$16 &amp; DE$72),"")</f>
        <v/>
      </c>
      <c r="DF79" s="1317" t="str">
        <f ca="1">IF(INDIRECT("'SpxSp (step-c)'!$B" &amp; DF$72)=$Z79,INDIRECT("'SpxSp (step-c)'!$" &amp; 'SpxSp (step-c)'!$AC$16 &amp; DF$72),"")</f>
        <v/>
      </c>
      <c r="DG79" s="1317" t="str">
        <f ca="1">IF(INDIRECT("'SpxSp (step-c)'!$B" &amp; DG$72)=$Z79,INDIRECT("'SpxSp (step-c)'!$" &amp; 'SpxSp (step-c)'!$AC$16 &amp; DG$72),"")</f>
        <v/>
      </c>
      <c r="DH79" s="1317" t="str">
        <f ca="1">IF(INDIRECT("'SpxSp (step-c)'!$B" &amp; DH$72)=$Z79,INDIRECT("'SpxSp (step-c)'!$" &amp; 'SpxSp (step-c)'!$AC$16 &amp; DH$72),"")</f>
        <v/>
      </c>
      <c r="DI79" s="1317" t="str">
        <f ca="1">IF(INDIRECT("'SpxSp (step-c)'!$B" &amp; DI$72)=$Z79,INDIRECT("'SpxSp (step-c)'!$" &amp; 'SpxSp (step-c)'!$AC$16 &amp; DI$72),"")</f>
        <v/>
      </c>
      <c r="DJ79" s="1317" t="str">
        <f ca="1">IF(INDIRECT("'SpxSp (step-c)'!$B" &amp; DJ$72)=$Z79,INDIRECT("'SpxSp (step-c)'!$" &amp; 'SpxSp (step-c)'!$AC$16 &amp; DJ$72),"")</f>
        <v/>
      </c>
      <c r="DK79" s="1317" t="str">
        <f ca="1">IF(INDIRECT("'SpxSp (step-c)'!$B" &amp; DK$72)=$Z79,INDIRECT("'SpxSp (step-c)'!$" &amp; 'SpxSp (step-c)'!$AC$16 &amp; DK$72),"")</f>
        <v/>
      </c>
      <c r="DL79" s="1317" t="str">
        <f ca="1">IF(INDIRECT("'SpxSp (step-c)'!$B" &amp; DL$72)=$Z79,INDIRECT("'SpxSp (step-c)'!$" &amp; 'SpxSp (step-c)'!$AC$16 &amp; DL$72),"")</f>
        <v/>
      </c>
      <c r="DM79" s="1317" t="str">
        <f ca="1">IF(INDIRECT("'SpxSp (step-c)'!$B" &amp; DM$72)=$Z79,INDIRECT("'SpxSp (step-c)'!$" &amp; 'SpxSp (step-c)'!$AC$16 &amp; DM$72),"")</f>
        <v/>
      </c>
      <c r="DO79" s="1246" t="s">
        <v>1200</v>
      </c>
    </row>
    <row r="80" spans="2:119" ht="20" x14ac:dyDescent="0.2">
      <c r="Z80" s="1317" t="str">
        <f t="shared" ref="Z80:AA80" si="48">Z25</f>
        <v/>
      </c>
      <c r="AA80" s="1317" t="str">
        <f t="shared" si="48"/>
        <v/>
      </c>
      <c r="BN80" s="178">
        <v>8</v>
      </c>
      <c r="BO80" s="1316" t="str">
        <f t="shared" ca="1" si="43"/>
        <v/>
      </c>
      <c r="BP80" s="1317" t="str">
        <f ca="1">IF(INDIRECT("'SpxSp (step-c)'!$B" &amp; BP$72)=$Z80,INDIRECT("'SpxSp (step-c)'!$" &amp; 'SpxSp (step-c)'!$AC$16 &amp; BP$72),"")</f>
        <v/>
      </c>
      <c r="BQ80" s="1317" t="str">
        <f ca="1">IF(INDIRECT("'SpxSp (step-c)'!$B" &amp; BQ$72)=$Z80,INDIRECT("'SpxSp (step-c)'!$" &amp; 'SpxSp (step-c)'!$AC$16 &amp; BQ$72),"")</f>
        <v/>
      </c>
      <c r="BR80" s="1317" t="str">
        <f ca="1">IF(INDIRECT("'SpxSp (step-c)'!$B" &amp; BR$72)=$Z80,INDIRECT("'SpxSp (step-c)'!$" &amp; 'SpxSp (step-c)'!$AC$16 &amp; BR$72),"")</f>
        <v/>
      </c>
      <c r="BS80" s="1317" t="str">
        <f ca="1">IF(INDIRECT("'SpxSp (step-c)'!$B" &amp; BS$72)=$Z80,INDIRECT("'SpxSp (step-c)'!$" &amp; 'SpxSp (step-c)'!$AC$16 &amp; BS$72),"")</f>
        <v/>
      </c>
      <c r="BT80" s="1317" t="str">
        <f ca="1">IF(INDIRECT("'SpxSp (step-c)'!$B" &amp; BT$72)=$Z80,INDIRECT("'SpxSp (step-c)'!$" &amp; 'SpxSp (step-c)'!$AC$16 &amp; BT$72),"")</f>
        <v/>
      </c>
      <c r="BU80" s="1317" t="str">
        <f ca="1">IF(INDIRECT("'SpxSp (step-c)'!$B" &amp; BU$72)=$Z80,INDIRECT("'SpxSp (step-c)'!$" &amp; 'SpxSp (step-c)'!$AC$16 &amp; BU$72),"")</f>
        <v/>
      </c>
      <c r="BV80" s="1317" t="str">
        <f ca="1">IF(INDIRECT("'SpxSp (step-c)'!$B" &amp; BV$72)=$Z80,INDIRECT("'SpxSp (step-c)'!$" &amp; 'SpxSp (step-c)'!$AC$16 &amp; BV$72),"")</f>
        <v/>
      </c>
      <c r="BW80" s="1317" t="str">
        <f ca="1">IF(INDIRECT("'SpxSp (step-c)'!$B" &amp; BW$72)=$Z80,INDIRECT("'SpxSp (step-c)'!$" &amp; 'SpxSp (step-c)'!$AC$16 &amp; BW$72),"")</f>
        <v/>
      </c>
      <c r="BX80" s="1317" t="str">
        <f ca="1">IF(INDIRECT("'SpxSp (step-c)'!$B" &amp; BX$72)=$Z80,INDIRECT("'SpxSp (step-c)'!$" &amp; 'SpxSp (step-c)'!$AC$16 &amp; BX$72),"")</f>
        <v/>
      </c>
      <c r="BY80" s="1317" t="str">
        <f ca="1">IF(INDIRECT("'SpxSp (step-c)'!$B" &amp; BY$72)=$Z80,INDIRECT("'SpxSp (step-c)'!$" &amp; 'SpxSp (step-c)'!$AC$16 &amp; BY$72),"")</f>
        <v/>
      </c>
      <c r="BZ80" s="1317" t="str">
        <f ca="1">IF(INDIRECT("'SpxSp (step-c)'!$B" &amp; BZ$72)=$Z80,INDIRECT("'SpxSp (step-c)'!$" &amp; 'SpxSp (step-c)'!$AC$16 &amp; BZ$72),"")</f>
        <v/>
      </c>
      <c r="CA80" s="1317" t="str">
        <f ca="1">IF(INDIRECT("'SpxSp (step-c)'!$B" &amp; CA$72)=$Z80,INDIRECT("'SpxSp (step-c)'!$" &amp; 'SpxSp (step-c)'!$AC$16 &amp; CA$72),"")</f>
        <v/>
      </c>
      <c r="CB80" s="1317" t="str">
        <f ca="1">IF(INDIRECT("'SpxSp (step-c)'!$B" &amp; CB$72)=$Z80,INDIRECT("'SpxSp (step-c)'!$" &amp; 'SpxSp (step-c)'!$AC$16 &amp; CB$72),"")</f>
        <v/>
      </c>
      <c r="CC80" s="1317" t="str">
        <f ca="1">IF(INDIRECT("'SpxSp (step-c)'!$B" &amp; CC$72)=$Z80,INDIRECT("'SpxSp (step-c)'!$" &amp; 'SpxSp (step-c)'!$AC$16 &amp; CC$72),"")</f>
        <v/>
      </c>
      <c r="CD80" s="1317" t="str">
        <f ca="1">IF(INDIRECT("'SpxSp (step-c)'!$B" &amp; CD$72)=$Z80,INDIRECT("'SpxSp (step-c)'!$" &amp; 'SpxSp (step-c)'!$AC$16 &amp; CD$72),"")</f>
        <v/>
      </c>
      <c r="CE80" s="1317" t="str">
        <f ca="1">IF(INDIRECT("'SpxSp (step-c)'!$B" &amp; CE$72)=$Z80,INDIRECT("'SpxSp (step-c)'!$" &amp; 'SpxSp (step-c)'!$AC$16 &amp; CE$72),"")</f>
        <v/>
      </c>
      <c r="CF80" s="1317" t="str">
        <f ca="1">IF(INDIRECT("'SpxSp (step-c)'!$B" &amp; CF$72)=$Z80,INDIRECT("'SpxSp (step-c)'!$" &amp; 'SpxSp (step-c)'!$AC$16 &amp; CF$72),"")</f>
        <v/>
      </c>
      <c r="CG80" s="1317" t="str">
        <f ca="1">IF(INDIRECT("'SpxSp (step-c)'!$B" &amp; CG$72)=$Z80,INDIRECT("'SpxSp (step-c)'!$" &amp; 'SpxSp (step-c)'!$AC$16 &amp; CG$72),"")</f>
        <v/>
      </c>
      <c r="CH80" s="1317" t="str">
        <f ca="1">IF(INDIRECT("'SpxSp (step-c)'!$B" &amp; CH$72)=$Z80,INDIRECT("'SpxSp (step-c)'!$" &amp; 'SpxSp (step-c)'!$AC$16 &amp; CH$72),"")</f>
        <v/>
      </c>
      <c r="CI80" s="1317" t="str">
        <f ca="1">IF(INDIRECT("'SpxSp (step-c)'!$B" &amp; CI$72)=$Z80,INDIRECT("'SpxSp (step-c)'!$" &amp; 'SpxSp (step-c)'!$AC$16 &amp; CI$72),"")</f>
        <v/>
      </c>
      <c r="CJ80" s="1317" t="str">
        <f ca="1">IF(INDIRECT("'SpxSp (step-c)'!$B" &amp; CJ$72)=$Z80,INDIRECT("'SpxSp (step-c)'!$" &amp; 'SpxSp (step-c)'!$AC$16 &amp; CJ$72),"")</f>
        <v/>
      </c>
      <c r="CK80" s="1317" t="str">
        <f ca="1">IF(INDIRECT("'SpxSp (step-c)'!$B" &amp; CK$72)=$Z80,INDIRECT("'SpxSp (step-c)'!$" &amp; 'SpxSp (step-c)'!$AC$16 &amp; CK$72),"")</f>
        <v/>
      </c>
      <c r="CL80" s="1317" t="str">
        <f ca="1">IF(INDIRECT("'SpxSp (step-c)'!$B" &amp; CL$72)=$Z80,INDIRECT("'SpxSp (step-c)'!$" &amp; 'SpxSp (step-c)'!$AC$16 &amp; CL$72),"")</f>
        <v/>
      </c>
      <c r="CM80" s="1317" t="str">
        <f ca="1">IF(INDIRECT("'SpxSp (step-c)'!$B" &amp; CM$72)=$Z80,INDIRECT("'SpxSp (step-c)'!$" &amp; 'SpxSp (step-c)'!$AC$16 &amp; CM$72),"")</f>
        <v/>
      </c>
      <c r="CN80" s="1317" t="str">
        <f ca="1">IF(INDIRECT("'SpxSp (step-c)'!$B" &amp; CN$72)=$Z80,INDIRECT("'SpxSp (step-c)'!$" &amp; 'SpxSp (step-c)'!$AC$16 &amp; CN$72),"")</f>
        <v/>
      </c>
      <c r="CO80" s="1317" t="str">
        <f ca="1">IF(INDIRECT("'SpxSp (step-c)'!$B" &amp; CO$72)=$Z80,INDIRECT("'SpxSp (step-c)'!$" &amp; 'SpxSp (step-c)'!$AC$16 &amp; CO$72),"")</f>
        <v/>
      </c>
      <c r="CP80" s="1317" t="str">
        <f ca="1">IF(INDIRECT("'SpxSp (step-c)'!$B" &amp; CP$72)=$Z80,INDIRECT("'SpxSp (step-c)'!$" &amp; 'SpxSp (step-c)'!$AC$16 &amp; CP$72),"")</f>
        <v/>
      </c>
      <c r="CQ80" s="1317" t="str">
        <f ca="1">IF(INDIRECT("'SpxSp (step-c)'!$B" &amp; CQ$72)=$Z80,INDIRECT("'SpxSp (step-c)'!$" &amp; 'SpxSp (step-c)'!$AC$16 &amp; CQ$72),"")</f>
        <v/>
      </c>
      <c r="CR80" s="1317" t="str">
        <f ca="1">IF(INDIRECT("'SpxSp (step-c)'!$B" &amp; CR$72)=$Z80,INDIRECT("'SpxSp (step-c)'!$" &amp; 'SpxSp (step-c)'!$AC$16 &amp; CR$72),"")</f>
        <v/>
      </c>
      <c r="CS80" s="1317" t="str">
        <f ca="1">IF(INDIRECT("'SpxSp (step-c)'!$B" &amp; CS$72)=$Z80,INDIRECT("'SpxSp (step-c)'!$" &amp; 'SpxSp (step-c)'!$AC$16 &amp; CS$72),"")</f>
        <v/>
      </c>
      <c r="CT80" s="1317" t="str">
        <f ca="1">IF(INDIRECT("'SpxSp (step-c)'!$B" &amp; CT$72)=$Z80,INDIRECT("'SpxSp (step-c)'!$" &amp; 'SpxSp (step-c)'!$AC$16 &amp; CT$72),"")</f>
        <v/>
      </c>
      <c r="CU80" s="1317" t="str">
        <f ca="1">IF(INDIRECT("'SpxSp (step-c)'!$B" &amp; CU$72)=$Z80,INDIRECT("'SpxSp (step-c)'!$" &amp; 'SpxSp (step-c)'!$AC$16 &amp; CU$72),"")</f>
        <v/>
      </c>
      <c r="CV80" s="1317" t="str">
        <f ca="1">IF(INDIRECT("'SpxSp (step-c)'!$B" &amp; CV$72)=$Z80,INDIRECT("'SpxSp (step-c)'!$" &amp; 'SpxSp (step-c)'!$AC$16 &amp; CV$72),"")</f>
        <v/>
      </c>
      <c r="CW80" s="1317" t="str">
        <f ca="1">IF(INDIRECT("'SpxSp (step-c)'!$B" &amp; CW$72)=$Z80,INDIRECT("'SpxSp (step-c)'!$" &amp; 'SpxSp (step-c)'!$AC$16 &amp; CW$72),"")</f>
        <v/>
      </c>
      <c r="CX80" s="1317" t="str">
        <f ca="1">IF(INDIRECT("'SpxSp (step-c)'!$B" &amp; CX$72)=$Z80,INDIRECT("'SpxSp (step-c)'!$" &amp; 'SpxSp (step-c)'!$AC$16 &amp; CX$72),"")</f>
        <v/>
      </c>
      <c r="CY80" s="1317" t="str">
        <f ca="1">IF(INDIRECT("'SpxSp (step-c)'!$B" &amp; CY$72)=$Z80,INDIRECT("'SpxSp (step-c)'!$" &amp; 'SpxSp (step-c)'!$AC$16 &amp; CY$72),"")</f>
        <v/>
      </c>
      <c r="CZ80" s="1317" t="str">
        <f ca="1">IF(INDIRECT("'SpxSp (step-c)'!$B" &amp; CZ$72)=$Z80,INDIRECT("'SpxSp (step-c)'!$" &amp; 'SpxSp (step-c)'!$AC$16 &amp; CZ$72),"")</f>
        <v/>
      </c>
      <c r="DA80" s="1317" t="str">
        <f ca="1">IF(INDIRECT("'SpxSp (step-c)'!$B" &amp; DA$72)=$Z80,INDIRECT("'SpxSp (step-c)'!$" &amp; 'SpxSp (step-c)'!$AC$16 &amp; DA$72),"")</f>
        <v/>
      </c>
      <c r="DB80" s="1317" t="str">
        <f ca="1">IF(INDIRECT("'SpxSp (step-c)'!$B" &amp; DB$72)=$Z80,INDIRECT("'SpxSp (step-c)'!$" &amp; 'SpxSp (step-c)'!$AC$16 &amp; DB$72),"")</f>
        <v/>
      </c>
      <c r="DC80" s="1317" t="str">
        <f ca="1">IF(INDIRECT("'SpxSp (step-c)'!$B" &amp; DC$72)=$Z80,INDIRECT("'SpxSp (step-c)'!$" &amp; 'SpxSp (step-c)'!$AC$16 &amp; DC$72),"")</f>
        <v/>
      </c>
      <c r="DD80" s="1317" t="str">
        <f ca="1">IF(INDIRECT("'SpxSp (step-c)'!$B" &amp; DD$72)=$Z80,INDIRECT("'SpxSp (step-c)'!$" &amp; 'SpxSp (step-c)'!$AC$16 &amp; DD$72),"")</f>
        <v/>
      </c>
      <c r="DE80" s="1317" t="str">
        <f ca="1">IF(INDIRECT("'SpxSp (step-c)'!$B" &amp; DE$72)=$Z80,INDIRECT("'SpxSp (step-c)'!$" &amp; 'SpxSp (step-c)'!$AC$16 &amp; DE$72),"")</f>
        <v/>
      </c>
      <c r="DF80" s="1317" t="str">
        <f ca="1">IF(INDIRECT("'SpxSp (step-c)'!$B" &amp; DF$72)=$Z80,INDIRECT("'SpxSp (step-c)'!$" &amp; 'SpxSp (step-c)'!$AC$16 &amp; DF$72),"")</f>
        <v/>
      </c>
      <c r="DG80" s="1317" t="str">
        <f ca="1">IF(INDIRECT("'SpxSp (step-c)'!$B" &amp; DG$72)=$Z80,INDIRECT("'SpxSp (step-c)'!$" &amp; 'SpxSp (step-c)'!$AC$16 &amp; DG$72),"")</f>
        <v/>
      </c>
      <c r="DH80" s="1317" t="str">
        <f ca="1">IF(INDIRECT("'SpxSp (step-c)'!$B" &amp; DH$72)=$Z80,INDIRECT("'SpxSp (step-c)'!$" &amp; 'SpxSp (step-c)'!$AC$16 &amp; DH$72),"")</f>
        <v/>
      </c>
      <c r="DI80" s="1317" t="str">
        <f ca="1">IF(INDIRECT("'SpxSp (step-c)'!$B" &amp; DI$72)=$Z80,INDIRECT("'SpxSp (step-c)'!$" &amp; 'SpxSp (step-c)'!$AC$16 &amp; DI$72),"")</f>
        <v/>
      </c>
      <c r="DJ80" s="1317" t="str">
        <f ca="1">IF(INDIRECT("'SpxSp (step-c)'!$B" &amp; DJ$72)=$Z80,INDIRECT("'SpxSp (step-c)'!$" &amp; 'SpxSp (step-c)'!$AC$16 &amp; DJ$72),"")</f>
        <v/>
      </c>
      <c r="DK80" s="1317" t="str">
        <f ca="1">IF(INDIRECT("'SpxSp (step-c)'!$B" &amp; DK$72)=$Z80,INDIRECT("'SpxSp (step-c)'!$" &amp; 'SpxSp (step-c)'!$AC$16 &amp; DK$72),"")</f>
        <v/>
      </c>
      <c r="DL80" s="1317" t="str">
        <f ca="1">IF(INDIRECT("'SpxSp (step-c)'!$B" &amp; DL$72)=$Z80,INDIRECT("'SpxSp (step-c)'!$" &amp; 'SpxSp (step-c)'!$AC$16 &amp; DL$72),"")</f>
        <v/>
      </c>
      <c r="DM80" s="1317" t="str">
        <f ca="1">IF(INDIRECT("'SpxSp (step-c)'!$B" &amp; DM$72)=$Z80,INDIRECT("'SpxSp (step-c)'!$" &amp; 'SpxSp (step-c)'!$AC$16 &amp; DM$72),"")</f>
        <v/>
      </c>
      <c r="DO80" s="1246" t="s">
        <v>1200</v>
      </c>
    </row>
    <row r="81" spans="26:119" ht="20" x14ac:dyDescent="0.2">
      <c r="Z81" s="1317" t="str">
        <f t="shared" ref="Z81:AA81" si="49">Z26</f>
        <v/>
      </c>
      <c r="AA81" s="1317" t="str">
        <f t="shared" si="49"/>
        <v/>
      </c>
      <c r="BN81" s="178">
        <v>9</v>
      </c>
      <c r="BO81" s="1316" t="str">
        <f t="shared" ca="1" si="43"/>
        <v/>
      </c>
      <c r="BP81" s="1317" t="str">
        <f ca="1">IF(INDIRECT("'SpxSp (step-c)'!$B" &amp; BP$72)=$Z81,INDIRECT("'SpxSp (step-c)'!$" &amp; 'SpxSp (step-c)'!$AC$16 &amp; BP$72),"")</f>
        <v/>
      </c>
      <c r="BQ81" s="1317" t="str">
        <f ca="1">IF(INDIRECT("'SpxSp (step-c)'!$B" &amp; BQ$72)=$Z81,INDIRECT("'SpxSp (step-c)'!$" &amp; 'SpxSp (step-c)'!$AC$16 &amp; BQ$72),"")</f>
        <v/>
      </c>
      <c r="BR81" s="1317" t="str">
        <f ca="1">IF(INDIRECT("'SpxSp (step-c)'!$B" &amp; BR$72)=$Z81,INDIRECT("'SpxSp (step-c)'!$" &amp; 'SpxSp (step-c)'!$AC$16 &amp; BR$72),"")</f>
        <v/>
      </c>
      <c r="BS81" s="1317" t="str">
        <f ca="1">IF(INDIRECT("'SpxSp (step-c)'!$B" &amp; BS$72)=$Z81,INDIRECT("'SpxSp (step-c)'!$" &amp; 'SpxSp (step-c)'!$AC$16 &amp; BS$72),"")</f>
        <v/>
      </c>
      <c r="BT81" s="1317" t="str">
        <f ca="1">IF(INDIRECT("'SpxSp (step-c)'!$B" &amp; BT$72)=$Z81,INDIRECT("'SpxSp (step-c)'!$" &amp; 'SpxSp (step-c)'!$AC$16 &amp; BT$72),"")</f>
        <v/>
      </c>
      <c r="BU81" s="1317" t="str">
        <f ca="1">IF(INDIRECT("'SpxSp (step-c)'!$B" &amp; BU$72)=$Z81,INDIRECT("'SpxSp (step-c)'!$" &amp; 'SpxSp (step-c)'!$AC$16 &amp; BU$72),"")</f>
        <v/>
      </c>
      <c r="BV81" s="1317" t="str">
        <f ca="1">IF(INDIRECT("'SpxSp (step-c)'!$B" &amp; BV$72)=$Z81,INDIRECT("'SpxSp (step-c)'!$" &amp; 'SpxSp (step-c)'!$AC$16 &amp; BV$72),"")</f>
        <v/>
      </c>
      <c r="BW81" s="1317" t="str">
        <f ca="1">IF(INDIRECT("'SpxSp (step-c)'!$B" &amp; BW$72)=$Z81,INDIRECT("'SpxSp (step-c)'!$" &amp; 'SpxSp (step-c)'!$AC$16 &amp; BW$72),"")</f>
        <v/>
      </c>
      <c r="BX81" s="1317" t="str">
        <f ca="1">IF(INDIRECT("'SpxSp (step-c)'!$B" &amp; BX$72)=$Z81,INDIRECT("'SpxSp (step-c)'!$" &amp; 'SpxSp (step-c)'!$AC$16 &amp; BX$72),"")</f>
        <v/>
      </c>
      <c r="BY81" s="1317" t="str">
        <f ca="1">IF(INDIRECT("'SpxSp (step-c)'!$B" &amp; BY$72)=$Z81,INDIRECT("'SpxSp (step-c)'!$" &amp; 'SpxSp (step-c)'!$AC$16 &amp; BY$72),"")</f>
        <v/>
      </c>
      <c r="BZ81" s="1317" t="str">
        <f ca="1">IF(INDIRECT("'SpxSp (step-c)'!$B" &amp; BZ$72)=$Z81,INDIRECT("'SpxSp (step-c)'!$" &amp; 'SpxSp (step-c)'!$AC$16 &amp; BZ$72),"")</f>
        <v/>
      </c>
      <c r="CA81" s="1317" t="str">
        <f ca="1">IF(INDIRECT("'SpxSp (step-c)'!$B" &amp; CA$72)=$Z81,INDIRECT("'SpxSp (step-c)'!$" &amp; 'SpxSp (step-c)'!$AC$16 &amp; CA$72),"")</f>
        <v/>
      </c>
      <c r="CB81" s="1317" t="str">
        <f ca="1">IF(INDIRECT("'SpxSp (step-c)'!$B" &amp; CB$72)=$Z81,INDIRECT("'SpxSp (step-c)'!$" &amp; 'SpxSp (step-c)'!$AC$16 &amp; CB$72),"")</f>
        <v/>
      </c>
      <c r="CC81" s="1317" t="str">
        <f ca="1">IF(INDIRECT("'SpxSp (step-c)'!$B" &amp; CC$72)=$Z81,INDIRECT("'SpxSp (step-c)'!$" &amp; 'SpxSp (step-c)'!$AC$16 &amp; CC$72),"")</f>
        <v/>
      </c>
      <c r="CD81" s="1317" t="str">
        <f ca="1">IF(INDIRECT("'SpxSp (step-c)'!$B" &amp; CD$72)=$Z81,INDIRECT("'SpxSp (step-c)'!$" &amp; 'SpxSp (step-c)'!$AC$16 &amp; CD$72),"")</f>
        <v/>
      </c>
      <c r="CE81" s="1317" t="str">
        <f ca="1">IF(INDIRECT("'SpxSp (step-c)'!$B" &amp; CE$72)=$Z81,INDIRECT("'SpxSp (step-c)'!$" &amp; 'SpxSp (step-c)'!$AC$16 &amp; CE$72),"")</f>
        <v/>
      </c>
      <c r="CF81" s="1317" t="str">
        <f ca="1">IF(INDIRECT("'SpxSp (step-c)'!$B" &amp; CF$72)=$Z81,INDIRECT("'SpxSp (step-c)'!$" &amp; 'SpxSp (step-c)'!$AC$16 &amp; CF$72),"")</f>
        <v/>
      </c>
      <c r="CG81" s="1317" t="str">
        <f ca="1">IF(INDIRECT("'SpxSp (step-c)'!$B" &amp; CG$72)=$Z81,INDIRECT("'SpxSp (step-c)'!$" &amp; 'SpxSp (step-c)'!$AC$16 &amp; CG$72),"")</f>
        <v/>
      </c>
      <c r="CH81" s="1317" t="str">
        <f ca="1">IF(INDIRECT("'SpxSp (step-c)'!$B" &amp; CH$72)=$Z81,INDIRECT("'SpxSp (step-c)'!$" &amp; 'SpxSp (step-c)'!$AC$16 &amp; CH$72),"")</f>
        <v/>
      </c>
      <c r="CI81" s="1317" t="str">
        <f ca="1">IF(INDIRECT("'SpxSp (step-c)'!$B" &amp; CI$72)=$Z81,INDIRECT("'SpxSp (step-c)'!$" &amp; 'SpxSp (step-c)'!$AC$16 &amp; CI$72),"")</f>
        <v/>
      </c>
      <c r="CJ81" s="1317" t="str">
        <f ca="1">IF(INDIRECT("'SpxSp (step-c)'!$B" &amp; CJ$72)=$Z81,INDIRECT("'SpxSp (step-c)'!$" &amp; 'SpxSp (step-c)'!$AC$16 &amp; CJ$72),"")</f>
        <v/>
      </c>
      <c r="CK81" s="1317" t="str">
        <f ca="1">IF(INDIRECT("'SpxSp (step-c)'!$B" &amp; CK$72)=$Z81,INDIRECT("'SpxSp (step-c)'!$" &amp; 'SpxSp (step-c)'!$AC$16 &amp; CK$72),"")</f>
        <v/>
      </c>
      <c r="CL81" s="1317" t="str">
        <f ca="1">IF(INDIRECT("'SpxSp (step-c)'!$B" &amp; CL$72)=$Z81,INDIRECT("'SpxSp (step-c)'!$" &amp; 'SpxSp (step-c)'!$AC$16 &amp; CL$72),"")</f>
        <v/>
      </c>
      <c r="CM81" s="1317" t="str">
        <f ca="1">IF(INDIRECT("'SpxSp (step-c)'!$B" &amp; CM$72)=$Z81,INDIRECT("'SpxSp (step-c)'!$" &amp; 'SpxSp (step-c)'!$AC$16 &amp; CM$72),"")</f>
        <v/>
      </c>
      <c r="CN81" s="1317" t="str">
        <f ca="1">IF(INDIRECT("'SpxSp (step-c)'!$B" &amp; CN$72)=$Z81,INDIRECT("'SpxSp (step-c)'!$" &amp; 'SpxSp (step-c)'!$AC$16 &amp; CN$72),"")</f>
        <v/>
      </c>
      <c r="CO81" s="1317" t="str">
        <f ca="1">IF(INDIRECT("'SpxSp (step-c)'!$B" &amp; CO$72)=$Z81,INDIRECT("'SpxSp (step-c)'!$" &amp; 'SpxSp (step-c)'!$AC$16 &amp; CO$72),"")</f>
        <v/>
      </c>
      <c r="CP81" s="1317" t="str">
        <f ca="1">IF(INDIRECT("'SpxSp (step-c)'!$B" &amp; CP$72)=$Z81,INDIRECT("'SpxSp (step-c)'!$" &amp; 'SpxSp (step-c)'!$AC$16 &amp; CP$72),"")</f>
        <v/>
      </c>
      <c r="CQ81" s="1317" t="str">
        <f ca="1">IF(INDIRECT("'SpxSp (step-c)'!$B" &amp; CQ$72)=$Z81,INDIRECT("'SpxSp (step-c)'!$" &amp; 'SpxSp (step-c)'!$AC$16 &amp; CQ$72),"")</f>
        <v/>
      </c>
      <c r="CR81" s="1317" t="str">
        <f ca="1">IF(INDIRECT("'SpxSp (step-c)'!$B" &amp; CR$72)=$Z81,INDIRECT("'SpxSp (step-c)'!$" &amp; 'SpxSp (step-c)'!$AC$16 &amp; CR$72),"")</f>
        <v/>
      </c>
      <c r="CS81" s="1317" t="str">
        <f ca="1">IF(INDIRECT("'SpxSp (step-c)'!$B" &amp; CS$72)=$Z81,INDIRECT("'SpxSp (step-c)'!$" &amp; 'SpxSp (step-c)'!$AC$16 &amp; CS$72),"")</f>
        <v/>
      </c>
      <c r="CT81" s="1317" t="str">
        <f ca="1">IF(INDIRECT("'SpxSp (step-c)'!$B" &amp; CT$72)=$Z81,INDIRECT("'SpxSp (step-c)'!$" &amp; 'SpxSp (step-c)'!$AC$16 &amp; CT$72),"")</f>
        <v/>
      </c>
      <c r="CU81" s="1317" t="str">
        <f ca="1">IF(INDIRECT("'SpxSp (step-c)'!$B" &amp; CU$72)=$Z81,INDIRECT("'SpxSp (step-c)'!$" &amp; 'SpxSp (step-c)'!$AC$16 &amp; CU$72),"")</f>
        <v/>
      </c>
      <c r="CV81" s="1317" t="str">
        <f ca="1">IF(INDIRECT("'SpxSp (step-c)'!$B" &amp; CV$72)=$Z81,INDIRECT("'SpxSp (step-c)'!$" &amp; 'SpxSp (step-c)'!$AC$16 &amp; CV$72),"")</f>
        <v/>
      </c>
      <c r="CW81" s="1317" t="str">
        <f ca="1">IF(INDIRECT("'SpxSp (step-c)'!$B" &amp; CW$72)=$Z81,INDIRECT("'SpxSp (step-c)'!$" &amp; 'SpxSp (step-c)'!$AC$16 &amp; CW$72),"")</f>
        <v/>
      </c>
      <c r="CX81" s="1317" t="str">
        <f ca="1">IF(INDIRECT("'SpxSp (step-c)'!$B" &amp; CX$72)=$Z81,INDIRECT("'SpxSp (step-c)'!$" &amp; 'SpxSp (step-c)'!$AC$16 &amp; CX$72),"")</f>
        <v/>
      </c>
      <c r="CY81" s="1317" t="str">
        <f ca="1">IF(INDIRECT("'SpxSp (step-c)'!$B" &amp; CY$72)=$Z81,INDIRECT("'SpxSp (step-c)'!$" &amp; 'SpxSp (step-c)'!$AC$16 &amp; CY$72),"")</f>
        <v/>
      </c>
      <c r="CZ81" s="1317" t="str">
        <f ca="1">IF(INDIRECT("'SpxSp (step-c)'!$B" &amp; CZ$72)=$Z81,INDIRECT("'SpxSp (step-c)'!$" &amp; 'SpxSp (step-c)'!$AC$16 &amp; CZ$72),"")</f>
        <v/>
      </c>
      <c r="DA81" s="1317" t="str">
        <f ca="1">IF(INDIRECT("'SpxSp (step-c)'!$B" &amp; DA$72)=$Z81,INDIRECT("'SpxSp (step-c)'!$" &amp; 'SpxSp (step-c)'!$AC$16 &amp; DA$72),"")</f>
        <v/>
      </c>
      <c r="DB81" s="1317" t="str">
        <f ca="1">IF(INDIRECT("'SpxSp (step-c)'!$B" &amp; DB$72)=$Z81,INDIRECT("'SpxSp (step-c)'!$" &amp; 'SpxSp (step-c)'!$AC$16 &amp; DB$72),"")</f>
        <v/>
      </c>
      <c r="DC81" s="1317" t="str">
        <f ca="1">IF(INDIRECT("'SpxSp (step-c)'!$B" &amp; DC$72)=$Z81,INDIRECT("'SpxSp (step-c)'!$" &amp; 'SpxSp (step-c)'!$AC$16 &amp; DC$72),"")</f>
        <v/>
      </c>
      <c r="DD81" s="1317" t="str">
        <f ca="1">IF(INDIRECT("'SpxSp (step-c)'!$B" &amp; DD$72)=$Z81,INDIRECT("'SpxSp (step-c)'!$" &amp; 'SpxSp (step-c)'!$AC$16 &amp; DD$72),"")</f>
        <v/>
      </c>
      <c r="DE81" s="1317" t="str">
        <f ca="1">IF(INDIRECT("'SpxSp (step-c)'!$B" &amp; DE$72)=$Z81,INDIRECT("'SpxSp (step-c)'!$" &amp; 'SpxSp (step-c)'!$AC$16 &amp; DE$72),"")</f>
        <v/>
      </c>
      <c r="DF81" s="1317" t="str">
        <f ca="1">IF(INDIRECT("'SpxSp (step-c)'!$B" &amp; DF$72)=$Z81,INDIRECT("'SpxSp (step-c)'!$" &amp; 'SpxSp (step-c)'!$AC$16 &amp; DF$72),"")</f>
        <v/>
      </c>
      <c r="DG81" s="1317" t="str">
        <f ca="1">IF(INDIRECT("'SpxSp (step-c)'!$B" &amp; DG$72)=$Z81,INDIRECT("'SpxSp (step-c)'!$" &amp; 'SpxSp (step-c)'!$AC$16 &amp; DG$72),"")</f>
        <v/>
      </c>
      <c r="DH81" s="1317" t="str">
        <f ca="1">IF(INDIRECT("'SpxSp (step-c)'!$B" &amp; DH$72)=$Z81,INDIRECT("'SpxSp (step-c)'!$" &amp; 'SpxSp (step-c)'!$AC$16 &amp; DH$72),"")</f>
        <v/>
      </c>
      <c r="DI81" s="1317" t="str">
        <f ca="1">IF(INDIRECT("'SpxSp (step-c)'!$B" &amp; DI$72)=$Z81,INDIRECT("'SpxSp (step-c)'!$" &amp; 'SpxSp (step-c)'!$AC$16 &amp; DI$72),"")</f>
        <v/>
      </c>
      <c r="DJ81" s="1317" t="str">
        <f ca="1">IF(INDIRECT("'SpxSp (step-c)'!$B" &amp; DJ$72)=$Z81,INDIRECT("'SpxSp (step-c)'!$" &amp; 'SpxSp (step-c)'!$AC$16 &amp; DJ$72),"")</f>
        <v/>
      </c>
      <c r="DK81" s="1317" t="str">
        <f ca="1">IF(INDIRECT("'SpxSp (step-c)'!$B" &amp; DK$72)=$Z81,INDIRECT("'SpxSp (step-c)'!$" &amp; 'SpxSp (step-c)'!$AC$16 &amp; DK$72),"")</f>
        <v/>
      </c>
      <c r="DL81" s="1317" t="str">
        <f ca="1">IF(INDIRECT("'SpxSp (step-c)'!$B" &amp; DL$72)=$Z81,INDIRECT("'SpxSp (step-c)'!$" &amp; 'SpxSp (step-c)'!$AC$16 &amp; DL$72),"")</f>
        <v/>
      </c>
      <c r="DM81" s="1317" t="str">
        <f ca="1">IF(INDIRECT("'SpxSp (step-c)'!$B" &amp; DM$72)=$Z81,INDIRECT("'SpxSp (step-c)'!$" &amp; 'SpxSp (step-c)'!$AC$16 &amp; DM$72),"")</f>
        <v/>
      </c>
      <c r="DO81" s="1246" t="s">
        <v>1200</v>
      </c>
    </row>
    <row r="82" spans="26:119" ht="20" x14ac:dyDescent="0.2">
      <c r="Z82" s="1317" t="str">
        <f t="shared" ref="Z82:AA82" si="50">Z27</f>
        <v/>
      </c>
      <c r="AA82" s="1317" t="str">
        <f t="shared" si="50"/>
        <v/>
      </c>
      <c r="BN82" s="178">
        <v>10</v>
      </c>
      <c r="BO82" s="1316" t="str">
        <f t="shared" ca="1" si="43"/>
        <v/>
      </c>
      <c r="BP82" s="1317" t="str">
        <f ca="1">IF(INDIRECT("'SpxSp (step-c)'!$B" &amp; BP$72)=$Z82,INDIRECT("'SpxSp (step-c)'!$" &amp; 'SpxSp (step-c)'!$AC$16 &amp; BP$72),"")</f>
        <v/>
      </c>
      <c r="BQ82" s="1317" t="str">
        <f ca="1">IF(INDIRECT("'SpxSp (step-c)'!$B" &amp; BQ$72)=$Z82,INDIRECT("'SpxSp (step-c)'!$" &amp; 'SpxSp (step-c)'!$AC$16 &amp; BQ$72),"")</f>
        <v/>
      </c>
      <c r="BR82" s="1317" t="str">
        <f ca="1">IF(INDIRECT("'SpxSp (step-c)'!$B" &amp; BR$72)=$Z82,INDIRECT("'SpxSp (step-c)'!$" &amp; 'SpxSp (step-c)'!$AC$16 &amp; BR$72),"")</f>
        <v/>
      </c>
      <c r="BS82" s="1317" t="str">
        <f ca="1">IF(INDIRECT("'SpxSp (step-c)'!$B" &amp; BS$72)=$Z82,INDIRECT("'SpxSp (step-c)'!$" &amp; 'SpxSp (step-c)'!$AC$16 &amp; BS$72),"")</f>
        <v/>
      </c>
      <c r="BT82" s="1317" t="str">
        <f ca="1">IF(INDIRECT("'SpxSp (step-c)'!$B" &amp; BT$72)=$Z82,INDIRECT("'SpxSp (step-c)'!$" &amp; 'SpxSp (step-c)'!$AC$16 &amp; BT$72),"")</f>
        <v/>
      </c>
      <c r="BU82" s="1317" t="str">
        <f ca="1">IF(INDIRECT("'SpxSp (step-c)'!$B" &amp; BU$72)=$Z82,INDIRECT("'SpxSp (step-c)'!$" &amp; 'SpxSp (step-c)'!$AC$16 &amp; BU$72),"")</f>
        <v/>
      </c>
      <c r="BV82" s="1317" t="str">
        <f ca="1">IF(INDIRECT("'SpxSp (step-c)'!$B" &amp; BV$72)=$Z82,INDIRECT("'SpxSp (step-c)'!$" &amp; 'SpxSp (step-c)'!$AC$16 &amp; BV$72),"")</f>
        <v/>
      </c>
      <c r="BW82" s="1317" t="str">
        <f ca="1">IF(INDIRECT("'SpxSp (step-c)'!$B" &amp; BW$72)=$Z82,INDIRECT("'SpxSp (step-c)'!$" &amp; 'SpxSp (step-c)'!$AC$16 &amp; BW$72),"")</f>
        <v/>
      </c>
      <c r="BX82" s="1317" t="str">
        <f ca="1">IF(INDIRECT("'SpxSp (step-c)'!$B" &amp; BX$72)=$Z82,INDIRECT("'SpxSp (step-c)'!$" &amp; 'SpxSp (step-c)'!$AC$16 &amp; BX$72),"")</f>
        <v/>
      </c>
      <c r="BY82" s="1317" t="str">
        <f ca="1">IF(INDIRECT("'SpxSp (step-c)'!$B" &amp; BY$72)=$Z82,INDIRECT("'SpxSp (step-c)'!$" &amp; 'SpxSp (step-c)'!$AC$16 &amp; BY$72),"")</f>
        <v/>
      </c>
      <c r="BZ82" s="1317" t="str">
        <f ca="1">IF(INDIRECT("'SpxSp (step-c)'!$B" &amp; BZ$72)=$Z82,INDIRECT("'SpxSp (step-c)'!$" &amp; 'SpxSp (step-c)'!$AC$16 &amp; BZ$72),"")</f>
        <v/>
      </c>
      <c r="CA82" s="1317" t="str">
        <f ca="1">IF(INDIRECT("'SpxSp (step-c)'!$B" &amp; CA$72)=$Z82,INDIRECT("'SpxSp (step-c)'!$" &amp; 'SpxSp (step-c)'!$AC$16 &amp; CA$72),"")</f>
        <v/>
      </c>
      <c r="CB82" s="1317" t="str">
        <f ca="1">IF(INDIRECT("'SpxSp (step-c)'!$B" &amp; CB$72)=$Z82,INDIRECT("'SpxSp (step-c)'!$" &amp; 'SpxSp (step-c)'!$AC$16 &amp; CB$72),"")</f>
        <v/>
      </c>
      <c r="CC82" s="1317" t="str">
        <f ca="1">IF(INDIRECT("'SpxSp (step-c)'!$B" &amp; CC$72)=$Z82,INDIRECT("'SpxSp (step-c)'!$" &amp; 'SpxSp (step-c)'!$AC$16 &amp; CC$72),"")</f>
        <v/>
      </c>
      <c r="CD82" s="1317" t="str">
        <f ca="1">IF(INDIRECT("'SpxSp (step-c)'!$B" &amp; CD$72)=$Z82,INDIRECT("'SpxSp (step-c)'!$" &amp; 'SpxSp (step-c)'!$AC$16 &amp; CD$72),"")</f>
        <v/>
      </c>
      <c r="CE82" s="1317" t="str">
        <f ca="1">IF(INDIRECT("'SpxSp (step-c)'!$B" &amp; CE$72)=$Z82,INDIRECT("'SpxSp (step-c)'!$" &amp; 'SpxSp (step-c)'!$AC$16 &amp; CE$72),"")</f>
        <v/>
      </c>
      <c r="CF82" s="1317" t="str">
        <f ca="1">IF(INDIRECT("'SpxSp (step-c)'!$B" &amp; CF$72)=$Z82,INDIRECT("'SpxSp (step-c)'!$" &amp; 'SpxSp (step-c)'!$AC$16 &amp; CF$72),"")</f>
        <v/>
      </c>
      <c r="CG82" s="1317" t="str">
        <f ca="1">IF(INDIRECT("'SpxSp (step-c)'!$B" &amp; CG$72)=$Z82,INDIRECT("'SpxSp (step-c)'!$" &amp; 'SpxSp (step-c)'!$AC$16 &amp; CG$72),"")</f>
        <v/>
      </c>
      <c r="CH82" s="1317" t="str">
        <f ca="1">IF(INDIRECT("'SpxSp (step-c)'!$B" &amp; CH$72)=$Z82,INDIRECT("'SpxSp (step-c)'!$" &amp; 'SpxSp (step-c)'!$AC$16 &amp; CH$72),"")</f>
        <v/>
      </c>
      <c r="CI82" s="1317" t="str">
        <f ca="1">IF(INDIRECT("'SpxSp (step-c)'!$B" &amp; CI$72)=$Z82,INDIRECT("'SpxSp (step-c)'!$" &amp; 'SpxSp (step-c)'!$AC$16 &amp; CI$72),"")</f>
        <v/>
      </c>
      <c r="CJ82" s="1317" t="str">
        <f ca="1">IF(INDIRECT("'SpxSp (step-c)'!$B" &amp; CJ$72)=$Z82,INDIRECT("'SpxSp (step-c)'!$" &amp; 'SpxSp (step-c)'!$AC$16 &amp; CJ$72),"")</f>
        <v/>
      </c>
      <c r="CK82" s="1317" t="str">
        <f ca="1">IF(INDIRECT("'SpxSp (step-c)'!$B" &amp; CK$72)=$Z82,INDIRECT("'SpxSp (step-c)'!$" &amp; 'SpxSp (step-c)'!$AC$16 &amp; CK$72),"")</f>
        <v/>
      </c>
      <c r="CL82" s="1317" t="str">
        <f ca="1">IF(INDIRECT("'SpxSp (step-c)'!$B" &amp; CL$72)=$Z82,INDIRECT("'SpxSp (step-c)'!$" &amp; 'SpxSp (step-c)'!$AC$16 &amp; CL$72),"")</f>
        <v/>
      </c>
      <c r="CM82" s="1317" t="str">
        <f ca="1">IF(INDIRECT("'SpxSp (step-c)'!$B" &amp; CM$72)=$Z82,INDIRECT("'SpxSp (step-c)'!$" &amp; 'SpxSp (step-c)'!$AC$16 &amp; CM$72),"")</f>
        <v/>
      </c>
      <c r="CN82" s="1317" t="str">
        <f ca="1">IF(INDIRECT("'SpxSp (step-c)'!$B" &amp; CN$72)=$Z82,INDIRECT("'SpxSp (step-c)'!$" &amp; 'SpxSp (step-c)'!$AC$16 &amp; CN$72),"")</f>
        <v/>
      </c>
      <c r="CO82" s="1317" t="str">
        <f ca="1">IF(INDIRECT("'SpxSp (step-c)'!$B" &amp; CO$72)=$Z82,INDIRECT("'SpxSp (step-c)'!$" &amp; 'SpxSp (step-c)'!$AC$16 &amp; CO$72),"")</f>
        <v/>
      </c>
      <c r="CP82" s="1317" t="str">
        <f ca="1">IF(INDIRECT("'SpxSp (step-c)'!$B" &amp; CP$72)=$Z82,INDIRECT("'SpxSp (step-c)'!$" &amp; 'SpxSp (step-c)'!$AC$16 &amp; CP$72),"")</f>
        <v/>
      </c>
      <c r="CQ82" s="1317" t="str">
        <f ca="1">IF(INDIRECT("'SpxSp (step-c)'!$B" &amp; CQ$72)=$Z82,INDIRECT("'SpxSp (step-c)'!$" &amp; 'SpxSp (step-c)'!$AC$16 &amp; CQ$72),"")</f>
        <v/>
      </c>
      <c r="CR82" s="1317" t="str">
        <f ca="1">IF(INDIRECT("'SpxSp (step-c)'!$B" &amp; CR$72)=$Z82,INDIRECT("'SpxSp (step-c)'!$" &amp; 'SpxSp (step-c)'!$AC$16 &amp; CR$72),"")</f>
        <v/>
      </c>
      <c r="CS82" s="1317" t="str">
        <f ca="1">IF(INDIRECT("'SpxSp (step-c)'!$B" &amp; CS$72)=$Z82,INDIRECT("'SpxSp (step-c)'!$" &amp; 'SpxSp (step-c)'!$AC$16 &amp; CS$72),"")</f>
        <v/>
      </c>
      <c r="CT82" s="1317" t="str">
        <f ca="1">IF(INDIRECT("'SpxSp (step-c)'!$B" &amp; CT$72)=$Z82,INDIRECT("'SpxSp (step-c)'!$" &amp; 'SpxSp (step-c)'!$AC$16 &amp; CT$72),"")</f>
        <v/>
      </c>
      <c r="CU82" s="1317" t="str">
        <f ca="1">IF(INDIRECT("'SpxSp (step-c)'!$B" &amp; CU$72)=$Z82,INDIRECT("'SpxSp (step-c)'!$" &amp; 'SpxSp (step-c)'!$AC$16 &amp; CU$72),"")</f>
        <v/>
      </c>
      <c r="CV82" s="1317" t="str">
        <f ca="1">IF(INDIRECT("'SpxSp (step-c)'!$B" &amp; CV$72)=$Z82,INDIRECT("'SpxSp (step-c)'!$" &amp; 'SpxSp (step-c)'!$AC$16 &amp; CV$72),"")</f>
        <v/>
      </c>
      <c r="CW82" s="1317" t="str">
        <f ca="1">IF(INDIRECT("'SpxSp (step-c)'!$B" &amp; CW$72)=$Z82,INDIRECT("'SpxSp (step-c)'!$" &amp; 'SpxSp (step-c)'!$AC$16 &amp; CW$72),"")</f>
        <v/>
      </c>
      <c r="CX82" s="1317" t="str">
        <f ca="1">IF(INDIRECT("'SpxSp (step-c)'!$B" &amp; CX$72)=$Z82,INDIRECT("'SpxSp (step-c)'!$" &amp; 'SpxSp (step-c)'!$AC$16 &amp; CX$72),"")</f>
        <v/>
      </c>
      <c r="CY82" s="1317" t="str">
        <f ca="1">IF(INDIRECT("'SpxSp (step-c)'!$B" &amp; CY$72)=$Z82,INDIRECT("'SpxSp (step-c)'!$" &amp; 'SpxSp (step-c)'!$AC$16 &amp; CY$72),"")</f>
        <v/>
      </c>
      <c r="CZ82" s="1317" t="str">
        <f ca="1">IF(INDIRECT("'SpxSp (step-c)'!$B" &amp; CZ$72)=$Z82,INDIRECT("'SpxSp (step-c)'!$" &amp; 'SpxSp (step-c)'!$AC$16 &amp; CZ$72),"")</f>
        <v/>
      </c>
      <c r="DA82" s="1317" t="str">
        <f ca="1">IF(INDIRECT("'SpxSp (step-c)'!$B" &amp; DA$72)=$Z82,INDIRECT("'SpxSp (step-c)'!$" &amp; 'SpxSp (step-c)'!$AC$16 &amp; DA$72),"")</f>
        <v/>
      </c>
      <c r="DB82" s="1317" t="str">
        <f ca="1">IF(INDIRECT("'SpxSp (step-c)'!$B" &amp; DB$72)=$Z82,INDIRECT("'SpxSp (step-c)'!$" &amp; 'SpxSp (step-c)'!$AC$16 &amp; DB$72),"")</f>
        <v/>
      </c>
      <c r="DC82" s="1317" t="str">
        <f ca="1">IF(INDIRECT("'SpxSp (step-c)'!$B" &amp; DC$72)=$Z82,INDIRECT("'SpxSp (step-c)'!$" &amp; 'SpxSp (step-c)'!$AC$16 &amp; DC$72),"")</f>
        <v/>
      </c>
      <c r="DD82" s="1317" t="str">
        <f ca="1">IF(INDIRECT("'SpxSp (step-c)'!$B" &amp; DD$72)=$Z82,INDIRECT("'SpxSp (step-c)'!$" &amp; 'SpxSp (step-c)'!$AC$16 &amp; DD$72),"")</f>
        <v/>
      </c>
      <c r="DE82" s="1317" t="str">
        <f ca="1">IF(INDIRECT("'SpxSp (step-c)'!$B" &amp; DE$72)=$Z82,INDIRECT("'SpxSp (step-c)'!$" &amp; 'SpxSp (step-c)'!$AC$16 &amp; DE$72),"")</f>
        <v/>
      </c>
      <c r="DF82" s="1317" t="str">
        <f ca="1">IF(INDIRECT("'SpxSp (step-c)'!$B" &amp; DF$72)=$Z82,INDIRECT("'SpxSp (step-c)'!$" &amp; 'SpxSp (step-c)'!$AC$16 &amp; DF$72),"")</f>
        <v/>
      </c>
      <c r="DG82" s="1317" t="str">
        <f ca="1">IF(INDIRECT("'SpxSp (step-c)'!$B" &amp; DG$72)=$Z82,INDIRECT("'SpxSp (step-c)'!$" &amp; 'SpxSp (step-c)'!$AC$16 &amp; DG$72),"")</f>
        <v/>
      </c>
      <c r="DH82" s="1317" t="str">
        <f ca="1">IF(INDIRECT("'SpxSp (step-c)'!$B" &amp; DH$72)=$Z82,INDIRECT("'SpxSp (step-c)'!$" &amp; 'SpxSp (step-c)'!$AC$16 &amp; DH$72),"")</f>
        <v/>
      </c>
      <c r="DI82" s="1317" t="str">
        <f ca="1">IF(INDIRECT("'SpxSp (step-c)'!$B" &amp; DI$72)=$Z82,INDIRECT("'SpxSp (step-c)'!$" &amp; 'SpxSp (step-c)'!$AC$16 &amp; DI$72),"")</f>
        <v/>
      </c>
      <c r="DJ82" s="1317" t="str">
        <f ca="1">IF(INDIRECT("'SpxSp (step-c)'!$B" &amp; DJ$72)=$Z82,INDIRECT("'SpxSp (step-c)'!$" &amp; 'SpxSp (step-c)'!$AC$16 &amp; DJ$72),"")</f>
        <v/>
      </c>
      <c r="DK82" s="1317" t="str">
        <f ca="1">IF(INDIRECT("'SpxSp (step-c)'!$B" &amp; DK$72)=$Z82,INDIRECT("'SpxSp (step-c)'!$" &amp; 'SpxSp (step-c)'!$AC$16 &amp; DK$72),"")</f>
        <v/>
      </c>
      <c r="DL82" s="1317" t="str">
        <f ca="1">IF(INDIRECT("'SpxSp (step-c)'!$B" &amp; DL$72)=$Z82,INDIRECT("'SpxSp (step-c)'!$" &amp; 'SpxSp (step-c)'!$AC$16 &amp; DL$72),"")</f>
        <v/>
      </c>
      <c r="DM82" s="1317" t="str">
        <f ca="1">IF(INDIRECT("'SpxSp (step-c)'!$B" &amp; DM$72)=$Z82,INDIRECT("'SpxSp (step-c)'!$" &amp; 'SpxSp (step-c)'!$AC$16 &amp; DM$72),"")</f>
        <v/>
      </c>
      <c r="DO82" s="1246" t="s">
        <v>1200</v>
      </c>
    </row>
    <row r="83" spans="26:119" ht="20" x14ac:dyDescent="0.2">
      <c r="Z83" s="1317" t="str">
        <f t="shared" ref="Z83:AA83" si="51">Z28</f>
        <v/>
      </c>
      <c r="AA83" s="1317" t="str">
        <f t="shared" si="51"/>
        <v/>
      </c>
      <c r="BN83" s="178">
        <v>11</v>
      </c>
      <c r="BO83" s="1316" t="str">
        <f t="shared" ca="1" si="43"/>
        <v/>
      </c>
      <c r="BP83" s="1317" t="str">
        <f ca="1">IF(INDIRECT("'SpxSp (step-c)'!$B" &amp; BP$72)=$Z83,INDIRECT("'SpxSp (step-c)'!$" &amp; 'SpxSp (step-c)'!$AC$16 &amp; BP$72),"")</f>
        <v/>
      </c>
      <c r="BQ83" s="1317" t="str">
        <f ca="1">IF(INDIRECT("'SpxSp (step-c)'!$B" &amp; BQ$72)=$Z83,INDIRECT("'SpxSp (step-c)'!$" &amp; 'SpxSp (step-c)'!$AC$16 &amp; BQ$72),"")</f>
        <v/>
      </c>
      <c r="BR83" s="1317" t="str">
        <f ca="1">IF(INDIRECT("'SpxSp (step-c)'!$B" &amp; BR$72)=$Z83,INDIRECT("'SpxSp (step-c)'!$" &amp; 'SpxSp (step-c)'!$AC$16 &amp; BR$72),"")</f>
        <v/>
      </c>
      <c r="BS83" s="1317" t="str">
        <f ca="1">IF(INDIRECT("'SpxSp (step-c)'!$B" &amp; BS$72)=$Z83,INDIRECT("'SpxSp (step-c)'!$" &amp; 'SpxSp (step-c)'!$AC$16 &amp; BS$72),"")</f>
        <v/>
      </c>
      <c r="BT83" s="1317" t="str">
        <f ca="1">IF(INDIRECT("'SpxSp (step-c)'!$B" &amp; BT$72)=$Z83,INDIRECT("'SpxSp (step-c)'!$" &amp; 'SpxSp (step-c)'!$AC$16 &amp; BT$72),"")</f>
        <v/>
      </c>
      <c r="BU83" s="1317" t="str">
        <f ca="1">IF(INDIRECT("'SpxSp (step-c)'!$B" &amp; BU$72)=$Z83,INDIRECT("'SpxSp (step-c)'!$" &amp; 'SpxSp (step-c)'!$AC$16 &amp; BU$72),"")</f>
        <v/>
      </c>
      <c r="BV83" s="1317" t="str">
        <f ca="1">IF(INDIRECT("'SpxSp (step-c)'!$B" &amp; BV$72)=$Z83,INDIRECT("'SpxSp (step-c)'!$" &amp; 'SpxSp (step-c)'!$AC$16 &amp; BV$72),"")</f>
        <v/>
      </c>
      <c r="BW83" s="1317" t="str">
        <f ca="1">IF(INDIRECT("'SpxSp (step-c)'!$B" &amp; BW$72)=$Z83,INDIRECT("'SpxSp (step-c)'!$" &amp; 'SpxSp (step-c)'!$AC$16 &amp; BW$72),"")</f>
        <v/>
      </c>
      <c r="BX83" s="1317" t="str">
        <f ca="1">IF(INDIRECT("'SpxSp (step-c)'!$B" &amp; BX$72)=$Z83,INDIRECT("'SpxSp (step-c)'!$" &amp; 'SpxSp (step-c)'!$AC$16 &amp; BX$72),"")</f>
        <v/>
      </c>
      <c r="BY83" s="1317" t="str">
        <f ca="1">IF(INDIRECT("'SpxSp (step-c)'!$B" &amp; BY$72)=$Z83,INDIRECT("'SpxSp (step-c)'!$" &amp; 'SpxSp (step-c)'!$AC$16 &amp; BY$72),"")</f>
        <v/>
      </c>
      <c r="BZ83" s="1317" t="str">
        <f ca="1">IF(INDIRECT("'SpxSp (step-c)'!$B" &amp; BZ$72)=$Z83,INDIRECT("'SpxSp (step-c)'!$" &amp; 'SpxSp (step-c)'!$AC$16 &amp; BZ$72),"")</f>
        <v/>
      </c>
      <c r="CA83" s="1317" t="str">
        <f ca="1">IF(INDIRECT("'SpxSp (step-c)'!$B" &amp; CA$72)=$Z83,INDIRECT("'SpxSp (step-c)'!$" &amp; 'SpxSp (step-c)'!$AC$16 &amp; CA$72),"")</f>
        <v/>
      </c>
      <c r="CB83" s="1317" t="str">
        <f ca="1">IF(INDIRECT("'SpxSp (step-c)'!$B" &amp; CB$72)=$Z83,INDIRECT("'SpxSp (step-c)'!$" &amp; 'SpxSp (step-c)'!$AC$16 &amp; CB$72),"")</f>
        <v/>
      </c>
      <c r="CC83" s="1317" t="str">
        <f ca="1">IF(INDIRECT("'SpxSp (step-c)'!$B" &amp; CC$72)=$Z83,INDIRECT("'SpxSp (step-c)'!$" &amp; 'SpxSp (step-c)'!$AC$16 &amp; CC$72),"")</f>
        <v/>
      </c>
      <c r="CD83" s="1317" t="str">
        <f ca="1">IF(INDIRECT("'SpxSp (step-c)'!$B" &amp; CD$72)=$Z83,INDIRECT("'SpxSp (step-c)'!$" &amp; 'SpxSp (step-c)'!$AC$16 &amp; CD$72),"")</f>
        <v/>
      </c>
      <c r="CE83" s="1317" t="str">
        <f ca="1">IF(INDIRECT("'SpxSp (step-c)'!$B" &amp; CE$72)=$Z83,INDIRECT("'SpxSp (step-c)'!$" &amp; 'SpxSp (step-c)'!$AC$16 &amp; CE$72),"")</f>
        <v/>
      </c>
      <c r="CF83" s="1317" t="str">
        <f ca="1">IF(INDIRECT("'SpxSp (step-c)'!$B" &amp; CF$72)=$Z83,INDIRECT("'SpxSp (step-c)'!$" &amp; 'SpxSp (step-c)'!$AC$16 &amp; CF$72),"")</f>
        <v/>
      </c>
      <c r="CG83" s="1317" t="str">
        <f ca="1">IF(INDIRECT("'SpxSp (step-c)'!$B" &amp; CG$72)=$Z83,INDIRECT("'SpxSp (step-c)'!$" &amp; 'SpxSp (step-c)'!$AC$16 &amp; CG$72),"")</f>
        <v/>
      </c>
      <c r="CH83" s="1317" t="str">
        <f ca="1">IF(INDIRECT("'SpxSp (step-c)'!$B" &amp; CH$72)=$Z83,INDIRECT("'SpxSp (step-c)'!$" &amp; 'SpxSp (step-c)'!$AC$16 &amp; CH$72),"")</f>
        <v/>
      </c>
      <c r="CI83" s="1317" t="str">
        <f ca="1">IF(INDIRECT("'SpxSp (step-c)'!$B" &amp; CI$72)=$Z83,INDIRECT("'SpxSp (step-c)'!$" &amp; 'SpxSp (step-c)'!$AC$16 &amp; CI$72),"")</f>
        <v/>
      </c>
      <c r="CJ83" s="1317" t="str">
        <f ca="1">IF(INDIRECT("'SpxSp (step-c)'!$B" &amp; CJ$72)=$Z83,INDIRECT("'SpxSp (step-c)'!$" &amp; 'SpxSp (step-c)'!$AC$16 &amp; CJ$72),"")</f>
        <v/>
      </c>
      <c r="CK83" s="1317" t="str">
        <f ca="1">IF(INDIRECT("'SpxSp (step-c)'!$B" &amp; CK$72)=$Z83,INDIRECT("'SpxSp (step-c)'!$" &amp; 'SpxSp (step-c)'!$AC$16 &amp; CK$72),"")</f>
        <v/>
      </c>
      <c r="CL83" s="1317" t="str">
        <f ca="1">IF(INDIRECT("'SpxSp (step-c)'!$B" &amp; CL$72)=$Z83,INDIRECT("'SpxSp (step-c)'!$" &amp; 'SpxSp (step-c)'!$AC$16 &amp; CL$72),"")</f>
        <v/>
      </c>
      <c r="CM83" s="1317" t="str">
        <f ca="1">IF(INDIRECT("'SpxSp (step-c)'!$B" &amp; CM$72)=$Z83,INDIRECT("'SpxSp (step-c)'!$" &amp; 'SpxSp (step-c)'!$AC$16 &amp; CM$72),"")</f>
        <v/>
      </c>
      <c r="CN83" s="1317" t="str">
        <f ca="1">IF(INDIRECT("'SpxSp (step-c)'!$B" &amp; CN$72)=$Z83,INDIRECT("'SpxSp (step-c)'!$" &amp; 'SpxSp (step-c)'!$AC$16 &amp; CN$72),"")</f>
        <v/>
      </c>
      <c r="CO83" s="1317" t="str">
        <f ca="1">IF(INDIRECT("'SpxSp (step-c)'!$B" &amp; CO$72)=$Z83,INDIRECT("'SpxSp (step-c)'!$" &amp; 'SpxSp (step-c)'!$AC$16 &amp; CO$72),"")</f>
        <v/>
      </c>
      <c r="CP83" s="1317" t="str">
        <f ca="1">IF(INDIRECT("'SpxSp (step-c)'!$B" &amp; CP$72)=$Z83,INDIRECT("'SpxSp (step-c)'!$" &amp; 'SpxSp (step-c)'!$AC$16 &amp; CP$72),"")</f>
        <v/>
      </c>
      <c r="CQ83" s="1317" t="str">
        <f ca="1">IF(INDIRECT("'SpxSp (step-c)'!$B" &amp; CQ$72)=$Z83,INDIRECT("'SpxSp (step-c)'!$" &amp; 'SpxSp (step-c)'!$AC$16 &amp; CQ$72),"")</f>
        <v/>
      </c>
      <c r="CR83" s="1317" t="str">
        <f ca="1">IF(INDIRECT("'SpxSp (step-c)'!$B" &amp; CR$72)=$Z83,INDIRECT("'SpxSp (step-c)'!$" &amp; 'SpxSp (step-c)'!$AC$16 &amp; CR$72),"")</f>
        <v/>
      </c>
      <c r="CS83" s="1317" t="str">
        <f ca="1">IF(INDIRECT("'SpxSp (step-c)'!$B" &amp; CS$72)=$Z83,INDIRECT("'SpxSp (step-c)'!$" &amp; 'SpxSp (step-c)'!$AC$16 &amp; CS$72),"")</f>
        <v/>
      </c>
      <c r="CT83" s="1317" t="str">
        <f ca="1">IF(INDIRECT("'SpxSp (step-c)'!$B" &amp; CT$72)=$Z83,INDIRECT("'SpxSp (step-c)'!$" &amp; 'SpxSp (step-c)'!$AC$16 &amp; CT$72),"")</f>
        <v/>
      </c>
      <c r="CU83" s="1317" t="str">
        <f ca="1">IF(INDIRECT("'SpxSp (step-c)'!$B" &amp; CU$72)=$Z83,INDIRECT("'SpxSp (step-c)'!$" &amp; 'SpxSp (step-c)'!$AC$16 &amp; CU$72),"")</f>
        <v/>
      </c>
      <c r="CV83" s="1317" t="str">
        <f ca="1">IF(INDIRECT("'SpxSp (step-c)'!$B" &amp; CV$72)=$Z83,INDIRECT("'SpxSp (step-c)'!$" &amp; 'SpxSp (step-c)'!$AC$16 &amp; CV$72),"")</f>
        <v/>
      </c>
      <c r="CW83" s="1317" t="str">
        <f ca="1">IF(INDIRECT("'SpxSp (step-c)'!$B" &amp; CW$72)=$Z83,INDIRECT("'SpxSp (step-c)'!$" &amp; 'SpxSp (step-c)'!$AC$16 &amp; CW$72),"")</f>
        <v/>
      </c>
      <c r="CX83" s="1317" t="str">
        <f ca="1">IF(INDIRECT("'SpxSp (step-c)'!$B" &amp; CX$72)=$Z83,INDIRECT("'SpxSp (step-c)'!$" &amp; 'SpxSp (step-c)'!$AC$16 &amp; CX$72),"")</f>
        <v/>
      </c>
      <c r="CY83" s="1317" t="str">
        <f ca="1">IF(INDIRECT("'SpxSp (step-c)'!$B" &amp; CY$72)=$Z83,INDIRECT("'SpxSp (step-c)'!$" &amp; 'SpxSp (step-c)'!$AC$16 &amp; CY$72),"")</f>
        <v/>
      </c>
      <c r="CZ83" s="1317" t="str">
        <f ca="1">IF(INDIRECT("'SpxSp (step-c)'!$B" &amp; CZ$72)=$Z83,INDIRECT("'SpxSp (step-c)'!$" &amp; 'SpxSp (step-c)'!$AC$16 &amp; CZ$72),"")</f>
        <v/>
      </c>
      <c r="DA83" s="1317" t="str">
        <f ca="1">IF(INDIRECT("'SpxSp (step-c)'!$B" &amp; DA$72)=$Z83,INDIRECT("'SpxSp (step-c)'!$" &amp; 'SpxSp (step-c)'!$AC$16 &amp; DA$72),"")</f>
        <v/>
      </c>
      <c r="DB83" s="1317" t="str">
        <f ca="1">IF(INDIRECT("'SpxSp (step-c)'!$B" &amp; DB$72)=$Z83,INDIRECT("'SpxSp (step-c)'!$" &amp; 'SpxSp (step-c)'!$AC$16 &amp; DB$72),"")</f>
        <v/>
      </c>
      <c r="DC83" s="1317" t="str">
        <f ca="1">IF(INDIRECT("'SpxSp (step-c)'!$B" &amp; DC$72)=$Z83,INDIRECT("'SpxSp (step-c)'!$" &amp; 'SpxSp (step-c)'!$AC$16 &amp; DC$72),"")</f>
        <v/>
      </c>
      <c r="DD83" s="1317" t="str">
        <f ca="1">IF(INDIRECT("'SpxSp (step-c)'!$B" &amp; DD$72)=$Z83,INDIRECT("'SpxSp (step-c)'!$" &amp; 'SpxSp (step-c)'!$AC$16 &amp; DD$72),"")</f>
        <v/>
      </c>
      <c r="DE83" s="1317" t="str">
        <f ca="1">IF(INDIRECT("'SpxSp (step-c)'!$B" &amp; DE$72)=$Z83,INDIRECT("'SpxSp (step-c)'!$" &amp; 'SpxSp (step-c)'!$AC$16 &amp; DE$72),"")</f>
        <v/>
      </c>
      <c r="DF83" s="1317" t="str">
        <f ca="1">IF(INDIRECT("'SpxSp (step-c)'!$B" &amp; DF$72)=$Z83,INDIRECT("'SpxSp (step-c)'!$" &amp; 'SpxSp (step-c)'!$AC$16 &amp; DF$72),"")</f>
        <v/>
      </c>
      <c r="DG83" s="1317" t="str">
        <f ca="1">IF(INDIRECT("'SpxSp (step-c)'!$B" &amp; DG$72)=$Z83,INDIRECT("'SpxSp (step-c)'!$" &amp; 'SpxSp (step-c)'!$AC$16 &amp; DG$72),"")</f>
        <v/>
      </c>
      <c r="DH83" s="1317" t="str">
        <f ca="1">IF(INDIRECT("'SpxSp (step-c)'!$B" &amp; DH$72)=$Z83,INDIRECT("'SpxSp (step-c)'!$" &amp; 'SpxSp (step-c)'!$AC$16 &amp; DH$72),"")</f>
        <v/>
      </c>
      <c r="DI83" s="1317" t="str">
        <f ca="1">IF(INDIRECT("'SpxSp (step-c)'!$B" &amp; DI$72)=$Z83,INDIRECT("'SpxSp (step-c)'!$" &amp; 'SpxSp (step-c)'!$AC$16 &amp; DI$72),"")</f>
        <v/>
      </c>
      <c r="DJ83" s="1317" t="str">
        <f ca="1">IF(INDIRECT("'SpxSp (step-c)'!$B" &amp; DJ$72)=$Z83,INDIRECT("'SpxSp (step-c)'!$" &amp; 'SpxSp (step-c)'!$AC$16 &amp; DJ$72),"")</f>
        <v/>
      </c>
      <c r="DK83" s="1317" t="str">
        <f ca="1">IF(INDIRECT("'SpxSp (step-c)'!$B" &amp; DK$72)=$Z83,INDIRECT("'SpxSp (step-c)'!$" &amp; 'SpxSp (step-c)'!$AC$16 &amp; DK$72),"")</f>
        <v/>
      </c>
      <c r="DL83" s="1317" t="str">
        <f ca="1">IF(INDIRECT("'SpxSp (step-c)'!$B" &amp; DL$72)=$Z83,INDIRECT("'SpxSp (step-c)'!$" &amp; 'SpxSp (step-c)'!$AC$16 &amp; DL$72),"")</f>
        <v/>
      </c>
      <c r="DM83" s="1317" t="str">
        <f ca="1">IF(INDIRECT("'SpxSp (step-c)'!$B" &amp; DM$72)=$Z83,INDIRECT("'SpxSp (step-c)'!$" &amp; 'SpxSp (step-c)'!$AC$16 &amp; DM$72),"")</f>
        <v/>
      </c>
      <c r="DO83" s="1246" t="s">
        <v>1200</v>
      </c>
    </row>
    <row r="84" spans="26:119" ht="20" x14ac:dyDescent="0.2">
      <c r="Z84" s="1317" t="str">
        <f t="shared" ref="Z84:AA84" si="52">Z29</f>
        <v/>
      </c>
      <c r="AA84" s="1317" t="str">
        <f t="shared" si="52"/>
        <v/>
      </c>
      <c r="BN84" s="178">
        <v>12</v>
      </c>
      <c r="BO84" s="1316" t="str">
        <f t="shared" ca="1" si="43"/>
        <v/>
      </c>
      <c r="BP84" s="1317" t="str">
        <f ca="1">IF(INDIRECT("'SpxSp (step-c)'!$B" &amp; BP$72)=$Z84,INDIRECT("'SpxSp (step-c)'!$" &amp; 'SpxSp (step-c)'!$AC$16 &amp; BP$72),"")</f>
        <v/>
      </c>
      <c r="BQ84" s="1317" t="str">
        <f ca="1">IF(INDIRECT("'SpxSp (step-c)'!$B" &amp; BQ$72)=$Z84,INDIRECT("'SpxSp (step-c)'!$" &amp; 'SpxSp (step-c)'!$AC$16 &amp; BQ$72),"")</f>
        <v/>
      </c>
      <c r="BR84" s="1317" t="str">
        <f ca="1">IF(INDIRECT("'SpxSp (step-c)'!$B" &amp; BR$72)=$Z84,INDIRECT("'SpxSp (step-c)'!$" &amp; 'SpxSp (step-c)'!$AC$16 &amp; BR$72),"")</f>
        <v/>
      </c>
      <c r="BS84" s="1317" t="str">
        <f ca="1">IF(INDIRECT("'SpxSp (step-c)'!$B" &amp; BS$72)=$Z84,INDIRECT("'SpxSp (step-c)'!$" &amp; 'SpxSp (step-c)'!$AC$16 &amp; BS$72),"")</f>
        <v/>
      </c>
      <c r="BT84" s="1317" t="str">
        <f ca="1">IF(INDIRECT("'SpxSp (step-c)'!$B" &amp; BT$72)=$Z84,INDIRECT("'SpxSp (step-c)'!$" &amp; 'SpxSp (step-c)'!$AC$16 &amp; BT$72),"")</f>
        <v/>
      </c>
      <c r="BU84" s="1317" t="str">
        <f ca="1">IF(INDIRECT("'SpxSp (step-c)'!$B" &amp; BU$72)=$Z84,INDIRECT("'SpxSp (step-c)'!$" &amp; 'SpxSp (step-c)'!$AC$16 &amp; BU$72),"")</f>
        <v/>
      </c>
      <c r="BV84" s="1317" t="str">
        <f ca="1">IF(INDIRECT("'SpxSp (step-c)'!$B" &amp; BV$72)=$Z84,INDIRECT("'SpxSp (step-c)'!$" &amp; 'SpxSp (step-c)'!$AC$16 &amp; BV$72),"")</f>
        <v/>
      </c>
      <c r="BW84" s="1317" t="str">
        <f ca="1">IF(INDIRECT("'SpxSp (step-c)'!$B" &amp; BW$72)=$Z84,INDIRECT("'SpxSp (step-c)'!$" &amp; 'SpxSp (step-c)'!$AC$16 &amp; BW$72),"")</f>
        <v/>
      </c>
      <c r="BX84" s="1317" t="str">
        <f ca="1">IF(INDIRECT("'SpxSp (step-c)'!$B" &amp; BX$72)=$Z84,INDIRECT("'SpxSp (step-c)'!$" &amp; 'SpxSp (step-c)'!$AC$16 &amp; BX$72),"")</f>
        <v/>
      </c>
      <c r="BY84" s="1317" t="str">
        <f ca="1">IF(INDIRECT("'SpxSp (step-c)'!$B" &amp; BY$72)=$Z84,INDIRECT("'SpxSp (step-c)'!$" &amp; 'SpxSp (step-c)'!$AC$16 &amp; BY$72),"")</f>
        <v/>
      </c>
      <c r="BZ84" s="1317" t="str">
        <f ca="1">IF(INDIRECT("'SpxSp (step-c)'!$B" &amp; BZ$72)=$Z84,INDIRECT("'SpxSp (step-c)'!$" &amp; 'SpxSp (step-c)'!$AC$16 &amp; BZ$72),"")</f>
        <v/>
      </c>
      <c r="CA84" s="1317" t="str">
        <f ca="1">IF(INDIRECT("'SpxSp (step-c)'!$B" &amp; CA$72)=$Z84,INDIRECT("'SpxSp (step-c)'!$" &amp; 'SpxSp (step-c)'!$AC$16 &amp; CA$72),"")</f>
        <v/>
      </c>
      <c r="CB84" s="1317" t="str">
        <f ca="1">IF(INDIRECT("'SpxSp (step-c)'!$B" &amp; CB$72)=$Z84,INDIRECT("'SpxSp (step-c)'!$" &amp; 'SpxSp (step-c)'!$AC$16 &amp; CB$72),"")</f>
        <v/>
      </c>
      <c r="CC84" s="1317" t="str">
        <f ca="1">IF(INDIRECT("'SpxSp (step-c)'!$B" &amp; CC$72)=$Z84,INDIRECT("'SpxSp (step-c)'!$" &amp; 'SpxSp (step-c)'!$AC$16 &amp; CC$72),"")</f>
        <v/>
      </c>
      <c r="CD84" s="1317" t="str">
        <f ca="1">IF(INDIRECT("'SpxSp (step-c)'!$B" &amp; CD$72)=$Z84,INDIRECT("'SpxSp (step-c)'!$" &amp; 'SpxSp (step-c)'!$AC$16 &amp; CD$72),"")</f>
        <v/>
      </c>
      <c r="CE84" s="1317" t="str">
        <f ca="1">IF(INDIRECT("'SpxSp (step-c)'!$B" &amp; CE$72)=$Z84,INDIRECT("'SpxSp (step-c)'!$" &amp; 'SpxSp (step-c)'!$AC$16 &amp; CE$72),"")</f>
        <v/>
      </c>
      <c r="CF84" s="1317" t="str">
        <f ca="1">IF(INDIRECT("'SpxSp (step-c)'!$B" &amp; CF$72)=$Z84,INDIRECT("'SpxSp (step-c)'!$" &amp; 'SpxSp (step-c)'!$AC$16 &amp; CF$72),"")</f>
        <v/>
      </c>
      <c r="CG84" s="1317" t="str">
        <f ca="1">IF(INDIRECT("'SpxSp (step-c)'!$B" &amp; CG$72)=$Z84,INDIRECT("'SpxSp (step-c)'!$" &amp; 'SpxSp (step-c)'!$AC$16 &amp; CG$72),"")</f>
        <v/>
      </c>
      <c r="CH84" s="1317" t="str">
        <f ca="1">IF(INDIRECT("'SpxSp (step-c)'!$B" &amp; CH$72)=$Z84,INDIRECT("'SpxSp (step-c)'!$" &amp; 'SpxSp (step-c)'!$AC$16 &amp; CH$72),"")</f>
        <v/>
      </c>
      <c r="CI84" s="1317" t="str">
        <f ca="1">IF(INDIRECT("'SpxSp (step-c)'!$B" &amp; CI$72)=$Z84,INDIRECT("'SpxSp (step-c)'!$" &amp; 'SpxSp (step-c)'!$AC$16 &amp; CI$72),"")</f>
        <v/>
      </c>
      <c r="CJ84" s="1317" t="str">
        <f ca="1">IF(INDIRECT("'SpxSp (step-c)'!$B" &amp; CJ$72)=$Z84,INDIRECT("'SpxSp (step-c)'!$" &amp; 'SpxSp (step-c)'!$AC$16 &amp; CJ$72),"")</f>
        <v/>
      </c>
      <c r="CK84" s="1317" t="str">
        <f ca="1">IF(INDIRECT("'SpxSp (step-c)'!$B" &amp; CK$72)=$Z84,INDIRECT("'SpxSp (step-c)'!$" &amp; 'SpxSp (step-c)'!$AC$16 &amp; CK$72),"")</f>
        <v/>
      </c>
      <c r="CL84" s="1317" t="str">
        <f ca="1">IF(INDIRECT("'SpxSp (step-c)'!$B" &amp; CL$72)=$Z84,INDIRECT("'SpxSp (step-c)'!$" &amp; 'SpxSp (step-c)'!$AC$16 &amp; CL$72),"")</f>
        <v/>
      </c>
      <c r="CM84" s="1317" t="str">
        <f ca="1">IF(INDIRECT("'SpxSp (step-c)'!$B" &amp; CM$72)=$Z84,INDIRECT("'SpxSp (step-c)'!$" &amp; 'SpxSp (step-c)'!$AC$16 &amp; CM$72),"")</f>
        <v/>
      </c>
      <c r="CN84" s="1317" t="str">
        <f ca="1">IF(INDIRECT("'SpxSp (step-c)'!$B" &amp; CN$72)=$Z84,INDIRECT("'SpxSp (step-c)'!$" &amp; 'SpxSp (step-c)'!$AC$16 &amp; CN$72),"")</f>
        <v/>
      </c>
      <c r="CO84" s="1317" t="str">
        <f ca="1">IF(INDIRECT("'SpxSp (step-c)'!$B" &amp; CO$72)=$Z84,INDIRECT("'SpxSp (step-c)'!$" &amp; 'SpxSp (step-c)'!$AC$16 &amp; CO$72),"")</f>
        <v/>
      </c>
      <c r="CP84" s="1317" t="str">
        <f ca="1">IF(INDIRECT("'SpxSp (step-c)'!$B" &amp; CP$72)=$Z84,INDIRECT("'SpxSp (step-c)'!$" &amp; 'SpxSp (step-c)'!$AC$16 &amp; CP$72),"")</f>
        <v/>
      </c>
      <c r="CQ84" s="1317" t="str">
        <f ca="1">IF(INDIRECT("'SpxSp (step-c)'!$B" &amp; CQ$72)=$Z84,INDIRECT("'SpxSp (step-c)'!$" &amp; 'SpxSp (step-c)'!$AC$16 &amp; CQ$72),"")</f>
        <v/>
      </c>
      <c r="CR84" s="1317" t="str">
        <f ca="1">IF(INDIRECT("'SpxSp (step-c)'!$B" &amp; CR$72)=$Z84,INDIRECT("'SpxSp (step-c)'!$" &amp; 'SpxSp (step-c)'!$AC$16 &amp; CR$72),"")</f>
        <v/>
      </c>
      <c r="CS84" s="1317" t="str">
        <f ca="1">IF(INDIRECT("'SpxSp (step-c)'!$B" &amp; CS$72)=$Z84,INDIRECT("'SpxSp (step-c)'!$" &amp; 'SpxSp (step-c)'!$AC$16 &amp; CS$72),"")</f>
        <v/>
      </c>
      <c r="CT84" s="1317" t="str">
        <f ca="1">IF(INDIRECT("'SpxSp (step-c)'!$B" &amp; CT$72)=$Z84,INDIRECT("'SpxSp (step-c)'!$" &amp; 'SpxSp (step-c)'!$AC$16 &amp; CT$72),"")</f>
        <v/>
      </c>
      <c r="CU84" s="1317" t="str">
        <f ca="1">IF(INDIRECT("'SpxSp (step-c)'!$B" &amp; CU$72)=$Z84,INDIRECT("'SpxSp (step-c)'!$" &amp; 'SpxSp (step-c)'!$AC$16 &amp; CU$72),"")</f>
        <v/>
      </c>
      <c r="CV84" s="1317" t="str">
        <f ca="1">IF(INDIRECT("'SpxSp (step-c)'!$B" &amp; CV$72)=$Z84,INDIRECT("'SpxSp (step-c)'!$" &amp; 'SpxSp (step-c)'!$AC$16 &amp; CV$72),"")</f>
        <v/>
      </c>
      <c r="CW84" s="1317" t="str">
        <f ca="1">IF(INDIRECT("'SpxSp (step-c)'!$B" &amp; CW$72)=$Z84,INDIRECT("'SpxSp (step-c)'!$" &amp; 'SpxSp (step-c)'!$AC$16 &amp; CW$72),"")</f>
        <v/>
      </c>
      <c r="CX84" s="1317" t="str">
        <f ca="1">IF(INDIRECT("'SpxSp (step-c)'!$B" &amp; CX$72)=$Z84,INDIRECT("'SpxSp (step-c)'!$" &amp; 'SpxSp (step-c)'!$AC$16 &amp; CX$72),"")</f>
        <v/>
      </c>
      <c r="CY84" s="1317" t="str">
        <f ca="1">IF(INDIRECT("'SpxSp (step-c)'!$B" &amp; CY$72)=$Z84,INDIRECT("'SpxSp (step-c)'!$" &amp; 'SpxSp (step-c)'!$AC$16 &amp; CY$72),"")</f>
        <v/>
      </c>
      <c r="CZ84" s="1317" t="str">
        <f ca="1">IF(INDIRECT("'SpxSp (step-c)'!$B" &amp; CZ$72)=$Z84,INDIRECT("'SpxSp (step-c)'!$" &amp; 'SpxSp (step-c)'!$AC$16 &amp; CZ$72),"")</f>
        <v/>
      </c>
      <c r="DA84" s="1317" t="str">
        <f ca="1">IF(INDIRECT("'SpxSp (step-c)'!$B" &amp; DA$72)=$Z84,INDIRECT("'SpxSp (step-c)'!$" &amp; 'SpxSp (step-c)'!$AC$16 &amp; DA$72),"")</f>
        <v/>
      </c>
      <c r="DB84" s="1317" t="str">
        <f ca="1">IF(INDIRECT("'SpxSp (step-c)'!$B" &amp; DB$72)=$Z84,INDIRECT("'SpxSp (step-c)'!$" &amp; 'SpxSp (step-c)'!$AC$16 &amp; DB$72),"")</f>
        <v/>
      </c>
      <c r="DC84" s="1317" t="str">
        <f ca="1">IF(INDIRECT("'SpxSp (step-c)'!$B" &amp; DC$72)=$Z84,INDIRECT("'SpxSp (step-c)'!$" &amp; 'SpxSp (step-c)'!$AC$16 &amp; DC$72),"")</f>
        <v/>
      </c>
      <c r="DD84" s="1317" t="str">
        <f ca="1">IF(INDIRECT("'SpxSp (step-c)'!$B" &amp; DD$72)=$Z84,INDIRECT("'SpxSp (step-c)'!$" &amp; 'SpxSp (step-c)'!$AC$16 &amp; DD$72),"")</f>
        <v/>
      </c>
      <c r="DE84" s="1317" t="str">
        <f ca="1">IF(INDIRECT("'SpxSp (step-c)'!$B" &amp; DE$72)=$Z84,INDIRECT("'SpxSp (step-c)'!$" &amp; 'SpxSp (step-c)'!$AC$16 &amp; DE$72),"")</f>
        <v/>
      </c>
      <c r="DF84" s="1317" t="str">
        <f ca="1">IF(INDIRECT("'SpxSp (step-c)'!$B" &amp; DF$72)=$Z84,INDIRECT("'SpxSp (step-c)'!$" &amp; 'SpxSp (step-c)'!$AC$16 &amp; DF$72),"")</f>
        <v/>
      </c>
      <c r="DG84" s="1317" t="str">
        <f ca="1">IF(INDIRECT("'SpxSp (step-c)'!$B" &amp; DG$72)=$Z84,INDIRECT("'SpxSp (step-c)'!$" &amp; 'SpxSp (step-c)'!$AC$16 &amp; DG$72),"")</f>
        <v/>
      </c>
      <c r="DH84" s="1317" t="str">
        <f ca="1">IF(INDIRECT("'SpxSp (step-c)'!$B" &amp; DH$72)=$Z84,INDIRECT("'SpxSp (step-c)'!$" &amp; 'SpxSp (step-c)'!$AC$16 &amp; DH$72),"")</f>
        <v/>
      </c>
      <c r="DI84" s="1317" t="str">
        <f ca="1">IF(INDIRECT("'SpxSp (step-c)'!$B" &amp; DI$72)=$Z84,INDIRECT("'SpxSp (step-c)'!$" &amp; 'SpxSp (step-c)'!$AC$16 &amp; DI$72),"")</f>
        <v/>
      </c>
      <c r="DJ84" s="1317" t="str">
        <f ca="1">IF(INDIRECT("'SpxSp (step-c)'!$B" &amp; DJ$72)=$Z84,INDIRECT("'SpxSp (step-c)'!$" &amp; 'SpxSp (step-c)'!$AC$16 &amp; DJ$72),"")</f>
        <v/>
      </c>
      <c r="DK84" s="1317" t="str">
        <f ca="1">IF(INDIRECT("'SpxSp (step-c)'!$B" &amp; DK$72)=$Z84,INDIRECT("'SpxSp (step-c)'!$" &amp; 'SpxSp (step-c)'!$AC$16 &amp; DK$72),"")</f>
        <v/>
      </c>
      <c r="DL84" s="1317" t="str">
        <f ca="1">IF(INDIRECT("'SpxSp (step-c)'!$B" &amp; DL$72)=$Z84,INDIRECT("'SpxSp (step-c)'!$" &amp; 'SpxSp (step-c)'!$AC$16 &amp; DL$72),"")</f>
        <v/>
      </c>
      <c r="DM84" s="1317" t="str">
        <f ca="1">IF(INDIRECT("'SpxSp (step-c)'!$B" &amp; DM$72)=$Z84,INDIRECT("'SpxSp (step-c)'!$" &amp; 'SpxSp (step-c)'!$AC$16 &amp; DM$72),"")</f>
        <v/>
      </c>
      <c r="DO84" s="1246" t="s">
        <v>1200</v>
      </c>
    </row>
    <row r="85" spans="26:119" ht="20" x14ac:dyDescent="0.2">
      <c r="Z85" s="1317" t="str">
        <f t="shared" ref="Z85:AA85" si="53">Z30</f>
        <v/>
      </c>
      <c r="AA85" s="1317" t="str">
        <f t="shared" si="53"/>
        <v/>
      </c>
      <c r="BN85" s="178">
        <v>13</v>
      </c>
      <c r="BO85" s="1316" t="str">
        <f t="shared" ca="1" si="43"/>
        <v/>
      </c>
      <c r="BP85" s="1317" t="str">
        <f ca="1">IF(INDIRECT("'SpxSp (step-c)'!$B" &amp; BP$72)=$Z85,INDIRECT("'SpxSp (step-c)'!$" &amp; 'SpxSp (step-c)'!$AC$16 &amp; BP$72),"")</f>
        <v/>
      </c>
      <c r="BQ85" s="1317" t="str">
        <f ca="1">IF(INDIRECT("'SpxSp (step-c)'!$B" &amp; BQ$72)=$Z85,INDIRECT("'SpxSp (step-c)'!$" &amp; 'SpxSp (step-c)'!$AC$16 &amp; BQ$72),"")</f>
        <v/>
      </c>
      <c r="BR85" s="1317" t="str">
        <f ca="1">IF(INDIRECT("'SpxSp (step-c)'!$B" &amp; BR$72)=$Z85,INDIRECT("'SpxSp (step-c)'!$" &amp; 'SpxSp (step-c)'!$AC$16 &amp; BR$72),"")</f>
        <v/>
      </c>
      <c r="BS85" s="1317" t="str">
        <f ca="1">IF(INDIRECT("'SpxSp (step-c)'!$B" &amp; BS$72)=$Z85,INDIRECT("'SpxSp (step-c)'!$" &amp; 'SpxSp (step-c)'!$AC$16 &amp; BS$72),"")</f>
        <v/>
      </c>
      <c r="BT85" s="1317" t="str">
        <f ca="1">IF(INDIRECT("'SpxSp (step-c)'!$B" &amp; BT$72)=$Z85,INDIRECT("'SpxSp (step-c)'!$" &amp; 'SpxSp (step-c)'!$AC$16 &amp; BT$72),"")</f>
        <v/>
      </c>
      <c r="BU85" s="1317" t="str">
        <f ca="1">IF(INDIRECT("'SpxSp (step-c)'!$B" &amp; BU$72)=$Z85,INDIRECT("'SpxSp (step-c)'!$" &amp; 'SpxSp (step-c)'!$AC$16 &amp; BU$72),"")</f>
        <v/>
      </c>
      <c r="BV85" s="1317" t="str">
        <f ca="1">IF(INDIRECT("'SpxSp (step-c)'!$B" &amp; BV$72)=$Z85,INDIRECT("'SpxSp (step-c)'!$" &amp; 'SpxSp (step-c)'!$AC$16 &amp; BV$72),"")</f>
        <v/>
      </c>
      <c r="BW85" s="1317" t="str">
        <f ca="1">IF(INDIRECT("'SpxSp (step-c)'!$B" &amp; BW$72)=$Z85,INDIRECT("'SpxSp (step-c)'!$" &amp; 'SpxSp (step-c)'!$AC$16 &amp; BW$72),"")</f>
        <v/>
      </c>
      <c r="BX85" s="1317" t="str">
        <f ca="1">IF(INDIRECT("'SpxSp (step-c)'!$B" &amp; BX$72)=$Z85,INDIRECT("'SpxSp (step-c)'!$" &amp; 'SpxSp (step-c)'!$AC$16 &amp; BX$72),"")</f>
        <v/>
      </c>
      <c r="BY85" s="1317" t="str">
        <f ca="1">IF(INDIRECT("'SpxSp (step-c)'!$B" &amp; BY$72)=$Z85,INDIRECT("'SpxSp (step-c)'!$" &amp; 'SpxSp (step-c)'!$AC$16 &amp; BY$72),"")</f>
        <v/>
      </c>
      <c r="BZ85" s="1317" t="str">
        <f ca="1">IF(INDIRECT("'SpxSp (step-c)'!$B" &amp; BZ$72)=$Z85,INDIRECT("'SpxSp (step-c)'!$" &amp; 'SpxSp (step-c)'!$AC$16 &amp; BZ$72),"")</f>
        <v/>
      </c>
      <c r="CA85" s="1317" t="str">
        <f ca="1">IF(INDIRECT("'SpxSp (step-c)'!$B" &amp; CA$72)=$Z85,INDIRECT("'SpxSp (step-c)'!$" &amp; 'SpxSp (step-c)'!$AC$16 &amp; CA$72),"")</f>
        <v/>
      </c>
      <c r="CB85" s="1317" t="str">
        <f ca="1">IF(INDIRECT("'SpxSp (step-c)'!$B" &amp; CB$72)=$Z85,INDIRECT("'SpxSp (step-c)'!$" &amp; 'SpxSp (step-c)'!$AC$16 &amp; CB$72),"")</f>
        <v/>
      </c>
      <c r="CC85" s="1317" t="str">
        <f ca="1">IF(INDIRECT("'SpxSp (step-c)'!$B" &amp; CC$72)=$Z85,INDIRECT("'SpxSp (step-c)'!$" &amp; 'SpxSp (step-c)'!$AC$16 &amp; CC$72),"")</f>
        <v/>
      </c>
      <c r="CD85" s="1317" t="str">
        <f ca="1">IF(INDIRECT("'SpxSp (step-c)'!$B" &amp; CD$72)=$Z85,INDIRECT("'SpxSp (step-c)'!$" &amp; 'SpxSp (step-c)'!$AC$16 &amp; CD$72),"")</f>
        <v/>
      </c>
      <c r="CE85" s="1317" t="str">
        <f ca="1">IF(INDIRECT("'SpxSp (step-c)'!$B" &amp; CE$72)=$Z85,INDIRECT("'SpxSp (step-c)'!$" &amp; 'SpxSp (step-c)'!$AC$16 &amp; CE$72),"")</f>
        <v/>
      </c>
      <c r="CF85" s="1317" t="str">
        <f ca="1">IF(INDIRECT("'SpxSp (step-c)'!$B" &amp; CF$72)=$Z85,INDIRECT("'SpxSp (step-c)'!$" &amp; 'SpxSp (step-c)'!$AC$16 &amp; CF$72),"")</f>
        <v/>
      </c>
      <c r="CG85" s="1317" t="str">
        <f ca="1">IF(INDIRECT("'SpxSp (step-c)'!$B" &amp; CG$72)=$Z85,INDIRECT("'SpxSp (step-c)'!$" &amp; 'SpxSp (step-c)'!$AC$16 &amp; CG$72),"")</f>
        <v/>
      </c>
      <c r="CH85" s="1317" t="str">
        <f ca="1">IF(INDIRECT("'SpxSp (step-c)'!$B" &amp; CH$72)=$Z85,INDIRECT("'SpxSp (step-c)'!$" &amp; 'SpxSp (step-c)'!$AC$16 &amp; CH$72),"")</f>
        <v/>
      </c>
      <c r="CI85" s="1317" t="str">
        <f ca="1">IF(INDIRECT("'SpxSp (step-c)'!$B" &amp; CI$72)=$Z85,INDIRECT("'SpxSp (step-c)'!$" &amp; 'SpxSp (step-c)'!$AC$16 &amp; CI$72),"")</f>
        <v/>
      </c>
      <c r="CJ85" s="1317" t="str">
        <f ca="1">IF(INDIRECT("'SpxSp (step-c)'!$B" &amp; CJ$72)=$Z85,INDIRECT("'SpxSp (step-c)'!$" &amp; 'SpxSp (step-c)'!$AC$16 &amp; CJ$72),"")</f>
        <v/>
      </c>
      <c r="CK85" s="1317" t="str">
        <f ca="1">IF(INDIRECT("'SpxSp (step-c)'!$B" &amp; CK$72)=$Z85,INDIRECT("'SpxSp (step-c)'!$" &amp; 'SpxSp (step-c)'!$AC$16 &amp; CK$72),"")</f>
        <v/>
      </c>
      <c r="CL85" s="1317" t="str">
        <f ca="1">IF(INDIRECT("'SpxSp (step-c)'!$B" &amp; CL$72)=$Z85,INDIRECT("'SpxSp (step-c)'!$" &amp; 'SpxSp (step-c)'!$AC$16 &amp; CL$72),"")</f>
        <v/>
      </c>
      <c r="CM85" s="1317" t="str">
        <f ca="1">IF(INDIRECT("'SpxSp (step-c)'!$B" &amp; CM$72)=$Z85,INDIRECT("'SpxSp (step-c)'!$" &amp; 'SpxSp (step-c)'!$AC$16 &amp; CM$72),"")</f>
        <v/>
      </c>
      <c r="CN85" s="1317" t="str">
        <f ca="1">IF(INDIRECT("'SpxSp (step-c)'!$B" &amp; CN$72)=$Z85,INDIRECT("'SpxSp (step-c)'!$" &amp; 'SpxSp (step-c)'!$AC$16 &amp; CN$72),"")</f>
        <v/>
      </c>
      <c r="CO85" s="1317" t="str">
        <f ca="1">IF(INDIRECT("'SpxSp (step-c)'!$B" &amp; CO$72)=$Z85,INDIRECT("'SpxSp (step-c)'!$" &amp; 'SpxSp (step-c)'!$AC$16 &amp; CO$72),"")</f>
        <v/>
      </c>
      <c r="CP85" s="1317" t="str">
        <f ca="1">IF(INDIRECT("'SpxSp (step-c)'!$B" &amp; CP$72)=$Z85,INDIRECT("'SpxSp (step-c)'!$" &amp; 'SpxSp (step-c)'!$AC$16 &amp; CP$72),"")</f>
        <v/>
      </c>
      <c r="CQ85" s="1317" t="str">
        <f ca="1">IF(INDIRECT("'SpxSp (step-c)'!$B" &amp; CQ$72)=$Z85,INDIRECT("'SpxSp (step-c)'!$" &amp; 'SpxSp (step-c)'!$AC$16 &amp; CQ$72),"")</f>
        <v/>
      </c>
      <c r="CR85" s="1317" t="str">
        <f ca="1">IF(INDIRECT("'SpxSp (step-c)'!$B" &amp; CR$72)=$Z85,INDIRECT("'SpxSp (step-c)'!$" &amp; 'SpxSp (step-c)'!$AC$16 &amp; CR$72),"")</f>
        <v/>
      </c>
      <c r="CS85" s="1317" t="str">
        <f ca="1">IF(INDIRECT("'SpxSp (step-c)'!$B" &amp; CS$72)=$Z85,INDIRECT("'SpxSp (step-c)'!$" &amp; 'SpxSp (step-c)'!$AC$16 &amp; CS$72),"")</f>
        <v/>
      </c>
      <c r="CT85" s="1317" t="str">
        <f ca="1">IF(INDIRECT("'SpxSp (step-c)'!$B" &amp; CT$72)=$Z85,INDIRECT("'SpxSp (step-c)'!$" &amp; 'SpxSp (step-c)'!$AC$16 &amp; CT$72),"")</f>
        <v/>
      </c>
      <c r="CU85" s="1317" t="str">
        <f ca="1">IF(INDIRECT("'SpxSp (step-c)'!$B" &amp; CU$72)=$Z85,INDIRECT("'SpxSp (step-c)'!$" &amp; 'SpxSp (step-c)'!$AC$16 &amp; CU$72),"")</f>
        <v/>
      </c>
      <c r="CV85" s="1317" t="str">
        <f ca="1">IF(INDIRECT("'SpxSp (step-c)'!$B" &amp; CV$72)=$Z85,INDIRECT("'SpxSp (step-c)'!$" &amp; 'SpxSp (step-c)'!$AC$16 &amp; CV$72),"")</f>
        <v/>
      </c>
      <c r="CW85" s="1317" t="str">
        <f ca="1">IF(INDIRECT("'SpxSp (step-c)'!$B" &amp; CW$72)=$Z85,INDIRECT("'SpxSp (step-c)'!$" &amp; 'SpxSp (step-c)'!$AC$16 &amp; CW$72),"")</f>
        <v/>
      </c>
      <c r="CX85" s="1317" t="str">
        <f ca="1">IF(INDIRECT("'SpxSp (step-c)'!$B" &amp; CX$72)=$Z85,INDIRECT("'SpxSp (step-c)'!$" &amp; 'SpxSp (step-c)'!$AC$16 &amp; CX$72),"")</f>
        <v/>
      </c>
      <c r="CY85" s="1317" t="str">
        <f ca="1">IF(INDIRECT("'SpxSp (step-c)'!$B" &amp; CY$72)=$Z85,INDIRECT("'SpxSp (step-c)'!$" &amp; 'SpxSp (step-c)'!$AC$16 &amp; CY$72),"")</f>
        <v/>
      </c>
      <c r="CZ85" s="1317" t="str">
        <f ca="1">IF(INDIRECT("'SpxSp (step-c)'!$B" &amp; CZ$72)=$Z85,INDIRECT("'SpxSp (step-c)'!$" &amp; 'SpxSp (step-c)'!$AC$16 &amp; CZ$72),"")</f>
        <v/>
      </c>
      <c r="DA85" s="1317" t="str">
        <f ca="1">IF(INDIRECT("'SpxSp (step-c)'!$B" &amp; DA$72)=$Z85,INDIRECT("'SpxSp (step-c)'!$" &amp; 'SpxSp (step-c)'!$AC$16 &amp; DA$72),"")</f>
        <v/>
      </c>
      <c r="DB85" s="1317" t="str">
        <f ca="1">IF(INDIRECT("'SpxSp (step-c)'!$B" &amp; DB$72)=$Z85,INDIRECT("'SpxSp (step-c)'!$" &amp; 'SpxSp (step-c)'!$AC$16 &amp; DB$72),"")</f>
        <v/>
      </c>
      <c r="DC85" s="1317" t="str">
        <f ca="1">IF(INDIRECT("'SpxSp (step-c)'!$B" &amp; DC$72)=$Z85,INDIRECT("'SpxSp (step-c)'!$" &amp; 'SpxSp (step-c)'!$AC$16 &amp; DC$72),"")</f>
        <v/>
      </c>
      <c r="DD85" s="1317" t="str">
        <f ca="1">IF(INDIRECT("'SpxSp (step-c)'!$B" &amp; DD$72)=$Z85,INDIRECT("'SpxSp (step-c)'!$" &amp; 'SpxSp (step-c)'!$AC$16 &amp; DD$72),"")</f>
        <v/>
      </c>
      <c r="DE85" s="1317" t="str">
        <f ca="1">IF(INDIRECT("'SpxSp (step-c)'!$B" &amp; DE$72)=$Z85,INDIRECT("'SpxSp (step-c)'!$" &amp; 'SpxSp (step-c)'!$AC$16 &amp; DE$72),"")</f>
        <v/>
      </c>
      <c r="DF85" s="1317" t="str">
        <f ca="1">IF(INDIRECT("'SpxSp (step-c)'!$B" &amp; DF$72)=$Z85,INDIRECT("'SpxSp (step-c)'!$" &amp; 'SpxSp (step-c)'!$AC$16 &amp; DF$72),"")</f>
        <v/>
      </c>
      <c r="DG85" s="1317" t="str">
        <f ca="1">IF(INDIRECT("'SpxSp (step-c)'!$B" &amp; DG$72)=$Z85,INDIRECT("'SpxSp (step-c)'!$" &amp; 'SpxSp (step-c)'!$AC$16 &amp; DG$72),"")</f>
        <v/>
      </c>
      <c r="DH85" s="1317" t="str">
        <f ca="1">IF(INDIRECT("'SpxSp (step-c)'!$B" &amp; DH$72)=$Z85,INDIRECT("'SpxSp (step-c)'!$" &amp; 'SpxSp (step-c)'!$AC$16 &amp; DH$72),"")</f>
        <v/>
      </c>
      <c r="DI85" s="1317" t="str">
        <f ca="1">IF(INDIRECT("'SpxSp (step-c)'!$B" &amp; DI$72)=$Z85,INDIRECT("'SpxSp (step-c)'!$" &amp; 'SpxSp (step-c)'!$AC$16 &amp; DI$72),"")</f>
        <v/>
      </c>
      <c r="DJ85" s="1317" t="str">
        <f ca="1">IF(INDIRECT("'SpxSp (step-c)'!$B" &amp; DJ$72)=$Z85,INDIRECT("'SpxSp (step-c)'!$" &amp; 'SpxSp (step-c)'!$AC$16 &amp; DJ$72),"")</f>
        <v/>
      </c>
      <c r="DK85" s="1317" t="str">
        <f ca="1">IF(INDIRECT("'SpxSp (step-c)'!$B" &amp; DK$72)=$Z85,INDIRECT("'SpxSp (step-c)'!$" &amp; 'SpxSp (step-c)'!$AC$16 &amp; DK$72),"")</f>
        <v/>
      </c>
      <c r="DL85" s="1317" t="str">
        <f ca="1">IF(INDIRECT("'SpxSp (step-c)'!$B" &amp; DL$72)=$Z85,INDIRECT("'SpxSp (step-c)'!$" &amp; 'SpxSp (step-c)'!$AC$16 &amp; DL$72),"")</f>
        <v/>
      </c>
      <c r="DM85" s="1317" t="str">
        <f ca="1">IF(INDIRECT("'SpxSp (step-c)'!$B" &amp; DM$72)=$Z85,INDIRECT("'SpxSp (step-c)'!$" &amp; 'SpxSp (step-c)'!$AC$16 &amp; DM$72),"")</f>
        <v/>
      </c>
      <c r="DO85" s="1246" t="s">
        <v>1200</v>
      </c>
    </row>
    <row r="86" spans="26:119" ht="20" x14ac:dyDescent="0.2">
      <c r="Z86" s="1317" t="str">
        <f t="shared" ref="Z86:AA86" si="54">Z31</f>
        <v/>
      </c>
      <c r="AA86" s="1317" t="str">
        <f t="shared" si="54"/>
        <v/>
      </c>
      <c r="BN86" s="178">
        <v>14</v>
      </c>
      <c r="BO86" s="1316" t="str">
        <f t="shared" ca="1" si="43"/>
        <v/>
      </c>
      <c r="BP86" s="1317" t="str">
        <f ca="1">IF(INDIRECT("'SpxSp (step-c)'!$B" &amp; BP$72)=$Z86,INDIRECT("'SpxSp (step-c)'!$" &amp; 'SpxSp (step-c)'!$AC$16 &amp; BP$72),"")</f>
        <v/>
      </c>
      <c r="BQ86" s="1317" t="str">
        <f ca="1">IF(INDIRECT("'SpxSp (step-c)'!$B" &amp; BQ$72)=$Z86,INDIRECT("'SpxSp (step-c)'!$" &amp; 'SpxSp (step-c)'!$AC$16 &amp; BQ$72),"")</f>
        <v/>
      </c>
      <c r="BR86" s="1317" t="str">
        <f ca="1">IF(INDIRECT("'SpxSp (step-c)'!$B" &amp; BR$72)=$Z86,INDIRECT("'SpxSp (step-c)'!$" &amp; 'SpxSp (step-c)'!$AC$16 &amp; BR$72),"")</f>
        <v/>
      </c>
      <c r="BS86" s="1317" t="str">
        <f ca="1">IF(INDIRECT("'SpxSp (step-c)'!$B" &amp; BS$72)=$Z86,INDIRECT("'SpxSp (step-c)'!$" &amp; 'SpxSp (step-c)'!$AC$16 &amp; BS$72),"")</f>
        <v/>
      </c>
      <c r="BT86" s="1317" t="str">
        <f ca="1">IF(INDIRECT("'SpxSp (step-c)'!$B" &amp; BT$72)=$Z86,INDIRECT("'SpxSp (step-c)'!$" &amp; 'SpxSp (step-c)'!$AC$16 &amp; BT$72),"")</f>
        <v/>
      </c>
      <c r="BU86" s="1317" t="str">
        <f ca="1">IF(INDIRECT("'SpxSp (step-c)'!$B" &amp; BU$72)=$Z86,INDIRECT("'SpxSp (step-c)'!$" &amp; 'SpxSp (step-c)'!$AC$16 &amp; BU$72),"")</f>
        <v/>
      </c>
      <c r="BV86" s="1317" t="str">
        <f ca="1">IF(INDIRECT("'SpxSp (step-c)'!$B" &amp; BV$72)=$Z86,INDIRECT("'SpxSp (step-c)'!$" &amp; 'SpxSp (step-c)'!$AC$16 &amp; BV$72),"")</f>
        <v/>
      </c>
      <c r="BW86" s="1317" t="str">
        <f ca="1">IF(INDIRECT("'SpxSp (step-c)'!$B" &amp; BW$72)=$Z86,INDIRECT("'SpxSp (step-c)'!$" &amp; 'SpxSp (step-c)'!$AC$16 &amp; BW$72),"")</f>
        <v/>
      </c>
      <c r="BX86" s="1317" t="str">
        <f ca="1">IF(INDIRECT("'SpxSp (step-c)'!$B" &amp; BX$72)=$Z86,INDIRECT("'SpxSp (step-c)'!$" &amp; 'SpxSp (step-c)'!$AC$16 &amp; BX$72),"")</f>
        <v/>
      </c>
      <c r="BY86" s="1317" t="str">
        <f ca="1">IF(INDIRECT("'SpxSp (step-c)'!$B" &amp; BY$72)=$Z86,INDIRECT("'SpxSp (step-c)'!$" &amp; 'SpxSp (step-c)'!$AC$16 &amp; BY$72),"")</f>
        <v/>
      </c>
      <c r="BZ86" s="1317" t="str">
        <f ca="1">IF(INDIRECT("'SpxSp (step-c)'!$B" &amp; BZ$72)=$Z86,INDIRECT("'SpxSp (step-c)'!$" &amp; 'SpxSp (step-c)'!$AC$16 &amp; BZ$72),"")</f>
        <v/>
      </c>
      <c r="CA86" s="1317" t="str">
        <f ca="1">IF(INDIRECT("'SpxSp (step-c)'!$B" &amp; CA$72)=$Z86,INDIRECT("'SpxSp (step-c)'!$" &amp; 'SpxSp (step-c)'!$AC$16 &amp; CA$72),"")</f>
        <v/>
      </c>
      <c r="CB86" s="1317" t="str">
        <f ca="1">IF(INDIRECT("'SpxSp (step-c)'!$B" &amp; CB$72)=$Z86,INDIRECT("'SpxSp (step-c)'!$" &amp; 'SpxSp (step-c)'!$AC$16 &amp; CB$72),"")</f>
        <v/>
      </c>
      <c r="CC86" s="1317" t="str">
        <f ca="1">IF(INDIRECT("'SpxSp (step-c)'!$B" &amp; CC$72)=$Z86,INDIRECT("'SpxSp (step-c)'!$" &amp; 'SpxSp (step-c)'!$AC$16 &amp; CC$72),"")</f>
        <v/>
      </c>
      <c r="CD86" s="1317" t="str">
        <f ca="1">IF(INDIRECT("'SpxSp (step-c)'!$B" &amp; CD$72)=$Z86,INDIRECT("'SpxSp (step-c)'!$" &amp; 'SpxSp (step-c)'!$AC$16 &amp; CD$72),"")</f>
        <v/>
      </c>
      <c r="CE86" s="1317" t="str">
        <f ca="1">IF(INDIRECT("'SpxSp (step-c)'!$B" &amp; CE$72)=$Z86,INDIRECT("'SpxSp (step-c)'!$" &amp; 'SpxSp (step-c)'!$AC$16 &amp; CE$72),"")</f>
        <v/>
      </c>
      <c r="CF86" s="1317" t="str">
        <f ca="1">IF(INDIRECT("'SpxSp (step-c)'!$B" &amp; CF$72)=$Z86,INDIRECT("'SpxSp (step-c)'!$" &amp; 'SpxSp (step-c)'!$AC$16 &amp; CF$72),"")</f>
        <v/>
      </c>
      <c r="CG86" s="1317" t="str">
        <f ca="1">IF(INDIRECT("'SpxSp (step-c)'!$B" &amp; CG$72)=$Z86,INDIRECT("'SpxSp (step-c)'!$" &amp; 'SpxSp (step-c)'!$AC$16 &amp; CG$72),"")</f>
        <v/>
      </c>
      <c r="CH86" s="1317" t="str">
        <f ca="1">IF(INDIRECT("'SpxSp (step-c)'!$B" &amp; CH$72)=$Z86,INDIRECT("'SpxSp (step-c)'!$" &amp; 'SpxSp (step-c)'!$AC$16 &amp; CH$72),"")</f>
        <v/>
      </c>
      <c r="CI86" s="1317" t="str">
        <f ca="1">IF(INDIRECT("'SpxSp (step-c)'!$B" &amp; CI$72)=$Z86,INDIRECT("'SpxSp (step-c)'!$" &amp; 'SpxSp (step-c)'!$AC$16 &amp; CI$72),"")</f>
        <v/>
      </c>
      <c r="CJ86" s="1317" t="str">
        <f ca="1">IF(INDIRECT("'SpxSp (step-c)'!$B" &amp; CJ$72)=$Z86,INDIRECT("'SpxSp (step-c)'!$" &amp; 'SpxSp (step-c)'!$AC$16 &amp; CJ$72),"")</f>
        <v/>
      </c>
      <c r="CK86" s="1317" t="str">
        <f ca="1">IF(INDIRECT("'SpxSp (step-c)'!$B" &amp; CK$72)=$Z86,INDIRECT("'SpxSp (step-c)'!$" &amp; 'SpxSp (step-c)'!$AC$16 &amp; CK$72),"")</f>
        <v/>
      </c>
      <c r="CL86" s="1317" t="str">
        <f ca="1">IF(INDIRECT("'SpxSp (step-c)'!$B" &amp; CL$72)=$Z86,INDIRECT("'SpxSp (step-c)'!$" &amp; 'SpxSp (step-c)'!$AC$16 &amp; CL$72),"")</f>
        <v/>
      </c>
      <c r="CM86" s="1317" t="str">
        <f ca="1">IF(INDIRECT("'SpxSp (step-c)'!$B" &amp; CM$72)=$Z86,INDIRECT("'SpxSp (step-c)'!$" &amp; 'SpxSp (step-c)'!$AC$16 &amp; CM$72),"")</f>
        <v/>
      </c>
      <c r="CN86" s="1317" t="str">
        <f ca="1">IF(INDIRECT("'SpxSp (step-c)'!$B" &amp; CN$72)=$Z86,INDIRECT("'SpxSp (step-c)'!$" &amp; 'SpxSp (step-c)'!$AC$16 &amp; CN$72),"")</f>
        <v/>
      </c>
      <c r="CO86" s="1317" t="str">
        <f ca="1">IF(INDIRECT("'SpxSp (step-c)'!$B" &amp; CO$72)=$Z86,INDIRECT("'SpxSp (step-c)'!$" &amp; 'SpxSp (step-c)'!$AC$16 &amp; CO$72),"")</f>
        <v/>
      </c>
      <c r="CP86" s="1317" t="str">
        <f ca="1">IF(INDIRECT("'SpxSp (step-c)'!$B" &amp; CP$72)=$Z86,INDIRECT("'SpxSp (step-c)'!$" &amp; 'SpxSp (step-c)'!$AC$16 &amp; CP$72),"")</f>
        <v/>
      </c>
      <c r="CQ86" s="1317" t="str">
        <f ca="1">IF(INDIRECT("'SpxSp (step-c)'!$B" &amp; CQ$72)=$Z86,INDIRECT("'SpxSp (step-c)'!$" &amp; 'SpxSp (step-c)'!$AC$16 &amp; CQ$72),"")</f>
        <v/>
      </c>
      <c r="CR86" s="1317" t="str">
        <f ca="1">IF(INDIRECT("'SpxSp (step-c)'!$B" &amp; CR$72)=$Z86,INDIRECT("'SpxSp (step-c)'!$" &amp; 'SpxSp (step-c)'!$AC$16 &amp; CR$72),"")</f>
        <v/>
      </c>
      <c r="CS86" s="1317" t="str">
        <f ca="1">IF(INDIRECT("'SpxSp (step-c)'!$B" &amp; CS$72)=$Z86,INDIRECT("'SpxSp (step-c)'!$" &amp; 'SpxSp (step-c)'!$AC$16 &amp; CS$72),"")</f>
        <v/>
      </c>
      <c r="CT86" s="1317" t="str">
        <f ca="1">IF(INDIRECT("'SpxSp (step-c)'!$B" &amp; CT$72)=$Z86,INDIRECT("'SpxSp (step-c)'!$" &amp; 'SpxSp (step-c)'!$AC$16 &amp; CT$72),"")</f>
        <v/>
      </c>
      <c r="CU86" s="1317" t="str">
        <f ca="1">IF(INDIRECT("'SpxSp (step-c)'!$B" &amp; CU$72)=$Z86,INDIRECT("'SpxSp (step-c)'!$" &amp; 'SpxSp (step-c)'!$AC$16 &amp; CU$72),"")</f>
        <v/>
      </c>
      <c r="CV86" s="1317" t="str">
        <f ca="1">IF(INDIRECT("'SpxSp (step-c)'!$B" &amp; CV$72)=$Z86,INDIRECT("'SpxSp (step-c)'!$" &amp; 'SpxSp (step-c)'!$AC$16 &amp; CV$72),"")</f>
        <v/>
      </c>
      <c r="CW86" s="1317" t="str">
        <f ca="1">IF(INDIRECT("'SpxSp (step-c)'!$B" &amp; CW$72)=$Z86,INDIRECT("'SpxSp (step-c)'!$" &amp; 'SpxSp (step-c)'!$AC$16 &amp; CW$72),"")</f>
        <v/>
      </c>
      <c r="CX86" s="1317" t="str">
        <f ca="1">IF(INDIRECT("'SpxSp (step-c)'!$B" &amp; CX$72)=$Z86,INDIRECT("'SpxSp (step-c)'!$" &amp; 'SpxSp (step-c)'!$AC$16 &amp; CX$72),"")</f>
        <v/>
      </c>
      <c r="CY86" s="1317" t="str">
        <f ca="1">IF(INDIRECT("'SpxSp (step-c)'!$B" &amp; CY$72)=$Z86,INDIRECT("'SpxSp (step-c)'!$" &amp; 'SpxSp (step-c)'!$AC$16 &amp; CY$72),"")</f>
        <v/>
      </c>
      <c r="CZ86" s="1317" t="str">
        <f ca="1">IF(INDIRECT("'SpxSp (step-c)'!$B" &amp; CZ$72)=$Z86,INDIRECT("'SpxSp (step-c)'!$" &amp; 'SpxSp (step-c)'!$AC$16 &amp; CZ$72),"")</f>
        <v/>
      </c>
      <c r="DA86" s="1317" t="str">
        <f ca="1">IF(INDIRECT("'SpxSp (step-c)'!$B" &amp; DA$72)=$Z86,INDIRECT("'SpxSp (step-c)'!$" &amp; 'SpxSp (step-c)'!$AC$16 &amp; DA$72),"")</f>
        <v/>
      </c>
      <c r="DB86" s="1317" t="str">
        <f ca="1">IF(INDIRECT("'SpxSp (step-c)'!$B" &amp; DB$72)=$Z86,INDIRECT("'SpxSp (step-c)'!$" &amp; 'SpxSp (step-c)'!$AC$16 &amp; DB$72),"")</f>
        <v/>
      </c>
      <c r="DC86" s="1317" t="str">
        <f ca="1">IF(INDIRECT("'SpxSp (step-c)'!$B" &amp; DC$72)=$Z86,INDIRECT("'SpxSp (step-c)'!$" &amp; 'SpxSp (step-c)'!$AC$16 &amp; DC$72),"")</f>
        <v/>
      </c>
      <c r="DD86" s="1317" t="str">
        <f ca="1">IF(INDIRECT("'SpxSp (step-c)'!$B" &amp; DD$72)=$Z86,INDIRECT("'SpxSp (step-c)'!$" &amp; 'SpxSp (step-c)'!$AC$16 &amp; DD$72),"")</f>
        <v/>
      </c>
      <c r="DE86" s="1317" t="str">
        <f ca="1">IF(INDIRECT("'SpxSp (step-c)'!$B" &amp; DE$72)=$Z86,INDIRECT("'SpxSp (step-c)'!$" &amp; 'SpxSp (step-c)'!$AC$16 &amp; DE$72),"")</f>
        <v/>
      </c>
      <c r="DF86" s="1317" t="str">
        <f ca="1">IF(INDIRECT("'SpxSp (step-c)'!$B" &amp; DF$72)=$Z86,INDIRECT("'SpxSp (step-c)'!$" &amp; 'SpxSp (step-c)'!$AC$16 &amp; DF$72),"")</f>
        <v/>
      </c>
      <c r="DG86" s="1317" t="str">
        <f ca="1">IF(INDIRECT("'SpxSp (step-c)'!$B" &amp; DG$72)=$Z86,INDIRECT("'SpxSp (step-c)'!$" &amp; 'SpxSp (step-c)'!$AC$16 &amp; DG$72),"")</f>
        <v/>
      </c>
      <c r="DH86" s="1317" t="str">
        <f ca="1">IF(INDIRECT("'SpxSp (step-c)'!$B" &amp; DH$72)=$Z86,INDIRECT("'SpxSp (step-c)'!$" &amp; 'SpxSp (step-c)'!$AC$16 &amp; DH$72),"")</f>
        <v/>
      </c>
      <c r="DI86" s="1317" t="str">
        <f ca="1">IF(INDIRECT("'SpxSp (step-c)'!$B" &amp; DI$72)=$Z86,INDIRECT("'SpxSp (step-c)'!$" &amp; 'SpxSp (step-c)'!$AC$16 &amp; DI$72),"")</f>
        <v/>
      </c>
      <c r="DJ86" s="1317" t="str">
        <f ca="1">IF(INDIRECT("'SpxSp (step-c)'!$B" &amp; DJ$72)=$Z86,INDIRECT("'SpxSp (step-c)'!$" &amp; 'SpxSp (step-c)'!$AC$16 &amp; DJ$72),"")</f>
        <v/>
      </c>
      <c r="DK86" s="1317" t="str">
        <f ca="1">IF(INDIRECT("'SpxSp (step-c)'!$B" &amp; DK$72)=$Z86,INDIRECT("'SpxSp (step-c)'!$" &amp; 'SpxSp (step-c)'!$AC$16 &amp; DK$72),"")</f>
        <v/>
      </c>
      <c r="DL86" s="1317" t="str">
        <f ca="1">IF(INDIRECT("'SpxSp (step-c)'!$B" &amp; DL$72)=$Z86,INDIRECT("'SpxSp (step-c)'!$" &amp; 'SpxSp (step-c)'!$AC$16 &amp; DL$72),"")</f>
        <v/>
      </c>
      <c r="DM86" s="1317" t="str">
        <f ca="1">IF(INDIRECT("'SpxSp (step-c)'!$B" &amp; DM$72)=$Z86,INDIRECT("'SpxSp (step-c)'!$" &amp; 'SpxSp (step-c)'!$AC$16 &amp; DM$72),"")</f>
        <v/>
      </c>
      <c r="DO86" s="1246" t="s">
        <v>1200</v>
      </c>
    </row>
    <row r="87" spans="26:119" ht="20" x14ac:dyDescent="0.2">
      <c r="Z87" s="1317" t="str">
        <f t="shared" ref="Z87:AA87" si="55">Z32</f>
        <v/>
      </c>
      <c r="AA87" s="1317" t="str">
        <f t="shared" si="55"/>
        <v/>
      </c>
      <c r="BN87" s="178">
        <v>15</v>
      </c>
      <c r="BO87" s="1316" t="str">
        <f t="shared" ca="1" si="43"/>
        <v/>
      </c>
      <c r="BP87" s="1317" t="str">
        <f ca="1">IF(INDIRECT("'SpxSp (step-c)'!$B" &amp; BP$72)=$Z87,INDIRECT("'SpxSp (step-c)'!$" &amp; 'SpxSp (step-c)'!$AC$16 &amp; BP$72),"")</f>
        <v/>
      </c>
      <c r="BQ87" s="1317" t="str">
        <f ca="1">IF(INDIRECT("'SpxSp (step-c)'!$B" &amp; BQ$72)=$Z87,INDIRECT("'SpxSp (step-c)'!$" &amp; 'SpxSp (step-c)'!$AC$16 &amp; BQ$72),"")</f>
        <v/>
      </c>
      <c r="BR87" s="1317" t="str">
        <f ca="1">IF(INDIRECT("'SpxSp (step-c)'!$B" &amp; BR$72)=$Z87,INDIRECT("'SpxSp (step-c)'!$" &amp; 'SpxSp (step-c)'!$AC$16 &amp; BR$72),"")</f>
        <v/>
      </c>
      <c r="BS87" s="1317" t="str">
        <f ca="1">IF(INDIRECT("'SpxSp (step-c)'!$B" &amp; BS$72)=$Z87,INDIRECT("'SpxSp (step-c)'!$" &amp; 'SpxSp (step-c)'!$AC$16 &amp; BS$72),"")</f>
        <v/>
      </c>
      <c r="BT87" s="1317" t="str">
        <f ca="1">IF(INDIRECT("'SpxSp (step-c)'!$B" &amp; BT$72)=$Z87,INDIRECT("'SpxSp (step-c)'!$" &amp; 'SpxSp (step-c)'!$AC$16 &amp; BT$72),"")</f>
        <v/>
      </c>
      <c r="BU87" s="1317" t="str">
        <f ca="1">IF(INDIRECT("'SpxSp (step-c)'!$B" &amp; BU$72)=$Z87,INDIRECT("'SpxSp (step-c)'!$" &amp; 'SpxSp (step-c)'!$AC$16 &amp; BU$72),"")</f>
        <v/>
      </c>
      <c r="BV87" s="1317" t="str">
        <f ca="1">IF(INDIRECT("'SpxSp (step-c)'!$B" &amp; BV$72)=$Z87,INDIRECT("'SpxSp (step-c)'!$" &amp; 'SpxSp (step-c)'!$AC$16 &amp; BV$72),"")</f>
        <v/>
      </c>
      <c r="BW87" s="1317" t="str">
        <f ca="1">IF(INDIRECT("'SpxSp (step-c)'!$B" &amp; BW$72)=$Z87,INDIRECT("'SpxSp (step-c)'!$" &amp; 'SpxSp (step-c)'!$AC$16 &amp; BW$72),"")</f>
        <v/>
      </c>
      <c r="BX87" s="1317" t="str">
        <f ca="1">IF(INDIRECT("'SpxSp (step-c)'!$B" &amp; BX$72)=$Z87,INDIRECT("'SpxSp (step-c)'!$" &amp; 'SpxSp (step-c)'!$AC$16 &amp; BX$72),"")</f>
        <v/>
      </c>
      <c r="BY87" s="1317" t="str">
        <f ca="1">IF(INDIRECT("'SpxSp (step-c)'!$B" &amp; BY$72)=$Z87,INDIRECT("'SpxSp (step-c)'!$" &amp; 'SpxSp (step-c)'!$AC$16 &amp; BY$72),"")</f>
        <v/>
      </c>
      <c r="BZ87" s="1317" t="str">
        <f ca="1">IF(INDIRECT("'SpxSp (step-c)'!$B" &amp; BZ$72)=$Z87,INDIRECT("'SpxSp (step-c)'!$" &amp; 'SpxSp (step-c)'!$AC$16 &amp; BZ$72),"")</f>
        <v/>
      </c>
      <c r="CA87" s="1317" t="str">
        <f ca="1">IF(INDIRECT("'SpxSp (step-c)'!$B" &amp; CA$72)=$Z87,INDIRECT("'SpxSp (step-c)'!$" &amp; 'SpxSp (step-c)'!$AC$16 &amp; CA$72),"")</f>
        <v/>
      </c>
      <c r="CB87" s="1317" t="str">
        <f ca="1">IF(INDIRECT("'SpxSp (step-c)'!$B" &amp; CB$72)=$Z87,INDIRECT("'SpxSp (step-c)'!$" &amp; 'SpxSp (step-c)'!$AC$16 &amp; CB$72),"")</f>
        <v/>
      </c>
      <c r="CC87" s="1317" t="str">
        <f ca="1">IF(INDIRECT("'SpxSp (step-c)'!$B" &amp; CC$72)=$Z87,INDIRECT("'SpxSp (step-c)'!$" &amp; 'SpxSp (step-c)'!$AC$16 &amp; CC$72),"")</f>
        <v/>
      </c>
      <c r="CD87" s="1317" t="str">
        <f ca="1">IF(INDIRECT("'SpxSp (step-c)'!$B" &amp; CD$72)=$Z87,INDIRECT("'SpxSp (step-c)'!$" &amp; 'SpxSp (step-c)'!$AC$16 &amp; CD$72),"")</f>
        <v/>
      </c>
      <c r="CE87" s="1317" t="str">
        <f ca="1">IF(INDIRECT("'SpxSp (step-c)'!$B" &amp; CE$72)=$Z87,INDIRECT("'SpxSp (step-c)'!$" &amp; 'SpxSp (step-c)'!$AC$16 &amp; CE$72),"")</f>
        <v/>
      </c>
      <c r="CF87" s="1317" t="str">
        <f ca="1">IF(INDIRECT("'SpxSp (step-c)'!$B" &amp; CF$72)=$Z87,INDIRECT("'SpxSp (step-c)'!$" &amp; 'SpxSp (step-c)'!$AC$16 &amp; CF$72),"")</f>
        <v/>
      </c>
      <c r="CG87" s="1317" t="str">
        <f ca="1">IF(INDIRECT("'SpxSp (step-c)'!$B" &amp; CG$72)=$Z87,INDIRECT("'SpxSp (step-c)'!$" &amp; 'SpxSp (step-c)'!$AC$16 &amp; CG$72),"")</f>
        <v/>
      </c>
      <c r="CH87" s="1317" t="str">
        <f ca="1">IF(INDIRECT("'SpxSp (step-c)'!$B" &amp; CH$72)=$Z87,INDIRECT("'SpxSp (step-c)'!$" &amp; 'SpxSp (step-c)'!$AC$16 &amp; CH$72),"")</f>
        <v/>
      </c>
      <c r="CI87" s="1317" t="str">
        <f ca="1">IF(INDIRECT("'SpxSp (step-c)'!$B" &amp; CI$72)=$Z87,INDIRECT("'SpxSp (step-c)'!$" &amp; 'SpxSp (step-c)'!$AC$16 &amp; CI$72),"")</f>
        <v/>
      </c>
      <c r="CJ87" s="1317" t="str">
        <f ca="1">IF(INDIRECT("'SpxSp (step-c)'!$B" &amp; CJ$72)=$Z87,INDIRECT("'SpxSp (step-c)'!$" &amp; 'SpxSp (step-c)'!$AC$16 &amp; CJ$72),"")</f>
        <v/>
      </c>
      <c r="CK87" s="1317" t="str">
        <f ca="1">IF(INDIRECT("'SpxSp (step-c)'!$B" &amp; CK$72)=$Z87,INDIRECT("'SpxSp (step-c)'!$" &amp; 'SpxSp (step-c)'!$AC$16 &amp; CK$72),"")</f>
        <v/>
      </c>
      <c r="CL87" s="1317" t="str">
        <f ca="1">IF(INDIRECT("'SpxSp (step-c)'!$B" &amp; CL$72)=$Z87,INDIRECT("'SpxSp (step-c)'!$" &amp; 'SpxSp (step-c)'!$AC$16 &amp; CL$72),"")</f>
        <v/>
      </c>
      <c r="CM87" s="1317" t="str">
        <f ca="1">IF(INDIRECT("'SpxSp (step-c)'!$B" &amp; CM$72)=$Z87,INDIRECT("'SpxSp (step-c)'!$" &amp; 'SpxSp (step-c)'!$AC$16 &amp; CM$72),"")</f>
        <v/>
      </c>
      <c r="CN87" s="1317" t="str">
        <f ca="1">IF(INDIRECT("'SpxSp (step-c)'!$B" &amp; CN$72)=$Z87,INDIRECT("'SpxSp (step-c)'!$" &amp; 'SpxSp (step-c)'!$AC$16 &amp; CN$72),"")</f>
        <v/>
      </c>
      <c r="CO87" s="1317" t="str">
        <f ca="1">IF(INDIRECT("'SpxSp (step-c)'!$B" &amp; CO$72)=$Z87,INDIRECT("'SpxSp (step-c)'!$" &amp; 'SpxSp (step-c)'!$AC$16 &amp; CO$72),"")</f>
        <v/>
      </c>
      <c r="CP87" s="1317" t="str">
        <f ca="1">IF(INDIRECT("'SpxSp (step-c)'!$B" &amp; CP$72)=$Z87,INDIRECT("'SpxSp (step-c)'!$" &amp; 'SpxSp (step-c)'!$AC$16 &amp; CP$72),"")</f>
        <v/>
      </c>
      <c r="CQ87" s="1317" t="str">
        <f ca="1">IF(INDIRECT("'SpxSp (step-c)'!$B" &amp; CQ$72)=$Z87,INDIRECT("'SpxSp (step-c)'!$" &amp; 'SpxSp (step-c)'!$AC$16 &amp; CQ$72),"")</f>
        <v/>
      </c>
      <c r="CR87" s="1317" t="str">
        <f ca="1">IF(INDIRECT("'SpxSp (step-c)'!$B" &amp; CR$72)=$Z87,INDIRECT("'SpxSp (step-c)'!$" &amp; 'SpxSp (step-c)'!$AC$16 &amp; CR$72),"")</f>
        <v/>
      </c>
      <c r="CS87" s="1317" t="str">
        <f ca="1">IF(INDIRECT("'SpxSp (step-c)'!$B" &amp; CS$72)=$Z87,INDIRECT("'SpxSp (step-c)'!$" &amp; 'SpxSp (step-c)'!$AC$16 &amp; CS$72),"")</f>
        <v/>
      </c>
      <c r="CT87" s="1317" t="str">
        <f ca="1">IF(INDIRECT("'SpxSp (step-c)'!$B" &amp; CT$72)=$Z87,INDIRECT("'SpxSp (step-c)'!$" &amp; 'SpxSp (step-c)'!$AC$16 &amp; CT$72),"")</f>
        <v/>
      </c>
      <c r="CU87" s="1317" t="str">
        <f ca="1">IF(INDIRECT("'SpxSp (step-c)'!$B" &amp; CU$72)=$Z87,INDIRECT("'SpxSp (step-c)'!$" &amp; 'SpxSp (step-c)'!$AC$16 &amp; CU$72),"")</f>
        <v/>
      </c>
      <c r="CV87" s="1317" t="str">
        <f ca="1">IF(INDIRECT("'SpxSp (step-c)'!$B" &amp; CV$72)=$Z87,INDIRECT("'SpxSp (step-c)'!$" &amp; 'SpxSp (step-c)'!$AC$16 &amp; CV$72),"")</f>
        <v/>
      </c>
      <c r="CW87" s="1317" t="str">
        <f ca="1">IF(INDIRECT("'SpxSp (step-c)'!$B" &amp; CW$72)=$Z87,INDIRECT("'SpxSp (step-c)'!$" &amp; 'SpxSp (step-c)'!$AC$16 &amp; CW$72),"")</f>
        <v/>
      </c>
      <c r="CX87" s="1317" t="str">
        <f ca="1">IF(INDIRECT("'SpxSp (step-c)'!$B" &amp; CX$72)=$Z87,INDIRECT("'SpxSp (step-c)'!$" &amp; 'SpxSp (step-c)'!$AC$16 &amp; CX$72),"")</f>
        <v/>
      </c>
      <c r="CY87" s="1317" t="str">
        <f ca="1">IF(INDIRECT("'SpxSp (step-c)'!$B" &amp; CY$72)=$Z87,INDIRECT("'SpxSp (step-c)'!$" &amp; 'SpxSp (step-c)'!$AC$16 &amp; CY$72),"")</f>
        <v/>
      </c>
      <c r="CZ87" s="1317" t="str">
        <f ca="1">IF(INDIRECT("'SpxSp (step-c)'!$B" &amp; CZ$72)=$Z87,INDIRECT("'SpxSp (step-c)'!$" &amp; 'SpxSp (step-c)'!$AC$16 &amp; CZ$72),"")</f>
        <v/>
      </c>
      <c r="DA87" s="1317" t="str">
        <f ca="1">IF(INDIRECT("'SpxSp (step-c)'!$B" &amp; DA$72)=$Z87,INDIRECT("'SpxSp (step-c)'!$" &amp; 'SpxSp (step-c)'!$AC$16 &amp; DA$72),"")</f>
        <v/>
      </c>
      <c r="DB87" s="1317" t="str">
        <f ca="1">IF(INDIRECT("'SpxSp (step-c)'!$B" &amp; DB$72)=$Z87,INDIRECT("'SpxSp (step-c)'!$" &amp; 'SpxSp (step-c)'!$AC$16 &amp; DB$72),"")</f>
        <v/>
      </c>
      <c r="DC87" s="1317" t="str">
        <f ca="1">IF(INDIRECT("'SpxSp (step-c)'!$B" &amp; DC$72)=$Z87,INDIRECT("'SpxSp (step-c)'!$" &amp; 'SpxSp (step-c)'!$AC$16 &amp; DC$72),"")</f>
        <v/>
      </c>
      <c r="DD87" s="1317" t="str">
        <f ca="1">IF(INDIRECT("'SpxSp (step-c)'!$B" &amp; DD$72)=$Z87,INDIRECT("'SpxSp (step-c)'!$" &amp; 'SpxSp (step-c)'!$AC$16 &amp; DD$72),"")</f>
        <v/>
      </c>
      <c r="DE87" s="1317" t="str">
        <f ca="1">IF(INDIRECT("'SpxSp (step-c)'!$B" &amp; DE$72)=$Z87,INDIRECT("'SpxSp (step-c)'!$" &amp; 'SpxSp (step-c)'!$AC$16 &amp; DE$72),"")</f>
        <v/>
      </c>
      <c r="DF87" s="1317" t="str">
        <f ca="1">IF(INDIRECT("'SpxSp (step-c)'!$B" &amp; DF$72)=$Z87,INDIRECT("'SpxSp (step-c)'!$" &amp; 'SpxSp (step-c)'!$AC$16 &amp; DF$72),"")</f>
        <v/>
      </c>
      <c r="DG87" s="1317" t="str">
        <f ca="1">IF(INDIRECT("'SpxSp (step-c)'!$B" &amp; DG$72)=$Z87,INDIRECT("'SpxSp (step-c)'!$" &amp; 'SpxSp (step-c)'!$AC$16 &amp; DG$72),"")</f>
        <v/>
      </c>
      <c r="DH87" s="1317" t="str">
        <f ca="1">IF(INDIRECT("'SpxSp (step-c)'!$B" &amp; DH$72)=$Z87,INDIRECT("'SpxSp (step-c)'!$" &amp; 'SpxSp (step-c)'!$AC$16 &amp; DH$72),"")</f>
        <v/>
      </c>
      <c r="DI87" s="1317" t="str">
        <f ca="1">IF(INDIRECT("'SpxSp (step-c)'!$B" &amp; DI$72)=$Z87,INDIRECT("'SpxSp (step-c)'!$" &amp; 'SpxSp (step-c)'!$AC$16 &amp; DI$72),"")</f>
        <v/>
      </c>
      <c r="DJ87" s="1317" t="str">
        <f ca="1">IF(INDIRECT("'SpxSp (step-c)'!$B" &amp; DJ$72)=$Z87,INDIRECT("'SpxSp (step-c)'!$" &amp; 'SpxSp (step-c)'!$AC$16 &amp; DJ$72),"")</f>
        <v/>
      </c>
      <c r="DK87" s="1317" t="str">
        <f ca="1">IF(INDIRECT("'SpxSp (step-c)'!$B" &amp; DK$72)=$Z87,INDIRECT("'SpxSp (step-c)'!$" &amp; 'SpxSp (step-c)'!$AC$16 &amp; DK$72),"")</f>
        <v/>
      </c>
      <c r="DL87" s="1317" t="str">
        <f ca="1">IF(INDIRECT("'SpxSp (step-c)'!$B" &amp; DL$72)=$Z87,INDIRECT("'SpxSp (step-c)'!$" &amp; 'SpxSp (step-c)'!$AC$16 &amp; DL$72),"")</f>
        <v/>
      </c>
      <c r="DM87" s="1317" t="str">
        <f ca="1">IF(INDIRECT("'SpxSp (step-c)'!$B" &amp; DM$72)=$Z87,INDIRECT("'SpxSp (step-c)'!$" &amp; 'SpxSp (step-c)'!$AC$16 &amp; DM$72),"")</f>
        <v/>
      </c>
      <c r="DO87" s="1246" t="s">
        <v>1200</v>
      </c>
    </row>
    <row r="88" spans="26:119" ht="20" x14ac:dyDescent="0.2">
      <c r="Z88" s="1317" t="str">
        <f t="shared" ref="Z88:AA88" si="56">Z33</f>
        <v/>
      </c>
      <c r="AA88" s="1317" t="str">
        <f t="shared" si="56"/>
        <v/>
      </c>
      <c r="BN88" s="178">
        <v>16</v>
      </c>
      <c r="BO88" s="1316" t="str">
        <f t="shared" ca="1" si="43"/>
        <v/>
      </c>
      <c r="BP88" s="1317" t="str">
        <f ca="1">IF(INDIRECT("'SpxSp (step-c)'!$B" &amp; BP$72)=$Z88,INDIRECT("'SpxSp (step-c)'!$" &amp; 'SpxSp (step-c)'!$AC$16 &amp; BP$72),"")</f>
        <v/>
      </c>
      <c r="BQ88" s="1317" t="str">
        <f ca="1">IF(INDIRECT("'SpxSp (step-c)'!$B" &amp; BQ$72)=$Z88,INDIRECT("'SpxSp (step-c)'!$" &amp; 'SpxSp (step-c)'!$AC$16 &amp; BQ$72),"")</f>
        <v/>
      </c>
      <c r="BR88" s="1317" t="str">
        <f ca="1">IF(INDIRECT("'SpxSp (step-c)'!$B" &amp; BR$72)=$Z88,INDIRECT("'SpxSp (step-c)'!$" &amp; 'SpxSp (step-c)'!$AC$16 &amp; BR$72),"")</f>
        <v/>
      </c>
      <c r="BS88" s="1317" t="str">
        <f ca="1">IF(INDIRECT("'SpxSp (step-c)'!$B" &amp; BS$72)=$Z88,INDIRECT("'SpxSp (step-c)'!$" &amp; 'SpxSp (step-c)'!$AC$16 &amp; BS$72),"")</f>
        <v/>
      </c>
      <c r="BT88" s="1317" t="str">
        <f ca="1">IF(INDIRECT("'SpxSp (step-c)'!$B" &amp; BT$72)=$Z88,INDIRECT("'SpxSp (step-c)'!$" &amp; 'SpxSp (step-c)'!$AC$16 &amp; BT$72),"")</f>
        <v/>
      </c>
      <c r="BU88" s="1317" t="str">
        <f ca="1">IF(INDIRECT("'SpxSp (step-c)'!$B" &amp; BU$72)=$Z88,INDIRECT("'SpxSp (step-c)'!$" &amp; 'SpxSp (step-c)'!$AC$16 &amp; BU$72),"")</f>
        <v/>
      </c>
      <c r="BV88" s="1317" t="str">
        <f ca="1">IF(INDIRECT("'SpxSp (step-c)'!$B" &amp; BV$72)=$Z88,INDIRECT("'SpxSp (step-c)'!$" &amp; 'SpxSp (step-c)'!$AC$16 &amp; BV$72),"")</f>
        <v/>
      </c>
      <c r="BW88" s="1317" t="str">
        <f ca="1">IF(INDIRECT("'SpxSp (step-c)'!$B" &amp; BW$72)=$Z88,INDIRECT("'SpxSp (step-c)'!$" &amp; 'SpxSp (step-c)'!$AC$16 &amp; BW$72),"")</f>
        <v/>
      </c>
      <c r="BX88" s="1317" t="str">
        <f ca="1">IF(INDIRECT("'SpxSp (step-c)'!$B" &amp; BX$72)=$Z88,INDIRECT("'SpxSp (step-c)'!$" &amp; 'SpxSp (step-c)'!$AC$16 &amp; BX$72),"")</f>
        <v/>
      </c>
      <c r="BY88" s="1317" t="str">
        <f ca="1">IF(INDIRECT("'SpxSp (step-c)'!$B" &amp; BY$72)=$Z88,INDIRECT("'SpxSp (step-c)'!$" &amp; 'SpxSp (step-c)'!$AC$16 &amp; BY$72),"")</f>
        <v/>
      </c>
      <c r="BZ88" s="1317" t="str">
        <f ca="1">IF(INDIRECT("'SpxSp (step-c)'!$B" &amp; BZ$72)=$Z88,INDIRECT("'SpxSp (step-c)'!$" &amp; 'SpxSp (step-c)'!$AC$16 &amp; BZ$72),"")</f>
        <v/>
      </c>
      <c r="CA88" s="1317" t="str">
        <f ca="1">IF(INDIRECT("'SpxSp (step-c)'!$B" &amp; CA$72)=$Z88,INDIRECT("'SpxSp (step-c)'!$" &amp; 'SpxSp (step-c)'!$AC$16 &amp; CA$72),"")</f>
        <v/>
      </c>
      <c r="CB88" s="1317" t="str">
        <f ca="1">IF(INDIRECT("'SpxSp (step-c)'!$B" &amp; CB$72)=$Z88,INDIRECT("'SpxSp (step-c)'!$" &amp; 'SpxSp (step-c)'!$AC$16 &amp; CB$72),"")</f>
        <v/>
      </c>
      <c r="CC88" s="1317" t="str">
        <f ca="1">IF(INDIRECT("'SpxSp (step-c)'!$B" &amp; CC$72)=$Z88,INDIRECT("'SpxSp (step-c)'!$" &amp; 'SpxSp (step-c)'!$AC$16 &amp; CC$72),"")</f>
        <v/>
      </c>
      <c r="CD88" s="1317" t="str">
        <f ca="1">IF(INDIRECT("'SpxSp (step-c)'!$B" &amp; CD$72)=$Z88,INDIRECT("'SpxSp (step-c)'!$" &amp; 'SpxSp (step-c)'!$AC$16 &amp; CD$72),"")</f>
        <v/>
      </c>
      <c r="CE88" s="1317" t="str">
        <f ca="1">IF(INDIRECT("'SpxSp (step-c)'!$B" &amp; CE$72)=$Z88,INDIRECT("'SpxSp (step-c)'!$" &amp; 'SpxSp (step-c)'!$AC$16 &amp; CE$72),"")</f>
        <v/>
      </c>
      <c r="CF88" s="1317" t="str">
        <f ca="1">IF(INDIRECT("'SpxSp (step-c)'!$B" &amp; CF$72)=$Z88,INDIRECT("'SpxSp (step-c)'!$" &amp; 'SpxSp (step-c)'!$AC$16 &amp; CF$72),"")</f>
        <v/>
      </c>
      <c r="CG88" s="1317" t="str">
        <f ca="1">IF(INDIRECT("'SpxSp (step-c)'!$B" &amp; CG$72)=$Z88,INDIRECT("'SpxSp (step-c)'!$" &amp; 'SpxSp (step-c)'!$AC$16 &amp; CG$72),"")</f>
        <v/>
      </c>
      <c r="CH88" s="1317" t="str">
        <f ca="1">IF(INDIRECT("'SpxSp (step-c)'!$B" &amp; CH$72)=$Z88,INDIRECT("'SpxSp (step-c)'!$" &amp; 'SpxSp (step-c)'!$AC$16 &amp; CH$72),"")</f>
        <v/>
      </c>
      <c r="CI88" s="1317" t="str">
        <f ca="1">IF(INDIRECT("'SpxSp (step-c)'!$B" &amp; CI$72)=$Z88,INDIRECT("'SpxSp (step-c)'!$" &amp; 'SpxSp (step-c)'!$AC$16 &amp; CI$72),"")</f>
        <v/>
      </c>
      <c r="CJ88" s="1317" t="str">
        <f ca="1">IF(INDIRECT("'SpxSp (step-c)'!$B" &amp; CJ$72)=$Z88,INDIRECT("'SpxSp (step-c)'!$" &amp; 'SpxSp (step-c)'!$AC$16 &amp; CJ$72),"")</f>
        <v/>
      </c>
      <c r="CK88" s="1317" t="str">
        <f ca="1">IF(INDIRECT("'SpxSp (step-c)'!$B" &amp; CK$72)=$Z88,INDIRECT("'SpxSp (step-c)'!$" &amp; 'SpxSp (step-c)'!$AC$16 &amp; CK$72),"")</f>
        <v/>
      </c>
      <c r="CL88" s="1317" t="str">
        <f ca="1">IF(INDIRECT("'SpxSp (step-c)'!$B" &amp; CL$72)=$Z88,INDIRECT("'SpxSp (step-c)'!$" &amp; 'SpxSp (step-c)'!$AC$16 &amp; CL$72),"")</f>
        <v/>
      </c>
      <c r="CM88" s="1317" t="str">
        <f ca="1">IF(INDIRECT("'SpxSp (step-c)'!$B" &amp; CM$72)=$Z88,INDIRECT("'SpxSp (step-c)'!$" &amp; 'SpxSp (step-c)'!$AC$16 &amp; CM$72),"")</f>
        <v/>
      </c>
      <c r="CN88" s="1317" t="str">
        <f ca="1">IF(INDIRECT("'SpxSp (step-c)'!$B" &amp; CN$72)=$Z88,INDIRECT("'SpxSp (step-c)'!$" &amp; 'SpxSp (step-c)'!$AC$16 &amp; CN$72),"")</f>
        <v/>
      </c>
      <c r="CO88" s="1317" t="str">
        <f ca="1">IF(INDIRECT("'SpxSp (step-c)'!$B" &amp; CO$72)=$Z88,INDIRECT("'SpxSp (step-c)'!$" &amp; 'SpxSp (step-c)'!$AC$16 &amp; CO$72),"")</f>
        <v/>
      </c>
      <c r="CP88" s="1317" t="str">
        <f ca="1">IF(INDIRECT("'SpxSp (step-c)'!$B" &amp; CP$72)=$Z88,INDIRECT("'SpxSp (step-c)'!$" &amp; 'SpxSp (step-c)'!$AC$16 &amp; CP$72),"")</f>
        <v/>
      </c>
      <c r="CQ88" s="1317" t="str">
        <f ca="1">IF(INDIRECT("'SpxSp (step-c)'!$B" &amp; CQ$72)=$Z88,INDIRECT("'SpxSp (step-c)'!$" &amp; 'SpxSp (step-c)'!$AC$16 &amp; CQ$72),"")</f>
        <v/>
      </c>
      <c r="CR88" s="1317" t="str">
        <f ca="1">IF(INDIRECT("'SpxSp (step-c)'!$B" &amp; CR$72)=$Z88,INDIRECT("'SpxSp (step-c)'!$" &amp; 'SpxSp (step-c)'!$AC$16 &amp; CR$72),"")</f>
        <v/>
      </c>
      <c r="CS88" s="1317" t="str">
        <f ca="1">IF(INDIRECT("'SpxSp (step-c)'!$B" &amp; CS$72)=$Z88,INDIRECT("'SpxSp (step-c)'!$" &amp; 'SpxSp (step-c)'!$AC$16 &amp; CS$72),"")</f>
        <v/>
      </c>
      <c r="CT88" s="1317" t="str">
        <f ca="1">IF(INDIRECT("'SpxSp (step-c)'!$B" &amp; CT$72)=$Z88,INDIRECT("'SpxSp (step-c)'!$" &amp; 'SpxSp (step-c)'!$AC$16 &amp; CT$72),"")</f>
        <v/>
      </c>
      <c r="CU88" s="1317" t="str">
        <f ca="1">IF(INDIRECT("'SpxSp (step-c)'!$B" &amp; CU$72)=$Z88,INDIRECT("'SpxSp (step-c)'!$" &amp; 'SpxSp (step-c)'!$AC$16 &amp; CU$72),"")</f>
        <v/>
      </c>
      <c r="CV88" s="1317" t="str">
        <f ca="1">IF(INDIRECT("'SpxSp (step-c)'!$B" &amp; CV$72)=$Z88,INDIRECT("'SpxSp (step-c)'!$" &amp; 'SpxSp (step-c)'!$AC$16 &amp; CV$72),"")</f>
        <v/>
      </c>
      <c r="CW88" s="1317" t="str">
        <f ca="1">IF(INDIRECT("'SpxSp (step-c)'!$B" &amp; CW$72)=$Z88,INDIRECT("'SpxSp (step-c)'!$" &amp; 'SpxSp (step-c)'!$AC$16 &amp; CW$72),"")</f>
        <v/>
      </c>
      <c r="CX88" s="1317" t="str">
        <f ca="1">IF(INDIRECT("'SpxSp (step-c)'!$B" &amp; CX$72)=$Z88,INDIRECT("'SpxSp (step-c)'!$" &amp; 'SpxSp (step-c)'!$AC$16 &amp; CX$72),"")</f>
        <v/>
      </c>
      <c r="CY88" s="1317" t="str">
        <f ca="1">IF(INDIRECT("'SpxSp (step-c)'!$B" &amp; CY$72)=$Z88,INDIRECT("'SpxSp (step-c)'!$" &amp; 'SpxSp (step-c)'!$AC$16 &amp; CY$72),"")</f>
        <v/>
      </c>
      <c r="CZ88" s="1317" t="str">
        <f ca="1">IF(INDIRECT("'SpxSp (step-c)'!$B" &amp; CZ$72)=$Z88,INDIRECT("'SpxSp (step-c)'!$" &amp; 'SpxSp (step-c)'!$AC$16 &amp; CZ$72),"")</f>
        <v/>
      </c>
      <c r="DA88" s="1317" t="str">
        <f ca="1">IF(INDIRECT("'SpxSp (step-c)'!$B" &amp; DA$72)=$Z88,INDIRECT("'SpxSp (step-c)'!$" &amp; 'SpxSp (step-c)'!$AC$16 &amp; DA$72),"")</f>
        <v/>
      </c>
      <c r="DB88" s="1317" t="str">
        <f ca="1">IF(INDIRECT("'SpxSp (step-c)'!$B" &amp; DB$72)=$Z88,INDIRECT("'SpxSp (step-c)'!$" &amp; 'SpxSp (step-c)'!$AC$16 &amp; DB$72),"")</f>
        <v/>
      </c>
      <c r="DC88" s="1317" t="str">
        <f ca="1">IF(INDIRECT("'SpxSp (step-c)'!$B" &amp; DC$72)=$Z88,INDIRECT("'SpxSp (step-c)'!$" &amp; 'SpxSp (step-c)'!$AC$16 &amp; DC$72),"")</f>
        <v/>
      </c>
      <c r="DD88" s="1317" t="str">
        <f ca="1">IF(INDIRECT("'SpxSp (step-c)'!$B" &amp; DD$72)=$Z88,INDIRECT("'SpxSp (step-c)'!$" &amp; 'SpxSp (step-c)'!$AC$16 &amp; DD$72),"")</f>
        <v/>
      </c>
      <c r="DE88" s="1317" t="str">
        <f ca="1">IF(INDIRECT("'SpxSp (step-c)'!$B" &amp; DE$72)=$Z88,INDIRECT("'SpxSp (step-c)'!$" &amp; 'SpxSp (step-c)'!$AC$16 &amp; DE$72),"")</f>
        <v/>
      </c>
      <c r="DF88" s="1317" t="str">
        <f ca="1">IF(INDIRECT("'SpxSp (step-c)'!$B" &amp; DF$72)=$Z88,INDIRECT("'SpxSp (step-c)'!$" &amp; 'SpxSp (step-c)'!$AC$16 &amp; DF$72),"")</f>
        <v/>
      </c>
      <c r="DG88" s="1317" t="str">
        <f ca="1">IF(INDIRECT("'SpxSp (step-c)'!$B" &amp; DG$72)=$Z88,INDIRECT("'SpxSp (step-c)'!$" &amp; 'SpxSp (step-c)'!$AC$16 &amp; DG$72),"")</f>
        <v/>
      </c>
      <c r="DH88" s="1317" t="str">
        <f ca="1">IF(INDIRECT("'SpxSp (step-c)'!$B" &amp; DH$72)=$Z88,INDIRECT("'SpxSp (step-c)'!$" &amp; 'SpxSp (step-c)'!$AC$16 &amp; DH$72),"")</f>
        <v/>
      </c>
      <c r="DI88" s="1317" t="str">
        <f ca="1">IF(INDIRECT("'SpxSp (step-c)'!$B" &amp; DI$72)=$Z88,INDIRECT("'SpxSp (step-c)'!$" &amp; 'SpxSp (step-c)'!$AC$16 &amp; DI$72),"")</f>
        <v/>
      </c>
      <c r="DJ88" s="1317" t="str">
        <f ca="1">IF(INDIRECT("'SpxSp (step-c)'!$B" &amp; DJ$72)=$Z88,INDIRECT("'SpxSp (step-c)'!$" &amp; 'SpxSp (step-c)'!$AC$16 &amp; DJ$72),"")</f>
        <v/>
      </c>
      <c r="DK88" s="1317" t="str">
        <f ca="1">IF(INDIRECT("'SpxSp (step-c)'!$B" &amp; DK$72)=$Z88,INDIRECT("'SpxSp (step-c)'!$" &amp; 'SpxSp (step-c)'!$AC$16 &amp; DK$72),"")</f>
        <v/>
      </c>
      <c r="DL88" s="1317" t="str">
        <f ca="1">IF(INDIRECT("'SpxSp (step-c)'!$B" &amp; DL$72)=$Z88,INDIRECT("'SpxSp (step-c)'!$" &amp; 'SpxSp (step-c)'!$AC$16 &amp; DL$72),"")</f>
        <v/>
      </c>
      <c r="DM88" s="1317" t="str">
        <f ca="1">IF(INDIRECT("'SpxSp (step-c)'!$B" &amp; DM$72)=$Z88,INDIRECT("'SpxSp (step-c)'!$" &amp; 'SpxSp (step-c)'!$AC$16 &amp; DM$72),"")</f>
        <v/>
      </c>
      <c r="DO88" s="1246" t="s">
        <v>1200</v>
      </c>
    </row>
    <row r="89" spans="26:119" ht="20" x14ac:dyDescent="0.2">
      <c r="Z89" s="1317" t="str">
        <f t="shared" ref="Z89:AA89" si="57">Z34</f>
        <v/>
      </c>
      <c r="AA89" s="1317" t="str">
        <f t="shared" si="57"/>
        <v/>
      </c>
      <c r="BN89" s="178">
        <v>17</v>
      </c>
      <c r="BO89" s="1316" t="str">
        <f t="shared" ca="1" si="43"/>
        <v/>
      </c>
      <c r="BP89" s="1317" t="str">
        <f ca="1">IF(INDIRECT("'SpxSp (step-c)'!$B" &amp; BP$72)=$Z89,INDIRECT("'SpxSp (step-c)'!$" &amp; 'SpxSp (step-c)'!$AC$16 &amp; BP$72),"")</f>
        <v/>
      </c>
      <c r="BQ89" s="1317" t="str">
        <f ca="1">IF(INDIRECT("'SpxSp (step-c)'!$B" &amp; BQ$72)=$Z89,INDIRECT("'SpxSp (step-c)'!$" &amp; 'SpxSp (step-c)'!$AC$16 &amp; BQ$72),"")</f>
        <v/>
      </c>
      <c r="BR89" s="1317" t="str">
        <f ca="1">IF(INDIRECT("'SpxSp (step-c)'!$B" &amp; BR$72)=$Z89,INDIRECT("'SpxSp (step-c)'!$" &amp; 'SpxSp (step-c)'!$AC$16 &amp; BR$72),"")</f>
        <v/>
      </c>
      <c r="BS89" s="1317" t="str">
        <f ca="1">IF(INDIRECT("'SpxSp (step-c)'!$B" &amp; BS$72)=$Z89,INDIRECT("'SpxSp (step-c)'!$" &amp; 'SpxSp (step-c)'!$AC$16 &amp; BS$72),"")</f>
        <v/>
      </c>
      <c r="BT89" s="1317" t="str">
        <f ca="1">IF(INDIRECT("'SpxSp (step-c)'!$B" &amp; BT$72)=$Z89,INDIRECT("'SpxSp (step-c)'!$" &amp; 'SpxSp (step-c)'!$AC$16 &amp; BT$72),"")</f>
        <v/>
      </c>
      <c r="BU89" s="1317" t="str">
        <f ca="1">IF(INDIRECT("'SpxSp (step-c)'!$B" &amp; BU$72)=$Z89,INDIRECT("'SpxSp (step-c)'!$" &amp; 'SpxSp (step-c)'!$AC$16 &amp; BU$72),"")</f>
        <v/>
      </c>
      <c r="BV89" s="1317" t="str">
        <f ca="1">IF(INDIRECT("'SpxSp (step-c)'!$B" &amp; BV$72)=$Z89,INDIRECT("'SpxSp (step-c)'!$" &amp; 'SpxSp (step-c)'!$AC$16 &amp; BV$72),"")</f>
        <v/>
      </c>
      <c r="BW89" s="1317" t="str">
        <f ca="1">IF(INDIRECT("'SpxSp (step-c)'!$B" &amp; BW$72)=$Z89,INDIRECT("'SpxSp (step-c)'!$" &amp; 'SpxSp (step-c)'!$AC$16 &amp; BW$72),"")</f>
        <v/>
      </c>
      <c r="BX89" s="1317" t="str">
        <f ca="1">IF(INDIRECT("'SpxSp (step-c)'!$B" &amp; BX$72)=$Z89,INDIRECT("'SpxSp (step-c)'!$" &amp; 'SpxSp (step-c)'!$AC$16 &amp; BX$72),"")</f>
        <v/>
      </c>
      <c r="BY89" s="1317" t="str">
        <f ca="1">IF(INDIRECT("'SpxSp (step-c)'!$B" &amp; BY$72)=$Z89,INDIRECT("'SpxSp (step-c)'!$" &amp; 'SpxSp (step-c)'!$AC$16 &amp; BY$72),"")</f>
        <v/>
      </c>
      <c r="BZ89" s="1317" t="str">
        <f ca="1">IF(INDIRECT("'SpxSp (step-c)'!$B" &amp; BZ$72)=$Z89,INDIRECT("'SpxSp (step-c)'!$" &amp; 'SpxSp (step-c)'!$AC$16 &amp; BZ$72),"")</f>
        <v/>
      </c>
      <c r="CA89" s="1317" t="str">
        <f ca="1">IF(INDIRECT("'SpxSp (step-c)'!$B" &amp; CA$72)=$Z89,INDIRECT("'SpxSp (step-c)'!$" &amp; 'SpxSp (step-c)'!$AC$16 &amp; CA$72),"")</f>
        <v/>
      </c>
      <c r="CB89" s="1317" t="str">
        <f ca="1">IF(INDIRECT("'SpxSp (step-c)'!$B" &amp; CB$72)=$Z89,INDIRECT("'SpxSp (step-c)'!$" &amp; 'SpxSp (step-c)'!$AC$16 &amp; CB$72),"")</f>
        <v/>
      </c>
      <c r="CC89" s="1317" t="str">
        <f ca="1">IF(INDIRECT("'SpxSp (step-c)'!$B" &amp; CC$72)=$Z89,INDIRECT("'SpxSp (step-c)'!$" &amp; 'SpxSp (step-c)'!$AC$16 &amp; CC$72),"")</f>
        <v/>
      </c>
      <c r="CD89" s="1317" t="str">
        <f ca="1">IF(INDIRECT("'SpxSp (step-c)'!$B" &amp; CD$72)=$Z89,INDIRECT("'SpxSp (step-c)'!$" &amp; 'SpxSp (step-c)'!$AC$16 &amp; CD$72),"")</f>
        <v/>
      </c>
      <c r="CE89" s="1317" t="str">
        <f ca="1">IF(INDIRECT("'SpxSp (step-c)'!$B" &amp; CE$72)=$Z89,INDIRECT("'SpxSp (step-c)'!$" &amp; 'SpxSp (step-c)'!$AC$16 &amp; CE$72),"")</f>
        <v/>
      </c>
      <c r="CF89" s="1317" t="str">
        <f ca="1">IF(INDIRECT("'SpxSp (step-c)'!$B" &amp; CF$72)=$Z89,INDIRECT("'SpxSp (step-c)'!$" &amp; 'SpxSp (step-c)'!$AC$16 &amp; CF$72),"")</f>
        <v/>
      </c>
      <c r="CG89" s="1317" t="str">
        <f ca="1">IF(INDIRECT("'SpxSp (step-c)'!$B" &amp; CG$72)=$Z89,INDIRECT("'SpxSp (step-c)'!$" &amp; 'SpxSp (step-c)'!$AC$16 &amp; CG$72),"")</f>
        <v/>
      </c>
      <c r="CH89" s="1317" t="str">
        <f ca="1">IF(INDIRECT("'SpxSp (step-c)'!$B" &amp; CH$72)=$Z89,INDIRECT("'SpxSp (step-c)'!$" &amp; 'SpxSp (step-c)'!$AC$16 &amp; CH$72),"")</f>
        <v/>
      </c>
      <c r="CI89" s="1317" t="str">
        <f ca="1">IF(INDIRECT("'SpxSp (step-c)'!$B" &amp; CI$72)=$Z89,INDIRECT("'SpxSp (step-c)'!$" &amp; 'SpxSp (step-c)'!$AC$16 &amp; CI$72),"")</f>
        <v/>
      </c>
      <c r="CJ89" s="1317" t="str">
        <f ca="1">IF(INDIRECT("'SpxSp (step-c)'!$B" &amp; CJ$72)=$Z89,INDIRECT("'SpxSp (step-c)'!$" &amp; 'SpxSp (step-c)'!$AC$16 &amp; CJ$72),"")</f>
        <v/>
      </c>
      <c r="CK89" s="1317" t="str">
        <f ca="1">IF(INDIRECT("'SpxSp (step-c)'!$B" &amp; CK$72)=$Z89,INDIRECT("'SpxSp (step-c)'!$" &amp; 'SpxSp (step-c)'!$AC$16 &amp; CK$72),"")</f>
        <v/>
      </c>
      <c r="CL89" s="1317" t="str">
        <f ca="1">IF(INDIRECT("'SpxSp (step-c)'!$B" &amp; CL$72)=$Z89,INDIRECT("'SpxSp (step-c)'!$" &amp; 'SpxSp (step-c)'!$AC$16 &amp; CL$72),"")</f>
        <v/>
      </c>
      <c r="CM89" s="1317" t="str">
        <f ca="1">IF(INDIRECT("'SpxSp (step-c)'!$B" &amp; CM$72)=$Z89,INDIRECT("'SpxSp (step-c)'!$" &amp; 'SpxSp (step-c)'!$AC$16 &amp; CM$72),"")</f>
        <v/>
      </c>
      <c r="CN89" s="1317" t="str">
        <f ca="1">IF(INDIRECT("'SpxSp (step-c)'!$B" &amp; CN$72)=$Z89,INDIRECT("'SpxSp (step-c)'!$" &amp; 'SpxSp (step-c)'!$AC$16 &amp; CN$72),"")</f>
        <v/>
      </c>
      <c r="CO89" s="1317" t="str">
        <f ca="1">IF(INDIRECT("'SpxSp (step-c)'!$B" &amp; CO$72)=$Z89,INDIRECT("'SpxSp (step-c)'!$" &amp; 'SpxSp (step-c)'!$AC$16 &amp; CO$72),"")</f>
        <v/>
      </c>
      <c r="CP89" s="1317" t="str">
        <f ca="1">IF(INDIRECT("'SpxSp (step-c)'!$B" &amp; CP$72)=$Z89,INDIRECT("'SpxSp (step-c)'!$" &amp; 'SpxSp (step-c)'!$AC$16 &amp; CP$72),"")</f>
        <v/>
      </c>
      <c r="CQ89" s="1317" t="str">
        <f ca="1">IF(INDIRECT("'SpxSp (step-c)'!$B" &amp; CQ$72)=$Z89,INDIRECT("'SpxSp (step-c)'!$" &amp; 'SpxSp (step-c)'!$AC$16 &amp; CQ$72),"")</f>
        <v/>
      </c>
      <c r="CR89" s="1317" t="str">
        <f ca="1">IF(INDIRECT("'SpxSp (step-c)'!$B" &amp; CR$72)=$Z89,INDIRECT("'SpxSp (step-c)'!$" &amp; 'SpxSp (step-c)'!$AC$16 &amp; CR$72),"")</f>
        <v/>
      </c>
      <c r="CS89" s="1317" t="str">
        <f ca="1">IF(INDIRECT("'SpxSp (step-c)'!$B" &amp; CS$72)=$Z89,INDIRECT("'SpxSp (step-c)'!$" &amp; 'SpxSp (step-c)'!$AC$16 &amp; CS$72),"")</f>
        <v/>
      </c>
      <c r="CT89" s="1317" t="str">
        <f ca="1">IF(INDIRECT("'SpxSp (step-c)'!$B" &amp; CT$72)=$Z89,INDIRECT("'SpxSp (step-c)'!$" &amp; 'SpxSp (step-c)'!$AC$16 &amp; CT$72),"")</f>
        <v/>
      </c>
      <c r="CU89" s="1317" t="str">
        <f ca="1">IF(INDIRECT("'SpxSp (step-c)'!$B" &amp; CU$72)=$Z89,INDIRECT("'SpxSp (step-c)'!$" &amp; 'SpxSp (step-c)'!$AC$16 &amp; CU$72),"")</f>
        <v/>
      </c>
      <c r="CV89" s="1317" t="str">
        <f ca="1">IF(INDIRECT("'SpxSp (step-c)'!$B" &amp; CV$72)=$Z89,INDIRECT("'SpxSp (step-c)'!$" &amp; 'SpxSp (step-c)'!$AC$16 &amp; CV$72),"")</f>
        <v/>
      </c>
      <c r="CW89" s="1317" t="str">
        <f ca="1">IF(INDIRECT("'SpxSp (step-c)'!$B" &amp; CW$72)=$Z89,INDIRECT("'SpxSp (step-c)'!$" &amp; 'SpxSp (step-c)'!$AC$16 &amp; CW$72),"")</f>
        <v/>
      </c>
      <c r="CX89" s="1317" t="str">
        <f ca="1">IF(INDIRECT("'SpxSp (step-c)'!$B" &amp; CX$72)=$Z89,INDIRECT("'SpxSp (step-c)'!$" &amp; 'SpxSp (step-c)'!$AC$16 &amp; CX$72),"")</f>
        <v/>
      </c>
      <c r="CY89" s="1317" t="str">
        <f ca="1">IF(INDIRECT("'SpxSp (step-c)'!$B" &amp; CY$72)=$Z89,INDIRECT("'SpxSp (step-c)'!$" &amp; 'SpxSp (step-c)'!$AC$16 &amp; CY$72),"")</f>
        <v/>
      </c>
      <c r="CZ89" s="1317" t="str">
        <f ca="1">IF(INDIRECT("'SpxSp (step-c)'!$B" &amp; CZ$72)=$Z89,INDIRECT("'SpxSp (step-c)'!$" &amp; 'SpxSp (step-c)'!$AC$16 &amp; CZ$72),"")</f>
        <v/>
      </c>
      <c r="DA89" s="1317" t="str">
        <f ca="1">IF(INDIRECT("'SpxSp (step-c)'!$B" &amp; DA$72)=$Z89,INDIRECT("'SpxSp (step-c)'!$" &amp; 'SpxSp (step-c)'!$AC$16 &amp; DA$72),"")</f>
        <v/>
      </c>
      <c r="DB89" s="1317" t="str">
        <f ca="1">IF(INDIRECT("'SpxSp (step-c)'!$B" &amp; DB$72)=$Z89,INDIRECT("'SpxSp (step-c)'!$" &amp; 'SpxSp (step-c)'!$AC$16 &amp; DB$72),"")</f>
        <v/>
      </c>
      <c r="DC89" s="1317" t="str">
        <f ca="1">IF(INDIRECT("'SpxSp (step-c)'!$B" &amp; DC$72)=$Z89,INDIRECT("'SpxSp (step-c)'!$" &amp; 'SpxSp (step-c)'!$AC$16 &amp; DC$72),"")</f>
        <v/>
      </c>
      <c r="DD89" s="1317" t="str">
        <f ca="1">IF(INDIRECT("'SpxSp (step-c)'!$B" &amp; DD$72)=$Z89,INDIRECT("'SpxSp (step-c)'!$" &amp; 'SpxSp (step-c)'!$AC$16 &amp; DD$72),"")</f>
        <v/>
      </c>
      <c r="DE89" s="1317" t="str">
        <f ca="1">IF(INDIRECT("'SpxSp (step-c)'!$B" &amp; DE$72)=$Z89,INDIRECT("'SpxSp (step-c)'!$" &amp; 'SpxSp (step-c)'!$AC$16 &amp; DE$72),"")</f>
        <v/>
      </c>
      <c r="DF89" s="1317" t="str">
        <f ca="1">IF(INDIRECT("'SpxSp (step-c)'!$B" &amp; DF$72)=$Z89,INDIRECT("'SpxSp (step-c)'!$" &amp; 'SpxSp (step-c)'!$AC$16 &amp; DF$72),"")</f>
        <v/>
      </c>
      <c r="DG89" s="1317" t="str">
        <f ca="1">IF(INDIRECT("'SpxSp (step-c)'!$B" &amp; DG$72)=$Z89,INDIRECT("'SpxSp (step-c)'!$" &amp; 'SpxSp (step-c)'!$AC$16 &amp; DG$72),"")</f>
        <v/>
      </c>
      <c r="DH89" s="1317" t="str">
        <f ca="1">IF(INDIRECT("'SpxSp (step-c)'!$B" &amp; DH$72)=$Z89,INDIRECT("'SpxSp (step-c)'!$" &amp; 'SpxSp (step-c)'!$AC$16 &amp; DH$72),"")</f>
        <v/>
      </c>
      <c r="DI89" s="1317" t="str">
        <f ca="1">IF(INDIRECT("'SpxSp (step-c)'!$B" &amp; DI$72)=$Z89,INDIRECT("'SpxSp (step-c)'!$" &amp; 'SpxSp (step-c)'!$AC$16 &amp; DI$72),"")</f>
        <v/>
      </c>
      <c r="DJ89" s="1317" t="str">
        <f ca="1">IF(INDIRECT("'SpxSp (step-c)'!$B" &amp; DJ$72)=$Z89,INDIRECT("'SpxSp (step-c)'!$" &amp; 'SpxSp (step-c)'!$AC$16 &amp; DJ$72),"")</f>
        <v/>
      </c>
      <c r="DK89" s="1317" t="str">
        <f ca="1">IF(INDIRECT("'SpxSp (step-c)'!$B" &amp; DK$72)=$Z89,INDIRECT("'SpxSp (step-c)'!$" &amp; 'SpxSp (step-c)'!$AC$16 &amp; DK$72),"")</f>
        <v/>
      </c>
      <c r="DL89" s="1317" t="str">
        <f ca="1">IF(INDIRECT("'SpxSp (step-c)'!$B" &amp; DL$72)=$Z89,INDIRECT("'SpxSp (step-c)'!$" &amp; 'SpxSp (step-c)'!$AC$16 &amp; DL$72),"")</f>
        <v/>
      </c>
      <c r="DM89" s="1317" t="str">
        <f ca="1">IF(INDIRECT("'SpxSp (step-c)'!$B" &amp; DM$72)=$Z89,INDIRECT("'SpxSp (step-c)'!$" &amp; 'SpxSp (step-c)'!$AC$16 &amp; DM$72),"")</f>
        <v/>
      </c>
      <c r="DO89" s="1246" t="s">
        <v>1200</v>
      </c>
    </row>
    <row r="90" spans="26:119" ht="20" x14ac:dyDescent="0.2">
      <c r="Z90" s="1317" t="str">
        <f t="shared" ref="Z90:AA90" si="58">Z35</f>
        <v/>
      </c>
      <c r="AA90" s="1317" t="str">
        <f t="shared" si="58"/>
        <v/>
      </c>
      <c r="BN90" s="178">
        <v>18</v>
      </c>
      <c r="BO90" s="1316" t="str">
        <f t="shared" ca="1" si="43"/>
        <v/>
      </c>
      <c r="BP90" s="1317" t="str">
        <f ca="1">IF(INDIRECT("'SpxSp (step-c)'!$B" &amp; BP$72)=$Z90,INDIRECT("'SpxSp (step-c)'!$" &amp; 'SpxSp (step-c)'!$AC$16 &amp; BP$72),"")</f>
        <v/>
      </c>
      <c r="BQ90" s="1317" t="str">
        <f ca="1">IF(INDIRECT("'SpxSp (step-c)'!$B" &amp; BQ$72)=$Z90,INDIRECT("'SpxSp (step-c)'!$" &amp; 'SpxSp (step-c)'!$AC$16 &amp; BQ$72),"")</f>
        <v/>
      </c>
      <c r="BR90" s="1317" t="str">
        <f ca="1">IF(INDIRECT("'SpxSp (step-c)'!$B" &amp; BR$72)=$Z90,INDIRECT("'SpxSp (step-c)'!$" &amp; 'SpxSp (step-c)'!$AC$16 &amp; BR$72),"")</f>
        <v/>
      </c>
      <c r="BS90" s="1317" t="str">
        <f ca="1">IF(INDIRECT("'SpxSp (step-c)'!$B" &amp; BS$72)=$Z90,INDIRECT("'SpxSp (step-c)'!$" &amp; 'SpxSp (step-c)'!$AC$16 &amp; BS$72),"")</f>
        <v/>
      </c>
      <c r="BT90" s="1317" t="str">
        <f ca="1">IF(INDIRECT("'SpxSp (step-c)'!$B" &amp; BT$72)=$Z90,INDIRECT("'SpxSp (step-c)'!$" &amp; 'SpxSp (step-c)'!$AC$16 &amp; BT$72),"")</f>
        <v/>
      </c>
      <c r="BU90" s="1317" t="str">
        <f ca="1">IF(INDIRECT("'SpxSp (step-c)'!$B" &amp; BU$72)=$Z90,INDIRECT("'SpxSp (step-c)'!$" &amp; 'SpxSp (step-c)'!$AC$16 &amp; BU$72),"")</f>
        <v/>
      </c>
      <c r="BV90" s="1317" t="str">
        <f ca="1">IF(INDIRECT("'SpxSp (step-c)'!$B" &amp; BV$72)=$Z90,INDIRECT("'SpxSp (step-c)'!$" &amp; 'SpxSp (step-c)'!$AC$16 &amp; BV$72),"")</f>
        <v/>
      </c>
      <c r="BW90" s="1317" t="str">
        <f ca="1">IF(INDIRECT("'SpxSp (step-c)'!$B" &amp; BW$72)=$Z90,INDIRECT("'SpxSp (step-c)'!$" &amp; 'SpxSp (step-c)'!$AC$16 &amp; BW$72),"")</f>
        <v/>
      </c>
      <c r="BX90" s="1317" t="str">
        <f ca="1">IF(INDIRECT("'SpxSp (step-c)'!$B" &amp; BX$72)=$Z90,INDIRECT("'SpxSp (step-c)'!$" &amp; 'SpxSp (step-c)'!$AC$16 &amp; BX$72),"")</f>
        <v/>
      </c>
      <c r="BY90" s="1317" t="str">
        <f ca="1">IF(INDIRECT("'SpxSp (step-c)'!$B" &amp; BY$72)=$Z90,INDIRECT("'SpxSp (step-c)'!$" &amp; 'SpxSp (step-c)'!$AC$16 &amp; BY$72),"")</f>
        <v/>
      </c>
      <c r="BZ90" s="1317" t="str">
        <f ca="1">IF(INDIRECT("'SpxSp (step-c)'!$B" &amp; BZ$72)=$Z90,INDIRECT("'SpxSp (step-c)'!$" &amp; 'SpxSp (step-c)'!$AC$16 &amp; BZ$72),"")</f>
        <v/>
      </c>
      <c r="CA90" s="1317" t="str">
        <f ca="1">IF(INDIRECT("'SpxSp (step-c)'!$B" &amp; CA$72)=$Z90,INDIRECT("'SpxSp (step-c)'!$" &amp; 'SpxSp (step-c)'!$AC$16 &amp; CA$72),"")</f>
        <v/>
      </c>
      <c r="CB90" s="1317" t="str">
        <f ca="1">IF(INDIRECT("'SpxSp (step-c)'!$B" &amp; CB$72)=$Z90,INDIRECT("'SpxSp (step-c)'!$" &amp; 'SpxSp (step-c)'!$AC$16 &amp; CB$72),"")</f>
        <v/>
      </c>
      <c r="CC90" s="1317" t="str">
        <f ca="1">IF(INDIRECT("'SpxSp (step-c)'!$B" &amp; CC$72)=$Z90,INDIRECT("'SpxSp (step-c)'!$" &amp; 'SpxSp (step-c)'!$AC$16 &amp; CC$72),"")</f>
        <v/>
      </c>
      <c r="CD90" s="1317" t="str">
        <f ca="1">IF(INDIRECT("'SpxSp (step-c)'!$B" &amp; CD$72)=$Z90,INDIRECT("'SpxSp (step-c)'!$" &amp; 'SpxSp (step-c)'!$AC$16 &amp; CD$72),"")</f>
        <v/>
      </c>
      <c r="CE90" s="1317" t="str">
        <f ca="1">IF(INDIRECT("'SpxSp (step-c)'!$B" &amp; CE$72)=$Z90,INDIRECT("'SpxSp (step-c)'!$" &amp; 'SpxSp (step-c)'!$AC$16 &amp; CE$72),"")</f>
        <v/>
      </c>
      <c r="CF90" s="1317" t="str">
        <f ca="1">IF(INDIRECT("'SpxSp (step-c)'!$B" &amp; CF$72)=$Z90,INDIRECT("'SpxSp (step-c)'!$" &amp; 'SpxSp (step-c)'!$AC$16 &amp; CF$72),"")</f>
        <v/>
      </c>
      <c r="CG90" s="1317" t="str">
        <f ca="1">IF(INDIRECT("'SpxSp (step-c)'!$B" &amp; CG$72)=$Z90,INDIRECT("'SpxSp (step-c)'!$" &amp; 'SpxSp (step-c)'!$AC$16 &amp; CG$72),"")</f>
        <v/>
      </c>
      <c r="CH90" s="1317" t="str">
        <f ca="1">IF(INDIRECT("'SpxSp (step-c)'!$B" &amp; CH$72)=$Z90,INDIRECT("'SpxSp (step-c)'!$" &amp; 'SpxSp (step-c)'!$AC$16 &amp; CH$72),"")</f>
        <v/>
      </c>
      <c r="CI90" s="1317" t="str">
        <f ca="1">IF(INDIRECT("'SpxSp (step-c)'!$B" &amp; CI$72)=$Z90,INDIRECT("'SpxSp (step-c)'!$" &amp; 'SpxSp (step-c)'!$AC$16 &amp; CI$72),"")</f>
        <v/>
      </c>
      <c r="CJ90" s="1317" t="str">
        <f ca="1">IF(INDIRECT("'SpxSp (step-c)'!$B" &amp; CJ$72)=$Z90,INDIRECT("'SpxSp (step-c)'!$" &amp; 'SpxSp (step-c)'!$AC$16 &amp; CJ$72),"")</f>
        <v/>
      </c>
      <c r="CK90" s="1317" t="str">
        <f ca="1">IF(INDIRECT("'SpxSp (step-c)'!$B" &amp; CK$72)=$Z90,INDIRECT("'SpxSp (step-c)'!$" &amp; 'SpxSp (step-c)'!$AC$16 &amp; CK$72),"")</f>
        <v/>
      </c>
      <c r="CL90" s="1317" t="str">
        <f ca="1">IF(INDIRECT("'SpxSp (step-c)'!$B" &amp; CL$72)=$Z90,INDIRECT("'SpxSp (step-c)'!$" &amp; 'SpxSp (step-c)'!$AC$16 &amp; CL$72),"")</f>
        <v/>
      </c>
      <c r="CM90" s="1317" t="str">
        <f ca="1">IF(INDIRECT("'SpxSp (step-c)'!$B" &amp; CM$72)=$Z90,INDIRECT("'SpxSp (step-c)'!$" &amp; 'SpxSp (step-c)'!$AC$16 &amp; CM$72),"")</f>
        <v/>
      </c>
      <c r="CN90" s="1317" t="str">
        <f ca="1">IF(INDIRECT("'SpxSp (step-c)'!$B" &amp; CN$72)=$Z90,INDIRECT("'SpxSp (step-c)'!$" &amp; 'SpxSp (step-c)'!$AC$16 &amp; CN$72),"")</f>
        <v/>
      </c>
      <c r="CO90" s="1317" t="str">
        <f ca="1">IF(INDIRECT("'SpxSp (step-c)'!$B" &amp; CO$72)=$Z90,INDIRECT("'SpxSp (step-c)'!$" &amp; 'SpxSp (step-c)'!$AC$16 &amp; CO$72),"")</f>
        <v/>
      </c>
      <c r="CP90" s="1317" t="str">
        <f ca="1">IF(INDIRECT("'SpxSp (step-c)'!$B" &amp; CP$72)=$Z90,INDIRECT("'SpxSp (step-c)'!$" &amp; 'SpxSp (step-c)'!$AC$16 &amp; CP$72),"")</f>
        <v/>
      </c>
      <c r="CQ90" s="1317" t="str">
        <f ca="1">IF(INDIRECT("'SpxSp (step-c)'!$B" &amp; CQ$72)=$Z90,INDIRECT("'SpxSp (step-c)'!$" &amp; 'SpxSp (step-c)'!$AC$16 &amp; CQ$72),"")</f>
        <v/>
      </c>
      <c r="CR90" s="1317" t="str">
        <f ca="1">IF(INDIRECT("'SpxSp (step-c)'!$B" &amp; CR$72)=$Z90,INDIRECT("'SpxSp (step-c)'!$" &amp; 'SpxSp (step-c)'!$AC$16 &amp; CR$72),"")</f>
        <v/>
      </c>
      <c r="CS90" s="1317" t="str">
        <f ca="1">IF(INDIRECT("'SpxSp (step-c)'!$B" &amp; CS$72)=$Z90,INDIRECT("'SpxSp (step-c)'!$" &amp; 'SpxSp (step-c)'!$AC$16 &amp; CS$72),"")</f>
        <v/>
      </c>
      <c r="CT90" s="1317" t="str">
        <f ca="1">IF(INDIRECT("'SpxSp (step-c)'!$B" &amp; CT$72)=$Z90,INDIRECT("'SpxSp (step-c)'!$" &amp; 'SpxSp (step-c)'!$AC$16 &amp; CT$72),"")</f>
        <v/>
      </c>
      <c r="CU90" s="1317" t="str">
        <f ca="1">IF(INDIRECT("'SpxSp (step-c)'!$B" &amp; CU$72)=$Z90,INDIRECT("'SpxSp (step-c)'!$" &amp; 'SpxSp (step-c)'!$AC$16 &amp; CU$72),"")</f>
        <v/>
      </c>
      <c r="CV90" s="1317" t="str">
        <f ca="1">IF(INDIRECT("'SpxSp (step-c)'!$B" &amp; CV$72)=$Z90,INDIRECT("'SpxSp (step-c)'!$" &amp; 'SpxSp (step-c)'!$AC$16 &amp; CV$72),"")</f>
        <v/>
      </c>
      <c r="CW90" s="1317" t="str">
        <f ca="1">IF(INDIRECT("'SpxSp (step-c)'!$B" &amp; CW$72)=$Z90,INDIRECT("'SpxSp (step-c)'!$" &amp; 'SpxSp (step-c)'!$AC$16 &amp; CW$72),"")</f>
        <v/>
      </c>
      <c r="CX90" s="1317" t="str">
        <f ca="1">IF(INDIRECT("'SpxSp (step-c)'!$B" &amp; CX$72)=$Z90,INDIRECT("'SpxSp (step-c)'!$" &amp; 'SpxSp (step-c)'!$AC$16 &amp; CX$72),"")</f>
        <v/>
      </c>
      <c r="CY90" s="1317" t="str">
        <f ca="1">IF(INDIRECT("'SpxSp (step-c)'!$B" &amp; CY$72)=$Z90,INDIRECT("'SpxSp (step-c)'!$" &amp; 'SpxSp (step-c)'!$AC$16 &amp; CY$72),"")</f>
        <v/>
      </c>
      <c r="CZ90" s="1317" t="str">
        <f ca="1">IF(INDIRECT("'SpxSp (step-c)'!$B" &amp; CZ$72)=$Z90,INDIRECT("'SpxSp (step-c)'!$" &amp; 'SpxSp (step-c)'!$AC$16 &amp; CZ$72),"")</f>
        <v/>
      </c>
      <c r="DA90" s="1317" t="str">
        <f ca="1">IF(INDIRECT("'SpxSp (step-c)'!$B" &amp; DA$72)=$Z90,INDIRECT("'SpxSp (step-c)'!$" &amp; 'SpxSp (step-c)'!$AC$16 &amp; DA$72),"")</f>
        <v/>
      </c>
      <c r="DB90" s="1317" t="str">
        <f ca="1">IF(INDIRECT("'SpxSp (step-c)'!$B" &amp; DB$72)=$Z90,INDIRECT("'SpxSp (step-c)'!$" &amp; 'SpxSp (step-c)'!$AC$16 &amp; DB$72),"")</f>
        <v/>
      </c>
      <c r="DC90" s="1317" t="str">
        <f ca="1">IF(INDIRECT("'SpxSp (step-c)'!$B" &amp; DC$72)=$Z90,INDIRECT("'SpxSp (step-c)'!$" &amp; 'SpxSp (step-c)'!$AC$16 &amp; DC$72),"")</f>
        <v/>
      </c>
      <c r="DD90" s="1317" t="str">
        <f ca="1">IF(INDIRECT("'SpxSp (step-c)'!$B" &amp; DD$72)=$Z90,INDIRECT("'SpxSp (step-c)'!$" &amp; 'SpxSp (step-c)'!$AC$16 &amp; DD$72),"")</f>
        <v/>
      </c>
      <c r="DE90" s="1317" t="str">
        <f ca="1">IF(INDIRECT("'SpxSp (step-c)'!$B" &amp; DE$72)=$Z90,INDIRECT("'SpxSp (step-c)'!$" &amp; 'SpxSp (step-c)'!$AC$16 &amp; DE$72),"")</f>
        <v/>
      </c>
      <c r="DF90" s="1317" t="str">
        <f ca="1">IF(INDIRECT("'SpxSp (step-c)'!$B" &amp; DF$72)=$Z90,INDIRECT("'SpxSp (step-c)'!$" &amp; 'SpxSp (step-c)'!$AC$16 &amp; DF$72),"")</f>
        <v/>
      </c>
      <c r="DG90" s="1317" t="str">
        <f ca="1">IF(INDIRECT("'SpxSp (step-c)'!$B" &amp; DG$72)=$Z90,INDIRECT("'SpxSp (step-c)'!$" &amp; 'SpxSp (step-c)'!$AC$16 &amp; DG$72),"")</f>
        <v/>
      </c>
      <c r="DH90" s="1317" t="str">
        <f ca="1">IF(INDIRECT("'SpxSp (step-c)'!$B" &amp; DH$72)=$Z90,INDIRECT("'SpxSp (step-c)'!$" &amp; 'SpxSp (step-c)'!$AC$16 &amp; DH$72),"")</f>
        <v/>
      </c>
      <c r="DI90" s="1317" t="str">
        <f ca="1">IF(INDIRECT("'SpxSp (step-c)'!$B" &amp; DI$72)=$Z90,INDIRECT("'SpxSp (step-c)'!$" &amp; 'SpxSp (step-c)'!$AC$16 &amp; DI$72),"")</f>
        <v/>
      </c>
      <c r="DJ90" s="1317" t="str">
        <f ca="1">IF(INDIRECT("'SpxSp (step-c)'!$B" &amp; DJ$72)=$Z90,INDIRECT("'SpxSp (step-c)'!$" &amp; 'SpxSp (step-c)'!$AC$16 &amp; DJ$72),"")</f>
        <v/>
      </c>
      <c r="DK90" s="1317" t="str">
        <f ca="1">IF(INDIRECT("'SpxSp (step-c)'!$B" &amp; DK$72)=$Z90,INDIRECT("'SpxSp (step-c)'!$" &amp; 'SpxSp (step-c)'!$AC$16 &amp; DK$72),"")</f>
        <v/>
      </c>
      <c r="DL90" s="1317" t="str">
        <f ca="1">IF(INDIRECT("'SpxSp (step-c)'!$B" &amp; DL$72)=$Z90,INDIRECT("'SpxSp (step-c)'!$" &amp; 'SpxSp (step-c)'!$AC$16 &amp; DL$72),"")</f>
        <v/>
      </c>
      <c r="DM90" s="1317" t="str">
        <f ca="1">IF(INDIRECT("'SpxSp (step-c)'!$B" &amp; DM$72)=$Z90,INDIRECT("'SpxSp (step-c)'!$" &amp; 'SpxSp (step-c)'!$AC$16 &amp; DM$72),"")</f>
        <v/>
      </c>
      <c r="DO90" s="1246" t="s">
        <v>1200</v>
      </c>
    </row>
    <row r="91" spans="26:119" ht="20" x14ac:dyDescent="0.2">
      <c r="Z91" s="1317" t="str">
        <f t="shared" ref="Z91:AA91" si="59">Z36</f>
        <v/>
      </c>
      <c r="AA91" s="1317" t="str">
        <f t="shared" si="59"/>
        <v/>
      </c>
      <c r="BN91" s="178">
        <v>19</v>
      </c>
      <c r="BO91" s="1316" t="str">
        <f t="shared" ca="1" si="43"/>
        <v/>
      </c>
      <c r="BP91" s="1317" t="str">
        <f ca="1">IF(INDIRECT("'SpxSp (step-c)'!$B" &amp; BP$72)=$Z91,INDIRECT("'SpxSp (step-c)'!$" &amp; 'SpxSp (step-c)'!$AC$16 &amp; BP$72),"")</f>
        <v/>
      </c>
      <c r="BQ91" s="1317" t="str">
        <f ca="1">IF(INDIRECT("'SpxSp (step-c)'!$B" &amp; BQ$72)=$Z91,INDIRECT("'SpxSp (step-c)'!$" &amp; 'SpxSp (step-c)'!$AC$16 &amp; BQ$72),"")</f>
        <v/>
      </c>
      <c r="BR91" s="1317" t="str">
        <f ca="1">IF(INDIRECT("'SpxSp (step-c)'!$B" &amp; BR$72)=$Z91,INDIRECT("'SpxSp (step-c)'!$" &amp; 'SpxSp (step-c)'!$AC$16 &amp; BR$72),"")</f>
        <v/>
      </c>
      <c r="BS91" s="1317" t="str">
        <f ca="1">IF(INDIRECT("'SpxSp (step-c)'!$B" &amp; BS$72)=$Z91,INDIRECT("'SpxSp (step-c)'!$" &amp; 'SpxSp (step-c)'!$AC$16 &amp; BS$72),"")</f>
        <v/>
      </c>
      <c r="BT91" s="1317" t="str">
        <f ca="1">IF(INDIRECT("'SpxSp (step-c)'!$B" &amp; BT$72)=$Z91,INDIRECT("'SpxSp (step-c)'!$" &amp; 'SpxSp (step-c)'!$AC$16 &amp; BT$72),"")</f>
        <v/>
      </c>
      <c r="BU91" s="1317" t="str">
        <f ca="1">IF(INDIRECT("'SpxSp (step-c)'!$B" &amp; BU$72)=$Z91,INDIRECT("'SpxSp (step-c)'!$" &amp; 'SpxSp (step-c)'!$AC$16 &amp; BU$72),"")</f>
        <v/>
      </c>
      <c r="BV91" s="1317" t="str">
        <f ca="1">IF(INDIRECT("'SpxSp (step-c)'!$B" &amp; BV$72)=$Z91,INDIRECT("'SpxSp (step-c)'!$" &amp; 'SpxSp (step-c)'!$AC$16 &amp; BV$72),"")</f>
        <v/>
      </c>
      <c r="BW91" s="1317" t="str">
        <f ca="1">IF(INDIRECT("'SpxSp (step-c)'!$B" &amp; BW$72)=$Z91,INDIRECT("'SpxSp (step-c)'!$" &amp; 'SpxSp (step-c)'!$AC$16 &amp; BW$72),"")</f>
        <v/>
      </c>
      <c r="BX91" s="1317" t="str">
        <f ca="1">IF(INDIRECT("'SpxSp (step-c)'!$B" &amp; BX$72)=$Z91,INDIRECT("'SpxSp (step-c)'!$" &amp; 'SpxSp (step-c)'!$AC$16 &amp; BX$72),"")</f>
        <v/>
      </c>
      <c r="BY91" s="1317" t="str">
        <f ca="1">IF(INDIRECT("'SpxSp (step-c)'!$B" &amp; BY$72)=$Z91,INDIRECT("'SpxSp (step-c)'!$" &amp; 'SpxSp (step-c)'!$AC$16 &amp; BY$72),"")</f>
        <v/>
      </c>
      <c r="BZ91" s="1317" t="str">
        <f ca="1">IF(INDIRECT("'SpxSp (step-c)'!$B" &amp; BZ$72)=$Z91,INDIRECT("'SpxSp (step-c)'!$" &amp; 'SpxSp (step-c)'!$AC$16 &amp; BZ$72),"")</f>
        <v/>
      </c>
      <c r="CA91" s="1317" t="str">
        <f ca="1">IF(INDIRECT("'SpxSp (step-c)'!$B" &amp; CA$72)=$Z91,INDIRECT("'SpxSp (step-c)'!$" &amp; 'SpxSp (step-c)'!$AC$16 &amp; CA$72),"")</f>
        <v/>
      </c>
      <c r="CB91" s="1317" t="str">
        <f ca="1">IF(INDIRECT("'SpxSp (step-c)'!$B" &amp; CB$72)=$Z91,INDIRECT("'SpxSp (step-c)'!$" &amp; 'SpxSp (step-c)'!$AC$16 &amp; CB$72),"")</f>
        <v/>
      </c>
      <c r="CC91" s="1317" t="str">
        <f ca="1">IF(INDIRECT("'SpxSp (step-c)'!$B" &amp; CC$72)=$Z91,INDIRECT("'SpxSp (step-c)'!$" &amp; 'SpxSp (step-c)'!$AC$16 &amp; CC$72),"")</f>
        <v/>
      </c>
      <c r="CD91" s="1317" t="str">
        <f ca="1">IF(INDIRECT("'SpxSp (step-c)'!$B" &amp; CD$72)=$Z91,INDIRECT("'SpxSp (step-c)'!$" &amp; 'SpxSp (step-c)'!$AC$16 &amp; CD$72),"")</f>
        <v/>
      </c>
      <c r="CE91" s="1317" t="str">
        <f ca="1">IF(INDIRECT("'SpxSp (step-c)'!$B" &amp; CE$72)=$Z91,INDIRECT("'SpxSp (step-c)'!$" &amp; 'SpxSp (step-c)'!$AC$16 &amp; CE$72),"")</f>
        <v/>
      </c>
      <c r="CF91" s="1317" t="str">
        <f ca="1">IF(INDIRECT("'SpxSp (step-c)'!$B" &amp; CF$72)=$Z91,INDIRECT("'SpxSp (step-c)'!$" &amp; 'SpxSp (step-c)'!$AC$16 &amp; CF$72),"")</f>
        <v/>
      </c>
      <c r="CG91" s="1317" t="str">
        <f ca="1">IF(INDIRECT("'SpxSp (step-c)'!$B" &amp; CG$72)=$Z91,INDIRECT("'SpxSp (step-c)'!$" &amp; 'SpxSp (step-c)'!$AC$16 &amp; CG$72),"")</f>
        <v/>
      </c>
      <c r="CH91" s="1317" t="str">
        <f ca="1">IF(INDIRECT("'SpxSp (step-c)'!$B" &amp; CH$72)=$Z91,INDIRECT("'SpxSp (step-c)'!$" &amp; 'SpxSp (step-c)'!$AC$16 &amp; CH$72),"")</f>
        <v/>
      </c>
      <c r="CI91" s="1317" t="str">
        <f ca="1">IF(INDIRECT("'SpxSp (step-c)'!$B" &amp; CI$72)=$Z91,INDIRECT("'SpxSp (step-c)'!$" &amp; 'SpxSp (step-c)'!$AC$16 &amp; CI$72),"")</f>
        <v/>
      </c>
      <c r="CJ91" s="1317" t="str">
        <f ca="1">IF(INDIRECT("'SpxSp (step-c)'!$B" &amp; CJ$72)=$Z91,INDIRECT("'SpxSp (step-c)'!$" &amp; 'SpxSp (step-c)'!$AC$16 &amp; CJ$72),"")</f>
        <v/>
      </c>
      <c r="CK91" s="1317" t="str">
        <f ca="1">IF(INDIRECT("'SpxSp (step-c)'!$B" &amp; CK$72)=$Z91,INDIRECT("'SpxSp (step-c)'!$" &amp; 'SpxSp (step-c)'!$AC$16 &amp; CK$72),"")</f>
        <v/>
      </c>
      <c r="CL91" s="1317" t="str">
        <f ca="1">IF(INDIRECT("'SpxSp (step-c)'!$B" &amp; CL$72)=$Z91,INDIRECT("'SpxSp (step-c)'!$" &amp; 'SpxSp (step-c)'!$AC$16 &amp; CL$72),"")</f>
        <v/>
      </c>
      <c r="CM91" s="1317" t="str">
        <f ca="1">IF(INDIRECT("'SpxSp (step-c)'!$B" &amp; CM$72)=$Z91,INDIRECT("'SpxSp (step-c)'!$" &amp; 'SpxSp (step-c)'!$AC$16 &amp; CM$72),"")</f>
        <v/>
      </c>
      <c r="CN91" s="1317" t="str">
        <f ca="1">IF(INDIRECT("'SpxSp (step-c)'!$B" &amp; CN$72)=$Z91,INDIRECT("'SpxSp (step-c)'!$" &amp; 'SpxSp (step-c)'!$AC$16 &amp; CN$72),"")</f>
        <v/>
      </c>
      <c r="CO91" s="1317" t="str">
        <f ca="1">IF(INDIRECT("'SpxSp (step-c)'!$B" &amp; CO$72)=$Z91,INDIRECT("'SpxSp (step-c)'!$" &amp; 'SpxSp (step-c)'!$AC$16 &amp; CO$72),"")</f>
        <v/>
      </c>
      <c r="CP91" s="1317" t="str">
        <f ca="1">IF(INDIRECT("'SpxSp (step-c)'!$B" &amp; CP$72)=$Z91,INDIRECT("'SpxSp (step-c)'!$" &amp; 'SpxSp (step-c)'!$AC$16 &amp; CP$72),"")</f>
        <v/>
      </c>
      <c r="CQ91" s="1317" t="str">
        <f ca="1">IF(INDIRECT("'SpxSp (step-c)'!$B" &amp; CQ$72)=$Z91,INDIRECT("'SpxSp (step-c)'!$" &amp; 'SpxSp (step-c)'!$AC$16 &amp; CQ$72),"")</f>
        <v/>
      </c>
      <c r="CR91" s="1317" t="str">
        <f ca="1">IF(INDIRECT("'SpxSp (step-c)'!$B" &amp; CR$72)=$Z91,INDIRECT("'SpxSp (step-c)'!$" &amp; 'SpxSp (step-c)'!$AC$16 &amp; CR$72),"")</f>
        <v/>
      </c>
      <c r="CS91" s="1317" t="str">
        <f ca="1">IF(INDIRECT("'SpxSp (step-c)'!$B" &amp; CS$72)=$Z91,INDIRECT("'SpxSp (step-c)'!$" &amp; 'SpxSp (step-c)'!$AC$16 &amp; CS$72),"")</f>
        <v/>
      </c>
      <c r="CT91" s="1317" t="str">
        <f ca="1">IF(INDIRECT("'SpxSp (step-c)'!$B" &amp; CT$72)=$Z91,INDIRECT("'SpxSp (step-c)'!$" &amp; 'SpxSp (step-c)'!$AC$16 &amp; CT$72),"")</f>
        <v/>
      </c>
      <c r="CU91" s="1317" t="str">
        <f ca="1">IF(INDIRECT("'SpxSp (step-c)'!$B" &amp; CU$72)=$Z91,INDIRECT("'SpxSp (step-c)'!$" &amp; 'SpxSp (step-c)'!$AC$16 &amp; CU$72),"")</f>
        <v/>
      </c>
      <c r="CV91" s="1317" t="str">
        <f ca="1">IF(INDIRECT("'SpxSp (step-c)'!$B" &amp; CV$72)=$Z91,INDIRECT("'SpxSp (step-c)'!$" &amp; 'SpxSp (step-c)'!$AC$16 &amp; CV$72),"")</f>
        <v/>
      </c>
      <c r="CW91" s="1317" t="str">
        <f ca="1">IF(INDIRECT("'SpxSp (step-c)'!$B" &amp; CW$72)=$Z91,INDIRECT("'SpxSp (step-c)'!$" &amp; 'SpxSp (step-c)'!$AC$16 &amp; CW$72),"")</f>
        <v/>
      </c>
      <c r="CX91" s="1317" t="str">
        <f ca="1">IF(INDIRECT("'SpxSp (step-c)'!$B" &amp; CX$72)=$Z91,INDIRECT("'SpxSp (step-c)'!$" &amp; 'SpxSp (step-c)'!$AC$16 &amp; CX$72),"")</f>
        <v/>
      </c>
      <c r="CY91" s="1317" t="str">
        <f ca="1">IF(INDIRECT("'SpxSp (step-c)'!$B" &amp; CY$72)=$Z91,INDIRECT("'SpxSp (step-c)'!$" &amp; 'SpxSp (step-c)'!$AC$16 &amp; CY$72),"")</f>
        <v/>
      </c>
      <c r="CZ91" s="1317" t="str">
        <f ca="1">IF(INDIRECT("'SpxSp (step-c)'!$B" &amp; CZ$72)=$Z91,INDIRECT("'SpxSp (step-c)'!$" &amp; 'SpxSp (step-c)'!$AC$16 &amp; CZ$72),"")</f>
        <v/>
      </c>
      <c r="DA91" s="1317" t="str">
        <f ca="1">IF(INDIRECT("'SpxSp (step-c)'!$B" &amp; DA$72)=$Z91,INDIRECT("'SpxSp (step-c)'!$" &amp; 'SpxSp (step-c)'!$AC$16 &amp; DA$72),"")</f>
        <v/>
      </c>
      <c r="DB91" s="1317" t="str">
        <f ca="1">IF(INDIRECT("'SpxSp (step-c)'!$B" &amp; DB$72)=$Z91,INDIRECT("'SpxSp (step-c)'!$" &amp; 'SpxSp (step-c)'!$AC$16 &amp; DB$72),"")</f>
        <v/>
      </c>
      <c r="DC91" s="1317" t="str">
        <f ca="1">IF(INDIRECT("'SpxSp (step-c)'!$B" &amp; DC$72)=$Z91,INDIRECT("'SpxSp (step-c)'!$" &amp; 'SpxSp (step-c)'!$AC$16 &amp; DC$72),"")</f>
        <v/>
      </c>
      <c r="DD91" s="1317" t="str">
        <f ca="1">IF(INDIRECT("'SpxSp (step-c)'!$B" &amp; DD$72)=$Z91,INDIRECT("'SpxSp (step-c)'!$" &amp; 'SpxSp (step-c)'!$AC$16 &amp; DD$72),"")</f>
        <v/>
      </c>
      <c r="DE91" s="1317" t="str">
        <f ca="1">IF(INDIRECT("'SpxSp (step-c)'!$B" &amp; DE$72)=$Z91,INDIRECT("'SpxSp (step-c)'!$" &amp; 'SpxSp (step-c)'!$AC$16 &amp; DE$72),"")</f>
        <v/>
      </c>
      <c r="DF91" s="1317" t="str">
        <f ca="1">IF(INDIRECT("'SpxSp (step-c)'!$B" &amp; DF$72)=$Z91,INDIRECT("'SpxSp (step-c)'!$" &amp; 'SpxSp (step-c)'!$AC$16 &amp; DF$72),"")</f>
        <v/>
      </c>
      <c r="DG91" s="1317" t="str">
        <f ca="1">IF(INDIRECT("'SpxSp (step-c)'!$B" &amp; DG$72)=$Z91,INDIRECT("'SpxSp (step-c)'!$" &amp; 'SpxSp (step-c)'!$AC$16 &amp; DG$72),"")</f>
        <v/>
      </c>
      <c r="DH91" s="1317" t="str">
        <f ca="1">IF(INDIRECT("'SpxSp (step-c)'!$B" &amp; DH$72)=$Z91,INDIRECT("'SpxSp (step-c)'!$" &amp; 'SpxSp (step-c)'!$AC$16 &amp; DH$72),"")</f>
        <v/>
      </c>
      <c r="DI91" s="1317" t="str">
        <f ca="1">IF(INDIRECT("'SpxSp (step-c)'!$B" &amp; DI$72)=$Z91,INDIRECT("'SpxSp (step-c)'!$" &amp; 'SpxSp (step-c)'!$AC$16 &amp; DI$72),"")</f>
        <v/>
      </c>
      <c r="DJ91" s="1317" t="str">
        <f ca="1">IF(INDIRECT("'SpxSp (step-c)'!$B" &amp; DJ$72)=$Z91,INDIRECT("'SpxSp (step-c)'!$" &amp; 'SpxSp (step-c)'!$AC$16 &amp; DJ$72),"")</f>
        <v/>
      </c>
      <c r="DK91" s="1317" t="str">
        <f ca="1">IF(INDIRECT("'SpxSp (step-c)'!$B" &amp; DK$72)=$Z91,INDIRECT("'SpxSp (step-c)'!$" &amp; 'SpxSp (step-c)'!$AC$16 &amp; DK$72),"")</f>
        <v/>
      </c>
      <c r="DL91" s="1317" t="str">
        <f ca="1">IF(INDIRECT("'SpxSp (step-c)'!$B" &amp; DL$72)=$Z91,INDIRECT("'SpxSp (step-c)'!$" &amp; 'SpxSp (step-c)'!$AC$16 &amp; DL$72),"")</f>
        <v/>
      </c>
      <c r="DM91" s="1317" t="str">
        <f ca="1">IF(INDIRECT("'SpxSp (step-c)'!$B" &amp; DM$72)=$Z91,INDIRECT("'SpxSp (step-c)'!$" &amp; 'SpxSp (step-c)'!$AC$16 &amp; DM$72),"")</f>
        <v/>
      </c>
      <c r="DO91" s="1246" t="s">
        <v>1200</v>
      </c>
    </row>
    <row r="92" spans="26:119" ht="20" x14ac:dyDescent="0.2">
      <c r="Z92" s="1317" t="str">
        <f t="shared" ref="Z92:AA92" si="60">Z37</f>
        <v/>
      </c>
      <c r="AA92" s="1317" t="str">
        <f t="shared" si="60"/>
        <v/>
      </c>
      <c r="BN92" s="178">
        <v>20</v>
      </c>
      <c r="BO92" s="1316" t="str">
        <f t="shared" ca="1" si="43"/>
        <v/>
      </c>
      <c r="BP92" s="1317" t="str">
        <f ca="1">IF(INDIRECT("'SpxSp (step-c)'!$B" &amp; BP$72)=$Z92,INDIRECT("'SpxSp (step-c)'!$" &amp; 'SpxSp (step-c)'!$AC$16 &amp; BP$72),"")</f>
        <v/>
      </c>
      <c r="BQ92" s="1317" t="str">
        <f ca="1">IF(INDIRECT("'SpxSp (step-c)'!$B" &amp; BQ$72)=$Z92,INDIRECT("'SpxSp (step-c)'!$" &amp; 'SpxSp (step-c)'!$AC$16 &amp; BQ$72),"")</f>
        <v/>
      </c>
      <c r="BR92" s="1317" t="str">
        <f ca="1">IF(INDIRECT("'SpxSp (step-c)'!$B" &amp; BR$72)=$Z92,INDIRECT("'SpxSp (step-c)'!$" &amp; 'SpxSp (step-c)'!$AC$16 &amp; BR$72),"")</f>
        <v/>
      </c>
      <c r="BS92" s="1317" t="str">
        <f ca="1">IF(INDIRECT("'SpxSp (step-c)'!$B" &amp; BS$72)=$Z92,INDIRECT("'SpxSp (step-c)'!$" &amp; 'SpxSp (step-c)'!$AC$16 &amp; BS$72),"")</f>
        <v/>
      </c>
      <c r="BT92" s="1317" t="str">
        <f ca="1">IF(INDIRECT("'SpxSp (step-c)'!$B" &amp; BT$72)=$Z92,INDIRECT("'SpxSp (step-c)'!$" &amp; 'SpxSp (step-c)'!$AC$16 &amp; BT$72),"")</f>
        <v/>
      </c>
      <c r="BU92" s="1317" t="str">
        <f ca="1">IF(INDIRECT("'SpxSp (step-c)'!$B" &amp; BU$72)=$Z92,INDIRECT("'SpxSp (step-c)'!$" &amp; 'SpxSp (step-c)'!$AC$16 &amp; BU$72),"")</f>
        <v/>
      </c>
      <c r="BV92" s="1317" t="str">
        <f ca="1">IF(INDIRECT("'SpxSp (step-c)'!$B" &amp; BV$72)=$Z92,INDIRECT("'SpxSp (step-c)'!$" &amp; 'SpxSp (step-c)'!$AC$16 &amp; BV$72),"")</f>
        <v/>
      </c>
      <c r="BW92" s="1317" t="str">
        <f ca="1">IF(INDIRECT("'SpxSp (step-c)'!$B" &amp; BW$72)=$Z92,INDIRECT("'SpxSp (step-c)'!$" &amp; 'SpxSp (step-c)'!$AC$16 &amp; BW$72),"")</f>
        <v/>
      </c>
      <c r="BX92" s="1317" t="str">
        <f ca="1">IF(INDIRECT("'SpxSp (step-c)'!$B" &amp; BX$72)=$Z92,INDIRECT("'SpxSp (step-c)'!$" &amp; 'SpxSp (step-c)'!$AC$16 &amp; BX$72),"")</f>
        <v/>
      </c>
      <c r="BY92" s="1317" t="str">
        <f ca="1">IF(INDIRECT("'SpxSp (step-c)'!$B" &amp; BY$72)=$Z92,INDIRECT("'SpxSp (step-c)'!$" &amp; 'SpxSp (step-c)'!$AC$16 &amp; BY$72),"")</f>
        <v/>
      </c>
      <c r="BZ92" s="1317" t="str">
        <f ca="1">IF(INDIRECT("'SpxSp (step-c)'!$B" &amp; BZ$72)=$Z92,INDIRECT("'SpxSp (step-c)'!$" &amp; 'SpxSp (step-c)'!$AC$16 &amp; BZ$72),"")</f>
        <v/>
      </c>
      <c r="CA92" s="1317" t="str">
        <f ca="1">IF(INDIRECT("'SpxSp (step-c)'!$B" &amp; CA$72)=$Z92,INDIRECT("'SpxSp (step-c)'!$" &amp; 'SpxSp (step-c)'!$AC$16 &amp; CA$72),"")</f>
        <v/>
      </c>
      <c r="CB92" s="1317" t="str">
        <f ca="1">IF(INDIRECT("'SpxSp (step-c)'!$B" &amp; CB$72)=$Z92,INDIRECT("'SpxSp (step-c)'!$" &amp; 'SpxSp (step-c)'!$AC$16 &amp; CB$72),"")</f>
        <v/>
      </c>
      <c r="CC92" s="1317" t="str">
        <f ca="1">IF(INDIRECT("'SpxSp (step-c)'!$B" &amp; CC$72)=$Z92,INDIRECT("'SpxSp (step-c)'!$" &amp; 'SpxSp (step-c)'!$AC$16 &amp; CC$72),"")</f>
        <v/>
      </c>
      <c r="CD92" s="1317" t="str">
        <f ca="1">IF(INDIRECT("'SpxSp (step-c)'!$B" &amp; CD$72)=$Z92,INDIRECT("'SpxSp (step-c)'!$" &amp; 'SpxSp (step-c)'!$AC$16 &amp; CD$72),"")</f>
        <v/>
      </c>
      <c r="CE92" s="1317" t="str">
        <f ca="1">IF(INDIRECT("'SpxSp (step-c)'!$B" &amp; CE$72)=$Z92,INDIRECT("'SpxSp (step-c)'!$" &amp; 'SpxSp (step-c)'!$AC$16 &amp; CE$72),"")</f>
        <v/>
      </c>
      <c r="CF92" s="1317" t="str">
        <f ca="1">IF(INDIRECT("'SpxSp (step-c)'!$B" &amp; CF$72)=$Z92,INDIRECT("'SpxSp (step-c)'!$" &amp; 'SpxSp (step-c)'!$AC$16 &amp; CF$72),"")</f>
        <v/>
      </c>
      <c r="CG92" s="1317" t="str">
        <f ca="1">IF(INDIRECT("'SpxSp (step-c)'!$B" &amp; CG$72)=$Z92,INDIRECT("'SpxSp (step-c)'!$" &amp; 'SpxSp (step-c)'!$AC$16 &amp; CG$72),"")</f>
        <v/>
      </c>
      <c r="CH92" s="1317" t="str">
        <f ca="1">IF(INDIRECT("'SpxSp (step-c)'!$B" &amp; CH$72)=$Z92,INDIRECT("'SpxSp (step-c)'!$" &amp; 'SpxSp (step-c)'!$AC$16 &amp; CH$72),"")</f>
        <v/>
      </c>
      <c r="CI92" s="1317" t="str">
        <f ca="1">IF(INDIRECT("'SpxSp (step-c)'!$B" &amp; CI$72)=$Z92,INDIRECT("'SpxSp (step-c)'!$" &amp; 'SpxSp (step-c)'!$AC$16 &amp; CI$72),"")</f>
        <v/>
      </c>
      <c r="CJ92" s="1317" t="str">
        <f ca="1">IF(INDIRECT("'SpxSp (step-c)'!$B" &amp; CJ$72)=$Z92,INDIRECT("'SpxSp (step-c)'!$" &amp; 'SpxSp (step-c)'!$AC$16 &amp; CJ$72),"")</f>
        <v/>
      </c>
      <c r="CK92" s="1317" t="str">
        <f ca="1">IF(INDIRECT("'SpxSp (step-c)'!$B" &amp; CK$72)=$Z92,INDIRECT("'SpxSp (step-c)'!$" &amp; 'SpxSp (step-c)'!$AC$16 &amp; CK$72),"")</f>
        <v/>
      </c>
      <c r="CL92" s="1317" t="str">
        <f ca="1">IF(INDIRECT("'SpxSp (step-c)'!$B" &amp; CL$72)=$Z92,INDIRECT("'SpxSp (step-c)'!$" &amp; 'SpxSp (step-c)'!$AC$16 &amp; CL$72),"")</f>
        <v/>
      </c>
      <c r="CM92" s="1317" t="str">
        <f ca="1">IF(INDIRECT("'SpxSp (step-c)'!$B" &amp; CM$72)=$Z92,INDIRECT("'SpxSp (step-c)'!$" &amp; 'SpxSp (step-c)'!$AC$16 &amp; CM$72),"")</f>
        <v/>
      </c>
      <c r="CN92" s="1317" t="str">
        <f ca="1">IF(INDIRECT("'SpxSp (step-c)'!$B" &amp; CN$72)=$Z92,INDIRECT("'SpxSp (step-c)'!$" &amp; 'SpxSp (step-c)'!$AC$16 &amp; CN$72),"")</f>
        <v/>
      </c>
      <c r="CO92" s="1317" t="str">
        <f ca="1">IF(INDIRECT("'SpxSp (step-c)'!$B" &amp; CO$72)=$Z92,INDIRECT("'SpxSp (step-c)'!$" &amp; 'SpxSp (step-c)'!$AC$16 &amp; CO$72),"")</f>
        <v/>
      </c>
      <c r="CP92" s="1317" t="str">
        <f ca="1">IF(INDIRECT("'SpxSp (step-c)'!$B" &amp; CP$72)=$Z92,INDIRECT("'SpxSp (step-c)'!$" &amp; 'SpxSp (step-c)'!$AC$16 &amp; CP$72),"")</f>
        <v/>
      </c>
      <c r="CQ92" s="1317" t="str">
        <f ca="1">IF(INDIRECT("'SpxSp (step-c)'!$B" &amp; CQ$72)=$Z92,INDIRECT("'SpxSp (step-c)'!$" &amp; 'SpxSp (step-c)'!$AC$16 &amp; CQ$72),"")</f>
        <v/>
      </c>
      <c r="CR92" s="1317" t="str">
        <f ca="1">IF(INDIRECT("'SpxSp (step-c)'!$B" &amp; CR$72)=$Z92,INDIRECT("'SpxSp (step-c)'!$" &amp; 'SpxSp (step-c)'!$AC$16 &amp; CR$72),"")</f>
        <v/>
      </c>
      <c r="CS92" s="1317" t="str">
        <f ca="1">IF(INDIRECT("'SpxSp (step-c)'!$B" &amp; CS$72)=$Z92,INDIRECT("'SpxSp (step-c)'!$" &amp; 'SpxSp (step-c)'!$AC$16 &amp; CS$72),"")</f>
        <v/>
      </c>
      <c r="CT92" s="1317" t="str">
        <f ca="1">IF(INDIRECT("'SpxSp (step-c)'!$B" &amp; CT$72)=$Z92,INDIRECT("'SpxSp (step-c)'!$" &amp; 'SpxSp (step-c)'!$AC$16 &amp; CT$72),"")</f>
        <v/>
      </c>
      <c r="CU92" s="1317" t="str">
        <f ca="1">IF(INDIRECT("'SpxSp (step-c)'!$B" &amp; CU$72)=$Z92,INDIRECT("'SpxSp (step-c)'!$" &amp; 'SpxSp (step-c)'!$AC$16 &amp; CU$72),"")</f>
        <v/>
      </c>
      <c r="CV92" s="1317" t="str">
        <f ca="1">IF(INDIRECT("'SpxSp (step-c)'!$B" &amp; CV$72)=$Z92,INDIRECT("'SpxSp (step-c)'!$" &amp; 'SpxSp (step-c)'!$AC$16 &amp; CV$72),"")</f>
        <v/>
      </c>
      <c r="CW92" s="1317" t="str">
        <f ca="1">IF(INDIRECT("'SpxSp (step-c)'!$B" &amp; CW$72)=$Z92,INDIRECT("'SpxSp (step-c)'!$" &amp; 'SpxSp (step-c)'!$AC$16 &amp; CW$72),"")</f>
        <v/>
      </c>
      <c r="CX92" s="1317" t="str">
        <f ca="1">IF(INDIRECT("'SpxSp (step-c)'!$B" &amp; CX$72)=$Z92,INDIRECT("'SpxSp (step-c)'!$" &amp; 'SpxSp (step-c)'!$AC$16 &amp; CX$72),"")</f>
        <v/>
      </c>
      <c r="CY92" s="1317" t="str">
        <f ca="1">IF(INDIRECT("'SpxSp (step-c)'!$B" &amp; CY$72)=$Z92,INDIRECT("'SpxSp (step-c)'!$" &amp; 'SpxSp (step-c)'!$AC$16 &amp; CY$72),"")</f>
        <v/>
      </c>
      <c r="CZ92" s="1317" t="str">
        <f ca="1">IF(INDIRECT("'SpxSp (step-c)'!$B" &amp; CZ$72)=$Z92,INDIRECT("'SpxSp (step-c)'!$" &amp; 'SpxSp (step-c)'!$AC$16 &amp; CZ$72),"")</f>
        <v/>
      </c>
      <c r="DA92" s="1317" t="str">
        <f ca="1">IF(INDIRECT("'SpxSp (step-c)'!$B" &amp; DA$72)=$Z92,INDIRECT("'SpxSp (step-c)'!$" &amp; 'SpxSp (step-c)'!$AC$16 &amp; DA$72),"")</f>
        <v/>
      </c>
      <c r="DB92" s="1317" t="str">
        <f ca="1">IF(INDIRECT("'SpxSp (step-c)'!$B" &amp; DB$72)=$Z92,INDIRECT("'SpxSp (step-c)'!$" &amp; 'SpxSp (step-c)'!$AC$16 &amp; DB$72),"")</f>
        <v/>
      </c>
      <c r="DC92" s="1317" t="str">
        <f ca="1">IF(INDIRECT("'SpxSp (step-c)'!$B" &amp; DC$72)=$Z92,INDIRECT("'SpxSp (step-c)'!$" &amp; 'SpxSp (step-c)'!$AC$16 &amp; DC$72),"")</f>
        <v/>
      </c>
      <c r="DD92" s="1317" t="str">
        <f ca="1">IF(INDIRECT("'SpxSp (step-c)'!$B" &amp; DD$72)=$Z92,INDIRECT("'SpxSp (step-c)'!$" &amp; 'SpxSp (step-c)'!$AC$16 &amp; DD$72),"")</f>
        <v/>
      </c>
      <c r="DE92" s="1317" t="str">
        <f ca="1">IF(INDIRECT("'SpxSp (step-c)'!$B" &amp; DE$72)=$Z92,INDIRECT("'SpxSp (step-c)'!$" &amp; 'SpxSp (step-c)'!$AC$16 &amp; DE$72),"")</f>
        <v/>
      </c>
      <c r="DF92" s="1317" t="str">
        <f ca="1">IF(INDIRECT("'SpxSp (step-c)'!$B" &amp; DF$72)=$Z92,INDIRECT("'SpxSp (step-c)'!$" &amp; 'SpxSp (step-c)'!$AC$16 &amp; DF$72),"")</f>
        <v/>
      </c>
      <c r="DG92" s="1317" t="str">
        <f ca="1">IF(INDIRECT("'SpxSp (step-c)'!$B" &amp; DG$72)=$Z92,INDIRECT("'SpxSp (step-c)'!$" &amp; 'SpxSp (step-c)'!$AC$16 &amp; DG$72),"")</f>
        <v/>
      </c>
      <c r="DH92" s="1317" t="str">
        <f ca="1">IF(INDIRECT("'SpxSp (step-c)'!$B" &amp; DH$72)=$Z92,INDIRECT("'SpxSp (step-c)'!$" &amp; 'SpxSp (step-c)'!$AC$16 &amp; DH$72),"")</f>
        <v/>
      </c>
      <c r="DI92" s="1317" t="str">
        <f ca="1">IF(INDIRECT("'SpxSp (step-c)'!$B" &amp; DI$72)=$Z92,INDIRECT("'SpxSp (step-c)'!$" &amp; 'SpxSp (step-c)'!$AC$16 &amp; DI$72),"")</f>
        <v/>
      </c>
      <c r="DJ92" s="1317" t="str">
        <f ca="1">IF(INDIRECT("'SpxSp (step-c)'!$B" &amp; DJ$72)=$Z92,INDIRECT("'SpxSp (step-c)'!$" &amp; 'SpxSp (step-c)'!$AC$16 &amp; DJ$72),"")</f>
        <v/>
      </c>
      <c r="DK92" s="1317" t="str">
        <f ca="1">IF(INDIRECT("'SpxSp (step-c)'!$B" &amp; DK$72)=$Z92,INDIRECT("'SpxSp (step-c)'!$" &amp; 'SpxSp (step-c)'!$AC$16 &amp; DK$72),"")</f>
        <v/>
      </c>
      <c r="DL92" s="1317" t="str">
        <f ca="1">IF(INDIRECT("'SpxSp (step-c)'!$B" &amp; DL$72)=$Z92,INDIRECT("'SpxSp (step-c)'!$" &amp; 'SpxSp (step-c)'!$AC$16 &amp; DL$72),"")</f>
        <v/>
      </c>
      <c r="DM92" s="1317" t="str">
        <f ca="1">IF(INDIRECT("'SpxSp (step-c)'!$B" &amp; DM$72)=$Z92,INDIRECT("'SpxSp (step-c)'!$" &amp; 'SpxSp (step-c)'!$AC$16 &amp; DM$72),"")</f>
        <v/>
      </c>
      <c r="DO92" s="1246" t="s">
        <v>1200</v>
      </c>
    </row>
    <row r="93" spans="26:119" ht="20" x14ac:dyDescent="0.2">
      <c r="Z93" s="1317" t="str">
        <f t="shared" ref="Z93:AA93" si="61">Z38</f>
        <v/>
      </c>
      <c r="AA93" s="1317" t="str">
        <f t="shared" si="61"/>
        <v/>
      </c>
      <c r="BN93" s="178">
        <v>21</v>
      </c>
      <c r="BO93" s="1316" t="str">
        <f t="shared" ca="1" si="43"/>
        <v/>
      </c>
      <c r="BP93" s="1317" t="str">
        <f ca="1">IF(INDIRECT("'SpxSp (step-c)'!$B" &amp; BP$72)=$Z93,INDIRECT("'SpxSp (step-c)'!$" &amp; 'SpxSp (step-c)'!$AC$16 &amp; BP$72),"")</f>
        <v/>
      </c>
      <c r="BQ93" s="1317" t="str">
        <f ca="1">IF(INDIRECT("'SpxSp (step-c)'!$B" &amp; BQ$72)=$Z93,INDIRECT("'SpxSp (step-c)'!$" &amp; 'SpxSp (step-c)'!$AC$16 &amp; BQ$72),"")</f>
        <v/>
      </c>
      <c r="BR93" s="1317" t="str">
        <f ca="1">IF(INDIRECT("'SpxSp (step-c)'!$B" &amp; BR$72)=$Z93,INDIRECT("'SpxSp (step-c)'!$" &amp; 'SpxSp (step-c)'!$AC$16 &amp; BR$72),"")</f>
        <v/>
      </c>
      <c r="BS93" s="1317" t="str">
        <f ca="1">IF(INDIRECT("'SpxSp (step-c)'!$B" &amp; BS$72)=$Z93,INDIRECT("'SpxSp (step-c)'!$" &amp; 'SpxSp (step-c)'!$AC$16 &amp; BS$72),"")</f>
        <v/>
      </c>
      <c r="BT93" s="1317" t="str">
        <f ca="1">IF(INDIRECT("'SpxSp (step-c)'!$B" &amp; BT$72)=$Z93,INDIRECT("'SpxSp (step-c)'!$" &amp; 'SpxSp (step-c)'!$AC$16 &amp; BT$72),"")</f>
        <v/>
      </c>
      <c r="BU93" s="1317" t="str">
        <f ca="1">IF(INDIRECT("'SpxSp (step-c)'!$B" &amp; BU$72)=$Z93,INDIRECT("'SpxSp (step-c)'!$" &amp; 'SpxSp (step-c)'!$AC$16 &amp; BU$72),"")</f>
        <v/>
      </c>
      <c r="BV93" s="1317" t="str">
        <f ca="1">IF(INDIRECT("'SpxSp (step-c)'!$B" &amp; BV$72)=$Z93,INDIRECT("'SpxSp (step-c)'!$" &amp; 'SpxSp (step-c)'!$AC$16 &amp; BV$72),"")</f>
        <v/>
      </c>
      <c r="BW93" s="1317" t="str">
        <f ca="1">IF(INDIRECT("'SpxSp (step-c)'!$B" &amp; BW$72)=$Z93,INDIRECT("'SpxSp (step-c)'!$" &amp; 'SpxSp (step-c)'!$AC$16 &amp; BW$72),"")</f>
        <v/>
      </c>
      <c r="BX93" s="1317" t="str">
        <f ca="1">IF(INDIRECT("'SpxSp (step-c)'!$B" &amp; BX$72)=$Z93,INDIRECT("'SpxSp (step-c)'!$" &amp; 'SpxSp (step-c)'!$AC$16 &amp; BX$72),"")</f>
        <v/>
      </c>
      <c r="BY93" s="1317" t="str">
        <f ca="1">IF(INDIRECT("'SpxSp (step-c)'!$B" &amp; BY$72)=$Z93,INDIRECT("'SpxSp (step-c)'!$" &amp; 'SpxSp (step-c)'!$AC$16 &amp; BY$72),"")</f>
        <v/>
      </c>
      <c r="BZ93" s="1317" t="str">
        <f ca="1">IF(INDIRECT("'SpxSp (step-c)'!$B" &amp; BZ$72)=$Z93,INDIRECT("'SpxSp (step-c)'!$" &amp; 'SpxSp (step-c)'!$AC$16 &amp; BZ$72),"")</f>
        <v/>
      </c>
      <c r="CA93" s="1317" t="str">
        <f ca="1">IF(INDIRECT("'SpxSp (step-c)'!$B" &amp; CA$72)=$Z93,INDIRECT("'SpxSp (step-c)'!$" &amp; 'SpxSp (step-c)'!$AC$16 &amp; CA$72),"")</f>
        <v/>
      </c>
      <c r="CB93" s="1317" t="str">
        <f ca="1">IF(INDIRECT("'SpxSp (step-c)'!$B" &amp; CB$72)=$Z93,INDIRECT("'SpxSp (step-c)'!$" &amp; 'SpxSp (step-c)'!$AC$16 &amp; CB$72),"")</f>
        <v/>
      </c>
      <c r="CC93" s="1317" t="str">
        <f ca="1">IF(INDIRECT("'SpxSp (step-c)'!$B" &amp; CC$72)=$Z93,INDIRECT("'SpxSp (step-c)'!$" &amp; 'SpxSp (step-c)'!$AC$16 &amp; CC$72),"")</f>
        <v/>
      </c>
      <c r="CD93" s="1317" t="str">
        <f ca="1">IF(INDIRECT("'SpxSp (step-c)'!$B" &amp; CD$72)=$Z93,INDIRECT("'SpxSp (step-c)'!$" &amp; 'SpxSp (step-c)'!$AC$16 &amp; CD$72),"")</f>
        <v/>
      </c>
      <c r="CE93" s="1317" t="str">
        <f ca="1">IF(INDIRECT("'SpxSp (step-c)'!$B" &amp; CE$72)=$Z93,INDIRECT("'SpxSp (step-c)'!$" &amp; 'SpxSp (step-c)'!$AC$16 &amp; CE$72),"")</f>
        <v/>
      </c>
      <c r="CF93" s="1317" t="str">
        <f ca="1">IF(INDIRECT("'SpxSp (step-c)'!$B" &amp; CF$72)=$Z93,INDIRECT("'SpxSp (step-c)'!$" &amp; 'SpxSp (step-c)'!$AC$16 &amp; CF$72),"")</f>
        <v/>
      </c>
      <c r="CG93" s="1317" t="str">
        <f ca="1">IF(INDIRECT("'SpxSp (step-c)'!$B" &amp; CG$72)=$Z93,INDIRECT("'SpxSp (step-c)'!$" &amp; 'SpxSp (step-c)'!$AC$16 &amp; CG$72),"")</f>
        <v/>
      </c>
      <c r="CH93" s="1317" t="str">
        <f ca="1">IF(INDIRECT("'SpxSp (step-c)'!$B" &amp; CH$72)=$Z93,INDIRECT("'SpxSp (step-c)'!$" &amp; 'SpxSp (step-c)'!$AC$16 &amp; CH$72),"")</f>
        <v/>
      </c>
      <c r="CI93" s="1317" t="str">
        <f ca="1">IF(INDIRECT("'SpxSp (step-c)'!$B" &amp; CI$72)=$Z93,INDIRECT("'SpxSp (step-c)'!$" &amp; 'SpxSp (step-c)'!$AC$16 &amp; CI$72),"")</f>
        <v/>
      </c>
      <c r="CJ93" s="1317" t="str">
        <f ca="1">IF(INDIRECT("'SpxSp (step-c)'!$B" &amp; CJ$72)=$Z93,INDIRECT("'SpxSp (step-c)'!$" &amp; 'SpxSp (step-c)'!$AC$16 &amp; CJ$72),"")</f>
        <v/>
      </c>
      <c r="CK93" s="1317" t="str">
        <f ca="1">IF(INDIRECT("'SpxSp (step-c)'!$B" &amp; CK$72)=$Z93,INDIRECT("'SpxSp (step-c)'!$" &amp; 'SpxSp (step-c)'!$AC$16 &amp; CK$72),"")</f>
        <v/>
      </c>
      <c r="CL93" s="1317" t="str">
        <f ca="1">IF(INDIRECT("'SpxSp (step-c)'!$B" &amp; CL$72)=$Z93,INDIRECT("'SpxSp (step-c)'!$" &amp; 'SpxSp (step-c)'!$AC$16 &amp; CL$72),"")</f>
        <v/>
      </c>
      <c r="CM93" s="1317" t="str">
        <f ca="1">IF(INDIRECT("'SpxSp (step-c)'!$B" &amp; CM$72)=$Z93,INDIRECT("'SpxSp (step-c)'!$" &amp; 'SpxSp (step-c)'!$AC$16 &amp; CM$72),"")</f>
        <v/>
      </c>
      <c r="CN93" s="1317" t="str">
        <f ca="1">IF(INDIRECT("'SpxSp (step-c)'!$B" &amp; CN$72)=$Z93,INDIRECT("'SpxSp (step-c)'!$" &amp; 'SpxSp (step-c)'!$AC$16 &amp; CN$72),"")</f>
        <v/>
      </c>
      <c r="CO93" s="1317" t="str">
        <f ca="1">IF(INDIRECT("'SpxSp (step-c)'!$B" &amp; CO$72)=$Z93,INDIRECT("'SpxSp (step-c)'!$" &amp; 'SpxSp (step-c)'!$AC$16 &amp; CO$72),"")</f>
        <v/>
      </c>
      <c r="CP93" s="1317" t="str">
        <f ca="1">IF(INDIRECT("'SpxSp (step-c)'!$B" &amp; CP$72)=$Z93,INDIRECT("'SpxSp (step-c)'!$" &amp; 'SpxSp (step-c)'!$AC$16 &amp; CP$72),"")</f>
        <v/>
      </c>
      <c r="CQ93" s="1317" t="str">
        <f ca="1">IF(INDIRECT("'SpxSp (step-c)'!$B" &amp; CQ$72)=$Z93,INDIRECT("'SpxSp (step-c)'!$" &amp; 'SpxSp (step-c)'!$AC$16 &amp; CQ$72),"")</f>
        <v/>
      </c>
      <c r="CR93" s="1317" t="str">
        <f ca="1">IF(INDIRECT("'SpxSp (step-c)'!$B" &amp; CR$72)=$Z93,INDIRECT("'SpxSp (step-c)'!$" &amp; 'SpxSp (step-c)'!$AC$16 &amp; CR$72),"")</f>
        <v/>
      </c>
      <c r="CS93" s="1317" t="str">
        <f ca="1">IF(INDIRECT("'SpxSp (step-c)'!$B" &amp; CS$72)=$Z93,INDIRECT("'SpxSp (step-c)'!$" &amp; 'SpxSp (step-c)'!$AC$16 &amp; CS$72),"")</f>
        <v/>
      </c>
      <c r="CT93" s="1317" t="str">
        <f ca="1">IF(INDIRECT("'SpxSp (step-c)'!$B" &amp; CT$72)=$Z93,INDIRECT("'SpxSp (step-c)'!$" &amp; 'SpxSp (step-c)'!$AC$16 &amp; CT$72),"")</f>
        <v/>
      </c>
      <c r="CU93" s="1317" t="str">
        <f ca="1">IF(INDIRECT("'SpxSp (step-c)'!$B" &amp; CU$72)=$Z93,INDIRECT("'SpxSp (step-c)'!$" &amp; 'SpxSp (step-c)'!$AC$16 &amp; CU$72),"")</f>
        <v/>
      </c>
      <c r="CV93" s="1317" t="str">
        <f ca="1">IF(INDIRECT("'SpxSp (step-c)'!$B" &amp; CV$72)=$Z93,INDIRECT("'SpxSp (step-c)'!$" &amp; 'SpxSp (step-c)'!$AC$16 &amp; CV$72),"")</f>
        <v/>
      </c>
      <c r="CW93" s="1317" t="str">
        <f ca="1">IF(INDIRECT("'SpxSp (step-c)'!$B" &amp; CW$72)=$Z93,INDIRECT("'SpxSp (step-c)'!$" &amp; 'SpxSp (step-c)'!$AC$16 &amp; CW$72),"")</f>
        <v/>
      </c>
      <c r="CX93" s="1317" t="str">
        <f ca="1">IF(INDIRECT("'SpxSp (step-c)'!$B" &amp; CX$72)=$Z93,INDIRECT("'SpxSp (step-c)'!$" &amp; 'SpxSp (step-c)'!$AC$16 &amp; CX$72),"")</f>
        <v/>
      </c>
      <c r="CY93" s="1317" t="str">
        <f ca="1">IF(INDIRECT("'SpxSp (step-c)'!$B" &amp; CY$72)=$Z93,INDIRECT("'SpxSp (step-c)'!$" &amp; 'SpxSp (step-c)'!$AC$16 &amp; CY$72),"")</f>
        <v/>
      </c>
      <c r="CZ93" s="1317" t="str">
        <f ca="1">IF(INDIRECT("'SpxSp (step-c)'!$B" &amp; CZ$72)=$Z93,INDIRECT("'SpxSp (step-c)'!$" &amp; 'SpxSp (step-c)'!$AC$16 &amp; CZ$72),"")</f>
        <v/>
      </c>
      <c r="DA93" s="1317" t="str">
        <f ca="1">IF(INDIRECT("'SpxSp (step-c)'!$B" &amp; DA$72)=$Z93,INDIRECT("'SpxSp (step-c)'!$" &amp; 'SpxSp (step-c)'!$AC$16 &amp; DA$72),"")</f>
        <v/>
      </c>
      <c r="DB93" s="1317" t="str">
        <f ca="1">IF(INDIRECT("'SpxSp (step-c)'!$B" &amp; DB$72)=$Z93,INDIRECT("'SpxSp (step-c)'!$" &amp; 'SpxSp (step-c)'!$AC$16 &amp; DB$72),"")</f>
        <v/>
      </c>
      <c r="DC93" s="1317" t="str">
        <f ca="1">IF(INDIRECT("'SpxSp (step-c)'!$B" &amp; DC$72)=$Z93,INDIRECT("'SpxSp (step-c)'!$" &amp; 'SpxSp (step-c)'!$AC$16 &amp; DC$72),"")</f>
        <v/>
      </c>
      <c r="DD93" s="1317" t="str">
        <f ca="1">IF(INDIRECT("'SpxSp (step-c)'!$B" &amp; DD$72)=$Z93,INDIRECT("'SpxSp (step-c)'!$" &amp; 'SpxSp (step-c)'!$AC$16 &amp; DD$72),"")</f>
        <v/>
      </c>
      <c r="DE93" s="1317" t="str">
        <f ca="1">IF(INDIRECT("'SpxSp (step-c)'!$B" &amp; DE$72)=$Z93,INDIRECT("'SpxSp (step-c)'!$" &amp; 'SpxSp (step-c)'!$AC$16 &amp; DE$72),"")</f>
        <v/>
      </c>
      <c r="DF93" s="1317" t="str">
        <f ca="1">IF(INDIRECT("'SpxSp (step-c)'!$B" &amp; DF$72)=$Z93,INDIRECT("'SpxSp (step-c)'!$" &amp; 'SpxSp (step-c)'!$AC$16 &amp; DF$72),"")</f>
        <v/>
      </c>
      <c r="DG93" s="1317" t="str">
        <f ca="1">IF(INDIRECT("'SpxSp (step-c)'!$B" &amp; DG$72)=$Z93,INDIRECT("'SpxSp (step-c)'!$" &amp; 'SpxSp (step-c)'!$AC$16 &amp; DG$72),"")</f>
        <v/>
      </c>
      <c r="DH93" s="1317" t="str">
        <f ca="1">IF(INDIRECT("'SpxSp (step-c)'!$B" &amp; DH$72)=$Z93,INDIRECT("'SpxSp (step-c)'!$" &amp; 'SpxSp (step-c)'!$AC$16 &amp; DH$72),"")</f>
        <v/>
      </c>
      <c r="DI93" s="1317" t="str">
        <f ca="1">IF(INDIRECT("'SpxSp (step-c)'!$B" &amp; DI$72)=$Z93,INDIRECT("'SpxSp (step-c)'!$" &amp; 'SpxSp (step-c)'!$AC$16 &amp; DI$72),"")</f>
        <v/>
      </c>
      <c r="DJ93" s="1317" t="str">
        <f ca="1">IF(INDIRECT("'SpxSp (step-c)'!$B" &amp; DJ$72)=$Z93,INDIRECT("'SpxSp (step-c)'!$" &amp; 'SpxSp (step-c)'!$AC$16 &amp; DJ$72),"")</f>
        <v/>
      </c>
      <c r="DK93" s="1317" t="str">
        <f ca="1">IF(INDIRECT("'SpxSp (step-c)'!$B" &amp; DK$72)=$Z93,INDIRECT("'SpxSp (step-c)'!$" &amp; 'SpxSp (step-c)'!$AC$16 &amp; DK$72),"")</f>
        <v/>
      </c>
      <c r="DL93" s="1317" t="str">
        <f ca="1">IF(INDIRECT("'SpxSp (step-c)'!$B" &amp; DL$72)=$Z93,INDIRECT("'SpxSp (step-c)'!$" &amp; 'SpxSp (step-c)'!$AC$16 &amp; DL$72),"")</f>
        <v/>
      </c>
      <c r="DM93" s="1317" t="str">
        <f ca="1">IF(INDIRECT("'SpxSp (step-c)'!$B" &amp; DM$72)=$Z93,INDIRECT("'SpxSp (step-c)'!$" &amp; 'SpxSp (step-c)'!$AC$16 &amp; DM$72),"")</f>
        <v/>
      </c>
      <c r="DO93" s="1246" t="s">
        <v>1200</v>
      </c>
    </row>
    <row r="94" spans="26:119" ht="20" x14ac:dyDescent="0.2">
      <c r="Z94" s="1317" t="str">
        <f t="shared" ref="Z94:AA94" si="62">Z39</f>
        <v/>
      </c>
      <c r="AA94" s="1317" t="str">
        <f t="shared" si="62"/>
        <v/>
      </c>
      <c r="BN94" s="178">
        <v>22</v>
      </c>
      <c r="BO94" s="1316" t="str">
        <f t="shared" ca="1" si="43"/>
        <v/>
      </c>
      <c r="BP94" s="1317" t="str">
        <f ca="1">IF(INDIRECT("'SpxSp (step-c)'!$B" &amp; BP$72)=$Z94,INDIRECT("'SpxSp (step-c)'!$" &amp; 'SpxSp (step-c)'!$AC$16 &amp; BP$72),"")</f>
        <v/>
      </c>
      <c r="BQ94" s="1317" t="str">
        <f ca="1">IF(INDIRECT("'SpxSp (step-c)'!$B" &amp; BQ$72)=$Z94,INDIRECT("'SpxSp (step-c)'!$" &amp; 'SpxSp (step-c)'!$AC$16 &amp; BQ$72),"")</f>
        <v/>
      </c>
      <c r="BR94" s="1317" t="str">
        <f ca="1">IF(INDIRECT("'SpxSp (step-c)'!$B" &amp; BR$72)=$Z94,INDIRECT("'SpxSp (step-c)'!$" &amp; 'SpxSp (step-c)'!$AC$16 &amp; BR$72),"")</f>
        <v/>
      </c>
      <c r="BS94" s="1317" t="str">
        <f ca="1">IF(INDIRECT("'SpxSp (step-c)'!$B" &amp; BS$72)=$Z94,INDIRECT("'SpxSp (step-c)'!$" &amp; 'SpxSp (step-c)'!$AC$16 &amp; BS$72),"")</f>
        <v/>
      </c>
      <c r="BT94" s="1317" t="str">
        <f ca="1">IF(INDIRECT("'SpxSp (step-c)'!$B" &amp; BT$72)=$Z94,INDIRECT("'SpxSp (step-c)'!$" &amp; 'SpxSp (step-c)'!$AC$16 &amp; BT$72),"")</f>
        <v/>
      </c>
      <c r="BU94" s="1317" t="str">
        <f ca="1">IF(INDIRECT("'SpxSp (step-c)'!$B" &amp; BU$72)=$Z94,INDIRECT("'SpxSp (step-c)'!$" &amp; 'SpxSp (step-c)'!$AC$16 &amp; BU$72),"")</f>
        <v/>
      </c>
      <c r="BV94" s="1317" t="str">
        <f ca="1">IF(INDIRECT("'SpxSp (step-c)'!$B" &amp; BV$72)=$Z94,INDIRECT("'SpxSp (step-c)'!$" &amp; 'SpxSp (step-c)'!$AC$16 &amp; BV$72),"")</f>
        <v/>
      </c>
      <c r="BW94" s="1317" t="str">
        <f ca="1">IF(INDIRECT("'SpxSp (step-c)'!$B" &amp; BW$72)=$Z94,INDIRECT("'SpxSp (step-c)'!$" &amp; 'SpxSp (step-c)'!$AC$16 &amp; BW$72),"")</f>
        <v/>
      </c>
      <c r="BX94" s="1317" t="str">
        <f ca="1">IF(INDIRECT("'SpxSp (step-c)'!$B" &amp; BX$72)=$Z94,INDIRECT("'SpxSp (step-c)'!$" &amp; 'SpxSp (step-c)'!$AC$16 &amp; BX$72),"")</f>
        <v/>
      </c>
      <c r="BY94" s="1317" t="str">
        <f ca="1">IF(INDIRECT("'SpxSp (step-c)'!$B" &amp; BY$72)=$Z94,INDIRECT("'SpxSp (step-c)'!$" &amp; 'SpxSp (step-c)'!$AC$16 &amp; BY$72),"")</f>
        <v/>
      </c>
      <c r="BZ94" s="1317" t="str">
        <f ca="1">IF(INDIRECT("'SpxSp (step-c)'!$B" &amp; BZ$72)=$Z94,INDIRECT("'SpxSp (step-c)'!$" &amp; 'SpxSp (step-c)'!$AC$16 &amp; BZ$72),"")</f>
        <v/>
      </c>
      <c r="CA94" s="1317" t="str">
        <f ca="1">IF(INDIRECT("'SpxSp (step-c)'!$B" &amp; CA$72)=$Z94,INDIRECT("'SpxSp (step-c)'!$" &amp; 'SpxSp (step-c)'!$AC$16 &amp; CA$72),"")</f>
        <v/>
      </c>
      <c r="CB94" s="1317" t="str">
        <f ca="1">IF(INDIRECT("'SpxSp (step-c)'!$B" &amp; CB$72)=$Z94,INDIRECT("'SpxSp (step-c)'!$" &amp; 'SpxSp (step-c)'!$AC$16 &amp; CB$72),"")</f>
        <v/>
      </c>
      <c r="CC94" s="1317" t="str">
        <f ca="1">IF(INDIRECT("'SpxSp (step-c)'!$B" &amp; CC$72)=$Z94,INDIRECT("'SpxSp (step-c)'!$" &amp; 'SpxSp (step-c)'!$AC$16 &amp; CC$72),"")</f>
        <v/>
      </c>
      <c r="CD94" s="1317" t="str">
        <f ca="1">IF(INDIRECT("'SpxSp (step-c)'!$B" &amp; CD$72)=$Z94,INDIRECT("'SpxSp (step-c)'!$" &amp; 'SpxSp (step-c)'!$AC$16 &amp; CD$72),"")</f>
        <v/>
      </c>
      <c r="CE94" s="1317" t="str">
        <f ca="1">IF(INDIRECT("'SpxSp (step-c)'!$B" &amp; CE$72)=$Z94,INDIRECT("'SpxSp (step-c)'!$" &amp; 'SpxSp (step-c)'!$AC$16 &amp; CE$72),"")</f>
        <v/>
      </c>
      <c r="CF94" s="1317" t="str">
        <f ca="1">IF(INDIRECT("'SpxSp (step-c)'!$B" &amp; CF$72)=$Z94,INDIRECT("'SpxSp (step-c)'!$" &amp; 'SpxSp (step-c)'!$AC$16 &amp; CF$72),"")</f>
        <v/>
      </c>
      <c r="CG94" s="1317" t="str">
        <f ca="1">IF(INDIRECT("'SpxSp (step-c)'!$B" &amp; CG$72)=$Z94,INDIRECT("'SpxSp (step-c)'!$" &amp; 'SpxSp (step-c)'!$AC$16 &amp; CG$72),"")</f>
        <v/>
      </c>
      <c r="CH94" s="1317" t="str">
        <f ca="1">IF(INDIRECT("'SpxSp (step-c)'!$B" &amp; CH$72)=$Z94,INDIRECT("'SpxSp (step-c)'!$" &amp; 'SpxSp (step-c)'!$AC$16 &amp; CH$72),"")</f>
        <v/>
      </c>
      <c r="CI94" s="1317" t="str">
        <f ca="1">IF(INDIRECT("'SpxSp (step-c)'!$B" &amp; CI$72)=$Z94,INDIRECT("'SpxSp (step-c)'!$" &amp; 'SpxSp (step-c)'!$AC$16 &amp; CI$72),"")</f>
        <v/>
      </c>
      <c r="CJ94" s="1317" t="str">
        <f ca="1">IF(INDIRECT("'SpxSp (step-c)'!$B" &amp; CJ$72)=$Z94,INDIRECT("'SpxSp (step-c)'!$" &amp; 'SpxSp (step-c)'!$AC$16 &amp; CJ$72),"")</f>
        <v/>
      </c>
      <c r="CK94" s="1317" t="str">
        <f ca="1">IF(INDIRECT("'SpxSp (step-c)'!$B" &amp; CK$72)=$Z94,INDIRECT("'SpxSp (step-c)'!$" &amp; 'SpxSp (step-c)'!$AC$16 &amp; CK$72),"")</f>
        <v/>
      </c>
      <c r="CL94" s="1317" t="str">
        <f ca="1">IF(INDIRECT("'SpxSp (step-c)'!$B" &amp; CL$72)=$Z94,INDIRECT("'SpxSp (step-c)'!$" &amp; 'SpxSp (step-c)'!$AC$16 &amp; CL$72),"")</f>
        <v/>
      </c>
      <c r="CM94" s="1317" t="str">
        <f ca="1">IF(INDIRECT("'SpxSp (step-c)'!$B" &amp; CM$72)=$Z94,INDIRECT("'SpxSp (step-c)'!$" &amp; 'SpxSp (step-c)'!$AC$16 &amp; CM$72),"")</f>
        <v/>
      </c>
      <c r="CN94" s="1317" t="str">
        <f ca="1">IF(INDIRECT("'SpxSp (step-c)'!$B" &amp; CN$72)=$Z94,INDIRECT("'SpxSp (step-c)'!$" &amp; 'SpxSp (step-c)'!$AC$16 &amp; CN$72),"")</f>
        <v/>
      </c>
      <c r="CO94" s="1317" t="str">
        <f ca="1">IF(INDIRECT("'SpxSp (step-c)'!$B" &amp; CO$72)=$Z94,INDIRECT("'SpxSp (step-c)'!$" &amp; 'SpxSp (step-c)'!$AC$16 &amp; CO$72),"")</f>
        <v/>
      </c>
      <c r="CP94" s="1317" t="str">
        <f ca="1">IF(INDIRECT("'SpxSp (step-c)'!$B" &amp; CP$72)=$Z94,INDIRECT("'SpxSp (step-c)'!$" &amp; 'SpxSp (step-c)'!$AC$16 &amp; CP$72),"")</f>
        <v/>
      </c>
      <c r="CQ94" s="1317" t="str">
        <f ca="1">IF(INDIRECT("'SpxSp (step-c)'!$B" &amp; CQ$72)=$Z94,INDIRECT("'SpxSp (step-c)'!$" &amp; 'SpxSp (step-c)'!$AC$16 &amp; CQ$72),"")</f>
        <v/>
      </c>
      <c r="CR94" s="1317" t="str">
        <f ca="1">IF(INDIRECT("'SpxSp (step-c)'!$B" &amp; CR$72)=$Z94,INDIRECT("'SpxSp (step-c)'!$" &amp; 'SpxSp (step-c)'!$AC$16 &amp; CR$72),"")</f>
        <v/>
      </c>
      <c r="CS94" s="1317" t="str">
        <f ca="1">IF(INDIRECT("'SpxSp (step-c)'!$B" &amp; CS$72)=$Z94,INDIRECT("'SpxSp (step-c)'!$" &amp; 'SpxSp (step-c)'!$AC$16 &amp; CS$72),"")</f>
        <v/>
      </c>
      <c r="CT94" s="1317" t="str">
        <f ca="1">IF(INDIRECT("'SpxSp (step-c)'!$B" &amp; CT$72)=$Z94,INDIRECT("'SpxSp (step-c)'!$" &amp; 'SpxSp (step-c)'!$AC$16 &amp; CT$72),"")</f>
        <v/>
      </c>
      <c r="CU94" s="1317" t="str">
        <f ca="1">IF(INDIRECT("'SpxSp (step-c)'!$B" &amp; CU$72)=$Z94,INDIRECT("'SpxSp (step-c)'!$" &amp; 'SpxSp (step-c)'!$AC$16 &amp; CU$72),"")</f>
        <v/>
      </c>
      <c r="CV94" s="1317" t="str">
        <f ca="1">IF(INDIRECT("'SpxSp (step-c)'!$B" &amp; CV$72)=$Z94,INDIRECT("'SpxSp (step-c)'!$" &amp; 'SpxSp (step-c)'!$AC$16 &amp; CV$72),"")</f>
        <v/>
      </c>
      <c r="CW94" s="1317" t="str">
        <f ca="1">IF(INDIRECT("'SpxSp (step-c)'!$B" &amp; CW$72)=$Z94,INDIRECT("'SpxSp (step-c)'!$" &amp; 'SpxSp (step-c)'!$AC$16 &amp; CW$72),"")</f>
        <v/>
      </c>
      <c r="CX94" s="1317" t="str">
        <f ca="1">IF(INDIRECT("'SpxSp (step-c)'!$B" &amp; CX$72)=$Z94,INDIRECT("'SpxSp (step-c)'!$" &amp; 'SpxSp (step-c)'!$AC$16 &amp; CX$72),"")</f>
        <v/>
      </c>
      <c r="CY94" s="1317" t="str">
        <f ca="1">IF(INDIRECT("'SpxSp (step-c)'!$B" &amp; CY$72)=$Z94,INDIRECT("'SpxSp (step-c)'!$" &amp; 'SpxSp (step-c)'!$AC$16 &amp; CY$72),"")</f>
        <v/>
      </c>
      <c r="CZ94" s="1317" t="str">
        <f ca="1">IF(INDIRECT("'SpxSp (step-c)'!$B" &amp; CZ$72)=$Z94,INDIRECT("'SpxSp (step-c)'!$" &amp; 'SpxSp (step-c)'!$AC$16 &amp; CZ$72),"")</f>
        <v/>
      </c>
      <c r="DA94" s="1317" t="str">
        <f ca="1">IF(INDIRECT("'SpxSp (step-c)'!$B" &amp; DA$72)=$Z94,INDIRECT("'SpxSp (step-c)'!$" &amp; 'SpxSp (step-c)'!$AC$16 &amp; DA$72),"")</f>
        <v/>
      </c>
      <c r="DB94" s="1317" t="str">
        <f ca="1">IF(INDIRECT("'SpxSp (step-c)'!$B" &amp; DB$72)=$Z94,INDIRECT("'SpxSp (step-c)'!$" &amp; 'SpxSp (step-c)'!$AC$16 &amp; DB$72),"")</f>
        <v/>
      </c>
      <c r="DC94" s="1317" t="str">
        <f ca="1">IF(INDIRECT("'SpxSp (step-c)'!$B" &amp; DC$72)=$Z94,INDIRECT("'SpxSp (step-c)'!$" &amp; 'SpxSp (step-c)'!$AC$16 &amp; DC$72),"")</f>
        <v/>
      </c>
      <c r="DD94" s="1317" t="str">
        <f ca="1">IF(INDIRECT("'SpxSp (step-c)'!$B" &amp; DD$72)=$Z94,INDIRECT("'SpxSp (step-c)'!$" &amp; 'SpxSp (step-c)'!$AC$16 &amp; DD$72),"")</f>
        <v/>
      </c>
      <c r="DE94" s="1317" t="str">
        <f ca="1">IF(INDIRECT("'SpxSp (step-c)'!$B" &amp; DE$72)=$Z94,INDIRECT("'SpxSp (step-c)'!$" &amp; 'SpxSp (step-c)'!$AC$16 &amp; DE$72),"")</f>
        <v/>
      </c>
      <c r="DF94" s="1317" t="str">
        <f ca="1">IF(INDIRECT("'SpxSp (step-c)'!$B" &amp; DF$72)=$Z94,INDIRECT("'SpxSp (step-c)'!$" &amp; 'SpxSp (step-c)'!$AC$16 &amp; DF$72),"")</f>
        <v/>
      </c>
      <c r="DG94" s="1317" t="str">
        <f ca="1">IF(INDIRECT("'SpxSp (step-c)'!$B" &amp; DG$72)=$Z94,INDIRECT("'SpxSp (step-c)'!$" &amp; 'SpxSp (step-c)'!$AC$16 &amp; DG$72),"")</f>
        <v/>
      </c>
      <c r="DH94" s="1317" t="str">
        <f ca="1">IF(INDIRECT("'SpxSp (step-c)'!$B" &amp; DH$72)=$Z94,INDIRECT("'SpxSp (step-c)'!$" &amp; 'SpxSp (step-c)'!$AC$16 &amp; DH$72),"")</f>
        <v/>
      </c>
      <c r="DI94" s="1317" t="str">
        <f ca="1">IF(INDIRECT("'SpxSp (step-c)'!$B" &amp; DI$72)=$Z94,INDIRECT("'SpxSp (step-c)'!$" &amp; 'SpxSp (step-c)'!$AC$16 &amp; DI$72),"")</f>
        <v/>
      </c>
      <c r="DJ94" s="1317" t="str">
        <f ca="1">IF(INDIRECT("'SpxSp (step-c)'!$B" &amp; DJ$72)=$Z94,INDIRECT("'SpxSp (step-c)'!$" &amp; 'SpxSp (step-c)'!$AC$16 &amp; DJ$72),"")</f>
        <v/>
      </c>
      <c r="DK94" s="1317" t="str">
        <f ca="1">IF(INDIRECT("'SpxSp (step-c)'!$B" &amp; DK$72)=$Z94,INDIRECT("'SpxSp (step-c)'!$" &amp; 'SpxSp (step-c)'!$AC$16 &amp; DK$72),"")</f>
        <v/>
      </c>
      <c r="DL94" s="1317" t="str">
        <f ca="1">IF(INDIRECT("'SpxSp (step-c)'!$B" &amp; DL$72)=$Z94,INDIRECT("'SpxSp (step-c)'!$" &amp; 'SpxSp (step-c)'!$AC$16 &amp; DL$72),"")</f>
        <v/>
      </c>
      <c r="DM94" s="1317" t="str">
        <f ca="1">IF(INDIRECT("'SpxSp (step-c)'!$B" &amp; DM$72)=$Z94,INDIRECT("'SpxSp (step-c)'!$" &amp; 'SpxSp (step-c)'!$AC$16 &amp; DM$72),"")</f>
        <v/>
      </c>
      <c r="DO94" s="1246" t="s">
        <v>1200</v>
      </c>
    </row>
    <row r="95" spans="26:119" ht="20" x14ac:dyDescent="0.2">
      <c r="Z95" s="1317" t="str">
        <f t="shared" ref="Z95:AA95" si="63">Z40</f>
        <v/>
      </c>
      <c r="AA95" s="1317" t="str">
        <f t="shared" si="63"/>
        <v/>
      </c>
      <c r="BN95" s="178">
        <v>23</v>
      </c>
      <c r="BO95" s="1316" t="str">
        <f t="shared" ca="1" si="43"/>
        <v/>
      </c>
      <c r="BP95" s="1317" t="str">
        <f ca="1">IF(INDIRECT("'SpxSp (step-c)'!$B" &amp; BP$72)=$Z95,INDIRECT("'SpxSp (step-c)'!$" &amp; 'SpxSp (step-c)'!$AC$16 &amp; BP$72),"")</f>
        <v/>
      </c>
      <c r="BQ95" s="1317" t="str">
        <f ca="1">IF(INDIRECT("'SpxSp (step-c)'!$B" &amp; BQ$72)=$Z95,INDIRECT("'SpxSp (step-c)'!$" &amp; 'SpxSp (step-c)'!$AC$16 &amp; BQ$72),"")</f>
        <v/>
      </c>
      <c r="BR95" s="1317" t="str">
        <f ca="1">IF(INDIRECT("'SpxSp (step-c)'!$B" &amp; BR$72)=$Z95,INDIRECT("'SpxSp (step-c)'!$" &amp; 'SpxSp (step-c)'!$AC$16 &amp; BR$72),"")</f>
        <v/>
      </c>
      <c r="BS95" s="1317" t="str">
        <f ca="1">IF(INDIRECT("'SpxSp (step-c)'!$B" &amp; BS$72)=$Z95,INDIRECT("'SpxSp (step-c)'!$" &amp; 'SpxSp (step-c)'!$AC$16 &amp; BS$72),"")</f>
        <v/>
      </c>
      <c r="BT95" s="1317" t="str">
        <f ca="1">IF(INDIRECT("'SpxSp (step-c)'!$B" &amp; BT$72)=$Z95,INDIRECT("'SpxSp (step-c)'!$" &amp; 'SpxSp (step-c)'!$AC$16 &amp; BT$72),"")</f>
        <v/>
      </c>
      <c r="BU95" s="1317" t="str">
        <f ca="1">IF(INDIRECT("'SpxSp (step-c)'!$B" &amp; BU$72)=$Z95,INDIRECT("'SpxSp (step-c)'!$" &amp; 'SpxSp (step-c)'!$AC$16 &amp; BU$72),"")</f>
        <v/>
      </c>
      <c r="BV95" s="1317" t="str">
        <f ca="1">IF(INDIRECT("'SpxSp (step-c)'!$B" &amp; BV$72)=$Z95,INDIRECT("'SpxSp (step-c)'!$" &amp; 'SpxSp (step-c)'!$AC$16 &amp; BV$72),"")</f>
        <v/>
      </c>
      <c r="BW95" s="1317" t="str">
        <f ca="1">IF(INDIRECT("'SpxSp (step-c)'!$B" &amp; BW$72)=$Z95,INDIRECT("'SpxSp (step-c)'!$" &amp; 'SpxSp (step-c)'!$AC$16 &amp; BW$72),"")</f>
        <v/>
      </c>
      <c r="BX95" s="1317" t="str">
        <f ca="1">IF(INDIRECT("'SpxSp (step-c)'!$B" &amp; BX$72)=$Z95,INDIRECT("'SpxSp (step-c)'!$" &amp; 'SpxSp (step-c)'!$AC$16 &amp; BX$72),"")</f>
        <v/>
      </c>
      <c r="BY95" s="1317" t="str">
        <f ca="1">IF(INDIRECT("'SpxSp (step-c)'!$B" &amp; BY$72)=$Z95,INDIRECT("'SpxSp (step-c)'!$" &amp; 'SpxSp (step-c)'!$AC$16 &amp; BY$72),"")</f>
        <v/>
      </c>
      <c r="BZ95" s="1317" t="str">
        <f ca="1">IF(INDIRECT("'SpxSp (step-c)'!$B" &amp; BZ$72)=$Z95,INDIRECT("'SpxSp (step-c)'!$" &amp; 'SpxSp (step-c)'!$AC$16 &amp; BZ$72),"")</f>
        <v/>
      </c>
      <c r="CA95" s="1317" t="str">
        <f ca="1">IF(INDIRECT("'SpxSp (step-c)'!$B" &amp; CA$72)=$Z95,INDIRECT("'SpxSp (step-c)'!$" &amp; 'SpxSp (step-c)'!$AC$16 &amp; CA$72),"")</f>
        <v/>
      </c>
      <c r="CB95" s="1317" t="str">
        <f ca="1">IF(INDIRECT("'SpxSp (step-c)'!$B" &amp; CB$72)=$Z95,INDIRECT("'SpxSp (step-c)'!$" &amp; 'SpxSp (step-c)'!$AC$16 &amp; CB$72),"")</f>
        <v/>
      </c>
      <c r="CC95" s="1317" t="str">
        <f ca="1">IF(INDIRECT("'SpxSp (step-c)'!$B" &amp; CC$72)=$Z95,INDIRECT("'SpxSp (step-c)'!$" &amp; 'SpxSp (step-c)'!$AC$16 &amp; CC$72),"")</f>
        <v/>
      </c>
      <c r="CD95" s="1317" t="str">
        <f ca="1">IF(INDIRECT("'SpxSp (step-c)'!$B" &amp; CD$72)=$Z95,INDIRECT("'SpxSp (step-c)'!$" &amp; 'SpxSp (step-c)'!$AC$16 &amp; CD$72),"")</f>
        <v/>
      </c>
      <c r="CE95" s="1317" t="str">
        <f ca="1">IF(INDIRECT("'SpxSp (step-c)'!$B" &amp; CE$72)=$Z95,INDIRECT("'SpxSp (step-c)'!$" &amp; 'SpxSp (step-c)'!$AC$16 &amp; CE$72),"")</f>
        <v/>
      </c>
      <c r="CF95" s="1317" t="str">
        <f ca="1">IF(INDIRECT("'SpxSp (step-c)'!$B" &amp; CF$72)=$Z95,INDIRECT("'SpxSp (step-c)'!$" &amp; 'SpxSp (step-c)'!$AC$16 &amp; CF$72),"")</f>
        <v/>
      </c>
      <c r="CG95" s="1317" t="str">
        <f ca="1">IF(INDIRECT("'SpxSp (step-c)'!$B" &amp; CG$72)=$Z95,INDIRECT("'SpxSp (step-c)'!$" &amp; 'SpxSp (step-c)'!$AC$16 &amp; CG$72),"")</f>
        <v/>
      </c>
      <c r="CH95" s="1317" t="str">
        <f ca="1">IF(INDIRECT("'SpxSp (step-c)'!$B" &amp; CH$72)=$Z95,INDIRECT("'SpxSp (step-c)'!$" &amp; 'SpxSp (step-c)'!$AC$16 &amp; CH$72),"")</f>
        <v/>
      </c>
      <c r="CI95" s="1317" t="str">
        <f ca="1">IF(INDIRECT("'SpxSp (step-c)'!$B" &amp; CI$72)=$Z95,INDIRECT("'SpxSp (step-c)'!$" &amp; 'SpxSp (step-c)'!$AC$16 &amp; CI$72),"")</f>
        <v/>
      </c>
      <c r="CJ95" s="1317" t="str">
        <f ca="1">IF(INDIRECT("'SpxSp (step-c)'!$B" &amp; CJ$72)=$Z95,INDIRECT("'SpxSp (step-c)'!$" &amp; 'SpxSp (step-c)'!$AC$16 &amp; CJ$72),"")</f>
        <v/>
      </c>
      <c r="CK95" s="1317" t="str">
        <f ca="1">IF(INDIRECT("'SpxSp (step-c)'!$B" &amp; CK$72)=$Z95,INDIRECT("'SpxSp (step-c)'!$" &amp; 'SpxSp (step-c)'!$AC$16 &amp; CK$72),"")</f>
        <v/>
      </c>
      <c r="CL95" s="1317" t="str">
        <f ca="1">IF(INDIRECT("'SpxSp (step-c)'!$B" &amp; CL$72)=$Z95,INDIRECT("'SpxSp (step-c)'!$" &amp; 'SpxSp (step-c)'!$AC$16 &amp; CL$72),"")</f>
        <v/>
      </c>
      <c r="CM95" s="1317" t="str">
        <f ca="1">IF(INDIRECT("'SpxSp (step-c)'!$B" &amp; CM$72)=$Z95,INDIRECT("'SpxSp (step-c)'!$" &amp; 'SpxSp (step-c)'!$AC$16 &amp; CM$72),"")</f>
        <v/>
      </c>
      <c r="CN95" s="1317" t="str">
        <f ca="1">IF(INDIRECT("'SpxSp (step-c)'!$B" &amp; CN$72)=$Z95,INDIRECT("'SpxSp (step-c)'!$" &amp; 'SpxSp (step-c)'!$AC$16 &amp; CN$72),"")</f>
        <v/>
      </c>
      <c r="CO95" s="1317" t="str">
        <f ca="1">IF(INDIRECT("'SpxSp (step-c)'!$B" &amp; CO$72)=$Z95,INDIRECT("'SpxSp (step-c)'!$" &amp; 'SpxSp (step-c)'!$AC$16 &amp; CO$72),"")</f>
        <v/>
      </c>
      <c r="CP95" s="1317" t="str">
        <f ca="1">IF(INDIRECT("'SpxSp (step-c)'!$B" &amp; CP$72)=$Z95,INDIRECT("'SpxSp (step-c)'!$" &amp; 'SpxSp (step-c)'!$AC$16 &amp; CP$72),"")</f>
        <v/>
      </c>
      <c r="CQ95" s="1317" t="str">
        <f ca="1">IF(INDIRECT("'SpxSp (step-c)'!$B" &amp; CQ$72)=$Z95,INDIRECT("'SpxSp (step-c)'!$" &amp; 'SpxSp (step-c)'!$AC$16 &amp; CQ$72),"")</f>
        <v/>
      </c>
      <c r="CR95" s="1317" t="str">
        <f ca="1">IF(INDIRECT("'SpxSp (step-c)'!$B" &amp; CR$72)=$Z95,INDIRECT("'SpxSp (step-c)'!$" &amp; 'SpxSp (step-c)'!$AC$16 &amp; CR$72),"")</f>
        <v/>
      </c>
      <c r="CS95" s="1317" t="str">
        <f ca="1">IF(INDIRECT("'SpxSp (step-c)'!$B" &amp; CS$72)=$Z95,INDIRECT("'SpxSp (step-c)'!$" &amp; 'SpxSp (step-c)'!$AC$16 &amp; CS$72),"")</f>
        <v/>
      </c>
      <c r="CT95" s="1317" t="str">
        <f ca="1">IF(INDIRECT("'SpxSp (step-c)'!$B" &amp; CT$72)=$Z95,INDIRECT("'SpxSp (step-c)'!$" &amp; 'SpxSp (step-c)'!$AC$16 &amp; CT$72),"")</f>
        <v/>
      </c>
      <c r="CU95" s="1317" t="str">
        <f ca="1">IF(INDIRECT("'SpxSp (step-c)'!$B" &amp; CU$72)=$Z95,INDIRECT("'SpxSp (step-c)'!$" &amp; 'SpxSp (step-c)'!$AC$16 &amp; CU$72),"")</f>
        <v/>
      </c>
      <c r="CV95" s="1317" t="str">
        <f ca="1">IF(INDIRECT("'SpxSp (step-c)'!$B" &amp; CV$72)=$Z95,INDIRECT("'SpxSp (step-c)'!$" &amp; 'SpxSp (step-c)'!$AC$16 &amp; CV$72),"")</f>
        <v/>
      </c>
      <c r="CW95" s="1317" t="str">
        <f ca="1">IF(INDIRECT("'SpxSp (step-c)'!$B" &amp; CW$72)=$Z95,INDIRECT("'SpxSp (step-c)'!$" &amp; 'SpxSp (step-c)'!$AC$16 &amp; CW$72),"")</f>
        <v/>
      </c>
      <c r="CX95" s="1317" t="str">
        <f ca="1">IF(INDIRECT("'SpxSp (step-c)'!$B" &amp; CX$72)=$Z95,INDIRECT("'SpxSp (step-c)'!$" &amp; 'SpxSp (step-c)'!$AC$16 &amp; CX$72),"")</f>
        <v/>
      </c>
      <c r="CY95" s="1317" t="str">
        <f ca="1">IF(INDIRECT("'SpxSp (step-c)'!$B" &amp; CY$72)=$Z95,INDIRECT("'SpxSp (step-c)'!$" &amp; 'SpxSp (step-c)'!$AC$16 &amp; CY$72),"")</f>
        <v/>
      </c>
      <c r="CZ95" s="1317" t="str">
        <f ca="1">IF(INDIRECT("'SpxSp (step-c)'!$B" &amp; CZ$72)=$Z95,INDIRECT("'SpxSp (step-c)'!$" &amp; 'SpxSp (step-c)'!$AC$16 &amp; CZ$72),"")</f>
        <v/>
      </c>
      <c r="DA95" s="1317" t="str">
        <f ca="1">IF(INDIRECT("'SpxSp (step-c)'!$B" &amp; DA$72)=$Z95,INDIRECT("'SpxSp (step-c)'!$" &amp; 'SpxSp (step-c)'!$AC$16 &amp; DA$72),"")</f>
        <v/>
      </c>
      <c r="DB95" s="1317" t="str">
        <f ca="1">IF(INDIRECT("'SpxSp (step-c)'!$B" &amp; DB$72)=$Z95,INDIRECT("'SpxSp (step-c)'!$" &amp; 'SpxSp (step-c)'!$AC$16 &amp; DB$72),"")</f>
        <v/>
      </c>
      <c r="DC95" s="1317" t="str">
        <f ca="1">IF(INDIRECT("'SpxSp (step-c)'!$B" &amp; DC$72)=$Z95,INDIRECT("'SpxSp (step-c)'!$" &amp; 'SpxSp (step-c)'!$AC$16 &amp; DC$72),"")</f>
        <v/>
      </c>
      <c r="DD95" s="1317" t="str">
        <f ca="1">IF(INDIRECT("'SpxSp (step-c)'!$B" &amp; DD$72)=$Z95,INDIRECT("'SpxSp (step-c)'!$" &amp; 'SpxSp (step-c)'!$AC$16 &amp; DD$72),"")</f>
        <v/>
      </c>
      <c r="DE95" s="1317" t="str">
        <f ca="1">IF(INDIRECT("'SpxSp (step-c)'!$B" &amp; DE$72)=$Z95,INDIRECT("'SpxSp (step-c)'!$" &amp; 'SpxSp (step-c)'!$AC$16 &amp; DE$72),"")</f>
        <v/>
      </c>
      <c r="DF95" s="1317" t="str">
        <f ca="1">IF(INDIRECT("'SpxSp (step-c)'!$B" &amp; DF$72)=$Z95,INDIRECT("'SpxSp (step-c)'!$" &amp; 'SpxSp (step-c)'!$AC$16 &amp; DF$72),"")</f>
        <v/>
      </c>
      <c r="DG95" s="1317" t="str">
        <f ca="1">IF(INDIRECT("'SpxSp (step-c)'!$B" &amp; DG$72)=$Z95,INDIRECT("'SpxSp (step-c)'!$" &amp; 'SpxSp (step-c)'!$AC$16 &amp; DG$72),"")</f>
        <v/>
      </c>
      <c r="DH95" s="1317" t="str">
        <f ca="1">IF(INDIRECT("'SpxSp (step-c)'!$B" &amp; DH$72)=$Z95,INDIRECT("'SpxSp (step-c)'!$" &amp; 'SpxSp (step-c)'!$AC$16 &amp; DH$72),"")</f>
        <v/>
      </c>
      <c r="DI95" s="1317" t="str">
        <f ca="1">IF(INDIRECT("'SpxSp (step-c)'!$B" &amp; DI$72)=$Z95,INDIRECT("'SpxSp (step-c)'!$" &amp; 'SpxSp (step-c)'!$AC$16 &amp; DI$72),"")</f>
        <v/>
      </c>
      <c r="DJ95" s="1317" t="str">
        <f ca="1">IF(INDIRECT("'SpxSp (step-c)'!$B" &amp; DJ$72)=$Z95,INDIRECT("'SpxSp (step-c)'!$" &amp; 'SpxSp (step-c)'!$AC$16 &amp; DJ$72),"")</f>
        <v/>
      </c>
      <c r="DK95" s="1317" t="str">
        <f ca="1">IF(INDIRECT("'SpxSp (step-c)'!$B" &amp; DK$72)=$Z95,INDIRECT("'SpxSp (step-c)'!$" &amp; 'SpxSp (step-c)'!$AC$16 &amp; DK$72),"")</f>
        <v/>
      </c>
      <c r="DL95" s="1317" t="str">
        <f ca="1">IF(INDIRECT("'SpxSp (step-c)'!$B" &amp; DL$72)=$Z95,INDIRECT("'SpxSp (step-c)'!$" &amp; 'SpxSp (step-c)'!$AC$16 &amp; DL$72),"")</f>
        <v/>
      </c>
      <c r="DM95" s="1317" t="str">
        <f ca="1">IF(INDIRECT("'SpxSp (step-c)'!$B" &amp; DM$72)=$Z95,INDIRECT("'SpxSp (step-c)'!$" &amp; 'SpxSp (step-c)'!$AC$16 &amp; DM$72),"")</f>
        <v/>
      </c>
      <c r="DO95" s="1246" t="s">
        <v>1200</v>
      </c>
    </row>
    <row r="96" spans="26:119" ht="20" x14ac:dyDescent="0.2">
      <c r="Z96" s="1317" t="str">
        <f t="shared" ref="Z96:AA96" si="64">Z41</f>
        <v/>
      </c>
      <c r="AA96" s="1317" t="str">
        <f t="shared" si="64"/>
        <v/>
      </c>
      <c r="BN96" s="178">
        <v>24</v>
      </c>
      <c r="BO96" s="1316" t="str">
        <f t="shared" ca="1" si="43"/>
        <v/>
      </c>
      <c r="BP96" s="1317" t="str">
        <f ca="1">IF(INDIRECT("'SpxSp (step-c)'!$B" &amp; BP$72)=$Z96,INDIRECT("'SpxSp (step-c)'!$" &amp; 'SpxSp (step-c)'!$AC$16 &amp; BP$72),"")</f>
        <v/>
      </c>
      <c r="BQ96" s="1317" t="str">
        <f ca="1">IF(INDIRECT("'SpxSp (step-c)'!$B" &amp; BQ$72)=$Z96,INDIRECT("'SpxSp (step-c)'!$" &amp; 'SpxSp (step-c)'!$AC$16 &amp; BQ$72),"")</f>
        <v/>
      </c>
      <c r="BR96" s="1317" t="str">
        <f ca="1">IF(INDIRECT("'SpxSp (step-c)'!$B" &amp; BR$72)=$Z96,INDIRECT("'SpxSp (step-c)'!$" &amp; 'SpxSp (step-c)'!$AC$16 &amp; BR$72),"")</f>
        <v/>
      </c>
      <c r="BS96" s="1317" t="str">
        <f ca="1">IF(INDIRECT("'SpxSp (step-c)'!$B" &amp; BS$72)=$Z96,INDIRECT("'SpxSp (step-c)'!$" &amp; 'SpxSp (step-c)'!$AC$16 &amp; BS$72),"")</f>
        <v/>
      </c>
      <c r="BT96" s="1317" t="str">
        <f ca="1">IF(INDIRECT("'SpxSp (step-c)'!$B" &amp; BT$72)=$Z96,INDIRECT("'SpxSp (step-c)'!$" &amp; 'SpxSp (step-c)'!$AC$16 &amp; BT$72),"")</f>
        <v/>
      </c>
      <c r="BU96" s="1317" t="str">
        <f ca="1">IF(INDIRECT("'SpxSp (step-c)'!$B" &amp; BU$72)=$Z96,INDIRECT("'SpxSp (step-c)'!$" &amp; 'SpxSp (step-c)'!$AC$16 &amp; BU$72),"")</f>
        <v/>
      </c>
      <c r="BV96" s="1317" t="str">
        <f ca="1">IF(INDIRECT("'SpxSp (step-c)'!$B" &amp; BV$72)=$Z96,INDIRECT("'SpxSp (step-c)'!$" &amp; 'SpxSp (step-c)'!$AC$16 &amp; BV$72),"")</f>
        <v/>
      </c>
      <c r="BW96" s="1317" t="str">
        <f ca="1">IF(INDIRECT("'SpxSp (step-c)'!$B" &amp; BW$72)=$Z96,INDIRECT("'SpxSp (step-c)'!$" &amp; 'SpxSp (step-c)'!$AC$16 &amp; BW$72),"")</f>
        <v/>
      </c>
      <c r="BX96" s="1317" t="str">
        <f ca="1">IF(INDIRECT("'SpxSp (step-c)'!$B" &amp; BX$72)=$Z96,INDIRECT("'SpxSp (step-c)'!$" &amp; 'SpxSp (step-c)'!$AC$16 &amp; BX$72),"")</f>
        <v/>
      </c>
      <c r="BY96" s="1317" t="str">
        <f ca="1">IF(INDIRECT("'SpxSp (step-c)'!$B" &amp; BY$72)=$Z96,INDIRECT("'SpxSp (step-c)'!$" &amp; 'SpxSp (step-c)'!$AC$16 &amp; BY$72),"")</f>
        <v/>
      </c>
      <c r="BZ96" s="1317" t="str">
        <f ca="1">IF(INDIRECT("'SpxSp (step-c)'!$B" &amp; BZ$72)=$Z96,INDIRECT("'SpxSp (step-c)'!$" &amp; 'SpxSp (step-c)'!$AC$16 &amp; BZ$72),"")</f>
        <v/>
      </c>
      <c r="CA96" s="1317" t="str">
        <f ca="1">IF(INDIRECT("'SpxSp (step-c)'!$B" &amp; CA$72)=$Z96,INDIRECT("'SpxSp (step-c)'!$" &amp; 'SpxSp (step-c)'!$AC$16 &amp; CA$72),"")</f>
        <v/>
      </c>
      <c r="CB96" s="1317" t="str">
        <f ca="1">IF(INDIRECT("'SpxSp (step-c)'!$B" &amp; CB$72)=$Z96,INDIRECT("'SpxSp (step-c)'!$" &amp; 'SpxSp (step-c)'!$AC$16 &amp; CB$72),"")</f>
        <v/>
      </c>
      <c r="CC96" s="1317" t="str">
        <f ca="1">IF(INDIRECT("'SpxSp (step-c)'!$B" &amp; CC$72)=$Z96,INDIRECT("'SpxSp (step-c)'!$" &amp; 'SpxSp (step-c)'!$AC$16 &amp; CC$72),"")</f>
        <v/>
      </c>
      <c r="CD96" s="1317" t="str">
        <f ca="1">IF(INDIRECT("'SpxSp (step-c)'!$B" &amp; CD$72)=$Z96,INDIRECT("'SpxSp (step-c)'!$" &amp; 'SpxSp (step-c)'!$AC$16 &amp; CD$72),"")</f>
        <v/>
      </c>
      <c r="CE96" s="1317" t="str">
        <f ca="1">IF(INDIRECT("'SpxSp (step-c)'!$B" &amp; CE$72)=$Z96,INDIRECT("'SpxSp (step-c)'!$" &amp; 'SpxSp (step-c)'!$AC$16 &amp; CE$72),"")</f>
        <v/>
      </c>
      <c r="CF96" s="1317" t="str">
        <f ca="1">IF(INDIRECT("'SpxSp (step-c)'!$B" &amp; CF$72)=$Z96,INDIRECT("'SpxSp (step-c)'!$" &amp; 'SpxSp (step-c)'!$AC$16 &amp; CF$72),"")</f>
        <v/>
      </c>
      <c r="CG96" s="1317" t="str">
        <f ca="1">IF(INDIRECT("'SpxSp (step-c)'!$B" &amp; CG$72)=$Z96,INDIRECT("'SpxSp (step-c)'!$" &amp; 'SpxSp (step-c)'!$AC$16 &amp; CG$72),"")</f>
        <v/>
      </c>
      <c r="CH96" s="1317" t="str">
        <f ca="1">IF(INDIRECT("'SpxSp (step-c)'!$B" &amp; CH$72)=$Z96,INDIRECT("'SpxSp (step-c)'!$" &amp; 'SpxSp (step-c)'!$AC$16 &amp; CH$72),"")</f>
        <v/>
      </c>
      <c r="CI96" s="1317" t="str">
        <f ca="1">IF(INDIRECT("'SpxSp (step-c)'!$B" &amp; CI$72)=$Z96,INDIRECT("'SpxSp (step-c)'!$" &amp; 'SpxSp (step-c)'!$AC$16 &amp; CI$72),"")</f>
        <v/>
      </c>
      <c r="CJ96" s="1317" t="str">
        <f ca="1">IF(INDIRECT("'SpxSp (step-c)'!$B" &amp; CJ$72)=$Z96,INDIRECT("'SpxSp (step-c)'!$" &amp; 'SpxSp (step-c)'!$AC$16 &amp; CJ$72),"")</f>
        <v/>
      </c>
      <c r="CK96" s="1317" t="str">
        <f ca="1">IF(INDIRECT("'SpxSp (step-c)'!$B" &amp; CK$72)=$Z96,INDIRECT("'SpxSp (step-c)'!$" &amp; 'SpxSp (step-c)'!$AC$16 &amp; CK$72),"")</f>
        <v/>
      </c>
      <c r="CL96" s="1317" t="str">
        <f ca="1">IF(INDIRECT("'SpxSp (step-c)'!$B" &amp; CL$72)=$Z96,INDIRECT("'SpxSp (step-c)'!$" &amp; 'SpxSp (step-c)'!$AC$16 &amp; CL$72),"")</f>
        <v/>
      </c>
      <c r="CM96" s="1317" t="str">
        <f ca="1">IF(INDIRECT("'SpxSp (step-c)'!$B" &amp; CM$72)=$Z96,INDIRECT("'SpxSp (step-c)'!$" &amp; 'SpxSp (step-c)'!$AC$16 &amp; CM$72),"")</f>
        <v/>
      </c>
      <c r="CN96" s="1317" t="str">
        <f ca="1">IF(INDIRECT("'SpxSp (step-c)'!$B" &amp; CN$72)=$Z96,INDIRECT("'SpxSp (step-c)'!$" &amp; 'SpxSp (step-c)'!$AC$16 &amp; CN$72),"")</f>
        <v/>
      </c>
      <c r="CO96" s="1317" t="str">
        <f ca="1">IF(INDIRECT("'SpxSp (step-c)'!$B" &amp; CO$72)=$Z96,INDIRECT("'SpxSp (step-c)'!$" &amp; 'SpxSp (step-c)'!$AC$16 &amp; CO$72),"")</f>
        <v/>
      </c>
      <c r="CP96" s="1317" t="str">
        <f ca="1">IF(INDIRECT("'SpxSp (step-c)'!$B" &amp; CP$72)=$Z96,INDIRECT("'SpxSp (step-c)'!$" &amp; 'SpxSp (step-c)'!$AC$16 &amp; CP$72),"")</f>
        <v/>
      </c>
      <c r="CQ96" s="1317" t="str">
        <f ca="1">IF(INDIRECT("'SpxSp (step-c)'!$B" &amp; CQ$72)=$Z96,INDIRECT("'SpxSp (step-c)'!$" &amp; 'SpxSp (step-c)'!$AC$16 &amp; CQ$72),"")</f>
        <v/>
      </c>
      <c r="CR96" s="1317" t="str">
        <f ca="1">IF(INDIRECT("'SpxSp (step-c)'!$B" &amp; CR$72)=$Z96,INDIRECT("'SpxSp (step-c)'!$" &amp; 'SpxSp (step-c)'!$AC$16 &amp; CR$72),"")</f>
        <v/>
      </c>
      <c r="CS96" s="1317" t="str">
        <f ca="1">IF(INDIRECT("'SpxSp (step-c)'!$B" &amp; CS$72)=$Z96,INDIRECT("'SpxSp (step-c)'!$" &amp; 'SpxSp (step-c)'!$AC$16 &amp; CS$72),"")</f>
        <v/>
      </c>
      <c r="CT96" s="1317" t="str">
        <f ca="1">IF(INDIRECT("'SpxSp (step-c)'!$B" &amp; CT$72)=$Z96,INDIRECT("'SpxSp (step-c)'!$" &amp; 'SpxSp (step-c)'!$AC$16 &amp; CT$72),"")</f>
        <v/>
      </c>
      <c r="CU96" s="1317" t="str">
        <f ca="1">IF(INDIRECT("'SpxSp (step-c)'!$B" &amp; CU$72)=$Z96,INDIRECT("'SpxSp (step-c)'!$" &amp; 'SpxSp (step-c)'!$AC$16 &amp; CU$72),"")</f>
        <v/>
      </c>
      <c r="CV96" s="1317" t="str">
        <f ca="1">IF(INDIRECT("'SpxSp (step-c)'!$B" &amp; CV$72)=$Z96,INDIRECT("'SpxSp (step-c)'!$" &amp; 'SpxSp (step-c)'!$AC$16 &amp; CV$72),"")</f>
        <v/>
      </c>
      <c r="CW96" s="1317" t="str">
        <f ca="1">IF(INDIRECT("'SpxSp (step-c)'!$B" &amp; CW$72)=$Z96,INDIRECT("'SpxSp (step-c)'!$" &amp; 'SpxSp (step-c)'!$AC$16 &amp; CW$72),"")</f>
        <v/>
      </c>
      <c r="CX96" s="1317" t="str">
        <f ca="1">IF(INDIRECT("'SpxSp (step-c)'!$B" &amp; CX$72)=$Z96,INDIRECT("'SpxSp (step-c)'!$" &amp; 'SpxSp (step-c)'!$AC$16 &amp; CX$72),"")</f>
        <v/>
      </c>
      <c r="CY96" s="1317" t="str">
        <f ca="1">IF(INDIRECT("'SpxSp (step-c)'!$B" &amp; CY$72)=$Z96,INDIRECT("'SpxSp (step-c)'!$" &amp; 'SpxSp (step-c)'!$AC$16 &amp; CY$72),"")</f>
        <v/>
      </c>
      <c r="CZ96" s="1317" t="str">
        <f ca="1">IF(INDIRECT("'SpxSp (step-c)'!$B" &amp; CZ$72)=$Z96,INDIRECT("'SpxSp (step-c)'!$" &amp; 'SpxSp (step-c)'!$AC$16 &amp; CZ$72),"")</f>
        <v/>
      </c>
      <c r="DA96" s="1317" t="str">
        <f ca="1">IF(INDIRECT("'SpxSp (step-c)'!$B" &amp; DA$72)=$Z96,INDIRECT("'SpxSp (step-c)'!$" &amp; 'SpxSp (step-c)'!$AC$16 &amp; DA$72),"")</f>
        <v/>
      </c>
      <c r="DB96" s="1317" t="str">
        <f ca="1">IF(INDIRECT("'SpxSp (step-c)'!$B" &amp; DB$72)=$Z96,INDIRECT("'SpxSp (step-c)'!$" &amp; 'SpxSp (step-c)'!$AC$16 &amp; DB$72),"")</f>
        <v/>
      </c>
      <c r="DC96" s="1317" t="str">
        <f ca="1">IF(INDIRECT("'SpxSp (step-c)'!$B" &amp; DC$72)=$Z96,INDIRECT("'SpxSp (step-c)'!$" &amp; 'SpxSp (step-c)'!$AC$16 &amp; DC$72),"")</f>
        <v/>
      </c>
      <c r="DD96" s="1317" t="str">
        <f ca="1">IF(INDIRECT("'SpxSp (step-c)'!$B" &amp; DD$72)=$Z96,INDIRECT("'SpxSp (step-c)'!$" &amp; 'SpxSp (step-c)'!$AC$16 &amp; DD$72),"")</f>
        <v/>
      </c>
      <c r="DE96" s="1317" t="str">
        <f ca="1">IF(INDIRECT("'SpxSp (step-c)'!$B" &amp; DE$72)=$Z96,INDIRECT("'SpxSp (step-c)'!$" &amp; 'SpxSp (step-c)'!$AC$16 &amp; DE$72),"")</f>
        <v/>
      </c>
      <c r="DF96" s="1317" t="str">
        <f ca="1">IF(INDIRECT("'SpxSp (step-c)'!$B" &amp; DF$72)=$Z96,INDIRECT("'SpxSp (step-c)'!$" &amp; 'SpxSp (step-c)'!$AC$16 &amp; DF$72),"")</f>
        <v/>
      </c>
      <c r="DG96" s="1317" t="str">
        <f ca="1">IF(INDIRECT("'SpxSp (step-c)'!$B" &amp; DG$72)=$Z96,INDIRECT("'SpxSp (step-c)'!$" &amp; 'SpxSp (step-c)'!$AC$16 &amp; DG$72),"")</f>
        <v/>
      </c>
      <c r="DH96" s="1317" t="str">
        <f ca="1">IF(INDIRECT("'SpxSp (step-c)'!$B" &amp; DH$72)=$Z96,INDIRECT("'SpxSp (step-c)'!$" &amp; 'SpxSp (step-c)'!$AC$16 &amp; DH$72),"")</f>
        <v/>
      </c>
      <c r="DI96" s="1317" t="str">
        <f ca="1">IF(INDIRECT("'SpxSp (step-c)'!$B" &amp; DI$72)=$Z96,INDIRECT("'SpxSp (step-c)'!$" &amp; 'SpxSp (step-c)'!$AC$16 &amp; DI$72),"")</f>
        <v/>
      </c>
      <c r="DJ96" s="1317" t="str">
        <f ca="1">IF(INDIRECT("'SpxSp (step-c)'!$B" &amp; DJ$72)=$Z96,INDIRECT("'SpxSp (step-c)'!$" &amp; 'SpxSp (step-c)'!$AC$16 &amp; DJ$72),"")</f>
        <v/>
      </c>
      <c r="DK96" s="1317" t="str">
        <f ca="1">IF(INDIRECT("'SpxSp (step-c)'!$B" &amp; DK$72)=$Z96,INDIRECT("'SpxSp (step-c)'!$" &amp; 'SpxSp (step-c)'!$AC$16 &amp; DK$72),"")</f>
        <v/>
      </c>
      <c r="DL96" s="1317" t="str">
        <f ca="1">IF(INDIRECT("'SpxSp (step-c)'!$B" &amp; DL$72)=$Z96,INDIRECT("'SpxSp (step-c)'!$" &amp; 'SpxSp (step-c)'!$AC$16 &amp; DL$72),"")</f>
        <v/>
      </c>
      <c r="DM96" s="1317" t="str">
        <f ca="1">IF(INDIRECT("'SpxSp (step-c)'!$B" &amp; DM$72)=$Z96,INDIRECT("'SpxSp (step-c)'!$" &amp; 'SpxSp (step-c)'!$AC$16 &amp; DM$72),"")</f>
        <v/>
      </c>
      <c r="DO96" s="1246" t="s">
        <v>1200</v>
      </c>
    </row>
    <row r="97" spans="26:119" ht="20" x14ac:dyDescent="0.2">
      <c r="Z97" s="1317" t="str">
        <f t="shared" ref="Z97:AA97" si="65">Z42</f>
        <v/>
      </c>
      <c r="AA97" s="1317" t="str">
        <f t="shared" si="65"/>
        <v/>
      </c>
      <c r="BN97" s="178">
        <v>25</v>
      </c>
      <c r="BO97" s="1316" t="str">
        <f t="shared" ca="1" si="43"/>
        <v/>
      </c>
      <c r="BP97" s="1317" t="str">
        <f ca="1">IF(INDIRECT("'SpxSp (step-c)'!$B" &amp; BP$72)=$Z97,INDIRECT("'SpxSp (step-c)'!$" &amp; 'SpxSp (step-c)'!$AC$16 &amp; BP$72),"")</f>
        <v/>
      </c>
      <c r="BQ97" s="1317" t="str">
        <f ca="1">IF(INDIRECT("'SpxSp (step-c)'!$B" &amp; BQ$72)=$Z97,INDIRECT("'SpxSp (step-c)'!$" &amp; 'SpxSp (step-c)'!$AC$16 &amp; BQ$72),"")</f>
        <v/>
      </c>
      <c r="BR97" s="1317" t="str">
        <f ca="1">IF(INDIRECT("'SpxSp (step-c)'!$B" &amp; BR$72)=$Z97,INDIRECT("'SpxSp (step-c)'!$" &amp; 'SpxSp (step-c)'!$AC$16 &amp; BR$72),"")</f>
        <v/>
      </c>
      <c r="BS97" s="1317" t="str">
        <f ca="1">IF(INDIRECT("'SpxSp (step-c)'!$B" &amp; BS$72)=$Z97,INDIRECT("'SpxSp (step-c)'!$" &amp; 'SpxSp (step-c)'!$AC$16 &amp; BS$72),"")</f>
        <v/>
      </c>
      <c r="BT97" s="1317" t="str">
        <f ca="1">IF(INDIRECT("'SpxSp (step-c)'!$B" &amp; BT$72)=$Z97,INDIRECT("'SpxSp (step-c)'!$" &amp; 'SpxSp (step-c)'!$AC$16 &amp; BT$72),"")</f>
        <v/>
      </c>
      <c r="BU97" s="1317" t="str">
        <f ca="1">IF(INDIRECT("'SpxSp (step-c)'!$B" &amp; BU$72)=$Z97,INDIRECT("'SpxSp (step-c)'!$" &amp; 'SpxSp (step-c)'!$AC$16 &amp; BU$72),"")</f>
        <v/>
      </c>
      <c r="BV97" s="1317" t="str">
        <f ca="1">IF(INDIRECT("'SpxSp (step-c)'!$B" &amp; BV$72)=$Z97,INDIRECT("'SpxSp (step-c)'!$" &amp; 'SpxSp (step-c)'!$AC$16 &amp; BV$72),"")</f>
        <v/>
      </c>
      <c r="BW97" s="1317" t="str">
        <f ca="1">IF(INDIRECT("'SpxSp (step-c)'!$B" &amp; BW$72)=$Z97,INDIRECT("'SpxSp (step-c)'!$" &amp; 'SpxSp (step-c)'!$AC$16 &amp; BW$72),"")</f>
        <v/>
      </c>
      <c r="BX97" s="1317" t="str">
        <f ca="1">IF(INDIRECT("'SpxSp (step-c)'!$B" &amp; BX$72)=$Z97,INDIRECT("'SpxSp (step-c)'!$" &amp; 'SpxSp (step-c)'!$AC$16 &amp; BX$72),"")</f>
        <v/>
      </c>
      <c r="BY97" s="1317" t="str">
        <f ca="1">IF(INDIRECT("'SpxSp (step-c)'!$B" &amp; BY$72)=$Z97,INDIRECT("'SpxSp (step-c)'!$" &amp; 'SpxSp (step-c)'!$AC$16 &amp; BY$72),"")</f>
        <v/>
      </c>
      <c r="BZ97" s="1317" t="str">
        <f ca="1">IF(INDIRECT("'SpxSp (step-c)'!$B" &amp; BZ$72)=$Z97,INDIRECT("'SpxSp (step-c)'!$" &amp; 'SpxSp (step-c)'!$AC$16 &amp; BZ$72),"")</f>
        <v/>
      </c>
      <c r="CA97" s="1317" t="str">
        <f ca="1">IF(INDIRECT("'SpxSp (step-c)'!$B" &amp; CA$72)=$Z97,INDIRECT("'SpxSp (step-c)'!$" &amp; 'SpxSp (step-c)'!$AC$16 &amp; CA$72),"")</f>
        <v/>
      </c>
      <c r="CB97" s="1317" t="str">
        <f ca="1">IF(INDIRECT("'SpxSp (step-c)'!$B" &amp; CB$72)=$Z97,INDIRECT("'SpxSp (step-c)'!$" &amp; 'SpxSp (step-c)'!$AC$16 &amp; CB$72),"")</f>
        <v/>
      </c>
      <c r="CC97" s="1317" t="str">
        <f ca="1">IF(INDIRECT("'SpxSp (step-c)'!$B" &amp; CC$72)=$Z97,INDIRECT("'SpxSp (step-c)'!$" &amp; 'SpxSp (step-c)'!$AC$16 &amp; CC$72),"")</f>
        <v/>
      </c>
      <c r="CD97" s="1317" t="str">
        <f ca="1">IF(INDIRECT("'SpxSp (step-c)'!$B" &amp; CD$72)=$Z97,INDIRECT("'SpxSp (step-c)'!$" &amp; 'SpxSp (step-c)'!$AC$16 &amp; CD$72),"")</f>
        <v/>
      </c>
      <c r="CE97" s="1317" t="str">
        <f ca="1">IF(INDIRECT("'SpxSp (step-c)'!$B" &amp; CE$72)=$Z97,INDIRECT("'SpxSp (step-c)'!$" &amp; 'SpxSp (step-c)'!$AC$16 &amp; CE$72),"")</f>
        <v/>
      </c>
      <c r="CF97" s="1317" t="str">
        <f ca="1">IF(INDIRECT("'SpxSp (step-c)'!$B" &amp; CF$72)=$Z97,INDIRECT("'SpxSp (step-c)'!$" &amp; 'SpxSp (step-c)'!$AC$16 &amp; CF$72),"")</f>
        <v/>
      </c>
      <c r="CG97" s="1317" t="str">
        <f ca="1">IF(INDIRECT("'SpxSp (step-c)'!$B" &amp; CG$72)=$Z97,INDIRECT("'SpxSp (step-c)'!$" &amp; 'SpxSp (step-c)'!$AC$16 &amp; CG$72),"")</f>
        <v/>
      </c>
      <c r="CH97" s="1317" t="str">
        <f ca="1">IF(INDIRECT("'SpxSp (step-c)'!$B" &amp; CH$72)=$Z97,INDIRECT("'SpxSp (step-c)'!$" &amp; 'SpxSp (step-c)'!$AC$16 &amp; CH$72),"")</f>
        <v/>
      </c>
      <c r="CI97" s="1317" t="str">
        <f ca="1">IF(INDIRECT("'SpxSp (step-c)'!$B" &amp; CI$72)=$Z97,INDIRECT("'SpxSp (step-c)'!$" &amp; 'SpxSp (step-c)'!$AC$16 &amp; CI$72),"")</f>
        <v/>
      </c>
      <c r="CJ97" s="1317" t="str">
        <f ca="1">IF(INDIRECT("'SpxSp (step-c)'!$B" &amp; CJ$72)=$Z97,INDIRECT("'SpxSp (step-c)'!$" &amp; 'SpxSp (step-c)'!$AC$16 &amp; CJ$72),"")</f>
        <v/>
      </c>
      <c r="CK97" s="1317" t="str">
        <f ca="1">IF(INDIRECT("'SpxSp (step-c)'!$B" &amp; CK$72)=$Z97,INDIRECT("'SpxSp (step-c)'!$" &amp; 'SpxSp (step-c)'!$AC$16 &amp; CK$72),"")</f>
        <v/>
      </c>
      <c r="CL97" s="1317" t="str">
        <f ca="1">IF(INDIRECT("'SpxSp (step-c)'!$B" &amp; CL$72)=$Z97,INDIRECT("'SpxSp (step-c)'!$" &amp; 'SpxSp (step-c)'!$AC$16 &amp; CL$72),"")</f>
        <v/>
      </c>
      <c r="CM97" s="1317" t="str">
        <f ca="1">IF(INDIRECT("'SpxSp (step-c)'!$B" &amp; CM$72)=$Z97,INDIRECT("'SpxSp (step-c)'!$" &amp; 'SpxSp (step-c)'!$AC$16 &amp; CM$72),"")</f>
        <v/>
      </c>
      <c r="CN97" s="1317" t="str">
        <f ca="1">IF(INDIRECT("'SpxSp (step-c)'!$B" &amp; CN$72)=$Z97,INDIRECT("'SpxSp (step-c)'!$" &amp; 'SpxSp (step-c)'!$AC$16 &amp; CN$72),"")</f>
        <v/>
      </c>
      <c r="CO97" s="1317" t="str">
        <f ca="1">IF(INDIRECT("'SpxSp (step-c)'!$B" &amp; CO$72)=$Z97,INDIRECT("'SpxSp (step-c)'!$" &amp; 'SpxSp (step-c)'!$AC$16 &amp; CO$72),"")</f>
        <v/>
      </c>
      <c r="CP97" s="1317" t="str">
        <f ca="1">IF(INDIRECT("'SpxSp (step-c)'!$B" &amp; CP$72)=$Z97,INDIRECT("'SpxSp (step-c)'!$" &amp; 'SpxSp (step-c)'!$AC$16 &amp; CP$72),"")</f>
        <v/>
      </c>
      <c r="CQ97" s="1317" t="str">
        <f ca="1">IF(INDIRECT("'SpxSp (step-c)'!$B" &amp; CQ$72)=$Z97,INDIRECT("'SpxSp (step-c)'!$" &amp; 'SpxSp (step-c)'!$AC$16 &amp; CQ$72),"")</f>
        <v/>
      </c>
      <c r="CR97" s="1317" t="str">
        <f ca="1">IF(INDIRECT("'SpxSp (step-c)'!$B" &amp; CR$72)=$Z97,INDIRECT("'SpxSp (step-c)'!$" &amp; 'SpxSp (step-c)'!$AC$16 &amp; CR$72),"")</f>
        <v/>
      </c>
      <c r="CS97" s="1317" t="str">
        <f ca="1">IF(INDIRECT("'SpxSp (step-c)'!$B" &amp; CS$72)=$Z97,INDIRECT("'SpxSp (step-c)'!$" &amp; 'SpxSp (step-c)'!$AC$16 &amp; CS$72),"")</f>
        <v/>
      </c>
      <c r="CT97" s="1317" t="str">
        <f ca="1">IF(INDIRECT("'SpxSp (step-c)'!$B" &amp; CT$72)=$Z97,INDIRECT("'SpxSp (step-c)'!$" &amp; 'SpxSp (step-c)'!$AC$16 &amp; CT$72),"")</f>
        <v/>
      </c>
      <c r="CU97" s="1317" t="str">
        <f ca="1">IF(INDIRECT("'SpxSp (step-c)'!$B" &amp; CU$72)=$Z97,INDIRECT("'SpxSp (step-c)'!$" &amp; 'SpxSp (step-c)'!$AC$16 &amp; CU$72),"")</f>
        <v/>
      </c>
      <c r="CV97" s="1317" t="str">
        <f ca="1">IF(INDIRECT("'SpxSp (step-c)'!$B" &amp; CV$72)=$Z97,INDIRECT("'SpxSp (step-c)'!$" &amp; 'SpxSp (step-c)'!$AC$16 &amp; CV$72),"")</f>
        <v/>
      </c>
      <c r="CW97" s="1317" t="str">
        <f ca="1">IF(INDIRECT("'SpxSp (step-c)'!$B" &amp; CW$72)=$Z97,INDIRECT("'SpxSp (step-c)'!$" &amp; 'SpxSp (step-c)'!$AC$16 &amp; CW$72),"")</f>
        <v/>
      </c>
      <c r="CX97" s="1317" t="str">
        <f ca="1">IF(INDIRECT("'SpxSp (step-c)'!$B" &amp; CX$72)=$Z97,INDIRECT("'SpxSp (step-c)'!$" &amp; 'SpxSp (step-c)'!$AC$16 &amp; CX$72),"")</f>
        <v/>
      </c>
      <c r="CY97" s="1317" t="str">
        <f ca="1">IF(INDIRECT("'SpxSp (step-c)'!$B" &amp; CY$72)=$Z97,INDIRECT("'SpxSp (step-c)'!$" &amp; 'SpxSp (step-c)'!$AC$16 &amp; CY$72),"")</f>
        <v/>
      </c>
      <c r="CZ97" s="1317" t="str">
        <f ca="1">IF(INDIRECT("'SpxSp (step-c)'!$B" &amp; CZ$72)=$Z97,INDIRECT("'SpxSp (step-c)'!$" &amp; 'SpxSp (step-c)'!$AC$16 &amp; CZ$72),"")</f>
        <v/>
      </c>
      <c r="DA97" s="1317" t="str">
        <f ca="1">IF(INDIRECT("'SpxSp (step-c)'!$B" &amp; DA$72)=$Z97,INDIRECT("'SpxSp (step-c)'!$" &amp; 'SpxSp (step-c)'!$AC$16 &amp; DA$72),"")</f>
        <v/>
      </c>
      <c r="DB97" s="1317" t="str">
        <f ca="1">IF(INDIRECT("'SpxSp (step-c)'!$B" &amp; DB$72)=$Z97,INDIRECT("'SpxSp (step-c)'!$" &amp; 'SpxSp (step-c)'!$AC$16 &amp; DB$72),"")</f>
        <v/>
      </c>
      <c r="DC97" s="1317" t="str">
        <f ca="1">IF(INDIRECT("'SpxSp (step-c)'!$B" &amp; DC$72)=$Z97,INDIRECT("'SpxSp (step-c)'!$" &amp; 'SpxSp (step-c)'!$AC$16 &amp; DC$72),"")</f>
        <v/>
      </c>
      <c r="DD97" s="1317" t="str">
        <f ca="1">IF(INDIRECT("'SpxSp (step-c)'!$B" &amp; DD$72)=$Z97,INDIRECT("'SpxSp (step-c)'!$" &amp; 'SpxSp (step-c)'!$AC$16 &amp; DD$72),"")</f>
        <v/>
      </c>
      <c r="DE97" s="1317" t="str">
        <f ca="1">IF(INDIRECT("'SpxSp (step-c)'!$B" &amp; DE$72)=$Z97,INDIRECT("'SpxSp (step-c)'!$" &amp; 'SpxSp (step-c)'!$AC$16 &amp; DE$72),"")</f>
        <v/>
      </c>
      <c r="DF97" s="1317" t="str">
        <f ca="1">IF(INDIRECT("'SpxSp (step-c)'!$B" &amp; DF$72)=$Z97,INDIRECT("'SpxSp (step-c)'!$" &amp; 'SpxSp (step-c)'!$AC$16 &amp; DF$72),"")</f>
        <v/>
      </c>
      <c r="DG97" s="1317" t="str">
        <f ca="1">IF(INDIRECT("'SpxSp (step-c)'!$B" &amp; DG$72)=$Z97,INDIRECT("'SpxSp (step-c)'!$" &amp; 'SpxSp (step-c)'!$AC$16 &amp; DG$72),"")</f>
        <v/>
      </c>
      <c r="DH97" s="1317" t="str">
        <f ca="1">IF(INDIRECT("'SpxSp (step-c)'!$B" &amp; DH$72)=$Z97,INDIRECT("'SpxSp (step-c)'!$" &amp; 'SpxSp (step-c)'!$AC$16 &amp; DH$72),"")</f>
        <v/>
      </c>
      <c r="DI97" s="1317" t="str">
        <f ca="1">IF(INDIRECT("'SpxSp (step-c)'!$B" &amp; DI$72)=$Z97,INDIRECT("'SpxSp (step-c)'!$" &amp; 'SpxSp (step-c)'!$AC$16 &amp; DI$72),"")</f>
        <v/>
      </c>
      <c r="DJ97" s="1317" t="str">
        <f ca="1">IF(INDIRECT("'SpxSp (step-c)'!$B" &amp; DJ$72)=$Z97,INDIRECT("'SpxSp (step-c)'!$" &amp; 'SpxSp (step-c)'!$AC$16 &amp; DJ$72),"")</f>
        <v/>
      </c>
      <c r="DK97" s="1317" t="str">
        <f ca="1">IF(INDIRECT("'SpxSp (step-c)'!$B" &amp; DK$72)=$Z97,INDIRECT("'SpxSp (step-c)'!$" &amp; 'SpxSp (step-c)'!$AC$16 &amp; DK$72),"")</f>
        <v/>
      </c>
      <c r="DL97" s="1317" t="str">
        <f ca="1">IF(INDIRECT("'SpxSp (step-c)'!$B" &amp; DL$72)=$Z97,INDIRECT("'SpxSp (step-c)'!$" &amp; 'SpxSp (step-c)'!$AC$16 &amp; DL$72),"")</f>
        <v/>
      </c>
      <c r="DM97" s="1317" t="str">
        <f ca="1">IF(INDIRECT("'SpxSp (step-c)'!$B" &amp; DM$72)=$Z97,INDIRECT("'SpxSp (step-c)'!$" &amp; 'SpxSp (step-c)'!$AC$16 &amp; DM$72),"")</f>
        <v/>
      </c>
      <c r="DO97" s="1246" t="s">
        <v>1200</v>
      </c>
    </row>
    <row r="98" spans="26:119" ht="20" x14ac:dyDescent="0.2">
      <c r="Z98" s="1317" t="str">
        <f t="shared" ref="Z98:AA98" si="66">Z43</f>
        <v/>
      </c>
      <c r="AA98" s="1317" t="str">
        <f t="shared" si="66"/>
        <v/>
      </c>
      <c r="BN98" s="178">
        <v>26</v>
      </c>
      <c r="BO98" s="1316" t="str">
        <f t="shared" ca="1" si="43"/>
        <v/>
      </c>
      <c r="BP98" s="1317" t="str">
        <f ca="1">IF(INDIRECT("'SpxSp (step-c)'!$B" &amp; BP$72)=$Z98,INDIRECT("'SpxSp (step-c)'!$" &amp; 'SpxSp (step-c)'!$AC$16 &amp; BP$72),"")</f>
        <v/>
      </c>
      <c r="BQ98" s="1317" t="str">
        <f ca="1">IF(INDIRECT("'SpxSp (step-c)'!$B" &amp; BQ$72)=$Z98,INDIRECT("'SpxSp (step-c)'!$" &amp; 'SpxSp (step-c)'!$AC$16 &amp; BQ$72),"")</f>
        <v/>
      </c>
      <c r="BR98" s="1317" t="str">
        <f ca="1">IF(INDIRECT("'SpxSp (step-c)'!$B" &amp; BR$72)=$Z98,INDIRECT("'SpxSp (step-c)'!$" &amp; 'SpxSp (step-c)'!$AC$16 &amp; BR$72),"")</f>
        <v/>
      </c>
      <c r="BS98" s="1317" t="str">
        <f ca="1">IF(INDIRECT("'SpxSp (step-c)'!$B" &amp; BS$72)=$Z98,INDIRECT("'SpxSp (step-c)'!$" &amp; 'SpxSp (step-c)'!$AC$16 &amp; BS$72),"")</f>
        <v/>
      </c>
      <c r="BT98" s="1317" t="str">
        <f ca="1">IF(INDIRECT("'SpxSp (step-c)'!$B" &amp; BT$72)=$Z98,INDIRECT("'SpxSp (step-c)'!$" &amp; 'SpxSp (step-c)'!$AC$16 &amp; BT$72),"")</f>
        <v/>
      </c>
      <c r="BU98" s="1317" t="str">
        <f ca="1">IF(INDIRECT("'SpxSp (step-c)'!$B" &amp; BU$72)=$Z98,INDIRECT("'SpxSp (step-c)'!$" &amp; 'SpxSp (step-c)'!$AC$16 &amp; BU$72),"")</f>
        <v/>
      </c>
      <c r="BV98" s="1317" t="str">
        <f ca="1">IF(INDIRECT("'SpxSp (step-c)'!$B" &amp; BV$72)=$Z98,INDIRECT("'SpxSp (step-c)'!$" &amp; 'SpxSp (step-c)'!$AC$16 &amp; BV$72),"")</f>
        <v/>
      </c>
      <c r="BW98" s="1317" t="str">
        <f ca="1">IF(INDIRECT("'SpxSp (step-c)'!$B" &amp; BW$72)=$Z98,INDIRECT("'SpxSp (step-c)'!$" &amp; 'SpxSp (step-c)'!$AC$16 &amp; BW$72),"")</f>
        <v/>
      </c>
      <c r="BX98" s="1317" t="str">
        <f ca="1">IF(INDIRECT("'SpxSp (step-c)'!$B" &amp; BX$72)=$Z98,INDIRECT("'SpxSp (step-c)'!$" &amp; 'SpxSp (step-c)'!$AC$16 &amp; BX$72),"")</f>
        <v/>
      </c>
      <c r="BY98" s="1317" t="str">
        <f ca="1">IF(INDIRECT("'SpxSp (step-c)'!$B" &amp; BY$72)=$Z98,INDIRECT("'SpxSp (step-c)'!$" &amp; 'SpxSp (step-c)'!$AC$16 &amp; BY$72),"")</f>
        <v/>
      </c>
      <c r="BZ98" s="1317" t="str">
        <f ca="1">IF(INDIRECT("'SpxSp (step-c)'!$B" &amp; BZ$72)=$Z98,INDIRECT("'SpxSp (step-c)'!$" &amp; 'SpxSp (step-c)'!$AC$16 &amp; BZ$72),"")</f>
        <v/>
      </c>
      <c r="CA98" s="1317" t="str">
        <f ca="1">IF(INDIRECT("'SpxSp (step-c)'!$B" &amp; CA$72)=$Z98,INDIRECT("'SpxSp (step-c)'!$" &amp; 'SpxSp (step-c)'!$AC$16 &amp; CA$72),"")</f>
        <v/>
      </c>
      <c r="CB98" s="1317" t="str">
        <f ca="1">IF(INDIRECT("'SpxSp (step-c)'!$B" &amp; CB$72)=$Z98,INDIRECT("'SpxSp (step-c)'!$" &amp; 'SpxSp (step-c)'!$AC$16 &amp; CB$72),"")</f>
        <v/>
      </c>
      <c r="CC98" s="1317" t="str">
        <f ca="1">IF(INDIRECT("'SpxSp (step-c)'!$B" &amp; CC$72)=$Z98,INDIRECT("'SpxSp (step-c)'!$" &amp; 'SpxSp (step-c)'!$AC$16 &amp; CC$72),"")</f>
        <v/>
      </c>
      <c r="CD98" s="1317" t="str">
        <f ca="1">IF(INDIRECT("'SpxSp (step-c)'!$B" &amp; CD$72)=$Z98,INDIRECT("'SpxSp (step-c)'!$" &amp; 'SpxSp (step-c)'!$AC$16 &amp; CD$72),"")</f>
        <v/>
      </c>
      <c r="CE98" s="1317" t="str">
        <f ca="1">IF(INDIRECT("'SpxSp (step-c)'!$B" &amp; CE$72)=$Z98,INDIRECT("'SpxSp (step-c)'!$" &amp; 'SpxSp (step-c)'!$AC$16 &amp; CE$72),"")</f>
        <v/>
      </c>
      <c r="CF98" s="1317" t="str">
        <f ca="1">IF(INDIRECT("'SpxSp (step-c)'!$B" &amp; CF$72)=$Z98,INDIRECT("'SpxSp (step-c)'!$" &amp; 'SpxSp (step-c)'!$AC$16 &amp; CF$72),"")</f>
        <v/>
      </c>
      <c r="CG98" s="1317" t="str">
        <f ca="1">IF(INDIRECT("'SpxSp (step-c)'!$B" &amp; CG$72)=$Z98,INDIRECT("'SpxSp (step-c)'!$" &amp; 'SpxSp (step-c)'!$AC$16 &amp; CG$72),"")</f>
        <v/>
      </c>
      <c r="CH98" s="1317" t="str">
        <f ca="1">IF(INDIRECT("'SpxSp (step-c)'!$B" &amp; CH$72)=$Z98,INDIRECT("'SpxSp (step-c)'!$" &amp; 'SpxSp (step-c)'!$AC$16 &amp; CH$72),"")</f>
        <v/>
      </c>
      <c r="CI98" s="1317" t="str">
        <f ca="1">IF(INDIRECT("'SpxSp (step-c)'!$B" &amp; CI$72)=$Z98,INDIRECT("'SpxSp (step-c)'!$" &amp; 'SpxSp (step-c)'!$AC$16 &amp; CI$72),"")</f>
        <v/>
      </c>
      <c r="CJ98" s="1317" t="str">
        <f ca="1">IF(INDIRECT("'SpxSp (step-c)'!$B" &amp; CJ$72)=$Z98,INDIRECT("'SpxSp (step-c)'!$" &amp; 'SpxSp (step-c)'!$AC$16 &amp; CJ$72),"")</f>
        <v/>
      </c>
      <c r="CK98" s="1317" t="str">
        <f ca="1">IF(INDIRECT("'SpxSp (step-c)'!$B" &amp; CK$72)=$Z98,INDIRECT("'SpxSp (step-c)'!$" &amp; 'SpxSp (step-c)'!$AC$16 &amp; CK$72),"")</f>
        <v/>
      </c>
      <c r="CL98" s="1317" t="str">
        <f ca="1">IF(INDIRECT("'SpxSp (step-c)'!$B" &amp; CL$72)=$Z98,INDIRECT("'SpxSp (step-c)'!$" &amp; 'SpxSp (step-c)'!$AC$16 &amp; CL$72),"")</f>
        <v/>
      </c>
      <c r="CM98" s="1317" t="str">
        <f ca="1">IF(INDIRECT("'SpxSp (step-c)'!$B" &amp; CM$72)=$Z98,INDIRECT("'SpxSp (step-c)'!$" &amp; 'SpxSp (step-c)'!$AC$16 &amp; CM$72),"")</f>
        <v/>
      </c>
      <c r="CN98" s="1317" t="str">
        <f ca="1">IF(INDIRECT("'SpxSp (step-c)'!$B" &amp; CN$72)=$Z98,INDIRECT("'SpxSp (step-c)'!$" &amp; 'SpxSp (step-c)'!$AC$16 &amp; CN$72),"")</f>
        <v/>
      </c>
      <c r="CO98" s="1317" t="str">
        <f ca="1">IF(INDIRECT("'SpxSp (step-c)'!$B" &amp; CO$72)=$Z98,INDIRECT("'SpxSp (step-c)'!$" &amp; 'SpxSp (step-c)'!$AC$16 &amp; CO$72),"")</f>
        <v/>
      </c>
      <c r="CP98" s="1317" t="str">
        <f ca="1">IF(INDIRECT("'SpxSp (step-c)'!$B" &amp; CP$72)=$Z98,INDIRECT("'SpxSp (step-c)'!$" &amp; 'SpxSp (step-c)'!$AC$16 &amp; CP$72),"")</f>
        <v/>
      </c>
      <c r="CQ98" s="1317" t="str">
        <f ca="1">IF(INDIRECT("'SpxSp (step-c)'!$B" &amp; CQ$72)=$Z98,INDIRECT("'SpxSp (step-c)'!$" &amp; 'SpxSp (step-c)'!$AC$16 &amp; CQ$72),"")</f>
        <v/>
      </c>
      <c r="CR98" s="1317" t="str">
        <f ca="1">IF(INDIRECT("'SpxSp (step-c)'!$B" &amp; CR$72)=$Z98,INDIRECT("'SpxSp (step-c)'!$" &amp; 'SpxSp (step-c)'!$AC$16 &amp; CR$72),"")</f>
        <v/>
      </c>
      <c r="CS98" s="1317" t="str">
        <f ca="1">IF(INDIRECT("'SpxSp (step-c)'!$B" &amp; CS$72)=$Z98,INDIRECT("'SpxSp (step-c)'!$" &amp; 'SpxSp (step-c)'!$AC$16 &amp; CS$72),"")</f>
        <v/>
      </c>
      <c r="CT98" s="1317" t="str">
        <f ca="1">IF(INDIRECT("'SpxSp (step-c)'!$B" &amp; CT$72)=$Z98,INDIRECT("'SpxSp (step-c)'!$" &amp; 'SpxSp (step-c)'!$AC$16 &amp; CT$72),"")</f>
        <v/>
      </c>
      <c r="CU98" s="1317" t="str">
        <f ca="1">IF(INDIRECT("'SpxSp (step-c)'!$B" &amp; CU$72)=$Z98,INDIRECT("'SpxSp (step-c)'!$" &amp; 'SpxSp (step-c)'!$AC$16 &amp; CU$72),"")</f>
        <v/>
      </c>
      <c r="CV98" s="1317" t="str">
        <f ca="1">IF(INDIRECT("'SpxSp (step-c)'!$B" &amp; CV$72)=$Z98,INDIRECT("'SpxSp (step-c)'!$" &amp; 'SpxSp (step-c)'!$AC$16 &amp; CV$72),"")</f>
        <v/>
      </c>
      <c r="CW98" s="1317" t="str">
        <f ca="1">IF(INDIRECT("'SpxSp (step-c)'!$B" &amp; CW$72)=$Z98,INDIRECT("'SpxSp (step-c)'!$" &amp; 'SpxSp (step-c)'!$AC$16 &amp; CW$72),"")</f>
        <v/>
      </c>
      <c r="CX98" s="1317" t="str">
        <f ca="1">IF(INDIRECT("'SpxSp (step-c)'!$B" &amp; CX$72)=$Z98,INDIRECT("'SpxSp (step-c)'!$" &amp; 'SpxSp (step-c)'!$AC$16 &amp; CX$72),"")</f>
        <v/>
      </c>
      <c r="CY98" s="1317" t="str">
        <f ca="1">IF(INDIRECT("'SpxSp (step-c)'!$B" &amp; CY$72)=$Z98,INDIRECT("'SpxSp (step-c)'!$" &amp; 'SpxSp (step-c)'!$AC$16 &amp; CY$72),"")</f>
        <v/>
      </c>
      <c r="CZ98" s="1317" t="str">
        <f ca="1">IF(INDIRECT("'SpxSp (step-c)'!$B" &amp; CZ$72)=$Z98,INDIRECT("'SpxSp (step-c)'!$" &amp; 'SpxSp (step-c)'!$AC$16 &amp; CZ$72),"")</f>
        <v/>
      </c>
      <c r="DA98" s="1317" t="str">
        <f ca="1">IF(INDIRECT("'SpxSp (step-c)'!$B" &amp; DA$72)=$Z98,INDIRECT("'SpxSp (step-c)'!$" &amp; 'SpxSp (step-c)'!$AC$16 &amp; DA$72),"")</f>
        <v/>
      </c>
      <c r="DB98" s="1317" t="str">
        <f ca="1">IF(INDIRECT("'SpxSp (step-c)'!$B" &amp; DB$72)=$Z98,INDIRECT("'SpxSp (step-c)'!$" &amp; 'SpxSp (step-c)'!$AC$16 &amp; DB$72),"")</f>
        <v/>
      </c>
      <c r="DC98" s="1317" t="str">
        <f ca="1">IF(INDIRECT("'SpxSp (step-c)'!$B" &amp; DC$72)=$Z98,INDIRECT("'SpxSp (step-c)'!$" &amp; 'SpxSp (step-c)'!$AC$16 &amp; DC$72),"")</f>
        <v/>
      </c>
      <c r="DD98" s="1317" t="str">
        <f ca="1">IF(INDIRECT("'SpxSp (step-c)'!$B" &amp; DD$72)=$Z98,INDIRECT("'SpxSp (step-c)'!$" &amp; 'SpxSp (step-c)'!$AC$16 &amp; DD$72),"")</f>
        <v/>
      </c>
      <c r="DE98" s="1317" t="str">
        <f ca="1">IF(INDIRECT("'SpxSp (step-c)'!$B" &amp; DE$72)=$Z98,INDIRECT("'SpxSp (step-c)'!$" &amp; 'SpxSp (step-c)'!$AC$16 &amp; DE$72),"")</f>
        <v/>
      </c>
      <c r="DF98" s="1317" t="str">
        <f ca="1">IF(INDIRECT("'SpxSp (step-c)'!$B" &amp; DF$72)=$Z98,INDIRECT("'SpxSp (step-c)'!$" &amp; 'SpxSp (step-c)'!$AC$16 &amp; DF$72),"")</f>
        <v/>
      </c>
      <c r="DG98" s="1317" t="str">
        <f ca="1">IF(INDIRECT("'SpxSp (step-c)'!$B" &amp; DG$72)=$Z98,INDIRECT("'SpxSp (step-c)'!$" &amp; 'SpxSp (step-c)'!$AC$16 &amp; DG$72),"")</f>
        <v/>
      </c>
      <c r="DH98" s="1317" t="str">
        <f ca="1">IF(INDIRECT("'SpxSp (step-c)'!$B" &amp; DH$72)=$Z98,INDIRECT("'SpxSp (step-c)'!$" &amp; 'SpxSp (step-c)'!$AC$16 &amp; DH$72),"")</f>
        <v/>
      </c>
      <c r="DI98" s="1317" t="str">
        <f ca="1">IF(INDIRECT("'SpxSp (step-c)'!$B" &amp; DI$72)=$Z98,INDIRECT("'SpxSp (step-c)'!$" &amp; 'SpxSp (step-c)'!$AC$16 &amp; DI$72),"")</f>
        <v/>
      </c>
      <c r="DJ98" s="1317" t="str">
        <f ca="1">IF(INDIRECT("'SpxSp (step-c)'!$B" &amp; DJ$72)=$Z98,INDIRECT("'SpxSp (step-c)'!$" &amp; 'SpxSp (step-c)'!$AC$16 &amp; DJ$72),"")</f>
        <v/>
      </c>
      <c r="DK98" s="1317" t="str">
        <f ca="1">IF(INDIRECT("'SpxSp (step-c)'!$B" &amp; DK$72)=$Z98,INDIRECT("'SpxSp (step-c)'!$" &amp; 'SpxSp (step-c)'!$AC$16 &amp; DK$72),"")</f>
        <v/>
      </c>
      <c r="DL98" s="1317" t="str">
        <f ca="1">IF(INDIRECT("'SpxSp (step-c)'!$B" &amp; DL$72)=$Z98,INDIRECT("'SpxSp (step-c)'!$" &amp; 'SpxSp (step-c)'!$AC$16 &amp; DL$72),"")</f>
        <v/>
      </c>
      <c r="DM98" s="1317" t="str">
        <f ca="1">IF(INDIRECT("'SpxSp (step-c)'!$B" &amp; DM$72)=$Z98,INDIRECT("'SpxSp (step-c)'!$" &amp; 'SpxSp (step-c)'!$AC$16 &amp; DM$72),"")</f>
        <v/>
      </c>
      <c r="DO98" s="1246" t="s">
        <v>1200</v>
      </c>
    </row>
    <row r="99" spans="26:119" ht="20" x14ac:dyDescent="0.2">
      <c r="Z99" s="1317" t="str">
        <f t="shared" ref="Z99:AA99" si="67">Z44</f>
        <v/>
      </c>
      <c r="AA99" s="1317" t="str">
        <f t="shared" si="67"/>
        <v/>
      </c>
      <c r="BN99" s="178">
        <v>27</v>
      </c>
      <c r="BO99" s="1316" t="str">
        <f t="shared" ca="1" si="43"/>
        <v/>
      </c>
      <c r="BP99" s="1317" t="str">
        <f ca="1">IF(INDIRECT("'SpxSp (step-c)'!$B" &amp; BP$72)=$Z99,INDIRECT("'SpxSp (step-c)'!$" &amp; 'SpxSp (step-c)'!$AC$16 &amp; BP$72),"")</f>
        <v/>
      </c>
      <c r="BQ99" s="1317" t="str">
        <f ca="1">IF(INDIRECT("'SpxSp (step-c)'!$B" &amp; BQ$72)=$Z99,INDIRECT("'SpxSp (step-c)'!$" &amp; 'SpxSp (step-c)'!$AC$16 &amp; BQ$72),"")</f>
        <v/>
      </c>
      <c r="BR99" s="1317" t="str">
        <f ca="1">IF(INDIRECT("'SpxSp (step-c)'!$B" &amp; BR$72)=$Z99,INDIRECT("'SpxSp (step-c)'!$" &amp; 'SpxSp (step-c)'!$AC$16 &amp; BR$72),"")</f>
        <v/>
      </c>
      <c r="BS99" s="1317" t="str">
        <f ca="1">IF(INDIRECT("'SpxSp (step-c)'!$B" &amp; BS$72)=$Z99,INDIRECT("'SpxSp (step-c)'!$" &amp; 'SpxSp (step-c)'!$AC$16 &amp; BS$72),"")</f>
        <v/>
      </c>
      <c r="BT99" s="1317" t="str">
        <f ca="1">IF(INDIRECT("'SpxSp (step-c)'!$B" &amp; BT$72)=$Z99,INDIRECT("'SpxSp (step-c)'!$" &amp; 'SpxSp (step-c)'!$AC$16 &amp; BT$72),"")</f>
        <v/>
      </c>
      <c r="BU99" s="1317" t="str">
        <f ca="1">IF(INDIRECT("'SpxSp (step-c)'!$B" &amp; BU$72)=$Z99,INDIRECT("'SpxSp (step-c)'!$" &amp; 'SpxSp (step-c)'!$AC$16 &amp; BU$72),"")</f>
        <v/>
      </c>
      <c r="BV99" s="1317" t="str">
        <f ca="1">IF(INDIRECT("'SpxSp (step-c)'!$B" &amp; BV$72)=$Z99,INDIRECT("'SpxSp (step-c)'!$" &amp; 'SpxSp (step-c)'!$AC$16 &amp; BV$72),"")</f>
        <v/>
      </c>
      <c r="BW99" s="1317" t="str">
        <f ca="1">IF(INDIRECT("'SpxSp (step-c)'!$B" &amp; BW$72)=$Z99,INDIRECT("'SpxSp (step-c)'!$" &amp; 'SpxSp (step-c)'!$AC$16 &amp; BW$72),"")</f>
        <v/>
      </c>
      <c r="BX99" s="1317" t="str">
        <f ca="1">IF(INDIRECT("'SpxSp (step-c)'!$B" &amp; BX$72)=$Z99,INDIRECT("'SpxSp (step-c)'!$" &amp; 'SpxSp (step-c)'!$AC$16 &amp; BX$72),"")</f>
        <v/>
      </c>
      <c r="BY99" s="1317" t="str">
        <f ca="1">IF(INDIRECT("'SpxSp (step-c)'!$B" &amp; BY$72)=$Z99,INDIRECT("'SpxSp (step-c)'!$" &amp; 'SpxSp (step-c)'!$AC$16 &amp; BY$72),"")</f>
        <v/>
      </c>
      <c r="BZ99" s="1317" t="str">
        <f ca="1">IF(INDIRECT("'SpxSp (step-c)'!$B" &amp; BZ$72)=$Z99,INDIRECT("'SpxSp (step-c)'!$" &amp; 'SpxSp (step-c)'!$AC$16 &amp; BZ$72),"")</f>
        <v/>
      </c>
      <c r="CA99" s="1317" t="str">
        <f ca="1">IF(INDIRECT("'SpxSp (step-c)'!$B" &amp; CA$72)=$Z99,INDIRECT("'SpxSp (step-c)'!$" &amp; 'SpxSp (step-c)'!$AC$16 &amp; CA$72),"")</f>
        <v/>
      </c>
      <c r="CB99" s="1317" t="str">
        <f ca="1">IF(INDIRECT("'SpxSp (step-c)'!$B" &amp; CB$72)=$Z99,INDIRECT("'SpxSp (step-c)'!$" &amp; 'SpxSp (step-c)'!$AC$16 &amp; CB$72),"")</f>
        <v/>
      </c>
      <c r="CC99" s="1317" t="str">
        <f ca="1">IF(INDIRECT("'SpxSp (step-c)'!$B" &amp; CC$72)=$Z99,INDIRECT("'SpxSp (step-c)'!$" &amp; 'SpxSp (step-c)'!$AC$16 &amp; CC$72),"")</f>
        <v/>
      </c>
      <c r="CD99" s="1317" t="str">
        <f ca="1">IF(INDIRECT("'SpxSp (step-c)'!$B" &amp; CD$72)=$Z99,INDIRECT("'SpxSp (step-c)'!$" &amp; 'SpxSp (step-c)'!$AC$16 &amp; CD$72),"")</f>
        <v/>
      </c>
      <c r="CE99" s="1317" t="str">
        <f ca="1">IF(INDIRECT("'SpxSp (step-c)'!$B" &amp; CE$72)=$Z99,INDIRECT("'SpxSp (step-c)'!$" &amp; 'SpxSp (step-c)'!$AC$16 &amp; CE$72),"")</f>
        <v/>
      </c>
      <c r="CF99" s="1317" t="str">
        <f ca="1">IF(INDIRECT("'SpxSp (step-c)'!$B" &amp; CF$72)=$Z99,INDIRECT("'SpxSp (step-c)'!$" &amp; 'SpxSp (step-c)'!$AC$16 &amp; CF$72),"")</f>
        <v/>
      </c>
      <c r="CG99" s="1317" t="str">
        <f ca="1">IF(INDIRECT("'SpxSp (step-c)'!$B" &amp; CG$72)=$Z99,INDIRECT("'SpxSp (step-c)'!$" &amp; 'SpxSp (step-c)'!$AC$16 &amp; CG$72),"")</f>
        <v/>
      </c>
      <c r="CH99" s="1317" t="str">
        <f ca="1">IF(INDIRECT("'SpxSp (step-c)'!$B" &amp; CH$72)=$Z99,INDIRECT("'SpxSp (step-c)'!$" &amp; 'SpxSp (step-c)'!$AC$16 &amp; CH$72),"")</f>
        <v/>
      </c>
      <c r="CI99" s="1317" t="str">
        <f ca="1">IF(INDIRECT("'SpxSp (step-c)'!$B" &amp; CI$72)=$Z99,INDIRECT("'SpxSp (step-c)'!$" &amp; 'SpxSp (step-c)'!$AC$16 &amp; CI$72),"")</f>
        <v/>
      </c>
      <c r="CJ99" s="1317" t="str">
        <f ca="1">IF(INDIRECT("'SpxSp (step-c)'!$B" &amp; CJ$72)=$Z99,INDIRECT("'SpxSp (step-c)'!$" &amp; 'SpxSp (step-c)'!$AC$16 &amp; CJ$72),"")</f>
        <v/>
      </c>
      <c r="CK99" s="1317" t="str">
        <f ca="1">IF(INDIRECT("'SpxSp (step-c)'!$B" &amp; CK$72)=$Z99,INDIRECT("'SpxSp (step-c)'!$" &amp; 'SpxSp (step-c)'!$AC$16 &amp; CK$72),"")</f>
        <v/>
      </c>
      <c r="CL99" s="1317" t="str">
        <f ca="1">IF(INDIRECT("'SpxSp (step-c)'!$B" &amp; CL$72)=$Z99,INDIRECT("'SpxSp (step-c)'!$" &amp; 'SpxSp (step-c)'!$AC$16 &amp; CL$72),"")</f>
        <v/>
      </c>
      <c r="CM99" s="1317" t="str">
        <f ca="1">IF(INDIRECT("'SpxSp (step-c)'!$B" &amp; CM$72)=$Z99,INDIRECT("'SpxSp (step-c)'!$" &amp; 'SpxSp (step-c)'!$AC$16 &amp; CM$72),"")</f>
        <v/>
      </c>
      <c r="CN99" s="1317" t="str">
        <f ca="1">IF(INDIRECT("'SpxSp (step-c)'!$B" &amp; CN$72)=$Z99,INDIRECT("'SpxSp (step-c)'!$" &amp; 'SpxSp (step-c)'!$AC$16 &amp; CN$72),"")</f>
        <v/>
      </c>
      <c r="CO99" s="1317" t="str">
        <f ca="1">IF(INDIRECT("'SpxSp (step-c)'!$B" &amp; CO$72)=$Z99,INDIRECT("'SpxSp (step-c)'!$" &amp; 'SpxSp (step-c)'!$AC$16 &amp; CO$72),"")</f>
        <v/>
      </c>
      <c r="CP99" s="1317" t="str">
        <f ca="1">IF(INDIRECT("'SpxSp (step-c)'!$B" &amp; CP$72)=$Z99,INDIRECT("'SpxSp (step-c)'!$" &amp; 'SpxSp (step-c)'!$AC$16 &amp; CP$72),"")</f>
        <v/>
      </c>
      <c r="CQ99" s="1317" t="str">
        <f ca="1">IF(INDIRECT("'SpxSp (step-c)'!$B" &amp; CQ$72)=$Z99,INDIRECT("'SpxSp (step-c)'!$" &amp; 'SpxSp (step-c)'!$AC$16 &amp; CQ$72),"")</f>
        <v/>
      </c>
      <c r="CR99" s="1317" t="str">
        <f ca="1">IF(INDIRECT("'SpxSp (step-c)'!$B" &amp; CR$72)=$Z99,INDIRECT("'SpxSp (step-c)'!$" &amp; 'SpxSp (step-c)'!$AC$16 &amp; CR$72),"")</f>
        <v/>
      </c>
      <c r="CS99" s="1317" t="str">
        <f ca="1">IF(INDIRECT("'SpxSp (step-c)'!$B" &amp; CS$72)=$Z99,INDIRECT("'SpxSp (step-c)'!$" &amp; 'SpxSp (step-c)'!$AC$16 &amp; CS$72),"")</f>
        <v/>
      </c>
      <c r="CT99" s="1317" t="str">
        <f ca="1">IF(INDIRECT("'SpxSp (step-c)'!$B" &amp; CT$72)=$Z99,INDIRECT("'SpxSp (step-c)'!$" &amp; 'SpxSp (step-c)'!$AC$16 &amp; CT$72),"")</f>
        <v/>
      </c>
      <c r="CU99" s="1317" t="str">
        <f ca="1">IF(INDIRECT("'SpxSp (step-c)'!$B" &amp; CU$72)=$Z99,INDIRECT("'SpxSp (step-c)'!$" &amp; 'SpxSp (step-c)'!$AC$16 &amp; CU$72),"")</f>
        <v/>
      </c>
      <c r="CV99" s="1317" t="str">
        <f ca="1">IF(INDIRECT("'SpxSp (step-c)'!$B" &amp; CV$72)=$Z99,INDIRECT("'SpxSp (step-c)'!$" &amp; 'SpxSp (step-c)'!$AC$16 &amp; CV$72),"")</f>
        <v/>
      </c>
      <c r="CW99" s="1317" t="str">
        <f ca="1">IF(INDIRECT("'SpxSp (step-c)'!$B" &amp; CW$72)=$Z99,INDIRECT("'SpxSp (step-c)'!$" &amp; 'SpxSp (step-c)'!$AC$16 &amp; CW$72),"")</f>
        <v/>
      </c>
      <c r="CX99" s="1317" t="str">
        <f ca="1">IF(INDIRECT("'SpxSp (step-c)'!$B" &amp; CX$72)=$Z99,INDIRECT("'SpxSp (step-c)'!$" &amp; 'SpxSp (step-c)'!$AC$16 &amp; CX$72),"")</f>
        <v/>
      </c>
      <c r="CY99" s="1317" t="str">
        <f ca="1">IF(INDIRECT("'SpxSp (step-c)'!$B" &amp; CY$72)=$Z99,INDIRECT("'SpxSp (step-c)'!$" &amp; 'SpxSp (step-c)'!$AC$16 &amp; CY$72),"")</f>
        <v/>
      </c>
      <c r="CZ99" s="1317" t="str">
        <f ca="1">IF(INDIRECT("'SpxSp (step-c)'!$B" &amp; CZ$72)=$Z99,INDIRECT("'SpxSp (step-c)'!$" &amp; 'SpxSp (step-c)'!$AC$16 &amp; CZ$72),"")</f>
        <v/>
      </c>
      <c r="DA99" s="1317" t="str">
        <f ca="1">IF(INDIRECT("'SpxSp (step-c)'!$B" &amp; DA$72)=$Z99,INDIRECT("'SpxSp (step-c)'!$" &amp; 'SpxSp (step-c)'!$AC$16 &amp; DA$72),"")</f>
        <v/>
      </c>
      <c r="DB99" s="1317" t="str">
        <f ca="1">IF(INDIRECT("'SpxSp (step-c)'!$B" &amp; DB$72)=$Z99,INDIRECT("'SpxSp (step-c)'!$" &amp; 'SpxSp (step-c)'!$AC$16 &amp; DB$72),"")</f>
        <v/>
      </c>
      <c r="DC99" s="1317" t="str">
        <f ca="1">IF(INDIRECT("'SpxSp (step-c)'!$B" &amp; DC$72)=$Z99,INDIRECT("'SpxSp (step-c)'!$" &amp; 'SpxSp (step-c)'!$AC$16 &amp; DC$72),"")</f>
        <v/>
      </c>
      <c r="DD99" s="1317" t="str">
        <f ca="1">IF(INDIRECT("'SpxSp (step-c)'!$B" &amp; DD$72)=$Z99,INDIRECT("'SpxSp (step-c)'!$" &amp; 'SpxSp (step-c)'!$AC$16 &amp; DD$72),"")</f>
        <v/>
      </c>
      <c r="DE99" s="1317" t="str">
        <f ca="1">IF(INDIRECT("'SpxSp (step-c)'!$B" &amp; DE$72)=$Z99,INDIRECT("'SpxSp (step-c)'!$" &amp; 'SpxSp (step-c)'!$AC$16 &amp; DE$72),"")</f>
        <v/>
      </c>
      <c r="DF99" s="1317" t="str">
        <f ca="1">IF(INDIRECT("'SpxSp (step-c)'!$B" &amp; DF$72)=$Z99,INDIRECT("'SpxSp (step-c)'!$" &amp; 'SpxSp (step-c)'!$AC$16 &amp; DF$72),"")</f>
        <v/>
      </c>
      <c r="DG99" s="1317" t="str">
        <f ca="1">IF(INDIRECT("'SpxSp (step-c)'!$B" &amp; DG$72)=$Z99,INDIRECT("'SpxSp (step-c)'!$" &amp; 'SpxSp (step-c)'!$AC$16 &amp; DG$72),"")</f>
        <v/>
      </c>
      <c r="DH99" s="1317" t="str">
        <f ca="1">IF(INDIRECT("'SpxSp (step-c)'!$B" &amp; DH$72)=$Z99,INDIRECT("'SpxSp (step-c)'!$" &amp; 'SpxSp (step-c)'!$AC$16 &amp; DH$72),"")</f>
        <v/>
      </c>
      <c r="DI99" s="1317" t="str">
        <f ca="1">IF(INDIRECT("'SpxSp (step-c)'!$B" &amp; DI$72)=$Z99,INDIRECT("'SpxSp (step-c)'!$" &amp; 'SpxSp (step-c)'!$AC$16 &amp; DI$72),"")</f>
        <v/>
      </c>
      <c r="DJ99" s="1317" t="str">
        <f ca="1">IF(INDIRECT("'SpxSp (step-c)'!$B" &amp; DJ$72)=$Z99,INDIRECT("'SpxSp (step-c)'!$" &amp; 'SpxSp (step-c)'!$AC$16 &amp; DJ$72),"")</f>
        <v/>
      </c>
      <c r="DK99" s="1317" t="str">
        <f ca="1">IF(INDIRECT("'SpxSp (step-c)'!$B" &amp; DK$72)=$Z99,INDIRECT("'SpxSp (step-c)'!$" &amp; 'SpxSp (step-c)'!$AC$16 &amp; DK$72),"")</f>
        <v/>
      </c>
      <c r="DL99" s="1317" t="str">
        <f ca="1">IF(INDIRECT("'SpxSp (step-c)'!$B" &amp; DL$72)=$Z99,INDIRECT("'SpxSp (step-c)'!$" &amp; 'SpxSp (step-c)'!$AC$16 &amp; DL$72),"")</f>
        <v/>
      </c>
      <c r="DM99" s="1317" t="str">
        <f ca="1">IF(INDIRECT("'SpxSp (step-c)'!$B" &amp; DM$72)=$Z99,INDIRECT("'SpxSp (step-c)'!$" &amp; 'SpxSp (step-c)'!$AC$16 &amp; DM$72),"")</f>
        <v/>
      </c>
      <c r="DO99" s="1246" t="s">
        <v>1200</v>
      </c>
    </row>
    <row r="100" spans="26:119" ht="20" x14ac:dyDescent="0.2">
      <c r="Z100" s="1317" t="str">
        <f t="shared" ref="Z100:AA100" si="68">Z45</f>
        <v/>
      </c>
      <c r="AA100" s="1317" t="str">
        <f t="shared" si="68"/>
        <v/>
      </c>
      <c r="BN100" s="178">
        <v>28</v>
      </c>
      <c r="BO100" s="1316" t="str">
        <f t="shared" ca="1" si="43"/>
        <v/>
      </c>
      <c r="BP100" s="1317" t="str">
        <f ca="1">IF(INDIRECT("'SpxSp (step-c)'!$B" &amp; BP$72)=$Z100,INDIRECT("'SpxSp (step-c)'!$" &amp; 'SpxSp (step-c)'!$AC$16 &amp; BP$72),"")</f>
        <v/>
      </c>
      <c r="BQ100" s="1317" t="str">
        <f ca="1">IF(INDIRECT("'SpxSp (step-c)'!$B" &amp; BQ$72)=$Z100,INDIRECT("'SpxSp (step-c)'!$" &amp; 'SpxSp (step-c)'!$AC$16 &amp; BQ$72),"")</f>
        <v/>
      </c>
      <c r="BR100" s="1317" t="str">
        <f ca="1">IF(INDIRECT("'SpxSp (step-c)'!$B" &amp; BR$72)=$Z100,INDIRECT("'SpxSp (step-c)'!$" &amp; 'SpxSp (step-c)'!$AC$16 &amp; BR$72),"")</f>
        <v/>
      </c>
      <c r="BS100" s="1317" t="str">
        <f ca="1">IF(INDIRECT("'SpxSp (step-c)'!$B" &amp; BS$72)=$Z100,INDIRECT("'SpxSp (step-c)'!$" &amp; 'SpxSp (step-c)'!$AC$16 &amp; BS$72),"")</f>
        <v/>
      </c>
      <c r="BT100" s="1317" t="str">
        <f ca="1">IF(INDIRECT("'SpxSp (step-c)'!$B" &amp; BT$72)=$Z100,INDIRECT("'SpxSp (step-c)'!$" &amp; 'SpxSp (step-c)'!$AC$16 &amp; BT$72),"")</f>
        <v/>
      </c>
      <c r="BU100" s="1317" t="str">
        <f ca="1">IF(INDIRECT("'SpxSp (step-c)'!$B" &amp; BU$72)=$Z100,INDIRECT("'SpxSp (step-c)'!$" &amp; 'SpxSp (step-c)'!$AC$16 &amp; BU$72),"")</f>
        <v/>
      </c>
      <c r="BV100" s="1317" t="str">
        <f ca="1">IF(INDIRECT("'SpxSp (step-c)'!$B" &amp; BV$72)=$Z100,INDIRECT("'SpxSp (step-c)'!$" &amp; 'SpxSp (step-c)'!$AC$16 &amp; BV$72),"")</f>
        <v/>
      </c>
      <c r="BW100" s="1317" t="str">
        <f ca="1">IF(INDIRECT("'SpxSp (step-c)'!$B" &amp; BW$72)=$Z100,INDIRECT("'SpxSp (step-c)'!$" &amp; 'SpxSp (step-c)'!$AC$16 &amp; BW$72),"")</f>
        <v/>
      </c>
      <c r="BX100" s="1317" t="str">
        <f ca="1">IF(INDIRECT("'SpxSp (step-c)'!$B" &amp; BX$72)=$Z100,INDIRECT("'SpxSp (step-c)'!$" &amp; 'SpxSp (step-c)'!$AC$16 &amp; BX$72),"")</f>
        <v/>
      </c>
      <c r="BY100" s="1317" t="str">
        <f ca="1">IF(INDIRECT("'SpxSp (step-c)'!$B" &amp; BY$72)=$Z100,INDIRECT("'SpxSp (step-c)'!$" &amp; 'SpxSp (step-c)'!$AC$16 &amp; BY$72),"")</f>
        <v/>
      </c>
      <c r="BZ100" s="1317" t="str">
        <f ca="1">IF(INDIRECT("'SpxSp (step-c)'!$B" &amp; BZ$72)=$Z100,INDIRECT("'SpxSp (step-c)'!$" &amp; 'SpxSp (step-c)'!$AC$16 &amp; BZ$72),"")</f>
        <v/>
      </c>
      <c r="CA100" s="1317" t="str">
        <f ca="1">IF(INDIRECT("'SpxSp (step-c)'!$B" &amp; CA$72)=$Z100,INDIRECT("'SpxSp (step-c)'!$" &amp; 'SpxSp (step-c)'!$AC$16 &amp; CA$72),"")</f>
        <v/>
      </c>
      <c r="CB100" s="1317" t="str">
        <f ca="1">IF(INDIRECT("'SpxSp (step-c)'!$B" &amp; CB$72)=$Z100,INDIRECT("'SpxSp (step-c)'!$" &amp; 'SpxSp (step-c)'!$AC$16 &amp; CB$72),"")</f>
        <v/>
      </c>
      <c r="CC100" s="1317" t="str">
        <f ca="1">IF(INDIRECT("'SpxSp (step-c)'!$B" &amp; CC$72)=$Z100,INDIRECT("'SpxSp (step-c)'!$" &amp; 'SpxSp (step-c)'!$AC$16 &amp; CC$72),"")</f>
        <v/>
      </c>
      <c r="CD100" s="1317" t="str">
        <f ca="1">IF(INDIRECT("'SpxSp (step-c)'!$B" &amp; CD$72)=$Z100,INDIRECT("'SpxSp (step-c)'!$" &amp; 'SpxSp (step-c)'!$AC$16 &amp; CD$72),"")</f>
        <v/>
      </c>
      <c r="CE100" s="1317" t="str">
        <f ca="1">IF(INDIRECT("'SpxSp (step-c)'!$B" &amp; CE$72)=$Z100,INDIRECT("'SpxSp (step-c)'!$" &amp; 'SpxSp (step-c)'!$AC$16 &amp; CE$72),"")</f>
        <v/>
      </c>
      <c r="CF100" s="1317" t="str">
        <f ca="1">IF(INDIRECT("'SpxSp (step-c)'!$B" &amp; CF$72)=$Z100,INDIRECT("'SpxSp (step-c)'!$" &amp; 'SpxSp (step-c)'!$AC$16 &amp; CF$72),"")</f>
        <v/>
      </c>
      <c r="CG100" s="1317" t="str">
        <f ca="1">IF(INDIRECT("'SpxSp (step-c)'!$B" &amp; CG$72)=$Z100,INDIRECT("'SpxSp (step-c)'!$" &amp; 'SpxSp (step-c)'!$AC$16 &amp; CG$72),"")</f>
        <v/>
      </c>
      <c r="CH100" s="1317" t="str">
        <f ca="1">IF(INDIRECT("'SpxSp (step-c)'!$B" &amp; CH$72)=$Z100,INDIRECT("'SpxSp (step-c)'!$" &amp; 'SpxSp (step-c)'!$AC$16 &amp; CH$72),"")</f>
        <v/>
      </c>
      <c r="CI100" s="1317" t="str">
        <f ca="1">IF(INDIRECT("'SpxSp (step-c)'!$B" &amp; CI$72)=$Z100,INDIRECT("'SpxSp (step-c)'!$" &amp; 'SpxSp (step-c)'!$AC$16 &amp; CI$72),"")</f>
        <v/>
      </c>
      <c r="CJ100" s="1317" t="str">
        <f ca="1">IF(INDIRECT("'SpxSp (step-c)'!$B" &amp; CJ$72)=$Z100,INDIRECT("'SpxSp (step-c)'!$" &amp; 'SpxSp (step-c)'!$AC$16 &amp; CJ$72),"")</f>
        <v/>
      </c>
      <c r="CK100" s="1317" t="str">
        <f ca="1">IF(INDIRECT("'SpxSp (step-c)'!$B" &amp; CK$72)=$Z100,INDIRECT("'SpxSp (step-c)'!$" &amp; 'SpxSp (step-c)'!$AC$16 &amp; CK$72),"")</f>
        <v/>
      </c>
      <c r="CL100" s="1317" t="str">
        <f ca="1">IF(INDIRECT("'SpxSp (step-c)'!$B" &amp; CL$72)=$Z100,INDIRECT("'SpxSp (step-c)'!$" &amp; 'SpxSp (step-c)'!$AC$16 &amp; CL$72),"")</f>
        <v/>
      </c>
      <c r="CM100" s="1317" t="str">
        <f ca="1">IF(INDIRECT("'SpxSp (step-c)'!$B" &amp; CM$72)=$Z100,INDIRECT("'SpxSp (step-c)'!$" &amp; 'SpxSp (step-c)'!$AC$16 &amp; CM$72),"")</f>
        <v/>
      </c>
      <c r="CN100" s="1317" t="str">
        <f ca="1">IF(INDIRECT("'SpxSp (step-c)'!$B" &amp; CN$72)=$Z100,INDIRECT("'SpxSp (step-c)'!$" &amp; 'SpxSp (step-c)'!$AC$16 &amp; CN$72),"")</f>
        <v/>
      </c>
      <c r="CO100" s="1317" t="str">
        <f ca="1">IF(INDIRECT("'SpxSp (step-c)'!$B" &amp; CO$72)=$Z100,INDIRECT("'SpxSp (step-c)'!$" &amp; 'SpxSp (step-c)'!$AC$16 &amp; CO$72),"")</f>
        <v/>
      </c>
      <c r="CP100" s="1317" t="str">
        <f ca="1">IF(INDIRECT("'SpxSp (step-c)'!$B" &amp; CP$72)=$Z100,INDIRECT("'SpxSp (step-c)'!$" &amp; 'SpxSp (step-c)'!$AC$16 &amp; CP$72),"")</f>
        <v/>
      </c>
      <c r="CQ100" s="1317" t="str">
        <f ca="1">IF(INDIRECT("'SpxSp (step-c)'!$B" &amp; CQ$72)=$Z100,INDIRECT("'SpxSp (step-c)'!$" &amp; 'SpxSp (step-c)'!$AC$16 &amp; CQ$72),"")</f>
        <v/>
      </c>
      <c r="CR100" s="1317" t="str">
        <f ca="1">IF(INDIRECT("'SpxSp (step-c)'!$B" &amp; CR$72)=$Z100,INDIRECT("'SpxSp (step-c)'!$" &amp; 'SpxSp (step-c)'!$AC$16 &amp; CR$72),"")</f>
        <v/>
      </c>
      <c r="CS100" s="1317" t="str">
        <f ca="1">IF(INDIRECT("'SpxSp (step-c)'!$B" &amp; CS$72)=$Z100,INDIRECT("'SpxSp (step-c)'!$" &amp; 'SpxSp (step-c)'!$AC$16 &amp; CS$72),"")</f>
        <v/>
      </c>
      <c r="CT100" s="1317" t="str">
        <f ca="1">IF(INDIRECT("'SpxSp (step-c)'!$B" &amp; CT$72)=$Z100,INDIRECT("'SpxSp (step-c)'!$" &amp; 'SpxSp (step-c)'!$AC$16 &amp; CT$72),"")</f>
        <v/>
      </c>
      <c r="CU100" s="1317" t="str">
        <f ca="1">IF(INDIRECT("'SpxSp (step-c)'!$B" &amp; CU$72)=$Z100,INDIRECT("'SpxSp (step-c)'!$" &amp; 'SpxSp (step-c)'!$AC$16 &amp; CU$72),"")</f>
        <v/>
      </c>
      <c r="CV100" s="1317" t="str">
        <f ca="1">IF(INDIRECT("'SpxSp (step-c)'!$B" &amp; CV$72)=$Z100,INDIRECT("'SpxSp (step-c)'!$" &amp; 'SpxSp (step-c)'!$AC$16 &amp; CV$72),"")</f>
        <v/>
      </c>
      <c r="CW100" s="1317" t="str">
        <f ca="1">IF(INDIRECT("'SpxSp (step-c)'!$B" &amp; CW$72)=$Z100,INDIRECT("'SpxSp (step-c)'!$" &amp; 'SpxSp (step-c)'!$AC$16 &amp; CW$72),"")</f>
        <v/>
      </c>
      <c r="CX100" s="1317" t="str">
        <f ca="1">IF(INDIRECT("'SpxSp (step-c)'!$B" &amp; CX$72)=$Z100,INDIRECT("'SpxSp (step-c)'!$" &amp; 'SpxSp (step-c)'!$AC$16 &amp; CX$72),"")</f>
        <v/>
      </c>
      <c r="CY100" s="1317" t="str">
        <f ca="1">IF(INDIRECT("'SpxSp (step-c)'!$B" &amp; CY$72)=$Z100,INDIRECT("'SpxSp (step-c)'!$" &amp; 'SpxSp (step-c)'!$AC$16 &amp; CY$72),"")</f>
        <v/>
      </c>
      <c r="CZ100" s="1317" t="str">
        <f ca="1">IF(INDIRECT("'SpxSp (step-c)'!$B" &amp; CZ$72)=$Z100,INDIRECT("'SpxSp (step-c)'!$" &amp; 'SpxSp (step-c)'!$AC$16 &amp; CZ$72),"")</f>
        <v/>
      </c>
      <c r="DA100" s="1317" t="str">
        <f ca="1">IF(INDIRECT("'SpxSp (step-c)'!$B" &amp; DA$72)=$Z100,INDIRECT("'SpxSp (step-c)'!$" &amp; 'SpxSp (step-c)'!$AC$16 &amp; DA$72),"")</f>
        <v/>
      </c>
      <c r="DB100" s="1317" t="str">
        <f ca="1">IF(INDIRECT("'SpxSp (step-c)'!$B" &amp; DB$72)=$Z100,INDIRECT("'SpxSp (step-c)'!$" &amp; 'SpxSp (step-c)'!$AC$16 &amp; DB$72),"")</f>
        <v/>
      </c>
      <c r="DC100" s="1317" t="str">
        <f ca="1">IF(INDIRECT("'SpxSp (step-c)'!$B" &amp; DC$72)=$Z100,INDIRECT("'SpxSp (step-c)'!$" &amp; 'SpxSp (step-c)'!$AC$16 &amp; DC$72),"")</f>
        <v/>
      </c>
      <c r="DD100" s="1317" t="str">
        <f ca="1">IF(INDIRECT("'SpxSp (step-c)'!$B" &amp; DD$72)=$Z100,INDIRECT("'SpxSp (step-c)'!$" &amp; 'SpxSp (step-c)'!$AC$16 &amp; DD$72),"")</f>
        <v/>
      </c>
      <c r="DE100" s="1317" t="str">
        <f ca="1">IF(INDIRECT("'SpxSp (step-c)'!$B" &amp; DE$72)=$Z100,INDIRECT("'SpxSp (step-c)'!$" &amp; 'SpxSp (step-c)'!$AC$16 &amp; DE$72),"")</f>
        <v/>
      </c>
      <c r="DF100" s="1317" t="str">
        <f ca="1">IF(INDIRECT("'SpxSp (step-c)'!$B" &amp; DF$72)=$Z100,INDIRECT("'SpxSp (step-c)'!$" &amp; 'SpxSp (step-c)'!$AC$16 &amp; DF$72),"")</f>
        <v/>
      </c>
      <c r="DG100" s="1317" t="str">
        <f ca="1">IF(INDIRECT("'SpxSp (step-c)'!$B" &amp; DG$72)=$Z100,INDIRECT("'SpxSp (step-c)'!$" &amp; 'SpxSp (step-c)'!$AC$16 &amp; DG$72),"")</f>
        <v/>
      </c>
      <c r="DH100" s="1317" t="str">
        <f ca="1">IF(INDIRECT("'SpxSp (step-c)'!$B" &amp; DH$72)=$Z100,INDIRECT("'SpxSp (step-c)'!$" &amp; 'SpxSp (step-c)'!$AC$16 &amp; DH$72),"")</f>
        <v/>
      </c>
      <c r="DI100" s="1317" t="str">
        <f ca="1">IF(INDIRECT("'SpxSp (step-c)'!$B" &amp; DI$72)=$Z100,INDIRECT("'SpxSp (step-c)'!$" &amp; 'SpxSp (step-c)'!$AC$16 &amp; DI$72),"")</f>
        <v/>
      </c>
      <c r="DJ100" s="1317" t="str">
        <f ca="1">IF(INDIRECT("'SpxSp (step-c)'!$B" &amp; DJ$72)=$Z100,INDIRECT("'SpxSp (step-c)'!$" &amp; 'SpxSp (step-c)'!$AC$16 &amp; DJ$72),"")</f>
        <v/>
      </c>
      <c r="DK100" s="1317" t="str">
        <f ca="1">IF(INDIRECT("'SpxSp (step-c)'!$B" &amp; DK$72)=$Z100,INDIRECT("'SpxSp (step-c)'!$" &amp; 'SpxSp (step-c)'!$AC$16 &amp; DK$72),"")</f>
        <v/>
      </c>
      <c r="DL100" s="1317" t="str">
        <f ca="1">IF(INDIRECT("'SpxSp (step-c)'!$B" &amp; DL$72)=$Z100,INDIRECT("'SpxSp (step-c)'!$" &amp; 'SpxSp (step-c)'!$AC$16 &amp; DL$72),"")</f>
        <v/>
      </c>
      <c r="DM100" s="1317" t="str">
        <f ca="1">IF(INDIRECT("'SpxSp (step-c)'!$B" &amp; DM$72)=$Z100,INDIRECT("'SpxSp (step-c)'!$" &amp; 'SpxSp (step-c)'!$AC$16 &amp; DM$72),"")</f>
        <v/>
      </c>
      <c r="DO100" s="1246" t="s">
        <v>1200</v>
      </c>
    </row>
    <row r="101" spans="26:119" ht="20" x14ac:dyDescent="0.2">
      <c r="Z101" s="1317" t="str">
        <f t="shared" ref="Z101:AA101" si="69">Z46</f>
        <v/>
      </c>
      <c r="AA101" s="1317" t="str">
        <f t="shared" si="69"/>
        <v/>
      </c>
      <c r="BN101" s="178">
        <v>29</v>
      </c>
      <c r="BO101" s="1316" t="str">
        <f t="shared" ca="1" si="43"/>
        <v/>
      </c>
      <c r="BP101" s="1317" t="str">
        <f ca="1">IF(INDIRECT("'SpxSp (step-c)'!$B" &amp; BP$72)=$Z101,INDIRECT("'SpxSp (step-c)'!$" &amp; 'SpxSp (step-c)'!$AC$16 &amp; BP$72),"")</f>
        <v/>
      </c>
      <c r="BQ101" s="1317" t="str">
        <f ca="1">IF(INDIRECT("'SpxSp (step-c)'!$B" &amp; BQ$72)=$Z101,INDIRECT("'SpxSp (step-c)'!$" &amp; 'SpxSp (step-c)'!$AC$16 &amp; BQ$72),"")</f>
        <v/>
      </c>
      <c r="BR101" s="1317" t="str">
        <f ca="1">IF(INDIRECT("'SpxSp (step-c)'!$B" &amp; BR$72)=$Z101,INDIRECT("'SpxSp (step-c)'!$" &amp; 'SpxSp (step-c)'!$AC$16 &amp; BR$72),"")</f>
        <v/>
      </c>
      <c r="BS101" s="1317" t="str">
        <f ca="1">IF(INDIRECT("'SpxSp (step-c)'!$B" &amp; BS$72)=$Z101,INDIRECT("'SpxSp (step-c)'!$" &amp; 'SpxSp (step-c)'!$AC$16 &amp; BS$72),"")</f>
        <v/>
      </c>
      <c r="BT101" s="1317" t="str">
        <f ca="1">IF(INDIRECT("'SpxSp (step-c)'!$B" &amp; BT$72)=$Z101,INDIRECT("'SpxSp (step-c)'!$" &amp; 'SpxSp (step-c)'!$AC$16 &amp; BT$72),"")</f>
        <v/>
      </c>
      <c r="BU101" s="1317" t="str">
        <f ca="1">IF(INDIRECT("'SpxSp (step-c)'!$B" &amp; BU$72)=$Z101,INDIRECT("'SpxSp (step-c)'!$" &amp; 'SpxSp (step-c)'!$AC$16 &amp; BU$72),"")</f>
        <v/>
      </c>
      <c r="BV101" s="1317" t="str">
        <f ca="1">IF(INDIRECT("'SpxSp (step-c)'!$B" &amp; BV$72)=$Z101,INDIRECT("'SpxSp (step-c)'!$" &amp; 'SpxSp (step-c)'!$AC$16 &amp; BV$72),"")</f>
        <v/>
      </c>
      <c r="BW101" s="1317" t="str">
        <f ca="1">IF(INDIRECT("'SpxSp (step-c)'!$B" &amp; BW$72)=$Z101,INDIRECT("'SpxSp (step-c)'!$" &amp; 'SpxSp (step-c)'!$AC$16 &amp; BW$72),"")</f>
        <v/>
      </c>
      <c r="BX101" s="1317" t="str">
        <f ca="1">IF(INDIRECT("'SpxSp (step-c)'!$B" &amp; BX$72)=$Z101,INDIRECT("'SpxSp (step-c)'!$" &amp; 'SpxSp (step-c)'!$AC$16 &amp; BX$72),"")</f>
        <v/>
      </c>
      <c r="BY101" s="1317" t="str">
        <f ca="1">IF(INDIRECT("'SpxSp (step-c)'!$B" &amp; BY$72)=$Z101,INDIRECT("'SpxSp (step-c)'!$" &amp; 'SpxSp (step-c)'!$AC$16 &amp; BY$72),"")</f>
        <v/>
      </c>
      <c r="BZ101" s="1317" t="str">
        <f ca="1">IF(INDIRECT("'SpxSp (step-c)'!$B" &amp; BZ$72)=$Z101,INDIRECT("'SpxSp (step-c)'!$" &amp; 'SpxSp (step-c)'!$AC$16 &amp; BZ$72),"")</f>
        <v/>
      </c>
      <c r="CA101" s="1317" t="str">
        <f ca="1">IF(INDIRECT("'SpxSp (step-c)'!$B" &amp; CA$72)=$Z101,INDIRECT("'SpxSp (step-c)'!$" &amp; 'SpxSp (step-c)'!$AC$16 &amp; CA$72),"")</f>
        <v/>
      </c>
      <c r="CB101" s="1317" t="str">
        <f ca="1">IF(INDIRECT("'SpxSp (step-c)'!$B" &amp; CB$72)=$Z101,INDIRECT("'SpxSp (step-c)'!$" &amp; 'SpxSp (step-c)'!$AC$16 &amp; CB$72),"")</f>
        <v/>
      </c>
      <c r="CC101" s="1317" t="str">
        <f ca="1">IF(INDIRECT("'SpxSp (step-c)'!$B" &amp; CC$72)=$Z101,INDIRECT("'SpxSp (step-c)'!$" &amp; 'SpxSp (step-c)'!$AC$16 &amp; CC$72),"")</f>
        <v/>
      </c>
      <c r="CD101" s="1317" t="str">
        <f ca="1">IF(INDIRECT("'SpxSp (step-c)'!$B" &amp; CD$72)=$Z101,INDIRECT("'SpxSp (step-c)'!$" &amp; 'SpxSp (step-c)'!$AC$16 &amp; CD$72),"")</f>
        <v/>
      </c>
      <c r="CE101" s="1317" t="str">
        <f ca="1">IF(INDIRECT("'SpxSp (step-c)'!$B" &amp; CE$72)=$Z101,INDIRECT("'SpxSp (step-c)'!$" &amp; 'SpxSp (step-c)'!$AC$16 &amp; CE$72),"")</f>
        <v/>
      </c>
      <c r="CF101" s="1317" t="str">
        <f ca="1">IF(INDIRECT("'SpxSp (step-c)'!$B" &amp; CF$72)=$Z101,INDIRECT("'SpxSp (step-c)'!$" &amp; 'SpxSp (step-c)'!$AC$16 &amp; CF$72),"")</f>
        <v/>
      </c>
      <c r="CG101" s="1317" t="str">
        <f ca="1">IF(INDIRECT("'SpxSp (step-c)'!$B" &amp; CG$72)=$Z101,INDIRECT("'SpxSp (step-c)'!$" &amp; 'SpxSp (step-c)'!$AC$16 &amp; CG$72),"")</f>
        <v/>
      </c>
      <c r="CH101" s="1317" t="str">
        <f ca="1">IF(INDIRECT("'SpxSp (step-c)'!$B" &amp; CH$72)=$Z101,INDIRECT("'SpxSp (step-c)'!$" &amp; 'SpxSp (step-c)'!$AC$16 &amp; CH$72),"")</f>
        <v/>
      </c>
      <c r="CI101" s="1317" t="str">
        <f ca="1">IF(INDIRECT("'SpxSp (step-c)'!$B" &amp; CI$72)=$Z101,INDIRECT("'SpxSp (step-c)'!$" &amp; 'SpxSp (step-c)'!$AC$16 &amp; CI$72),"")</f>
        <v/>
      </c>
      <c r="CJ101" s="1317" t="str">
        <f ca="1">IF(INDIRECT("'SpxSp (step-c)'!$B" &amp; CJ$72)=$Z101,INDIRECT("'SpxSp (step-c)'!$" &amp; 'SpxSp (step-c)'!$AC$16 &amp; CJ$72),"")</f>
        <v/>
      </c>
      <c r="CK101" s="1317" t="str">
        <f ca="1">IF(INDIRECT("'SpxSp (step-c)'!$B" &amp; CK$72)=$Z101,INDIRECT("'SpxSp (step-c)'!$" &amp; 'SpxSp (step-c)'!$AC$16 &amp; CK$72),"")</f>
        <v/>
      </c>
      <c r="CL101" s="1317" t="str">
        <f ca="1">IF(INDIRECT("'SpxSp (step-c)'!$B" &amp; CL$72)=$Z101,INDIRECT("'SpxSp (step-c)'!$" &amp; 'SpxSp (step-c)'!$AC$16 &amp; CL$72),"")</f>
        <v/>
      </c>
      <c r="CM101" s="1317" t="str">
        <f ca="1">IF(INDIRECT("'SpxSp (step-c)'!$B" &amp; CM$72)=$Z101,INDIRECT("'SpxSp (step-c)'!$" &amp; 'SpxSp (step-c)'!$AC$16 &amp; CM$72),"")</f>
        <v/>
      </c>
      <c r="CN101" s="1317" t="str">
        <f ca="1">IF(INDIRECT("'SpxSp (step-c)'!$B" &amp; CN$72)=$Z101,INDIRECT("'SpxSp (step-c)'!$" &amp; 'SpxSp (step-c)'!$AC$16 &amp; CN$72),"")</f>
        <v/>
      </c>
      <c r="CO101" s="1317" t="str">
        <f ca="1">IF(INDIRECT("'SpxSp (step-c)'!$B" &amp; CO$72)=$Z101,INDIRECT("'SpxSp (step-c)'!$" &amp; 'SpxSp (step-c)'!$AC$16 &amp; CO$72),"")</f>
        <v/>
      </c>
      <c r="CP101" s="1317" t="str">
        <f ca="1">IF(INDIRECT("'SpxSp (step-c)'!$B" &amp; CP$72)=$Z101,INDIRECT("'SpxSp (step-c)'!$" &amp; 'SpxSp (step-c)'!$AC$16 &amp; CP$72),"")</f>
        <v/>
      </c>
      <c r="CQ101" s="1317" t="str">
        <f ca="1">IF(INDIRECT("'SpxSp (step-c)'!$B" &amp; CQ$72)=$Z101,INDIRECT("'SpxSp (step-c)'!$" &amp; 'SpxSp (step-c)'!$AC$16 &amp; CQ$72),"")</f>
        <v/>
      </c>
      <c r="CR101" s="1317" t="str">
        <f ca="1">IF(INDIRECT("'SpxSp (step-c)'!$B" &amp; CR$72)=$Z101,INDIRECT("'SpxSp (step-c)'!$" &amp; 'SpxSp (step-c)'!$AC$16 &amp; CR$72),"")</f>
        <v/>
      </c>
      <c r="CS101" s="1317" t="str">
        <f ca="1">IF(INDIRECT("'SpxSp (step-c)'!$B" &amp; CS$72)=$Z101,INDIRECT("'SpxSp (step-c)'!$" &amp; 'SpxSp (step-c)'!$AC$16 &amp; CS$72),"")</f>
        <v/>
      </c>
      <c r="CT101" s="1317" t="str">
        <f ca="1">IF(INDIRECT("'SpxSp (step-c)'!$B" &amp; CT$72)=$Z101,INDIRECT("'SpxSp (step-c)'!$" &amp; 'SpxSp (step-c)'!$AC$16 &amp; CT$72),"")</f>
        <v/>
      </c>
      <c r="CU101" s="1317" t="str">
        <f ca="1">IF(INDIRECT("'SpxSp (step-c)'!$B" &amp; CU$72)=$Z101,INDIRECT("'SpxSp (step-c)'!$" &amp; 'SpxSp (step-c)'!$AC$16 &amp; CU$72),"")</f>
        <v/>
      </c>
      <c r="CV101" s="1317" t="str">
        <f ca="1">IF(INDIRECT("'SpxSp (step-c)'!$B" &amp; CV$72)=$Z101,INDIRECT("'SpxSp (step-c)'!$" &amp; 'SpxSp (step-c)'!$AC$16 &amp; CV$72),"")</f>
        <v/>
      </c>
      <c r="CW101" s="1317" t="str">
        <f ca="1">IF(INDIRECT("'SpxSp (step-c)'!$B" &amp; CW$72)=$Z101,INDIRECT("'SpxSp (step-c)'!$" &amp; 'SpxSp (step-c)'!$AC$16 &amp; CW$72),"")</f>
        <v/>
      </c>
      <c r="CX101" s="1317" t="str">
        <f ca="1">IF(INDIRECT("'SpxSp (step-c)'!$B" &amp; CX$72)=$Z101,INDIRECT("'SpxSp (step-c)'!$" &amp; 'SpxSp (step-c)'!$AC$16 &amp; CX$72),"")</f>
        <v/>
      </c>
      <c r="CY101" s="1317" t="str">
        <f ca="1">IF(INDIRECT("'SpxSp (step-c)'!$B" &amp; CY$72)=$Z101,INDIRECT("'SpxSp (step-c)'!$" &amp; 'SpxSp (step-c)'!$AC$16 &amp; CY$72),"")</f>
        <v/>
      </c>
      <c r="CZ101" s="1317" t="str">
        <f ca="1">IF(INDIRECT("'SpxSp (step-c)'!$B" &amp; CZ$72)=$Z101,INDIRECT("'SpxSp (step-c)'!$" &amp; 'SpxSp (step-c)'!$AC$16 &amp; CZ$72),"")</f>
        <v/>
      </c>
      <c r="DA101" s="1317" t="str">
        <f ca="1">IF(INDIRECT("'SpxSp (step-c)'!$B" &amp; DA$72)=$Z101,INDIRECT("'SpxSp (step-c)'!$" &amp; 'SpxSp (step-c)'!$AC$16 &amp; DA$72),"")</f>
        <v/>
      </c>
      <c r="DB101" s="1317" t="str">
        <f ca="1">IF(INDIRECT("'SpxSp (step-c)'!$B" &amp; DB$72)=$Z101,INDIRECT("'SpxSp (step-c)'!$" &amp; 'SpxSp (step-c)'!$AC$16 &amp; DB$72),"")</f>
        <v/>
      </c>
      <c r="DC101" s="1317" t="str">
        <f ca="1">IF(INDIRECT("'SpxSp (step-c)'!$B" &amp; DC$72)=$Z101,INDIRECT("'SpxSp (step-c)'!$" &amp; 'SpxSp (step-c)'!$AC$16 &amp; DC$72),"")</f>
        <v/>
      </c>
      <c r="DD101" s="1317" t="str">
        <f ca="1">IF(INDIRECT("'SpxSp (step-c)'!$B" &amp; DD$72)=$Z101,INDIRECT("'SpxSp (step-c)'!$" &amp; 'SpxSp (step-c)'!$AC$16 &amp; DD$72),"")</f>
        <v/>
      </c>
      <c r="DE101" s="1317" t="str">
        <f ca="1">IF(INDIRECT("'SpxSp (step-c)'!$B" &amp; DE$72)=$Z101,INDIRECT("'SpxSp (step-c)'!$" &amp; 'SpxSp (step-c)'!$AC$16 &amp; DE$72),"")</f>
        <v/>
      </c>
      <c r="DF101" s="1317" t="str">
        <f ca="1">IF(INDIRECT("'SpxSp (step-c)'!$B" &amp; DF$72)=$Z101,INDIRECT("'SpxSp (step-c)'!$" &amp; 'SpxSp (step-c)'!$AC$16 &amp; DF$72),"")</f>
        <v/>
      </c>
      <c r="DG101" s="1317" t="str">
        <f ca="1">IF(INDIRECT("'SpxSp (step-c)'!$B" &amp; DG$72)=$Z101,INDIRECT("'SpxSp (step-c)'!$" &amp; 'SpxSp (step-c)'!$AC$16 &amp; DG$72),"")</f>
        <v/>
      </c>
      <c r="DH101" s="1317" t="str">
        <f ca="1">IF(INDIRECT("'SpxSp (step-c)'!$B" &amp; DH$72)=$Z101,INDIRECT("'SpxSp (step-c)'!$" &amp; 'SpxSp (step-c)'!$AC$16 &amp; DH$72),"")</f>
        <v/>
      </c>
      <c r="DI101" s="1317" t="str">
        <f ca="1">IF(INDIRECT("'SpxSp (step-c)'!$B" &amp; DI$72)=$Z101,INDIRECT("'SpxSp (step-c)'!$" &amp; 'SpxSp (step-c)'!$AC$16 &amp; DI$72),"")</f>
        <v/>
      </c>
      <c r="DJ101" s="1317" t="str">
        <f ca="1">IF(INDIRECT("'SpxSp (step-c)'!$B" &amp; DJ$72)=$Z101,INDIRECT("'SpxSp (step-c)'!$" &amp; 'SpxSp (step-c)'!$AC$16 &amp; DJ$72),"")</f>
        <v/>
      </c>
      <c r="DK101" s="1317" t="str">
        <f ca="1">IF(INDIRECT("'SpxSp (step-c)'!$B" &amp; DK$72)=$Z101,INDIRECT("'SpxSp (step-c)'!$" &amp; 'SpxSp (step-c)'!$AC$16 &amp; DK$72),"")</f>
        <v/>
      </c>
      <c r="DL101" s="1317" t="str">
        <f ca="1">IF(INDIRECT("'SpxSp (step-c)'!$B" &amp; DL$72)=$Z101,INDIRECT("'SpxSp (step-c)'!$" &amp; 'SpxSp (step-c)'!$AC$16 &amp; DL$72),"")</f>
        <v/>
      </c>
      <c r="DM101" s="1317" t="str">
        <f ca="1">IF(INDIRECT("'SpxSp (step-c)'!$B" &amp; DM$72)=$Z101,INDIRECT("'SpxSp (step-c)'!$" &amp; 'SpxSp (step-c)'!$AC$16 &amp; DM$72),"")</f>
        <v/>
      </c>
      <c r="DO101" s="1246" t="s">
        <v>1200</v>
      </c>
    </row>
    <row r="102" spans="26:119" ht="20" x14ac:dyDescent="0.2">
      <c r="Z102" s="1317" t="str">
        <f t="shared" ref="Z102:AA102" si="70">Z47</f>
        <v/>
      </c>
      <c r="AA102" s="1317" t="str">
        <f t="shared" si="70"/>
        <v/>
      </c>
      <c r="BN102" s="178">
        <v>30</v>
      </c>
      <c r="BO102" s="1316" t="str">
        <f t="shared" ca="1" si="43"/>
        <v/>
      </c>
      <c r="BP102" s="1317" t="str">
        <f ca="1">IF(INDIRECT("'SpxSp (step-c)'!$B" &amp; BP$72)=$Z102,INDIRECT("'SpxSp (step-c)'!$" &amp; 'SpxSp (step-c)'!$AC$16 &amp; BP$72),"")</f>
        <v/>
      </c>
      <c r="BQ102" s="1317" t="str">
        <f ca="1">IF(INDIRECT("'SpxSp (step-c)'!$B" &amp; BQ$72)=$Z102,INDIRECT("'SpxSp (step-c)'!$" &amp; 'SpxSp (step-c)'!$AC$16 &amp; BQ$72),"")</f>
        <v/>
      </c>
      <c r="BR102" s="1317" t="str">
        <f ca="1">IF(INDIRECT("'SpxSp (step-c)'!$B" &amp; BR$72)=$Z102,INDIRECT("'SpxSp (step-c)'!$" &amp; 'SpxSp (step-c)'!$AC$16 &amp; BR$72),"")</f>
        <v/>
      </c>
      <c r="BS102" s="1317" t="str">
        <f ca="1">IF(INDIRECT("'SpxSp (step-c)'!$B" &amp; BS$72)=$Z102,INDIRECT("'SpxSp (step-c)'!$" &amp; 'SpxSp (step-c)'!$AC$16 &amp; BS$72),"")</f>
        <v/>
      </c>
      <c r="BT102" s="1317" t="str">
        <f ca="1">IF(INDIRECT("'SpxSp (step-c)'!$B" &amp; BT$72)=$Z102,INDIRECT("'SpxSp (step-c)'!$" &amp; 'SpxSp (step-c)'!$AC$16 &amp; BT$72),"")</f>
        <v/>
      </c>
      <c r="BU102" s="1317" t="str">
        <f ca="1">IF(INDIRECT("'SpxSp (step-c)'!$B" &amp; BU$72)=$Z102,INDIRECT("'SpxSp (step-c)'!$" &amp; 'SpxSp (step-c)'!$AC$16 &amp; BU$72),"")</f>
        <v/>
      </c>
      <c r="BV102" s="1317" t="str">
        <f ca="1">IF(INDIRECT("'SpxSp (step-c)'!$B" &amp; BV$72)=$Z102,INDIRECT("'SpxSp (step-c)'!$" &amp; 'SpxSp (step-c)'!$AC$16 &amp; BV$72),"")</f>
        <v/>
      </c>
      <c r="BW102" s="1317" t="str">
        <f ca="1">IF(INDIRECT("'SpxSp (step-c)'!$B" &amp; BW$72)=$Z102,INDIRECT("'SpxSp (step-c)'!$" &amp; 'SpxSp (step-c)'!$AC$16 &amp; BW$72),"")</f>
        <v/>
      </c>
      <c r="BX102" s="1317" t="str">
        <f ca="1">IF(INDIRECT("'SpxSp (step-c)'!$B" &amp; BX$72)=$Z102,INDIRECT("'SpxSp (step-c)'!$" &amp; 'SpxSp (step-c)'!$AC$16 &amp; BX$72),"")</f>
        <v/>
      </c>
      <c r="BY102" s="1317" t="str">
        <f ca="1">IF(INDIRECT("'SpxSp (step-c)'!$B" &amp; BY$72)=$Z102,INDIRECT("'SpxSp (step-c)'!$" &amp; 'SpxSp (step-c)'!$AC$16 &amp; BY$72),"")</f>
        <v/>
      </c>
      <c r="BZ102" s="1317" t="str">
        <f ca="1">IF(INDIRECT("'SpxSp (step-c)'!$B" &amp; BZ$72)=$Z102,INDIRECT("'SpxSp (step-c)'!$" &amp; 'SpxSp (step-c)'!$AC$16 &amp; BZ$72),"")</f>
        <v/>
      </c>
      <c r="CA102" s="1317" t="str">
        <f ca="1">IF(INDIRECT("'SpxSp (step-c)'!$B" &amp; CA$72)=$Z102,INDIRECT("'SpxSp (step-c)'!$" &amp; 'SpxSp (step-c)'!$AC$16 &amp; CA$72),"")</f>
        <v/>
      </c>
      <c r="CB102" s="1317" t="str">
        <f ca="1">IF(INDIRECT("'SpxSp (step-c)'!$B" &amp; CB$72)=$Z102,INDIRECT("'SpxSp (step-c)'!$" &amp; 'SpxSp (step-c)'!$AC$16 &amp; CB$72),"")</f>
        <v/>
      </c>
      <c r="CC102" s="1317" t="str">
        <f ca="1">IF(INDIRECT("'SpxSp (step-c)'!$B" &amp; CC$72)=$Z102,INDIRECT("'SpxSp (step-c)'!$" &amp; 'SpxSp (step-c)'!$AC$16 &amp; CC$72),"")</f>
        <v/>
      </c>
      <c r="CD102" s="1317" t="str">
        <f ca="1">IF(INDIRECT("'SpxSp (step-c)'!$B" &amp; CD$72)=$Z102,INDIRECT("'SpxSp (step-c)'!$" &amp; 'SpxSp (step-c)'!$AC$16 &amp; CD$72),"")</f>
        <v/>
      </c>
      <c r="CE102" s="1317" t="str">
        <f ca="1">IF(INDIRECT("'SpxSp (step-c)'!$B" &amp; CE$72)=$Z102,INDIRECT("'SpxSp (step-c)'!$" &amp; 'SpxSp (step-c)'!$AC$16 &amp; CE$72),"")</f>
        <v/>
      </c>
      <c r="CF102" s="1317" t="str">
        <f ca="1">IF(INDIRECT("'SpxSp (step-c)'!$B" &amp; CF$72)=$Z102,INDIRECT("'SpxSp (step-c)'!$" &amp; 'SpxSp (step-c)'!$AC$16 &amp; CF$72),"")</f>
        <v/>
      </c>
      <c r="CG102" s="1317" t="str">
        <f ca="1">IF(INDIRECT("'SpxSp (step-c)'!$B" &amp; CG$72)=$Z102,INDIRECT("'SpxSp (step-c)'!$" &amp; 'SpxSp (step-c)'!$AC$16 &amp; CG$72),"")</f>
        <v/>
      </c>
      <c r="CH102" s="1317" t="str">
        <f ca="1">IF(INDIRECT("'SpxSp (step-c)'!$B" &amp; CH$72)=$Z102,INDIRECT("'SpxSp (step-c)'!$" &amp; 'SpxSp (step-c)'!$AC$16 &amp; CH$72),"")</f>
        <v/>
      </c>
      <c r="CI102" s="1317" t="str">
        <f ca="1">IF(INDIRECT("'SpxSp (step-c)'!$B" &amp; CI$72)=$Z102,INDIRECT("'SpxSp (step-c)'!$" &amp; 'SpxSp (step-c)'!$AC$16 &amp; CI$72),"")</f>
        <v/>
      </c>
      <c r="CJ102" s="1317" t="str">
        <f ca="1">IF(INDIRECT("'SpxSp (step-c)'!$B" &amp; CJ$72)=$Z102,INDIRECT("'SpxSp (step-c)'!$" &amp; 'SpxSp (step-c)'!$AC$16 &amp; CJ$72),"")</f>
        <v/>
      </c>
      <c r="CK102" s="1317" t="str">
        <f ca="1">IF(INDIRECT("'SpxSp (step-c)'!$B" &amp; CK$72)=$Z102,INDIRECT("'SpxSp (step-c)'!$" &amp; 'SpxSp (step-c)'!$AC$16 &amp; CK$72),"")</f>
        <v/>
      </c>
      <c r="CL102" s="1317" t="str">
        <f ca="1">IF(INDIRECT("'SpxSp (step-c)'!$B" &amp; CL$72)=$Z102,INDIRECT("'SpxSp (step-c)'!$" &amp; 'SpxSp (step-c)'!$AC$16 &amp; CL$72),"")</f>
        <v/>
      </c>
      <c r="CM102" s="1317" t="str">
        <f ca="1">IF(INDIRECT("'SpxSp (step-c)'!$B" &amp; CM$72)=$Z102,INDIRECT("'SpxSp (step-c)'!$" &amp; 'SpxSp (step-c)'!$AC$16 &amp; CM$72),"")</f>
        <v/>
      </c>
      <c r="CN102" s="1317" t="str">
        <f ca="1">IF(INDIRECT("'SpxSp (step-c)'!$B" &amp; CN$72)=$Z102,INDIRECT("'SpxSp (step-c)'!$" &amp; 'SpxSp (step-c)'!$AC$16 &amp; CN$72),"")</f>
        <v/>
      </c>
      <c r="CO102" s="1317" t="str">
        <f ca="1">IF(INDIRECT("'SpxSp (step-c)'!$B" &amp; CO$72)=$Z102,INDIRECT("'SpxSp (step-c)'!$" &amp; 'SpxSp (step-c)'!$AC$16 &amp; CO$72),"")</f>
        <v/>
      </c>
      <c r="CP102" s="1317" t="str">
        <f ca="1">IF(INDIRECT("'SpxSp (step-c)'!$B" &amp; CP$72)=$Z102,INDIRECT("'SpxSp (step-c)'!$" &amp; 'SpxSp (step-c)'!$AC$16 &amp; CP$72),"")</f>
        <v/>
      </c>
      <c r="CQ102" s="1317" t="str">
        <f ca="1">IF(INDIRECT("'SpxSp (step-c)'!$B" &amp; CQ$72)=$Z102,INDIRECT("'SpxSp (step-c)'!$" &amp; 'SpxSp (step-c)'!$AC$16 &amp; CQ$72),"")</f>
        <v/>
      </c>
      <c r="CR102" s="1317" t="str">
        <f ca="1">IF(INDIRECT("'SpxSp (step-c)'!$B" &amp; CR$72)=$Z102,INDIRECT("'SpxSp (step-c)'!$" &amp; 'SpxSp (step-c)'!$AC$16 &amp; CR$72),"")</f>
        <v/>
      </c>
      <c r="CS102" s="1317" t="str">
        <f ca="1">IF(INDIRECT("'SpxSp (step-c)'!$B" &amp; CS$72)=$Z102,INDIRECT("'SpxSp (step-c)'!$" &amp; 'SpxSp (step-c)'!$AC$16 &amp; CS$72),"")</f>
        <v/>
      </c>
      <c r="CT102" s="1317" t="str">
        <f ca="1">IF(INDIRECT("'SpxSp (step-c)'!$B" &amp; CT$72)=$Z102,INDIRECT("'SpxSp (step-c)'!$" &amp; 'SpxSp (step-c)'!$AC$16 &amp; CT$72),"")</f>
        <v/>
      </c>
      <c r="CU102" s="1317" t="str">
        <f ca="1">IF(INDIRECT("'SpxSp (step-c)'!$B" &amp; CU$72)=$Z102,INDIRECT("'SpxSp (step-c)'!$" &amp; 'SpxSp (step-c)'!$AC$16 &amp; CU$72),"")</f>
        <v/>
      </c>
      <c r="CV102" s="1317" t="str">
        <f ca="1">IF(INDIRECT("'SpxSp (step-c)'!$B" &amp; CV$72)=$Z102,INDIRECT("'SpxSp (step-c)'!$" &amp; 'SpxSp (step-c)'!$AC$16 &amp; CV$72),"")</f>
        <v/>
      </c>
      <c r="CW102" s="1317" t="str">
        <f ca="1">IF(INDIRECT("'SpxSp (step-c)'!$B" &amp; CW$72)=$Z102,INDIRECT("'SpxSp (step-c)'!$" &amp; 'SpxSp (step-c)'!$AC$16 &amp; CW$72),"")</f>
        <v/>
      </c>
      <c r="CX102" s="1317" t="str">
        <f ca="1">IF(INDIRECT("'SpxSp (step-c)'!$B" &amp; CX$72)=$Z102,INDIRECT("'SpxSp (step-c)'!$" &amp; 'SpxSp (step-c)'!$AC$16 &amp; CX$72),"")</f>
        <v/>
      </c>
      <c r="CY102" s="1317" t="str">
        <f ca="1">IF(INDIRECT("'SpxSp (step-c)'!$B" &amp; CY$72)=$Z102,INDIRECT("'SpxSp (step-c)'!$" &amp; 'SpxSp (step-c)'!$AC$16 &amp; CY$72),"")</f>
        <v/>
      </c>
      <c r="CZ102" s="1317" t="str">
        <f ca="1">IF(INDIRECT("'SpxSp (step-c)'!$B" &amp; CZ$72)=$Z102,INDIRECT("'SpxSp (step-c)'!$" &amp; 'SpxSp (step-c)'!$AC$16 &amp; CZ$72),"")</f>
        <v/>
      </c>
      <c r="DA102" s="1317" t="str">
        <f ca="1">IF(INDIRECT("'SpxSp (step-c)'!$B" &amp; DA$72)=$Z102,INDIRECT("'SpxSp (step-c)'!$" &amp; 'SpxSp (step-c)'!$AC$16 &amp; DA$72),"")</f>
        <v/>
      </c>
      <c r="DB102" s="1317" t="str">
        <f ca="1">IF(INDIRECT("'SpxSp (step-c)'!$B" &amp; DB$72)=$Z102,INDIRECT("'SpxSp (step-c)'!$" &amp; 'SpxSp (step-c)'!$AC$16 &amp; DB$72),"")</f>
        <v/>
      </c>
      <c r="DC102" s="1317" t="str">
        <f ca="1">IF(INDIRECT("'SpxSp (step-c)'!$B" &amp; DC$72)=$Z102,INDIRECT("'SpxSp (step-c)'!$" &amp; 'SpxSp (step-c)'!$AC$16 &amp; DC$72),"")</f>
        <v/>
      </c>
      <c r="DD102" s="1317" t="str">
        <f ca="1">IF(INDIRECT("'SpxSp (step-c)'!$B" &amp; DD$72)=$Z102,INDIRECT("'SpxSp (step-c)'!$" &amp; 'SpxSp (step-c)'!$AC$16 &amp; DD$72),"")</f>
        <v/>
      </c>
      <c r="DE102" s="1317" t="str">
        <f ca="1">IF(INDIRECT("'SpxSp (step-c)'!$B" &amp; DE$72)=$Z102,INDIRECT("'SpxSp (step-c)'!$" &amp; 'SpxSp (step-c)'!$AC$16 &amp; DE$72),"")</f>
        <v/>
      </c>
      <c r="DF102" s="1317" t="str">
        <f ca="1">IF(INDIRECT("'SpxSp (step-c)'!$B" &amp; DF$72)=$Z102,INDIRECT("'SpxSp (step-c)'!$" &amp; 'SpxSp (step-c)'!$AC$16 &amp; DF$72),"")</f>
        <v/>
      </c>
      <c r="DG102" s="1317" t="str">
        <f ca="1">IF(INDIRECT("'SpxSp (step-c)'!$B" &amp; DG$72)=$Z102,INDIRECT("'SpxSp (step-c)'!$" &amp; 'SpxSp (step-c)'!$AC$16 &amp; DG$72),"")</f>
        <v/>
      </c>
      <c r="DH102" s="1317" t="str">
        <f ca="1">IF(INDIRECT("'SpxSp (step-c)'!$B" &amp; DH$72)=$Z102,INDIRECT("'SpxSp (step-c)'!$" &amp; 'SpxSp (step-c)'!$AC$16 &amp; DH$72),"")</f>
        <v/>
      </c>
      <c r="DI102" s="1317" t="str">
        <f ca="1">IF(INDIRECT("'SpxSp (step-c)'!$B" &amp; DI$72)=$Z102,INDIRECT("'SpxSp (step-c)'!$" &amp; 'SpxSp (step-c)'!$AC$16 &amp; DI$72),"")</f>
        <v/>
      </c>
      <c r="DJ102" s="1317" t="str">
        <f ca="1">IF(INDIRECT("'SpxSp (step-c)'!$B" &amp; DJ$72)=$Z102,INDIRECT("'SpxSp (step-c)'!$" &amp; 'SpxSp (step-c)'!$AC$16 &amp; DJ$72),"")</f>
        <v/>
      </c>
      <c r="DK102" s="1317" t="str">
        <f ca="1">IF(INDIRECT("'SpxSp (step-c)'!$B" &amp; DK$72)=$Z102,INDIRECT("'SpxSp (step-c)'!$" &amp; 'SpxSp (step-c)'!$AC$16 &amp; DK$72),"")</f>
        <v/>
      </c>
      <c r="DL102" s="1317" t="str">
        <f ca="1">IF(INDIRECT("'SpxSp (step-c)'!$B" &amp; DL$72)=$Z102,INDIRECT("'SpxSp (step-c)'!$" &amp; 'SpxSp (step-c)'!$AC$16 &amp; DL$72),"")</f>
        <v/>
      </c>
      <c r="DM102" s="1317" t="str">
        <f ca="1">IF(INDIRECT("'SpxSp (step-c)'!$B" &amp; DM$72)=$Z102,INDIRECT("'SpxSp (step-c)'!$" &amp; 'SpxSp (step-c)'!$AC$16 &amp; DM$72),"")</f>
        <v/>
      </c>
      <c r="DO102" s="1246" t="s">
        <v>1200</v>
      </c>
    </row>
    <row r="103" spans="26:119" ht="20" x14ac:dyDescent="0.2">
      <c r="Z103" s="1317" t="str">
        <f t="shared" ref="Z103:AA103" si="71">Z48</f>
        <v/>
      </c>
      <c r="AA103" s="1317" t="str">
        <f t="shared" si="71"/>
        <v/>
      </c>
      <c r="BN103" s="178">
        <v>31</v>
      </c>
      <c r="BO103" s="1316" t="str">
        <f t="shared" ca="1" si="43"/>
        <v/>
      </c>
      <c r="BP103" s="1317" t="str">
        <f ca="1">IF(INDIRECT("'SpxSp (step-c)'!$B" &amp; BP$72)=$Z103,INDIRECT("'SpxSp (step-c)'!$" &amp; 'SpxSp (step-c)'!$AC$16 &amp; BP$72),"")</f>
        <v/>
      </c>
      <c r="BQ103" s="1317" t="str">
        <f ca="1">IF(INDIRECT("'SpxSp (step-c)'!$B" &amp; BQ$72)=$Z103,INDIRECT("'SpxSp (step-c)'!$" &amp; 'SpxSp (step-c)'!$AC$16 &amp; BQ$72),"")</f>
        <v/>
      </c>
      <c r="BR103" s="1317" t="str">
        <f ca="1">IF(INDIRECT("'SpxSp (step-c)'!$B" &amp; BR$72)=$Z103,INDIRECT("'SpxSp (step-c)'!$" &amp; 'SpxSp (step-c)'!$AC$16 &amp; BR$72),"")</f>
        <v/>
      </c>
      <c r="BS103" s="1317" t="str">
        <f ca="1">IF(INDIRECT("'SpxSp (step-c)'!$B" &amp; BS$72)=$Z103,INDIRECT("'SpxSp (step-c)'!$" &amp; 'SpxSp (step-c)'!$AC$16 &amp; BS$72),"")</f>
        <v/>
      </c>
      <c r="BT103" s="1317" t="str">
        <f ca="1">IF(INDIRECT("'SpxSp (step-c)'!$B" &amp; BT$72)=$Z103,INDIRECT("'SpxSp (step-c)'!$" &amp; 'SpxSp (step-c)'!$AC$16 &amp; BT$72),"")</f>
        <v/>
      </c>
      <c r="BU103" s="1317" t="str">
        <f ca="1">IF(INDIRECT("'SpxSp (step-c)'!$B" &amp; BU$72)=$Z103,INDIRECT("'SpxSp (step-c)'!$" &amp; 'SpxSp (step-c)'!$AC$16 &amp; BU$72),"")</f>
        <v/>
      </c>
      <c r="BV103" s="1317" t="str">
        <f ca="1">IF(INDIRECT("'SpxSp (step-c)'!$B" &amp; BV$72)=$Z103,INDIRECT("'SpxSp (step-c)'!$" &amp; 'SpxSp (step-c)'!$AC$16 &amp; BV$72),"")</f>
        <v/>
      </c>
      <c r="BW103" s="1317" t="str">
        <f ca="1">IF(INDIRECT("'SpxSp (step-c)'!$B" &amp; BW$72)=$Z103,INDIRECT("'SpxSp (step-c)'!$" &amp; 'SpxSp (step-c)'!$AC$16 &amp; BW$72),"")</f>
        <v/>
      </c>
      <c r="BX103" s="1317" t="str">
        <f ca="1">IF(INDIRECT("'SpxSp (step-c)'!$B" &amp; BX$72)=$Z103,INDIRECT("'SpxSp (step-c)'!$" &amp; 'SpxSp (step-c)'!$AC$16 &amp; BX$72),"")</f>
        <v/>
      </c>
      <c r="BY103" s="1317" t="str">
        <f ca="1">IF(INDIRECT("'SpxSp (step-c)'!$B" &amp; BY$72)=$Z103,INDIRECT("'SpxSp (step-c)'!$" &amp; 'SpxSp (step-c)'!$AC$16 &amp; BY$72),"")</f>
        <v/>
      </c>
      <c r="BZ103" s="1317" t="str">
        <f ca="1">IF(INDIRECT("'SpxSp (step-c)'!$B" &amp; BZ$72)=$Z103,INDIRECT("'SpxSp (step-c)'!$" &amp; 'SpxSp (step-c)'!$AC$16 &amp; BZ$72),"")</f>
        <v/>
      </c>
      <c r="CA103" s="1317" t="str">
        <f ca="1">IF(INDIRECT("'SpxSp (step-c)'!$B" &amp; CA$72)=$Z103,INDIRECT("'SpxSp (step-c)'!$" &amp; 'SpxSp (step-c)'!$AC$16 &amp; CA$72),"")</f>
        <v/>
      </c>
      <c r="CB103" s="1317" t="str">
        <f ca="1">IF(INDIRECT("'SpxSp (step-c)'!$B" &amp; CB$72)=$Z103,INDIRECT("'SpxSp (step-c)'!$" &amp; 'SpxSp (step-c)'!$AC$16 &amp; CB$72),"")</f>
        <v/>
      </c>
      <c r="CC103" s="1317" t="str">
        <f ca="1">IF(INDIRECT("'SpxSp (step-c)'!$B" &amp; CC$72)=$Z103,INDIRECT("'SpxSp (step-c)'!$" &amp; 'SpxSp (step-c)'!$AC$16 &amp; CC$72),"")</f>
        <v/>
      </c>
      <c r="CD103" s="1317" t="str">
        <f ca="1">IF(INDIRECT("'SpxSp (step-c)'!$B" &amp; CD$72)=$Z103,INDIRECT("'SpxSp (step-c)'!$" &amp; 'SpxSp (step-c)'!$AC$16 &amp; CD$72),"")</f>
        <v/>
      </c>
      <c r="CE103" s="1317" t="str">
        <f ca="1">IF(INDIRECT("'SpxSp (step-c)'!$B" &amp; CE$72)=$Z103,INDIRECT("'SpxSp (step-c)'!$" &amp; 'SpxSp (step-c)'!$AC$16 &amp; CE$72),"")</f>
        <v/>
      </c>
      <c r="CF103" s="1317" t="str">
        <f ca="1">IF(INDIRECT("'SpxSp (step-c)'!$B" &amp; CF$72)=$Z103,INDIRECT("'SpxSp (step-c)'!$" &amp; 'SpxSp (step-c)'!$AC$16 &amp; CF$72),"")</f>
        <v/>
      </c>
      <c r="CG103" s="1317" t="str">
        <f ca="1">IF(INDIRECT("'SpxSp (step-c)'!$B" &amp; CG$72)=$Z103,INDIRECT("'SpxSp (step-c)'!$" &amp; 'SpxSp (step-c)'!$AC$16 &amp; CG$72),"")</f>
        <v/>
      </c>
      <c r="CH103" s="1317" t="str">
        <f ca="1">IF(INDIRECT("'SpxSp (step-c)'!$B" &amp; CH$72)=$Z103,INDIRECT("'SpxSp (step-c)'!$" &amp; 'SpxSp (step-c)'!$AC$16 &amp; CH$72),"")</f>
        <v/>
      </c>
      <c r="CI103" s="1317" t="str">
        <f ca="1">IF(INDIRECT("'SpxSp (step-c)'!$B" &amp; CI$72)=$Z103,INDIRECT("'SpxSp (step-c)'!$" &amp; 'SpxSp (step-c)'!$AC$16 &amp; CI$72),"")</f>
        <v/>
      </c>
      <c r="CJ103" s="1317" t="str">
        <f ca="1">IF(INDIRECT("'SpxSp (step-c)'!$B" &amp; CJ$72)=$Z103,INDIRECT("'SpxSp (step-c)'!$" &amp; 'SpxSp (step-c)'!$AC$16 &amp; CJ$72),"")</f>
        <v/>
      </c>
      <c r="CK103" s="1317" t="str">
        <f ca="1">IF(INDIRECT("'SpxSp (step-c)'!$B" &amp; CK$72)=$Z103,INDIRECT("'SpxSp (step-c)'!$" &amp; 'SpxSp (step-c)'!$AC$16 &amp; CK$72),"")</f>
        <v/>
      </c>
      <c r="CL103" s="1317" t="str">
        <f ca="1">IF(INDIRECT("'SpxSp (step-c)'!$B" &amp; CL$72)=$Z103,INDIRECT("'SpxSp (step-c)'!$" &amp; 'SpxSp (step-c)'!$AC$16 &amp; CL$72),"")</f>
        <v/>
      </c>
      <c r="CM103" s="1317" t="str">
        <f ca="1">IF(INDIRECT("'SpxSp (step-c)'!$B" &amp; CM$72)=$Z103,INDIRECT("'SpxSp (step-c)'!$" &amp; 'SpxSp (step-c)'!$AC$16 &amp; CM$72),"")</f>
        <v/>
      </c>
      <c r="CN103" s="1317" t="str">
        <f ca="1">IF(INDIRECT("'SpxSp (step-c)'!$B" &amp; CN$72)=$Z103,INDIRECT("'SpxSp (step-c)'!$" &amp; 'SpxSp (step-c)'!$AC$16 &amp; CN$72),"")</f>
        <v/>
      </c>
      <c r="CO103" s="1317" t="str">
        <f ca="1">IF(INDIRECT("'SpxSp (step-c)'!$B" &amp; CO$72)=$Z103,INDIRECT("'SpxSp (step-c)'!$" &amp; 'SpxSp (step-c)'!$AC$16 &amp; CO$72),"")</f>
        <v/>
      </c>
      <c r="CP103" s="1317" t="str">
        <f ca="1">IF(INDIRECT("'SpxSp (step-c)'!$B" &amp; CP$72)=$Z103,INDIRECT("'SpxSp (step-c)'!$" &amp; 'SpxSp (step-c)'!$AC$16 &amp; CP$72),"")</f>
        <v/>
      </c>
      <c r="CQ103" s="1317" t="str">
        <f ca="1">IF(INDIRECT("'SpxSp (step-c)'!$B" &amp; CQ$72)=$Z103,INDIRECT("'SpxSp (step-c)'!$" &amp; 'SpxSp (step-c)'!$AC$16 &amp; CQ$72),"")</f>
        <v/>
      </c>
      <c r="CR103" s="1317" t="str">
        <f ca="1">IF(INDIRECT("'SpxSp (step-c)'!$B" &amp; CR$72)=$Z103,INDIRECT("'SpxSp (step-c)'!$" &amp; 'SpxSp (step-c)'!$AC$16 &amp; CR$72),"")</f>
        <v/>
      </c>
      <c r="CS103" s="1317" t="str">
        <f ca="1">IF(INDIRECT("'SpxSp (step-c)'!$B" &amp; CS$72)=$Z103,INDIRECT("'SpxSp (step-c)'!$" &amp; 'SpxSp (step-c)'!$AC$16 &amp; CS$72),"")</f>
        <v/>
      </c>
      <c r="CT103" s="1317" t="str">
        <f ca="1">IF(INDIRECT("'SpxSp (step-c)'!$B" &amp; CT$72)=$Z103,INDIRECT("'SpxSp (step-c)'!$" &amp; 'SpxSp (step-c)'!$AC$16 &amp; CT$72),"")</f>
        <v/>
      </c>
      <c r="CU103" s="1317" t="str">
        <f ca="1">IF(INDIRECT("'SpxSp (step-c)'!$B" &amp; CU$72)=$Z103,INDIRECT("'SpxSp (step-c)'!$" &amp; 'SpxSp (step-c)'!$AC$16 &amp; CU$72),"")</f>
        <v/>
      </c>
      <c r="CV103" s="1317" t="str">
        <f ca="1">IF(INDIRECT("'SpxSp (step-c)'!$B" &amp; CV$72)=$Z103,INDIRECT("'SpxSp (step-c)'!$" &amp; 'SpxSp (step-c)'!$AC$16 &amp; CV$72),"")</f>
        <v/>
      </c>
      <c r="CW103" s="1317" t="str">
        <f ca="1">IF(INDIRECT("'SpxSp (step-c)'!$B" &amp; CW$72)=$Z103,INDIRECT("'SpxSp (step-c)'!$" &amp; 'SpxSp (step-c)'!$AC$16 &amp; CW$72),"")</f>
        <v/>
      </c>
      <c r="CX103" s="1317" t="str">
        <f ca="1">IF(INDIRECT("'SpxSp (step-c)'!$B" &amp; CX$72)=$Z103,INDIRECT("'SpxSp (step-c)'!$" &amp; 'SpxSp (step-c)'!$AC$16 &amp; CX$72),"")</f>
        <v/>
      </c>
      <c r="CY103" s="1317" t="str">
        <f ca="1">IF(INDIRECT("'SpxSp (step-c)'!$B" &amp; CY$72)=$Z103,INDIRECT("'SpxSp (step-c)'!$" &amp; 'SpxSp (step-c)'!$AC$16 &amp; CY$72),"")</f>
        <v/>
      </c>
      <c r="CZ103" s="1317" t="str">
        <f ca="1">IF(INDIRECT("'SpxSp (step-c)'!$B" &amp; CZ$72)=$Z103,INDIRECT("'SpxSp (step-c)'!$" &amp; 'SpxSp (step-c)'!$AC$16 &amp; CZ$72),"")</f>
        <v/>
      </c>
      <c r="DA103" s="1317" t="str">
        <f ca="1">IF(INDIRECT("'SpxSp (step-c)'!$B" &amp; DA$72)=$Z103,INDIRECT("'SpxSp (step-c)'!$" &amp; 'SpxSp (step-c)'!$AC$16 &amp; DA$72),"")</f>
        <v/>
      </c>
      <c r="DB103" s="1317" t="str">
        <f ca="1">IF(INDIRECT("'SpxSp (step-c)'!$B" &amp; DB$72)=$Z103,INDIRECT("'SpxSp (step-c)'!$" &amp; 'SpxSp (step-c)'!$AC$16 &amp; DB$72),"")</f>
        <v/>
      </c>
      <c r="DC103" s="1317" t="str">
        <f ca="1">IF(INDIRECT("'SpxSp (step-c)'!$B" &amp; DC$72)=$Z103,INDIRECT("'SpxSp (step-c)'!$" &amp; 'SpxSp (step-c)'!$AC$16 &amp; DC$72),"")</f>
        <v/>
      </c>
      <c r="DD103" s="1317" t="str">
        <f ca="1">IF(INDIRECT("'SpxSp (step-c)'!$B" &amp; DD$72)=$Z103,INDIRECT("'SpxSp (step-c)'!$" &amp; 'SpxSp (step-c)'!$AC$16 &amp; DD$72),"")</f>
        <v/>
      </c>
      <c r="DE103" s="1317" t="str">
        <f ca="1">IF(INDIRECT("'SpxSp (step-c)'!$B" &amp; DE$72)=$Z103,INDIRECT("'SpxSp (step-c)'!$" &amp; 'SpxSp (step-c)'!$AC$16 &amp; DE$72),"")</f>
        <v/>
      </c>
      <c r="DF103" s="1317" t="str">
        <f ca="1">IF(INDIRECT("'SpxSp (step-c)'!$B" &amp; DF$72)=$Z103,INDIRECT("'SpxSp (step-c)'!$" &amp; 'SpxSp (step-c)'!$AC$16 &amp; DF$72),"")</f>
        <v/>
      </c>
      <c r="DG103" s="1317" t="str">
        <f ca="1">IF(INDIRECT("'SpxSp (step-c)'!$B" &amp; DG$72)=$Z103,INDIRECT("'SpxSp (step-c)'!$" &amp; 'SpxSp (step-c)'!$AC$16 &amp; DG$72),"")</f>
        <v/>
      </c>
      <c r="DH103" s="1317" t="str">
        <f ca="1">IF(INDIRECT("'SpxSp (step-c)'!$B" &amp; DH$72)=$Z103,INDIRECT("'SpxSp (step-c)'!$" &amp; 'SpxSp (step-c)'!$AC$16 &amp; DH$72),"")</f>
        <v/>
      </c>
      <c r="DI103" s="1317" t="str">
        <f ca="1">IF(INDIRECT("'SpxSp (step-c)'!$B" &amp; DI$72)=$Z103,INDIRECT("'SpxSp (step-c)'!$" &amp; 'SpxSp (step-c)'!$AC$16 &amp; DI$72),"")</f>
        <v/>
      </c>
      <c r="DJ103" s="1317" t="str">
        <f ca="1">IF(INDIRECT("'SpxSp (step-c)'!$B" &amp; DJ$72)=$Z103,INDIRECT("'SpxSp (step-c)'!$" &amp; 'SpxSp (step-c)'!$AC$16 &amp; DJ$72),"")</f>
        <v/>
      </c>
      <c r="DK103" s="1317" t="str">
        <f ca="1">IF(INDIRECT("'SpxSp (step-c)'!$B" &amp; DK$72)=$Z103,INDIRECT("'SpxSp (step-c)'!$" &amp; 'SpxSp (step-c)'!$AC$16 &amp; DK$72),"")</f>
        <v/>
      </c>
      <c r="DL103" s="1317" t="str">
        <f ca="1">IF(INDIRECT("'SpxSp (step-c)'!$B" &amp; DL$72)=$Z103,INDIRECT("'SpxSp (step-c)'!$" &amp; 'SpxSp (step-c)'!$AC$16 &amp; DL$72),"")</f>
        <v/>
      </c>
      <c r="DM103" s="1317" t="str">
        <f ca="1">IF(INDIRECT("'SpxSp (step-c)'!$B" &amp; DM$72)=$Z103,INDIRECT("'SpxSp (step-c)'!$" &amp; 'SpxSp (step-c)'!$AC$16 &amp; DM$72),"")</f>
        <v/>
      </c>
      <c r="DO103" s="1246" t="s">
        <v>1200</v>
      </c>
    </row>
    <row r="104" spans="26:119" ht="20" x14ac:dyDescent="0.2">
      <c r="Z104" s="1317" t="str">
        <f t="shared" ref="Z104:AA104" si="72">Z49</f>
        <v/>
      </c>
      <c r="AA104" s="1317" t="str">
        <f t="shared" si="72"/>
        <v/>
      </c>
      <c r="BN104" s="178">
        <v>32</v>
      </c>
      <c r="BO104" s="1316" t="str">
        <f t="shared" ca="1" si="43"/>
        <v/>
      </c>
      <c r="BP104" s="1317" t="str">
        <f ca="1">IF(INDIRECT("'SpxSp (step-c)'!$B" &amp; BP$72)=$Z104,INDIRECT("'SpxSp (step-c)'!$" &amp; 'SpxSp (step-c)'!$AC$16 &amp; BP$72),"")</f>
        <v/>
      </c>
      <c r="BQ104" s="1317" t="str">
        <f ca="1">IF(INDIRECT("'SpxSp (step-c)'!$B" &amp; BQ$72)=$Z104,INDIRECT("'SpxSp (step-c)'!$" &amp; 'SpxSp (step-c)'!$AC$16 &amp; BQ$72),"")</f>
        <v/>
      </c>
      <c r="BR104" s="1317" t="str">
        <f ca="1">IF(INDIRECT("'SpxSp (step-c)'!$B" &amp; BR$72)=$Z104,INDIRECT("'SpxSp (step-c)'!$" &amp; 'SpxSp (step-c)'!$AC$16 &amp; BR$72),"")</f>
        <v/>
      </c>
      <c r="BS104" s="1317" t="str">
        <f ca="1">IF(INDIRECT("'SpxSp (step-c)'!$B" &amp; BS$72)=$Z104,INDIRECT("'SpxSp (step-c)'!$" &amp; 'SpxSp (step-c)'!$AC$16 &amp; BS$72),"")</f>
        <v/>
      </c>
      <c r="BT104" s="1317" t="str">
        <f ca="1">IF(INDIRECT("'SpxSp (step-c)'!$B" &amp; BT$72)=$Z104,INDIRECT("'SpxSp (step-c)'!$" &amp; 'SpxSp (step-c)'!$AC$16 &amp; BT$72),"")</f>
        <v/>
      </c>
      <c r="BU104" s="1317" t="str">
        <f ca="1">IF(INDIRECT("'SpxSp (step-c)'!$B" &amp; BU$72)=$Z104,INDIRECT("'SpxSp (step-c)'!$" &amp; 'SpxSp (step-c)'!$AC$16 &amp; BU$72),"")</f>
        <v/>
      </c>
      <c r="BV104" s="1317" t="str">
        <f ca="1">IF(INDIRECT("'SpxSp (step-c)'!$B" &amp; BV$72)=$Z104,INDIRECT("'SpxSp (step-c)'!$" &amp; 'SpxSp (step-c)'!$AC$16 &amp; BV$72),"")</f>
        <v/>
      </c>
      <c r="BW104" s="1317" t="str">
        <f ca="1">IF(INDIRECT("'SpxSp (step-c)'!$B" &amp; BW$72)=$Z104,INDIRECT("'SpxSp (step-c)'!$" &amp; 'SpxSp (step-c)'!$AC$16 &amp; BW$72),"")</f>
        <v/>
      </c>
      <c r="BX104" s="1317" t="str">
        <f ca="1">IF(INDIRECT("'SpxSp (step-c)'!$B" &amp; BX$72)=$Z104,INDIRECT("'SpxSp (step-c)'!$" &amp; 'SpxSp (step-c)'!$AC$16 &amp; BX$72),"")</f>
        <v/>
      </c>
      <c r="BY104" s="1317" t="str">
        <f ca="1">IF(INDIRECT("'SpxSp (step-c)'!$B" &amp; BY$72)=$Z104,INDIRECT("'SpxSp (step-c)'!$" &amp; 'SpxSp (step-c)'!$AC$16 &amp; BY$72),"")</f>
        <v/>
      </c>
      <c r="BZ104" s="1317" t="str">
        <f ca="1">IF(INDIRECT("'SpxSp (step-c)'!$B" &amp; BZ$72)=$Z104,INDIRECT("'SpxSp (step-c)'!$" &amp; 'SpxSp (step-c)'!$AC$16 &amp; BZ$72),"")</f>
        <v/>
      </c>
      <c r="CA104" s="1317" t="str">
        <f ca="1">IF(INDIRECT("'SpxSp (step-c)'!$B" &amp; CA$72)=$Z104,INDIRECT("'SpxSp (step-c)'!$" &amp; 'SpxSp (step-c)'!$AC$16 &amp; CA$72),"")</f>
        <v/>
      </c>
      <c r="CB104" s="1317" t="str">
        <f ca="1">IF(INDIRECT("'SpxSp (step-c)'!$B" &amp; CB$72)=$Z104,INDIRECT("'SpxSp (step-c)'!$" &amp; 'SpxSp (step-c)'!$AC$16 &amp; CB$72),"")</f>
        <v/>
      </c>
      <c r="CC104" s="1317" t="str">
        <f ca="1">IF(INDIRECT("'SpxSp (step-c)'!$B" &amp; CC$72)=$Z104,INDIRECT("'SpxSp (step-c)'!$" &amp; 'SpxSp (step-c)'!$AC$16 &amp; CC$72),"")</f>
        <v/>
      </c>
      <c r="CD104" s="1317" t="str">
        <f ca="1">IF(INDIRECT("'SpxSp (step-c)'!$B" &amp; CD$72)=$Z104,INDIRECT("'SpxSp (step-c)'!$" &amp; 'SpxSp (step-c)'!$AC$16 &amp; CD$72),"")</f>
        <v/>
      </c>
      <c r="CE104" s="1317" t="str">
        <f ca="1">IF(INDIRECT("'SpxSp (step-c)'!$B" &amp; CE$72)=$Z104,INDIRECT("'SpxSp (step-c)'!$" &amp; 'SpxSp (step-c)'!$AC$16 &amp; CE$72),"")</f>
        <v/>
      </c>
      <c r="CF104" s="1317" t="str">
        <f ca="1">IF(INDIRECT("'SpxSp (step-c)'!$B" &amp; CF$72)=$Z104,INDIRECT("'SpxSp (step-c)'!$" &amp; 'SpxSp (step-c)'!$AC$16 &amp; CF$72),"")</f>
        <v/>
      </c>
      <c r="CG104" s="1317" t="str">
        <f ca="1">IF(INDIRECT("'SpxSp (step-c)'!$B" &amp; CG$72)=$Z104,INDIRECT("'SpxSp (step-c)'!$" &amp; 'SpxSp (step-c)'!$AC$16 &amp; CG$72),"")</f>
        <v/>
      </c>
      <c r="CH104" s="1317" t="str">
        <f ca="1">IF(INDIRECT("'SpxSp (step-c)'!$B" &amp; CH$72)=$Z104,INDIRECT("'SpxSp (step-c)'!$" &amp; 'SpxSp (step-c)'!$AC$16 &amp; CH$72),"")</f>
        <v/>
      </c>
      <c r="CI104" s="1317" t="str">
        <f ca="1">IF(INDIRECT("'SpxSp (step-c)'!$B" &amp; CI$72)=$Z104,INDIRECT("'SpxSp (step-c)'!$" &amp; 'SpxSp (step-c)'!$AC$16 &amp; CI$72),"")</f>
        <v/>
      </c>
      <c r="CJ104" s="1317" t="str">
        <f ca="1">IF(INDIRECT("'SpxSp (step-c)'!$B" &amp; CJ$72)=$Z104,INDIRECT("'SpxSp (step-c)'!$" &amp; 'SpxSp (step-c)'!$AC$16 &amp; CJ$72),"")</f>
        <v/>
      </c>
      <c r="CK104" s="1317" t="str">
        <f ca="1">IF(INDIRECT("'SpxSp (step-c)'!$B" &amp; CK$72)=$Z104,INDIRECT("'SpxSp (step-c)'!$" &amp; 'SpxSp (step-c)'!$AC$16 &amp; CK$72),"")</f>
        <v/>
      </c>
      <c r="CL104" s="1317" t="str">
        <f ca="1">IF(INDIRECT("'SpxSp (step-c)'!$B" &amp; CL$72)=$Z104,INDIRECT("'SpxSp (step-c)'!$" &amp; 'SpxSp (step-c)'!$AC$16 &amp; CL$72),"")</f>
        <v/>
      </c>
      <c r="CM104" s="1317" t="str">
        <f ca="1">IF(INDIRECT("'SpxSp (step-c)'!$B" &amp; CM$72)=$Z104,INDIRECT("'SpxSp (step-c)'!$" &amp; 'SpxSp (step-c)'!$AC$16 &amp; CM$72),"")</f>
        <v/>
      </c>
      <c r="CN104" s="1317" t="str">
        <f ca="1">IF(INDIRECT("'SpxSp (step-c)'!$B" &amp; CN$72)=$Z104,INDIRECT("'SpxSp (step-c)'!$" &amp; 'SpxSp (step-c)'!$AC$16 &amp; CN$72),"")</f>
        <v/>
      </c>
      <c r="CO104" s="1317" t="str">
        <f ca="1">IF(INDIRECT("'SpxSp (step-c)'!$B" &amp; CO$72)=$Z104,INDIRECT("'SpxSp (step-c)'!$" &amp; 'SpxSp (step-c)'!$AC$16 &amp; CO$72),"")</f>
        <v/>
      </c>
      <c r="CP104" s="1317" t="str">
        <f ca="1">IF(INDIRECT("'SpxSp (step-c)'!$B" &amp; CP$72)=$Z104,INDIRECT("'SpxSp (step-c)'!$" &amp; 'SpxSp (step-c)'!$AC$16 &amp; CP$72),"")</f>
        <v/>
      </c>
      <c r="CQ104" s="1317" t="str">
        <f ca="1">IF(INDIRECT("'SpxSp (step-c)'!$B" &amp; CQ$72)=$Z104,INDIRECT("'SpxSp (step-c)'!$" &amp; 'SpxSp (step-c)'!$AC$16 &amp; CQ$72),"")</f>
        <v/>
      </c>
      <c r="CR104" s="1317" t="str">
        <f ca="1">IF(INDIRECT("'SpxSp (step-c)'!$B" &amp; CR$72)=$Z104,INDIRECT("'SpxSp (step-c)'!$" &amp; 'SpxSp (step-c)'!$AC$16 &amp; CR$72),"")</f>
        <v/>
      </c>
      <c r="CS104" s="1317" t="str">
        <f ca="1">IF(INDIRECT("'SpxSp (step-c)'!$B" &amp; CS$72)=$Z104,INDIRECT("'SpxSp (step-c)'!$" &amp; 'SpxSp (step-c)'!$AC$16 &amp; CS$72),"")</f>
        <v/>
      </c>
      <c r="CT104" s="1317" t="str">
        <f ca="1">IF(INDIRECT("'SpxSp (step-c)'!$B" &amp; CT$72)=$Z104,INDIRECT("'SpxSp (step-c)'!$" &amp; 'SpxSp (step-c)'!$AC$16 &amp; CT$72),"")</f>
        <v/>
      </c>
      <c r="CU104" s="1317" t="str">
        <f ca="1">IF(INDIRECT("'SpxSp (step-c)'!$B" &amp; CU$72)=$Z104,INDIRECT("'SpxSp (step-c)'!$" &amp; 'SpxSp (step-c)'!$AC$16 &amp; CU$72),"")</f>
        <v/>
      </c>
      <c r="CV104" s="1317" t="str">
        <f ca="1">IF(INDIRECT("'SpxSp (step-c)'!$B" &amp; CV$72)=$Z104,INDIRECT("'SpxSp (step-c)'!$" &amp; 'SpxSp (step-c)'!$AC$16 &amp; CV$72),"")</f>
        <v/>
      </c>
      <c r="CW104" s="1317" t="str">
        <f ca="1">IF(INDIRECT("'SpxSp (step-c)'!$B" &amp; CW$72)=$Z104,INDIRECT("'SpxSp (step-c)'!$" &amp; 'SpxSp (step-c)'!$AC$16 &amp; CW$72),"")</f>
        <v/>
      </c>
      <c r="CX104" s="1317" t="str">
        <f ca="1">IF(INDIRECT("'SpxSp (step-c)'!$B" &amp; CX$72)=$Z104,INDIRECT("'SpxSp (step-c)'!$" &amp; 'SpxSp (step-c)'!$AC$16 &amp; CX$72),"")</f>
        <v/>
      </c>
      <c r="CY104" s="1317" t="str">
        <f ca="1">IF(INDIRECT("'SpxSp (step-c)'!$B" &amp; CY$72)=$Z104,INDIRECT("'SpxSp (step-c)'!$" &amp; 'SpxSp (step-c)'!$AC$16 &amp; CY$72),"")</f>
        <v/>
      </c>
      <c r="CZ104" s="1317" t="str">
        <f ca="1">IF(INDIRECT("'SpxSp (step-c)'!$B" &amp; CZ$72)=$Z104,INDIRECT("'SpxSp (step-c)'!$" &amp; 'SpxSp (step-c)'!$AC$16 &amp; CZ$72),"")</f>
        <v/>
      </c>
      <c r="DA104" s="1317" t="str">
        <f ca="1">IF(INDIRECT("'SpxSp (step-c)'!$B" &amp; DA$72)=$Z104,INDIRECT("'SpxSp (step-c)'!$" &amp; 'SpxSp (step-c)'!$AC$16 &amp; DA$72),"")</f>
        <v/>
      </c>
      <c r="DB104" s="1317" t="str">
        <f ca="1">IF(INDIRECT("'SpxSp (step-c)'!$B" &amp; DB$72)=$Z104,INDIRECT("'SpxSp (step-c)'!$" &amp; 'SpxSp (step-c)'!$AC$16 &amp; DB$72),"")</f>
        <v/>
      </c>
      <c r="DC104" s="1317" t="str">
        <f ca="1">IF(INDIRECT("'SpxSp (step-c)'!$B" &amp; DC$72)=$Z104,INDIRECT("'SpxSp (step-c)'!$" &amp; 'SpxSp (step-c)'!$AC$16 &amp; DC$72),"")</f>
        <v/>
      </c>
      <c r="DD104" s="1317" t="str">
        <f ca="1">IF(INDIRECT("'SpxSp (step-c)'!$B" &amp; DD$72)=$Z104,INDIRECT("'SpxSp (step-c)'!$" &amp; 'SpxSp (step-c)'!$AC$16 &amp; DD$72),"")</f>
        <v/>
      </c>
      <c r="DE104" s="1317" t="str">
        <f ca="1">IF(INDIRECT("'SpxSp (step-c)'!$B" &amp; DE$72)=$Z104,INDIRECT("'SpxSp (step-c)'!$" &amp; 'SpxSp (step-c)'!$AC$16 &amp; DE$72),"")</f>
        <v/>
      </c>
      <c r="DF104" s="1317" t="str">
        <f ca="1">IF(INDIRECT("'SpxSp (step-c)'!$B" &amp; DF$72)=$Z104,INDIRECT("'SpxSp (step-c)'!$" &amp; 'SpxSp (step-c)'!$AC$16 &amp; DF$72),"")</f>
        <v/>
      </c>
      <c r="DG104" s="1317" t="str">
        <f ca="1">IF(INDIRECT("'SpxSp (step-c)'!$B" &amp; DG$72)=$Z104,INDIRECT("'SpxSp (step-c)'!$" &amp; 'SpxSp (step-c)'!$AC$16 &amp; DG$72),"")</f>
        <v/>
      </c>
      <c r="DH104" s="1317" t="str">
        <f ca="1">IF(INDIRECT("'SpxSp (step-c)'!$B" &amp; DH$72)=$Z104,INDIRECT("'SpxSp (step-c)'!$" &amp; 'SpxSp (step-c)'!$AC$16 &amp; DH$72),"")</f>
        <v/>
      </c>
      <c r="DI104" s="1317" t="str">
        <f ca="1">IF(INDIRECT("'SpxSp (step-c)'!$B" &amp; DI$72)=$Z104,INDIRECT("'SpxSp (step-c)'!$" &amp; 'SpxSp (step-c)'!$AC$16 &amp; DI$72),"")</f>
        <v/>
      </c>
      <c r="DJ104" s="1317" t="str">
        <f ca="1">IF(INDIRECT("'SpxSp (step-c)'!$B" &amp; DJ$72)=$Z104,INDIRECT("'SpxSp (step-c)'!$" &amp; 'SpxSp (step-c)'!$AC$16 &amp; DJ$72),"")</f>
        <v/>
      </c>
      <c r="DK104" s="1317" t="str">
        <f ca="1">IF(INDIRECT("'SpxSp (step-c)'!$B" &amp; DK$72)=$Z104,INDIRECT("'SpxSp (step-c)'!$" &amp; 'SpxSp (step-c)'!$AC$16 &amp; DK$72),"")</f>
        <v/>
      </c>
      <c r="DL104" s="1317" t="str">
        <f ca="1">IF(INDIRECT("'SpxSp (step-c)'!$B" &amp; DL$72)=$Z104,INDIRECT("'SpxSp (step-c)'!$" &amp; 'SpxSp (step-c)'!$AC$16 &amp; DL$72),"")</f>
        <v/>
      </c>
      <c r="DM104" s="1317" t="str">
        <f ca="1">IF(INDIRECT("'SpxSp (step-c)'!$B" &amp; DM$72)=$Z104,INDIRECT("'SpxSp (step-c)'!$" &amp; 'SpxSp (step-c)'!$AC$16 &amp; DM$72),"")</f>
        <v/>
      </c>
      <c r="DO104" s="1246" t="s">
        <v>1200</v>
      </c>
    </row>
    <row r="105" spans="26:119" ht="20" x14ac:dyDescent="0.2">
      <c r="Z105" s="1317" t="str">
        <f t="shared" ref="Z105:AA105" si="73">Z50</f>
        <v/>
      </c>
      <c r="AA105" s="1317" t="str">
        <f t="shared" si="73"/>
        <v/>
      </c>
      <c r="BN105" s="178">
        <v>33</v>
      </c>
      <c r="BO105" s="1316" t="str">
        <f t="shared" ca="1" si="43"/>
        <v/>
      </c>
      <c r="BP105" s="1317" t="str">
        <f ca="1">IF(INDIRECT("'SpxSp (step-c)'!$B" &amp; BP$72)=$Z105,INDIRECT("'SpxSp (step-c)'!$" &amp; 'SpxSp (step-c)'!$AC$16 &amp; BP$72),"")</f>
        <v/>
      </c>
      <c r="BQ105" s="1317" t="str">
        <f ca="1">IF(INDIRECT("'SpxSp (step-c)'!$B" &amp; BQ$72)=$Z105,INDIRECT("'SpxSp (step-c)'!$" &amp; 'SpxSp (step-c)'!$AC$16 &amp; BQ$72),"")</f>
        <v/>
      </c>
      <c r="BR105" s="1317" t="str">
        <f ca="1">IF(INDIRECT("'SpxSp (step-c)'!$B" &amp; BR$72)=$Z105,INDIRECT("'SpxSp (step-c)'!$" &amp; 'SpxSp (step-c)'!$AC$16 &amp; BR$72),"")</f>
        <v/>
      </c>
      <c r="BS105" s="1317" t="str">
        <f ca="1">IF(INDIRECT("'SpxSp (step-c)'!$B" &amp; BS$72)=$Z105,INDIRECT("'SpxSp (step-c)'!$" &amp; 'SpxSp (step-c)'!$AC$16 &amp; BS$72),"")</f>
        <v/>
      </c>
      <c r="BT105" s="1317" t="str">
        <f ca="1">IF(INDIRECT("'SpxSp (step-c)'!$B" &amp; BT$72)=$Z105,INDIRECT("'SpxSp (step-c)'!$" &amp; 'SpxSp (step-c)'!$AC$16 &amp; BT$72),"")</f>
        <v/>
      </c>
      <c r="BU105" s="1317" t="str">
        <f ca="1">IF(INDIRECT("'SpxSp (step-c)'!$B" &amp; BU$72)=$Z105,INDIRECT("'SpxSp (step-c)'!$" &amp; 'SpxSp (step-c)'!$AC$16 &amp; BU$72),"")</f>
        <v/>
      </c>
      <c r="BV105" s="1317" t="str">
        <f ca="1">IF(INDIRECT("'SpxSp (step-c)'!$B" &amp; BV$72)=$Z105,INDIRECT("'SpxSp (step-c)'!$" &amp; 'SpxSp (step-c)'!$AC$16 &amp; BV$72),"")</f>
        <v/>
      </c>
      <c r="BW105" s="1317" t="str">
        <f ca="1">IF(INDIRECT("'SpxSp (step-c)'!$B" &amp; BW$72)=$Z105,INDIRECT("'SpxSp (step-c)'!$" &amp; 'SpxSp (step-c)'!$AC$16 &amp; BW$72),"")</f>
        <v/>
      </c>
      <c r="BX105" s="1317" t="str">
        <f ca="1">IF(INDIRECT("'SpxSp (step-c)'!$B" &amp; BX$72)=$Z105,INDIRECT("'SpxSp (step-c)'!$" &amp; 'SpxSp (step-c)'!$AC$16 &amp; BX$72),"")</f>
        <v/>
      </c>
      <c r="BY105" s="1317" t="str">
        <f ca="1">IF(INDIRECT("'SpxSp (step-c)'!$B" &amp; BY$72)=$Z105,INDIRECT("'SpxSp (step-c)'!$" &amp; 'SpxSp (step-c)'!$AC$16 &amp; BY$72),"")</f>
        <v/>
      </c>
      <c r="BZ105" s="1317" t="str">
        <f ca="1">IF(INDIRECT("'SpxSp (step-c)'!$B" &amp; BZ$72)=$Z105,INDIRECT("'SpxSp (step-c)'!$" &amp; 'SpxSp (step-c)'!$AC$16 &amp; BZ$72),"")</f>
        <v/>
      </c>
      <c r="CA105" s="1317" t="str">
        <f ca="1">IF(INDIRECT("'SpxSp (step-c)'!$B" &amp; CA$72)=$Z105,INDIRECT("'SpxSp (step-c)'!$" &amp; 'SpxSp (step-c)'!$AC$16 &amp; CA$72),"")</f>
        <v/>
      </c>
      <c r="CB105" s="1317" t="str">
        <f ca="1">IF(INDIRECT("'SpxSp (step-c)'!$B" &amp; CB$72)=$Z105,INDIRECT("'SpxSp (step-c)'!$" &amp; 'SpxSp (step-c)'!$AC$16 &amp; CB$72),"")</f>
        <v/>
      </c>
      <c r="CC105" s="1317" t="str">
        <f ca="1">IF(INDIRECT("'SpxSp (step-c)'!$B" &amp; CC$72)=$Z105,INDIRECT("'SpxSp (step-c)'!$" &amp; 'SpxSp (step-c)'!$AC$16 &amp; CC$72),"")</f>
        <v/>
      </c>
      <c r="CD105" s="1317" t="str">
        <f ca="1">IF(INDIRECT("'SpxSp (step-c)'!$B" &amp; CD$72)=$Z105,INDIRECT("'SpxSp (step-c)'!$" &amp; 'SpxSp (step-c)'!$AC$16 &amp; CD$72),"")</f>
        <v/>
      </c>
      <c r="CE105" s="1317" t="str">
        <f ca="1">IF(INDIRECT("'SpxSp (step-c)'!$B" &amp; CE$72)=$Z105,INDIRECT("'SpxSp (step-c)'!$" &amp; 'SpxSp (step-c)'!$AC$16 &amp; CE$72),"")</f>
        <v/>
      </c>
      <c r="CF105" s="1317" t="str">
        <f ca="1">IF(INDIRECT("'SpxSp (step-c)'!$B" &amp; CF$72)=$Z105,INDIRECT("'SpxSp (step-c)'!$" &amp; 'SpxSp (step-c)'!$AC$16 &amp; CF$72),"")</f>
        <v/>
      </c>
      <c r="CG105" s="1317" t="str">
        <f ca="1">IF(INDIRECT("'SpxSp (step-c)'!$B" &amp; CG$72)=$Z105,INDIRECT("'SpxSp (step-c)'!$" &amp; 'SpxSp (step-c)'!$AC$16 &amp; CG$72),"")</f>
        <v/>
      </c>
      <c r="CH105" s="1317" t="str">
        <f ca="1">IF(INDIRECT("'SpxSp (step-c)'!$B" &amp; CH$72)=$Z105,INDIRECT("'SpxSp (step-c)'!$" &amp; 'SpxSp (step-c)'!$AC$16 &amp; CH$72),"")</f>
        <v/>
      </c>
      <c r="CI105" s="1317" t="str">
        <f ca="1">IF(INDIRECT("'SpxSp (step-c)'!$B" &amp; CI$72)=$Z105,INDIRECT("'SpxSp (step-c)'!$" &amp; 'SpxSp (step-c)'!$AC$16 &amp; CI$72),"")</f>
        <v/>
      </c>
      <c r="CJ105" s="1317" t="str">
        <f ca="1">IF(INDIRECT("'SpxSp (step-c)'!$B" &amp; CJ$72)=$Z105,INDIRECT("'SpxSp (step-c)'!$" &amp; 'SpxSp (step-c)'!$AC$16 &amp; CJ$72),"")</f>
        <v/>
      </c>
      <c r="CK105" s="1317" t="str">
        <f ca="1">IF(INDIRECT("'SpxSp (step-c)'!$B" &amp; CK$72)=$Z105,INDIRECT("'SpxSp (step-c)'!$" &amp; 'SpxSp (step-c)'!$AC$16 &amp; CK$72),"")</f>
        <v/>
      </c>
      <c r="CL105" s="1317" t="str">
        <f ca="1">IF(INDIRECT("'SpxSp (step-c)'!$B" &amp; CL$72)=$Z105,INDIRECT("'SpxSp (step-c)'!$" &amp; 'SpxSp (step-c)'!$AC$16 &amp; CL$72),"")</f>
        <v/>
      </c>
      <c r="CM105" s="1317" t="str">
        <f ca="1">IF(INDIRECT("'SpxSp (step-c)'!$B" &amp; CM$72)=$Z105,INDIRECT("'SpxSp (step-c)'!$" &amp; 'SpxSp (step-c)'!$AC$16 &amp; CM$72),"")</f>
        <v/>
      </c>
      <c r="CN105" s="1317" t="str">
        <f ca="1">IF(INDIRECT("'SpxSp (step-c)'!$B" &amp; CN$72)=$Z105,INDIRECT("'SpxSp (step-c)'!$" &amp; 'SpxSp (step-c)'!$AC$16 &amp; CN$72),"")</f>
        <v/>
      </c>
      <c r="CO105" s="1317" t="str">
        <f ca="1">IF(INDIRECT("'SpxSp (step-c)'!$B" &amp; CO$72)=$Z105,INDIRECT("'SpxSp (step-c)'!$" &amp; 'SpxSp (step-c)'!$AC$16 &amp; CO$72),"")</f>
        <v/>
      </c>
      <c r="CP105" s="1317" t="str">
        <f ca="1">IF(INDIRECT("'SpxSp (step-c)'!$B" &amp; CP$72)=$Z105,INDIRECT("'SpxSp (step-c)'!$" &amp; 'SpxSp (step-c)'!$AC$16 &amp; CP$72),"")</f>
        <v/>
      </c>
      <c r="CQ105" s="1317" t="str">
        <f ca="1">IF(INDIRECT("'SpxSp (step-c)'!$B" &amp; CQ$72)=$Z105,INDIRECT("'SpxSp (step-c)'!$" &amp; 'SpxSp (step-c)'!$AC$16 &amp; CQ$72),"")</f>
        <v/>
      </c>
      <c r="CR105" s="1317" t="str">
        <f ca="1">IF(INDIRECT("'SpxSp (step-c)'!$B" &amp; CR$72)=$Z105,INDIRECT("'SpxSp (step-c)'!$" &amp; 'SpxSp (step-c)'!$AC$16 &amp; CR$72),"")</f>
        <v/>
      </c>
      <c r="CS105" s="1317" t="str">
        <f ca="1">IF(INDIRECT("'SpxSp (step-c)'!$B" &amp; CS$72)=$Z105,INDIRECT("'SpxSp (step-c)'!$" &amp; 'SpxSp (step-c)'!$AC$16 &amp; CS$72),"")</f>
        <v/>
      </c>
      <c r="CT105" s="1317" t="str">
        <f ca="1">IF(INDIRECT("'SpxSp (step-c)'!$B" &amp; CT$72)=$Z105,INDIRECT("'SpxSp (step-c)'!$" &amp; 'SpxSp (step-c)'!$AC$16 &amp; CT$72),"")</f>
        <v/>
      </c>
      <c r="CU105" s="1317" t="str">
        <f ca="1">IF(INDIRECT("'SpxSp (step-c)'!$B" &amp; CU$72)=$Z105,INDIRECT("'SpxSp (step-c)'!$" &amp; 'SpxSp (step-c)'!$AC$16 &amp; CU$72),"")</f>
        <v/>
      </c>
      <c r="CV105" s="1317" t="str">
        <f ca="1">IF(INDIRECT("'SpxSp (step-c)'!$B" &amp; CV$72)=$Z105,INDIRECT("'SpxSp (step-c)'!$" &amp; 'SpxSp (step-c)'!$AC$16 &amp; CV$72),"")</f>
        <v/>
      </c>
      <c r="CW105" s="1317" t="str">
        <f ca="1">IF(INDIRECT("'SpxSp (step-c)'!$B" &amp; CW$72)=$Z105,INDIRECT("'SpxSp (step-c)'!$" &amp; 'SpxSp (step-c)'!$AC$16 &amp; CW$72),"")</f>
        <v/>
      </c>
      <c r="CX105" s="1317" t="str">
        <f ca="1">IF(INDIRECT("'SpxSp (step-c)'!$B" &amp; CX$72)=$Z105,INDIRECT("'SpxSp (step-c)'!$" &amp; 'SpxSp (step-c)'!$AC$16 &amp; CX$72),"")</f>
        <v/>
      </c>
      <c r="CY105" s="1317" t="str">
        <f ca="1">IF(INDIRECT("'SpxSp (step-c)'!$B" &amp; CY$72)=$Z105,INDIRECT("'SpxSp (step-c)'!$" &amp; 'SpxSp (step-c)'!$AC$16 &amp; CY$72),"")</f>
        <v/>
      </c>
      <c r="CZ105" s="1317" t="str">
        <f ca="1">IF(INDIRECT("'SpxSp (step-c)'!$B" &amp; CZ$72)=$Z105,INDIRECT("'SpxSp (step-c)'!$" &amp; 'SpxSp (step-c)'!$AC$16 &amp; CZ$72),"")</f>
        <v/>
      </c>
      <c r="DA105" s="1317" t="str">
        <f ca="1">IF(INDIRECT("'SpxSp (step-c)'!$B" &amp; DA$72)=$Z105,INDIRECT("'SpxSp (step-c)'!$" &amp; 'SpxSp (step-c)'!$AC$16 &amp; DA$72),"")</f>
        <v/>
      </c>
      <c r="DB105" s="1317" t="str">
        <f ca="1">IF(INDIRECT("'SpxSp (step-c)'!$B" &amp; DB$72)=$Z105,INDIRECT("'SpxSp (step-c)'!$" &amp; 'SpxSp (step-c)'!$AC$16 &amp; DB$72),"")</f>
        <v/>
      </c>
      <c r="DC105" s="1317" t="str">
        <f ca="1">IF(INDIRECT("'SpxSp (step-c)'!$B" &amp; DC$72)=$Z105,INDIRECT("'SpxSp (step-c)'!$" &amp; 'SpxSp (step-c)'!$AC$16 &amp; DC$72),"")</f>
        <v/>
      </c>
      <c r="DD105" s="1317" t="str">
        <f ca="1">IF(INDIRECT("'SpxSp (step-c)'!$B" &amp; DD$72)=$Z105,INDIRECT("'SpxSp (step-c)'!$" &amp; 'SpxSp (step-c)'!$AC$16 &amp; DD$72),"")</f>
        <v/>
      </c>
      <c r="DE105" s="1317" t="str">
        <f ca="1">IF(INDIRECT("'SpxSp (step-c)'!$B" &amp; DE$72)=$Z105,INDIRECT("'SpxSp (step-c)'!$" &amp; 'SpxSp (step-c)'!$AC$16 &amp; DE$72),"")</f>
        <v/>
      </c>
      <c r="DF105" s="1317" t="str">
        <f ca="1">IF(INDIRECT("'SpxSp (step-c)'!$B" &amp; DF$72)=$Z105,INDIRECT("'SpxSp (step-c)'!$" &amp; 'SpxSp (step-c)'!$AC$16 &amp; DF$72),"")</f>
        <v/>
      </c>
      <c r="DG105" s="1317" t="str">
        <f ca="1">IF(INDIRECT("'SpxSp (step-c)'!$B" &amp; DG$72)=$Z105,INDIRECT("'SpxSp (step-c)'!$" &amp; 'SpxSp (step-c)'!$AC$16 &amp; DG$72),"")</f>
        <v/>
      </c>
      <c r="DH105" s="1317" t="str">
        <f ca="1">IF(INDIRECT("'SpxSp (step-c)'!$B" &amp; DH$72)=$Z105,INDIRECT("'SpxSp (step-c)'!$" &amp; 'SpxSp (step-c)'!$AC$16 &amp; DH$72),"")</f>
        <v/>
      </c>
      <c r="DI105" s="1317" t="str">
        <f ca="1">IF(INDIRECT("'SpxSp (step-c)'!$B" &amp; DI$72)=$Z105,INDIRECT("'SpxSp (step-c)'!$" &amp; 'SpxSp (step-c)'!$AC$16 &amp; DI$72),"")</f>
        <v/>
      </c>
      <c r="DJ105" s="1317" t="str">
        <f ca="1">IF(INDIRECT("'SpxSp (step-c)'!$B" &amp; DJ$72)=$Z105,INDIRECT("'SpxSp (step-c)'!$" &amp; 'SpxSp (step-c)'!$AC$16 &amp; DJ$72),"")</f>
        <v/>
      </c>
      <c r="DK105" s="1317" t="str">
        <f ca="1">IF(INDIRECT("'SpxSp (step-c)'!$B" &amp; DK$72)=$Z105,INDIRECT("'SpxSp (step-c)'!$" &amp; 'SpxSp (step-c)'!$AC$16 &amp; DK$72),"")</f>
        <v/>
      </c>
      <c r="DL105" s="1317" t="str">
        <f ca="1">IF(INDIRECT("'SpxSp (step-c)'!$B" &amp; DL$72)=$Z105,INDIRECT("'SpxSp (step-c)'!$" &amp; 'SpxSp (step-c)'!$AC$16 &amp; DL$72),"")</f>
        <v/>
      </c>
      <c r="DM105" s="1317" t="str">
        <f ca="1">IF(INDIRECT("'SpxSp (step-c)'!$B" &amp; DM$72)=$Z105,INDIRECT("'SpxSp (step-c)'!$" &amp; 'SpxSp (step-c)'!$AC$16 &amp; DM$72),"")</f>
        <v/>
      </c>
      <c r="DO105" s="1246" t="s">
        <v>1200</v>
      </c>
    </row>
    <row r="106" spans="26:119" ht="20" x14ac:dyDescent="0.2">
      <c r="Z106" s="1317" t="str">
        <f t="shared" ref="Z106:AA106" si="74">Z51</f>
        <v/>
      </c>
      <c r="AA106" s="1317" t="str">
        <f t="shared" si="74"/>
        <v/>
      </c>
      <c r="BN106" s="178">
        <v>34</v>
      </c>
      <c r="BO106" s="1316" t="str">
        <f t="shared" ca="1" si="43"/>
        <v/>
      </c>
      <c r="BP106" s="1317" t="str">
        <f ca="1">IF(INDIRECT("'SpxSp (step-c)'!$B" &amp; BP$72)=$Z106,INDIRECT("'SpxSp (step-c)'!$" &amp; 'SpxSp (step-c)'!$AC$16 &amp; BP$72),"")</f>
        <v/>
      </c>
      <c r="BQ106" s="1317" t="str">
        <f ca="1">IF(INDIRECT("'SpxSp (step-c)'!$B" &amp; BQ$72)=$Z106,INDIRECT("'SpxSp (step-c)'!$" &amp; 'SpxSp (step-c)'!$AC$16 &amp; BQ$72),"")</f>
        <v/>
      </c>
      <c r="BR106" s="1317" t="str">
        <f ca="1">IF(INDIRECT("'SpxSp (step-c)'!$B" &amp; BR$72)=$Z106,INDIRECT("'SpxSp (step-c)'!$" &amp; 'SpxSp (step-c)'!$AC$16 &amp; BR$72),"")</f>
        <v/>
      </c>
      <c r="BS106" s="1317" t="str">
        <f ca="1">IF(INDIRECT("'SpxSp (step-c)'!$B" &amp; BS$72)=$Z106,INDIRECT("'SpxSp (step-c)'!$" &amp; 'SpxSp (step-c)'!$AC$16 &amp; BS$72),"")</f>
        <v/>
      </c>
      <c r="BT106" s="1317" t="str">
        <f ca="1">IF(INDIRECT("'SpxSp (step-c)'!$B" &amp; BT$72)=$Z106,INDIRECT("'SpxSp (step-c)'!$" &amp; 'SpxSp (step-c)'!$AC$16 &amp; BT$72),"")</f>
        <v/>
      </c>
      <c r="BU106" s="1317" t="str">
        <f ca="1">IF(INDIRECT("'SpxSp (step-c)'!$B" &amp; BU$72)=$Z106,INDIRECT("'SpxSp (step-c)'!$" &amp; 'SpxSp (step-c)'!$AC$16 &amp; BU$72),"")</f>
        <v/>
      </c>
      <c r="BV106" s="1317" t="str">
        <f ca="1">IF(INDIRECT("'SpxSp (step-c)'!$B" &amp; BV$72)=$Z106,INDIRECT("'SpxSp (step-c)'!$" &amp; 'SpxSp (step-c)'!$AC$16 &amp; BV$72),"")</f>
        <v/>
      </c>
      <c r="BW106" s="1317" t="str">
        <f ca="1">IF(INDIRECT("'SpxSp (step-c)'!$B" &amp; BW$72)=$Z106,INDIRECT("'SpxSp (step-c)'!$" &amp; 'SpxSp (step-c)'!$AC$16 &amp; BW$72),"")</f>
        <v/>
      </c>
      <c r="BX106" s="1317" t="str">
        <f ca="1">IF(INDIRECT("'SpxSp (step-c)'!$B" &amp; BX$72)=$Z106,INDIRECT("'SpxSp (step-c)'!$" &amp; 'SpxSp (step-c)'!$AC$16 &amp; BX$72),"")</f>
        <v/>
      </c>
      <c r="BY106" s="1317" t="str">
        <f ca="1">IF(INDIRECT("'SpxSp (step-c)'!$B" &amp; BY$72)=$Z106,INDIRECT("'SpxSp (step-c)'!$" &amp; 'SpxSp (step-c)'!$AC$16 &amp; BY$72),"")</f>
        <v/>
      </c>
      <c r="BZ106" s="1317" t="str">
        <f ca="1">IF(INDIRECT("'SpxSp (step-c)'!$B" &amp; BZ$72)=$Z106,INDIRECT("'SpxSp (step-c)'!$" &amp; 'SpxSp (step-c)'!$AC$16 &amp; BZ$72),"")</f>
        <v/>
      </c>
      <c r="CA106" s="1317" t="str">
        <f ca="1">IF(INDIRECT("'SpxSp (step-c)'!$B" &amp; CA$72)=$Z106,INDIRECT("'SpxSp (step-c)'!$" &amp; 'SpxSp (step-c)'!$AC$16 &amp; CA$72),"")</f>
        <v/>
      </c>
      <c r="CB106" s="1317" t="str">
        <f ca="1">IF(INDIRECT("'SpxSp (step-c)'!$B" &amp; CB$72)=$Z106,INDIRECT("'SpxSp (step-c)'!$" &amp; 'SpxSp (step-c)'!$AC$16 &amp; CB$72),"")</f>
        <v/>
      </c>
      <c r="CC106" s="1317" t="str">
        <f ca="1">IF(INDIRECT("'SpxSp (step-c)'!$B" &amp; CC$72)=$Z106,INDIRECT("'SpxSp (step-c)'!$" &amp; 'SpxSp (step-c)'!$AC$16 &amp; CC$72),"")</f>
        <v/>
      </c>
      <c r="CD106" s="1317" t="str">
        <f ca="1">IF(INDIRECT("'SpxSp (step-c)'!$B" &amp; CD$72)=$Z106,INDIRECT("'SpxSp (step-c)'!$" &amp; 'SpxSp (step-c)'!$AC$16 &amp; CD$72),"")</f>
        <v/>
      </c>
      <c r="CE106" s="1317" t="str">
        <f ca="1">IF(INDIRECT("'SpxSp (step-c)'!$B" &amp; CE$72)=$Z106,INDIRECT("'SpxSp (step-c)'!$" &amp; 'SpxSp (step-c)'!$AC$16 &amp; CE$72),"")</f>
        <v/>
      </c>
      <c r="CF106" s="1317" t="str">
        <f ca="1">IF(INDIRECT("'SpxSp (step-c)'!$B" &amp; CF$72)=$Z106,INDIRECT("'SpxSp (step-c)'!$" &amp; 'SpxSp (step-c)'!$AC$16 &amp; CF$72),"")</f>
        <v/>
      </c>
      <c r="CG106" s="1317" t="str">
        <f ca="1">IF(INDIRECT("'SpxSp (step-c)'!$B" &amp; CG$72)=$Z106,INDIRECT("'SpxSp (step-c)'!$" &amp; 'SpxSp (step-c)'!$AC$16 &amp; CG$72),"")</f>
        <v/>
      </c>
      <c r="CH106" s="1317" t="str">
        <f ca="1">IF(INDIRECT("'SpxSp (step-c)'!$B" &amp; CH$72)=$Z106,INDIRECT("'SpxSp (step-c)'!$" &amp; 'SpxSp (step-c)'!$AC$16 &amp; CH$72),"")</f>
        <v/>
      </c>
      <c r="CI106" s="1317" t="str">
        <f ca="1">IF(INDIRECT("'SpxSp (step-c)'!$B" &amp; CI$72)=$Z106,INDIRECT("'SpxSp (step-c)'!$" &amp; 'SpxSp (step-c)'!$AC$16 &amp; CI$72),"")</f>
        <v/>
      </c>
      <c r="CJ106" s="1317" t="str">
        <f ca="1">IF(INDIRECT("'SpxSp (step-c)'!$B" &amp; CJ$72)=$Z106,INDIRECT("'SpxSp (step-c)'!$" &amp; 'SpxSp (step-c)'!$AC$16 &amp; CJ$72),"")</f>
        <v/>
      </c>
      <c r="CK106" s="1317" t="str">
        <f ca="1">IF(INDIRECT("'SpxSp (step-c)'!$B" &amp; CK$72)=$Z106,INDIRECT("'SpxSp (step-c)'!$" &amp; 'SpxSp (step-c)'!$AC$16 &amp; CK$72),"")</f>
        <v/>
      </c>
      <c r="CL106" s="1317" t="str">
        <f ca="1">IF(INDIRECT("'SpxSp (step-c)'!$B" &amp; CL$72)=$Z106,INDIRECT("'SpxSp (step-c)'!$" &amp; 'SpxSp (step-c)'!$AC$16 &amp; CL$72),"")</f>
        <v/>
      </c>
      <c r="CM106" s="1317" t="str">
        <f ca="1">IF(INDIRECT("'SpxSp (step-c)'!$B" &amp; CM$72)=$Z106,INDIRECT("'SpxSp (step-c)'!$" &amp; 'SpxSp (step-c)'!$AC$16 &amp; CM$72),"")</f>
        <v/>
      </c>
      <c r="CN106" s="1317" t="str">
        <f ca="1">IF(INDIRECT("'SpxSp (step-c)'!$B" &amp; CN$72)=$Z106,INDIRECT("'SpxSp (step-c)'!$" &amp; 'SpxSp (step-c)'!$AC$16 &amp; CN$72),"")</f>
        <v/>
      </c>
      <c r="CO106" s="1317" t="str">
        <f ca="1">IF(INDIRECT("'SpxSp (step-c)'!$B" &amp; CO$72)=$Z106,INDIRECT("'SpxSp (step-c)'!$" &amp; 'SpxSp (step-c)'!$AC$16 &amp; CO$72),"")</f>
        <v/>
      </c>
      <c r="CP106" s="1317" t="str">
        <f ca="1">IF(INDIRECT("'SpxSp (step-c)'!$B" &amp; CP$72)=$Z106,INDIRECT("'SpxSp (step-c)'!$" &amp; 'SpxSp (step-c)'!$AC$16 &amp; CP$72),"")</f>
        <v/>
      </c>
      <c r="CQ106" s="1317" t="str">
        <f ca="1">IF(INDIRECT("'SpxSp (step-c)'!$B" &amp; CQ$72)=$Z106,INDIRECT("'SpxSp (step-c)'!$" &amp; 'SpxSp (step-c)'!$AC$16 &amp; CQ$72),"")</f>
        <v/>
      </c>
      <c r="CR106" s="1317" t="str">
        <f ca="1">IF(INDIRECT("'SpxSp (step-c)'!$B" &amp; CR$72)=$Z106,INDIRECT("'SpxSp (step-c)'!$" &amp; 'SpxSp (step-c)'!$AC$16 &amp; CR$72),"")</f>
        <v/>
      </c>
      <c r="CS106" s="1317" t="str">
        <f ca="1">IF(INDIRECT("'SpxSp (step-c)'!$B" &amp; CS$72)=$Z106,INDIRECT("'SpxSp (step-c)'!$" &amp; 'SpxSp (step-c)'!$AC$16 &amp; CS$72),"")</f>
        <v/>
      </c>
      <c r="CT106" s="1317" t="str">
        <f ca="1">IF(INDIRECT("'SpxSp (step-c)'!$B" &amp; CT$72)=$Z106,INDIRECT("'SpxSp (step-c)'!$" &amp; 'SpxSp (step-c)'!$AC$16 &amp; CT$72),"")</f>
        <v/>
      </c>
      <c r="CU106" s="1317" t="str">
        <f ca="1">IF(INDIRECT("'SpxSp (step-c)'!$B" &amp; CU$72)=$Z106,INDIRECT("'SpxSp (step-c)'!$" &amp; 'SpxSp (step-c)'!$AC$16 &amp; CU$72),"")</f>
        <v/>
      </c>
      <c r="CV106" s="1317" t="str">
        <f ca="1">IF(INDIRECT("'SpxSp (step-c)'!$B" &amp; CV$72)=$Z106,INDIRECT("'SpxSp (step-c)'!$" &amp; 'SpxSp (step-c)'!$AC$16 &amp; CV$72),"")</f>
        <v/>
      </c>
      <c r="CW106" s="1317" t="str">
        <f ca="1">IF(INDIRECT("'SpxSp (step-c)'!$B" &amp; CW$72)=$Z106,INDIRECT("'SpxSp (step-c)'!$" &amp; 'SpxSp (step-c)'!$AC$16 &amp; CW$72),"")</f>
        <v/>
      </c>
      <c r="CX106" s="1317" t="str">
        <f ca="1">IF(INDIRECT("'SpxSp (step-c)'!$B" &amp; CX$72)=$Z106,INDIRECT("'SpxSp (step-c)'!$" &amp; 'SpxSp (step-c)'!$AC$16 &amp; CX$72),"")</f>
        <v/>
      </c>
      <c r="CY106" s="1317" t="str">
        <f ca="1">IF(INDIRECT("'SpxSp (step-c)'!$B" &amp; CY$72)=$Z106,INDIRECT("'SpxSp (step-c)'!$" &amp; 'SpxSp (step-c)'!$AC$16 &amp; CY$72),"")</f>
        <v/>
      </c>
      <c r="CZ106" s="1317" t="str">
        <f ca="1">IF(INDIRECT("'SpxSp (step-c)'!$B" &amp; CZ$72)=$Z106,INDIRECT("'SpxSp (step-c)'!$" &amp; 'SpxSp (step-c)'!$AC$16 &amp; CZ$72),"")</f>
        <v/>
      </c>
      <c r="DA106" s="1317" t="str">
        <f ca="1">IF(INDIRECT("'SpxSp (step-c)'!$B" &amp; DA$72)=$Z106,INDIRECT("'SpxSp (step-c)'!$" &amp; 'SpxSp (step-c)'!$AC$16 &amp; DA$72),"")</f>
        <v/>
      </c>
      <c r="DB106" s="1317" t="str">
        <f ca="1">IF(INDIRECT("'SpxSp (step-c)'!$B" &amp; DB$72)=$Z106,INDIRECT("'SpxSp (step-c)'!$" &amp; 'SpxSp (step-c)'!$AC$16 &amp; DB$72),"")</f>
        <v/>
      </c>
      <c r="DC106" s="1317" t="str">
        <f ca="1">IF(INDIRECT("'SpxSp (step-c)'!$B" &amp; DC$72)=$Z106,INDIRECT("'SpxSp (step-c)'!$" &amp; 'SpxSp (step-c)'!$AC$16 &amp; DC$72),"")</f>
        <v/>
      </c>
      <c r="DD106" s="1317" t="str">
        <f ca="1">IF(INDIRECT("'SpxSp (step-c)'!$B" &amp; DD$72)=$Z106,INDIRECT("'SpxSp (step-c)'!$" &amp; 'SpxSp (step-c)'!$AC$16 &amp; DD$72),"")</f>
        <v/>
      </c>
      <c r="DE106" s="1317" t="str">
        <f ca="1">IF(INDIRECT("'SpxSp (step-c)'!$B" &amp; DE$72)=$Z106,INDIRECT("'SpxSp (step-c)'!$" &amp; 'SpxSp (step-c)'!$AC$16 &amp; DE$72),"")</f>
        <v/>
      </c>
      <c r="DF106" s="1317" t="str">
        <f ca="1">IF(INDIRECT("'SpxSp (step-c)'!$B" &amp; DF$72)=$Z106,INDIRECT("'SpxSp (step-c)'!$" &amp; 'SpxSp (step-c)'!$AC$16 &amp; DF$72),"")</f>
        <v/>
      </c>
      <c r="DG106" s="1317" t="str">
        <f ca="1">IF(INDIRECT("'SpxSp (step-c)'!$B" &amp; DG$72)=$Z106,INDIRECT("'SpxSp (step-c)'!$" &amp; 'SpxSp (step-c)'!$AC$16 &amp; DG$72),"")</f>
        <v/>
      </c>
      <c r="DH106" s="1317" t="str">
        <f ca="1">IF(INDIRECT("'SpxSp (step-c)'!$B" &amp; DH$72)=$Z106,INDIRECT("'SpxSp (step-c)'!$" &amp; 'SpxSp (step-c)'!$AC$16 &amp; DH$72),"")</f>
        <v/>
      </c>
      <c r="DI106" s="1317" t="str">
        <f ca="1">IF(INDIRECT("'SpxSp (step-c)'!$B" &amp; DI$72)=$Z106,INDIRECT("'SpxSp (step-c)'!$" &amp; 'SpxSp (step-c)'!$AC$16 &amp; DI$72),"")</f>
        <v/>
      </c>
      <c r="DJ106" s="1317" t="str">
        <f ca="1">IF(INDIRECT("'SpxSp (step-c)'!$B" &amp; DJ$72)=$Z106,INDIRECT("'SpxSp (step-c)'!$" &amp; 'SpxSp (step-c)'!$AC$16 &amp; DJ$72),"")</f>
        <v/>
      </c>
      <c r="DK106" s="1317" t="str">
        <f ca="1">IF(INDIRECT("'SpxSp (step-c)'!$B" &amp; DK$72)=$Z106,INDIRECT("'SpxSp (step-c)'!$" &amp; 'SpxSp (step-c)'!$AC$16 &amp; DK$72),"")</f>
        <v/>
      </c>
      <c r="DL106" s="1317" t="str">
        <f ca="1">IF(INDIRECT("'SpxSp (step-c)'!$B" &amp; DL$72)=$Z106,INDIRECT("'SpxSp (step-c)'!$" &amp; 'SpxSp (step-c)'!$AC$16 &amp; DL$72),"")</f>
        <v/>
      </c>
      <c r="DM106" s="1317" t="str">
        <f ca="1">IF(INDIRECT("'SpxSp (step-c)'!$B" &amp; DM$72)=$Z106,INDIRECT("'SpxSp (step-c)'!$" &amp; 'SpxSp (step-c)'!$AC$16 &amp; DM$72),"")</f>
        <v/>
      </c>
      <c r="DO106" s="1246" t="s">
        <v>1200</v>
      </c>
    </row>
    <row r="107" spans="26:119" ht="20" x14ac:dyDescent="0.2">
      <c r="Z107" s="1317" t="str">
        <f t="shared" ref="Z107:AA107" si="75">Z52</f>
        <v/>
      </c>
      <c r="AA107" s="1317" t="str">
        <f t="shared" si="75"/>
        <v/>
      </c>
      <c r="BN107" s="178">
        <v>35</v>
      </c>
      <c r="BO107" s="1316" t="str">
        <f t="shared" ca="1" si="43"/>
        <v/>
      </c>
      <c r="BP107" s="1317" t="str">
        <f ca="1">IF(INDIRECT("'SpxSp (step-c)'!$B" &amp; BP$72)=$Z107,INDIRECT("'SpxSp (step-c)'!$" &amp; 'SpxSp (step-c)'!$AC$16 &amp; BP$72),"")</f>
        <v/>
      </c>
      <c r="BQ107" s="1317" t="str">
        <f ca="1">IF(INDIRECT("'SpxSp (step-c)'!$B" &amp; BQ$72)=$Z107,INDIRECT("'SpxSp (step-c)'!$" &amp; 'SpxSp (step-c)'!$AC$16 &amp; BQ$72),"")</f>
        <v/>
      </c>
      <c r="BR107" s="1317" t="str">
        <f ca="1">IF(INDIRECT("'SpxSp (step-c)'!$B" &amp; BR$72)=$Z107,INDIRECT("'SpxSp (step-c)'!$" &amp; 'SpxSp (step-c)'!$AC$16 &amp; BR$72),"")</f>
        <v/>
      </c>
      <c r="BS107" s="1317" t="str">
        <f ca="1">IF(INDIRECT("'SpxSp (step-c)'!$B" &amp; BS$72)=$Z107,INDIRECT("'SpxSp (step-c)'!$" &amp; 'SpxSp (step-c)'!$AC$16 &amp; BS$72),"")</f>
        <v/>
      </c>
      <c r="BT107" s="1317" t="str">
        <f ca="1">IF(INDIRECT("'SpxSp (step-c)'!$B" &amp; BT$72)=$Z107,INDIRECT("'SpxSp (step-c)'!$" &amp; 'SpxSp (step-c)'!$AC$16 &amp; BT$72),"")</f>
        <v/>
      </c>
      <c r="BU107" s="1317" t="str">
        <f ca="1">IF(INDIRECT("'SpxSp (step-c)'!$B" &amp; BU$72)=$Z107,INDIRECT("'SpxSp (step-c)'!$" &amp; 'SpxSp (step-c)'!$AC$16 &amp; BU$72),"")</f>
        <v/>
      </c>
      <c r="BV107" s="1317" t="str">
        <f ca="1">IF(INDIRECT("'SpxSp (step-c)'!$B" &amp; BV$72)=$Z107,INDIRECT("'SpxSp (step-c)'!$" &amp; 'SpxSp (step-c)'!$AC$16 &amp; BV$72),"")</f>
        <v/>
      </c>
      <c r="BW107" s="1317" t="str">
        <f ca="1">IF(INDIRECT("'SpxSp (step-c)'!$B" &amp; BW$72)=$Z107,INDIRECT("'SpxSp (step-c)'!$" &amp; 'SpxSp (step-c)'!$AC$16 &amp; BW$72),"")</f>
        <v/>
      </c>
      <c r="BX107" s="1317" t="str">
        <f ca="1">IF(INDIRECT("'SpxSp (step-c)'!$B" &amp; BX$72)=$Z107,INDIRECT("'SpxSp (step-c)'!$" &amp; 'SpxSp (step-c)'!$AC$16 &amp; BX$72),"")</f>
        <v/>
      </c>
      <c r="BY107" s="1317" t="str">
        <f ca="1">IF(INDIRECT("'SpxSp (step-c)'!$B" &amp; BY$72)=$Z107,INDIRECT("'SpxSp (step-c)'!$" &amp; 'SpxSp (step-c)'!$AC$16 &amp; BY$72),"")</f>
        <v/>
      </c>
      <c r="BZ107" s="1317" t="str">
        <f ca="1">IF(INDIRECT("'SpxSp (step-c)'!$B" &amp; BZ$72)=$Z107,INDIRECT("'SpxSp (step-c)'!$" &amp; 'SpxSp (step-c)'!$AC$16 &amp; BZ$72),"")</f>
        <v/>
      </c>
      <c r="CA107" s="1317" t="str">
        <f ca="1">IF(INDIRECT("'SpxSp (step-c)'!$B" &amp; CA$72)=$Z107,INDIRECT("'SpxSp (step-c)'!$" &amp; 'SpxSp (step-c)'!$AC$16 &amp; CA$72),"")</f>
        <v/>
      </c>
      <c r="CB107" s="1317" t="str">
        <f ca="1">IF(INDIRECT("'SpxSp (step-c)'!$B" &amp; CB$72)=$Z107,INDIRECT("'SpxSp (step-c)'!$" &amp; 'SpxSp (step-c)'!$AC$16 &amp; CB$72),"")</f>
        <v/>
      </c>
      <c r="CC107" s="1317" t="str">
        <f ca="1">IF(INDIRECT("'SpxSp (step-c)'!$B" &amp; CC$72)=$Z107,INDIRECT("'SpxSp (step-c)'!$" &amp; 'SpxSp (step-c)'!$AC$16 &amp; CC$72),"")</f>
        <v/>
      </c>
      <c r="CD107" s="1317" t="str">
        <f ca="1">IF(INDIRECT("'SpxSp (step-c)'!$B" &amp; CD$72)=$Z107,INDIRECT("'SpxSp (step-c)'!$" &amp; 'SpxSp (step-c)'!$AC$16 &amp; CD$72),"")</f>
        <v/>
      </c>
      <c r="CE107" s="1317" t="str">
        <f ca="1">IF(INDIRECT("'SpxSp (step-c)'!$B" &amp; CE$72)=$Z107,INDIRECT("'SpxSp (step-c)'!$" &amp; 'SpxSp (step-c)'!$AC$16 &amp; CE$72),"")</f>
        <v/>
      </c>
      <c r="CF107" s="1317" t="str">
        <f ca="1">IF(INDIRECT("'SpxSp (step-c)'!$B" &amp; CF$72)=$Z107,INDIRECT("'SpxSp (step-c)'!$" &amp; 'SpxSp (step-c)'!$AC$16 &amp; CF$72),"")</f>
        <v/>
      </c>
      <c r="CG107" s="1317" t="str">
        <f ca="1">IF(INDIRECT("'SpxSp (step-c)'!$B" &amp; CG$72)=$Z107,INDIRECT("'SpxSp (step-c)'!$" &amp; 'SpxSp (step-c)'!$AC$16 &amp; CG$72),"")</f>
        <v/>
      </c>
      <c r="CH107" s="1317" t="str">
        <f ca="1">IF(INDIRECT("'SpxSp (step-c)'!$B" &amp; CH$72)=$Z107,INDIRECT("'SpxSp (step-c)'!$" &amp; 'SpxSp (step-c)'!$AC$16 &amp; CH$72),"")</f>
        <v/>
      </c>
      <c r="CI107" s="1317" t="str">
        <f ca="1">IF(INDIRECT("'SpxSp (step-c)'!$B" &amp; CI$72)=$Z107,INDIRECT("'SpxSp (step-c)'!$" &amp; 'SpxSp (step-c)'!$AC$16 &amp; CI$72),"")</f>
        <v/>
      </c>
      <c r="CJ107" s="1317" t="str">
        <f ca="1">IF(INDIRECT("'SpxSp (step-c)'!$B" &amp; CJ$72)=$Z107,INDIRECT("'SpxSp (step-c)'!$" &amp; 'SpxSp (step-c)'!$AC$16 &amp; CJ$72),"")</f>
        <v/>
      </c>
      <c r="CK107" s="1317" t="str">
        <f ca="1">IF(INDIRECT("'SpxSp (step-c)'!$B" &amp; CK$72)=$Z107,INDIRECT("'SpxSp (step-c)'!$" &amp; 'SpxSp (step-c)'!$AC$16 &amp; CK$72),"")</f>
        <v/>
      </c>
      <c r="CL107" s="1317" t="str">
        <f ca="1">IF(INDIRECT("'SpxSp (step-c)'!$B" &amp; CL$72)=$Z107,INDIRECT("'SpxSp (step-c)'!$" &amp; 'SpxSp (step-c)'!$AC$16 &amp; CL$72),"")</f>
        <v/>
      </c>
      <c r="CM107" s="1317" t="str">
        <f ca="1">IF(INDIRECT("'SpxSp (step-c)'!$B" &amp; CM$72)=$Z107,INDIRECT("'SpxSp (step-c)'!$" &amp; 'SpxSp (step-c)'!$AC$16 &amp; CM$72),"")</f>
        <v/>
      </c>
      <c r="CN107" s="1317" t="str">
        <f ca="1">IF(INDIRECT("'SpxSp (step-c)'!$B" &amp; CN$72)=$Z107,INDIRECT("'SpxSp (step-c)'!$" &amp; 'SpxSp (step-c)'!$AC$16 &amp; CN$72),"")</f>
        <v/>
      </c>
      <c r="CO107" s="1317" t="str">
        <f ca="1">IF(INDIRECT("'SpxSp (step-c)'!$B" &amp; CO$72)=$Z107,INDIRECT("'SpxSp (step-c)'!$" &amp; 'SpxSp (step-c)'!$AC$16 &amp; CO$72),"")</f>
        <v/>
      </c>
      <c r="CP107" s="1317" t="str">
        <f ca="1">IF(INDIRECT("'SpxSp (step-c)'!$B" &amp; CP$72)=$Z107,INDIRECT("'SpxSp (step-c)'!$" &amp; 'SpxSp (step-c)'!$AC$16 &amp; CP$72),"")</f>
        <v/>
      </c>
      <c r="CQ107" s="1317" t="str">
        <f ca="1">IF(INDIRECT("'SpxSp (step-c)'!$B" &amp; CQ$72)=$Z107,INDIRECT("'SpxSp (step-c)'!$" &amp; 'SpxSp (step-c)'!$AC$16 &amp; CQ$72),"")</f>
        <v/>
      </c>
      <c r="CR107" s="1317" t="str">
        <f ca="1">IF(INDIRECT("'SpxSp (step-c)'!$B" &amp; CR$72)=$Z107,INDIRECT("'SpxSp (step-c)'!$" &amp; 'SpxSp (step-c)'!$AC$16 &amp; CR$72),"")</f>
        <v/>
      </c>
      <c r="CS107" s="1317" t="str">
        <f ca="1">IF(INDIRECT("'SpxSp (step-c)'!$B" &amp; CS$72)=$Z107,INDIRECT("'SpxSp (step-c)'!$" &amp; 'SpxSp (step-c)'!$AC$16 &amp; CS$72),"")</f>
        <v/>
      </c>
      <c r="CT107" s="1317" t="str">
        <f ca="1">IF(INDIRECT("'SpxSp (step-c)'!$B" &amp; CT$72)=$Z107,INDIRECT("'SpxSp (step-c)'!$" &amp; 'SpxSp (step-c)'!$AC$16 &amp; CT$72),"")</f>
        <v/>
      </c>
      <c r="CU107" s="1317" t="str">
        <f ca="1">IF(INDIRECT("'SpxSp (step-c)'!$B" &amp; CU$72)=$Z107,INDIRECT("'SpxSp (step-c)'!$" &amp; 'SpxSp (step-c)'!$AC$16 &amp; CU$72),"")</f>
        <v/>
      </c>
      <c r="CV107" s="1317" t="str">
        <f ca="1">IF(INDIRECT("'SpxSp (step-c)'!$B" &amp; CV$72)=$Z107,INDIRECT("'SpxSp (step-c)'!$" &amp; 'SpxSp (step-c)'!$AC$16 &amp; CV$72),"")</f>
        <v/>
      </c>
      <c r="CW107" s="1317" t="str">
        <f ca="1">IF(INDIRECT("'SpxSp (step-c)'!$B" &amp; CW$72)=$Z107,INDIRECT("'SpxSp (step-c)'!$" &amp; 'SpxSp (step-c)'!$AC$16 &amp; CW$72),"")</f>
        <v/>
      </c>
      <c r="CX107" s="1317" t="str">
        <f ca="1">IF(INDIRECT("'SpxSp (step-c)'!$B" &amp; CX$72)=$Z107,INDIRECT("'SpxSp (step-c)'!$" &amp; 'SpxSp (step-c)'!$AC$16 &amp; CX$72),"")</f>
        <v/>
      </c>
      <c r="CY107" s="1317" t="str">
        <f ca="1">IF(INDIRECT("'SpxSp (step-c)'!$B" &amp; CY$72)=$Z107,INDIRECT("'SpxSp (step-c)'!$" &amp; 'SpxSp (step-c)'!$AC$16 &amp; CY$72),"")</f>
        <v/>
      </c>
      <c r="CZ107" s="1317" t="str">
        <f ca="1">IF(INDIRECT("'SpxSp (step-c)'!$B" &amp; CZ$72)=$Z107,INDIRECT("'SpxSp (step-c)'!$" &amp; 'SpxSp (step-c)'!$AC$16 &amp; CZ$72),"")</f>
        <v/>
      </c>
      <c r="DA107" s="1317" t="str">
        <f ca="1">IF(INDIRECT("'SpxSp (step-c)'!$B" &amp; DA$72)=$Z107,INDIRECT("'SpxSp (step-c)'!$" &amp; 'SpxSp (step-c)'!$AC$16 &amp; DA$72),"")</f>
        <v/>
      </c>
      <c r="DB107" s="1317" t="str">
        <f ca="1">IF(INDIRECT("'SpxSp (step-c)'!$B" &amp; DB$72)=$Z107,INDIRECT("'SpxSp (step-c)'!$" &amp; 'SpxSp (step-c)'!$AC$16 &amp; DB$72),"")</f>
        <v/>
      </c>
      <c r="DC107" s="1317" t="str">
        <f ca="1">IF(INDIRECT("'SpxSp (step-c)'!$B" &amp; DC$72)=$Z107,INDIRECT("'SpxSp (step-c)'!$" &amp; 'SpxSp (step-c)'!$AC$16 &amp; DC$72),"")</f>
        <v/>
      </c>
      <c r="DD107" s="1317" t="str">
        <f ca="1">IF(INDIRECT("'SpxSp (step-c)'!$B" &amp; DD$72)=$Z107,INDIRECT("'SpxSp (step-c)'!$" &amp; 'SpxSp (step-c)'!$AC$16 &amp; DD$72),"")</f>
        <v/>
      </c>
      <c r="DE107" s="1317" t="str">
        <f ca="1">IF(INDIRECT("'SpxSp (step-c)'!$B" &amp; DE$72)=$Z107,INDIRECT("'SpxSp (step-c)'!$" &amp; 'SpxSp (step-c)'!$AC$16 &amp; DE$72),"")</f>
        <v/>
      </c>
      <c r="DF107" s="1317" t="str">
        <f ca="1">IF(INDIRECT("'SpxSp (step-c)'!$B" &amp; DF$72)=$Z107,INDIRECT("'SpxSp (step-c)'!$" &amp; 'SpxSp (step-c)'!$AC$16 &amp; DF$72),"")</f>
        <v/>
      </c>
      <c r="DG107" s="1317" t="str">
        <f ca="1">IF(INDIRECT("'SpxSp (step-c)'!$B" &amp; DG$72)=$Z107,INDIRECT("'SpxSp (step-c)'!$" &amp; 'SpxSp (step-c)'!$AC$16 &amp; DG$72),"")</f>
        <v/>
      </c>
      <c r="DH107" s="1317" t="str">
        <f ca="1">IF(INDIRECT("'SpxSp (step-c)'!$B" &amp; DH$72)=$Z107,INDIRECT("'SpxSp (step-c)'!$" &amp; 'SpxSp (step-c)'!$AC$16 &amp; DH$72),"")</f>
        <v/>
      </c>
      <c r="DI107" s="1317" t="str">
        <f ca="1">IF(INDIRECT("'SpxSp (step-c)'!$B" &amp; DI$72)=$Z107,INDIRECT("'SpxSp (step-c)'!$" &amp; 'SpxSp (step-c)'!$AC$16 &amp; DI$72),"")</f>
        <v/>
      </c>
      <c r="DJ107" s="1317" t="str">
        <f ca="1">IF(INDIRECT("'SpxSp (step-c)'!$B" &amp; DJ$72)=$Z107,INDIRECT("'SpxSp (step-c)'!$" &amp; 'SpxSp (step-c)'!$AC$16 &amp; DJ$72),"")</f>
        <v/>
      </c>
      <c r="DK107" s="1317" t="str">
        <f ca="1">IF(INDIRECT("'SpxSp (step-c)'!$B" &amp; DK$72)=$Z107,INDIRECT("'SpxSp (step-c)'!$" &amp; 'SpxSp (step-c)'!$AC$16 &amp; DK$72),"")</f>
        <v/>
      </c>
      <c r="DL107" s="1317" t="str">
        <f ca="1">IF(INDIRECT("'SpxSp (step-c)'!$B" &amp; DL$72)=$Z107,INDIRECT("'SpxSp (step-c)'!$" &amp; 'SpxSp (step-c)'!$AC$16 &amp; DL$72),"")</f>
        <v/>
      </c>
      <c r="DM107" s="1317" t="str">
        <f ca="1">IF(INDIRECT("'SpxSp (step-c)'!$B" &amp; DM$72)=$Z107,INDIRECT("'SpxSp (step-c)'!$" &amp; 'SpxSp (step-c)'!$AC$16 &amp; DM$72),"")</f>
        <v/>
      </c>
      <c r="DO107" s="1246" t="s">
        <v>1200</v>
      </c>
    </row>
    <row r="108" spans="26:119" ht="20" x14ac:dyDescent="0.2">
      <c r="Z108" s="1317" t="str">
        <f t="shared" ref="Z108:AA108" si="76">Z53</f>
        <v/>
      </c>
      <c r="AA108" s="1317" t="str">
        <f t="shared" si="76"/>
        <v/>
      </c>
      <c r="BN108" s="178">
        <v>36</v>
      </c>
      <c r="BO108" s="1316" t="str">
        <f t="shared" ca="1" si="43"/>
        <v/>
      </c>
      <c r="BP108" s="1317" t="str">
        <f ca="1">IF(INDIRECT("'SpxSp (step-c)'!$B" &amp; BP$72)=$Z108,INDIRECT("'SpxSp (step-c)'!$" &amp; 'SpxSp (step-c)'!$AC$16 &amp; BP$72),"")</f>
        <v/>
      </c>
      <c r="BQ108" s="1317" t="str">
        <f ca="1">IF(INDIRECT("'SpxSp (step-c)'!$B" &amp; BQ$72)=$Z108,INDIRECT("'SpxSp (step-c)'!$" &amp; 'SpxSp (step-c)'!$AC$16 &amp; BQ$72),"")</f>
        <v/>
      </c>
      <c r="BR108" s="1317" t="str">
        <f ca="1">IF(INDIRECT("'SpxSp (step-c)'!$B" &amp; BR$72)=$Z108,INDIRECT("'SpxSp (step-c)'!$" &amp; 'SpxSp (step-c)'!$AC$16 &amp; BR$72),"")</f>
        <v/>
      </c>
      <c r="BS108" s="1317" t="str">
        <f ca="1">IF(INDIRECT("'SpxSp (step-c)'!$B" &amp; BS$72)=$Z108,INDIRECT("'SpxSp (step-c)'!$" &amp; 'SpxSp (step-c)'!$AC$16 &amp; BS$72),"")</f>
        <v/>
      </c>
      <c r="BT108" s="1317" t="str">
        <f ca="1">IF(INDIRECT("'SpxSp (step-c)'!$B" &amp; BT$72)=$Z108,INDIRECT("'SpxSp (step-c)'!$" &amp; 'SpxSp (step-c)'!$AC$16 &amp; BT$72),"")</f>
        <v/>
      </c>
      <c r="BU108" s="1317" t="str">
        <f ca="1">IF(INDIRECT("'SpxSp (step-c)'!$B" &amp; BU$72)=$Z108,INDIRECT("'SpxSp (step-c)'!$" &amp; 'SpxSp (step-c)'!$AC$16 &amp; BU$72),"")</f>
        <v/>
      </c>
      <c r="BV108" s="1317" t="str">
        <f ca="1">IF(INDIRECT("'SpxSp (step-c)'!$B" &amp; BV$72)=$Z108,INDIRECT("'SpxSp (step-c)'!$" &amp; 'SpxSp (step-c)'!$AC$16 &amp; BV$72),"")</f>
        <v/>
      </c>
      <c r="BW108" s="1317" t="str">
        <f ca="1">IF(INDIRECT("'SpxSp (step-c)'!$B" &amp; BW$72)=$Z108,INDIRECT("'SpxSp (step-c)'!$" &amp; 'SpxSp (step-c)'!$AC$16 &amp; BW$72),"")</f>
        <v/>
      </c>
      <c r="BX108" s="1317" t="str">
        <f ca="1">IF(INDIRECT("'SpxSp (step-c)'!$B" &amp; BX$72)=$Z108,INDIRECT("'SpxSp (step-c)'!$" &amp; 'SpxSp (step-c)'!$AC$16 &amp; BX$72),"")</f>
        <v/>
      </c>
      <c r="BY108" s="1317" t="str">
        <f ca="1">IF(INDIRECT("'SpxSp (step-c)'!$B" &amp; BY$72)=$Z108,INDIRECT("'SpxSp (step-c)'!$" &amp; 'SpxSp (step-c)'!$AC$16 &amp; BY$72),"")</f>
        <v/>
      </c>
      <c r="BZ108" s="1317" t="str">
        <f ca="1">IF(INDIRECT("'SpxSp (step-c)'!$B" &amp; BZ$72)=$Z108,INDIRECT("'SpxSp (step-c)'!$" &amp; 'SpxSp (step-c)'!$AC$16 &amp; BZ$72),"")</f>
        <v/>
      </c>
      <c r="CA108" s="1317" t="str">
        <f ca="1">IF(INDIRECT("'SpxSp (step-c)'!$B" &amp; CA$72)=$Z108,INDIRECT("'SpxSp (step-c)'!$" &amp; 'SpxSp (step-c)'!$AC$16 &amp; CA$72),"")</f>
        <v/>
      </c>
      <c r="CB108" s="1317" t="str">
        <f ca="1">IF(INDIRECT("'SpxSp (step-c)'!$B" &amp; CB$72)=$Z108,INDIRECT("'SpxSp (step-c)'!$" &amp; 'SpxSp (step-c)'!$AC$16 &amp; CB$72),"")</f>
        <v/>
      </c>
      <c r="CC108" s="1317" t="str">
        <f ca="1">IF(INDIRECT("'SpxSp (step-c)'!$B" &amp; CC$72)=$Z108,INDIRECT("'SpxSp (step-c)'!$" &amp; 'SpxSp (step-c)'!$AC$16 &amp; CC$72),"")</f>
        <v/>
      </c>
      <c r="CD108" s="1317" t="str">
        <f ca="1">IF(INDIRECT("'SpxSp (step-c)'!$B" &amp; CD$72)=$Z108,INDIRECT("'SpxSp (step-c)'!$" &amp; 'SpxSp (step-c)'!$AC$16 &amp; CD$72),"")</f>
        <v/>
      </c>
      <c r="CE108" s="1317" t="str">
        <f ca="1">IF(INDIRECT("'SpxSp (step-c)'!$B" &amp; CE$72)=$Z108,INDIRECT("'SpxSp (step-c)'!$" &amp; 'SpxSp (step-c)'!$AC$16 &amp; CE$72),"")</f>
        <v/>
      </c>
      <c r="CF108" s="1317" t="str">
        <f ca="1">IF(INDIRECT("'SpxSp (step-c)'!$B" &amp; CF$72)=$Z108,INDIRECT("'SpxSp (step-c)'!$" &amp; 'SpxSp (step-c)'!$AC$16 &amp; CF$72),"")</f>
        <v/>
      </c>
      <c r="CG108" s="1317" t="str">
        <f ca="1">IF(INDIRECT("'SpxSp (step-c)'!$B" &amp; CG$72)=$Z108,INDIRECT("'SpxSp (step-c)'!$" &amp; 'SpxSp (step-c)'!$AC$16 &amp; CG$72),"")</f>
        <v/>
      </c>
      <c r="CH108" s="1317" t="str">
        <f ca="1">IF(INDIRECT("'SpxSp (step-c)'!$B" &amp; CH$72)=$Z108,INDIRECT("'SpxSp (step-c)'!$" &amp; 'SpxSp (step-c)'!$AC$16 &amp; CH$72),"")</f>
        <v/>
      </c>
      <c r="CI108" s="1317" t="str">
        <f ca="1">IF(INDIRECT("'SpxSp (step-c)'!$B" &amp; CI$72)=$Z108,INDIRECT("'SpxSp (step-c)'!$" &amp; 'SpxSp (step-c)'!$AC$16 &amp; CI$72),"")</f>
        <v/>
      </c>
      <c r="CJ108" s="1317" t="str">
        <f ca="1">IF(INDIRECT("'SpxSp (step-c)'!$B" &amp; CJ$72)=$Z108,INDIRECT("'SpxSp (step-c)'!$" &amp; 'SpxSp (step-c)'!$AC$16 &amp; CJ$72),"")</f>
        <v/>
      </c>
      <c r="CK108" s="1317" t="str">
        <f ca="1">IF(INDIRECT("'SpxSp (step-c)'!$B" &amp; CK$72)=$Z108,INDIRECT("'SpxSp (step-c)'!$" &amp; 'SpxSp (step-c)'!$AC$16 &amp; CK$72),"")</f>
        <v/>
      </c>
      <c r="CL108" s="1317" t="str">
        <f ca="1">IF(INDIRECT("'SpxSp (step-c)'!$B" &amp; CL$72)=$Z108,INDIRECT("'SpxSp (step-c)'!$" &amp; 'SpxSp (step-c)'!$AC$16 &amp; CL$72),"")</f>
        <v/>
      </c>
      <c r="CM108" s="1317" t="str">
        <f ca="1">IF(INDIRECT("'SpxSp (step-c)'!$B" &amp; CM$72)=$Z108,INDIRECT("'SpxSp (step-c)'!$" &amp; 'SpxSp (step-c)'!$AC$16 &amp; CM$72),"")</f>
        <v/>
      </c>
      <c r="CN108" s="1317" t="str">
        <f ca="1">IF(INDIRECT("'SpxSp (step-c)'!$B" &amp; CN$72)=$Z108,INDIRECT("'SpxSp (step-c)'!$" &amp; 'SpxSp (step-c)'!$AC$16 &amp; CN$72),"")</f>
        <v/>
      </c>
      <c r="CO108" s="1317" t="str">
        <f ca="1">IF(INDIRECT("'SpxSp (step-c)'!$B" &amp; CO$72)=$Z108,INDIRECT("'SpxSp (step-c)'!$" &amp; 'SpxSp (step-c)'!$AC$16 &amp; CO$72),"")</f>
        <v/>
      </c>
      <c r="CP108" s="1317" t="str">
        <f ca="1">IF(INDIRECT("'SpxSp (step-c)'!$B" &amp; CP$72)=$Z108,INDIRECT("'SpxSp (step-c)'!$" &amp; 'SpxSp (step-c)'!$AC$16 &amp; CP$72),"")</f>
        <v/>
      </c>
      <c r="CQ108" s="1317" t="str">
        <f ca="1">IF(INDIRECT("'SpxSp (step-c)'!$B" &amp; CQ$72)=$Z108,INDIRECT("'SpxSp (step-c)'!$" &amp; 'SpxSp (step-c)'!$AC$16 &amp; CQ$72),"")</f>
        <v/>
      </c>
      <c r="CR108" s="1317" t="str">
        <f ca="1">IF(INDIRECT("'SpxSp (step-c)'!$B" &amp; CR$72)=$Z108,INDIRECT("'SpxSp (step-c)'!$" &amp; 'SpxSp (step-c)'!$AC$16 &amp; CR$72),"")</f>
        <v/>
      </c>
      <c r="CS108" s="1317" t="str">
        <f ca="1">IF(INDIRECT("'SpxSp (step-c)'!$B" &amp; CS$72)=$Z108,INDIRECT("'SpxSp (step-c)'!$" &amp; 'SpxSp (step-c)'!$AC$16 &amp; CS$72),"")</f>
        <v/>
      </c>
      <c r="CT108" s="1317" t="str">
        <f ca="1">IF(INDIRECT("'SpxSp (step-c)'!$B" &amp; CT$72)=$Z108,INDIRECT("'SpxSp (step-c)'!$" &amp; 'SpxSp (step-c)'!$AC$16 &amp; CT$72),"")</f>
        <v/>
      </c>
      <c r="CU108" s="1317" t="str">
        <f ca="1">IF(INDIRECT("'SpxSp (step-c)'!$B" &amp; CU$72)=$Z108,INDIRECT("'SpxSp (step-c)'!$" &amp; 'SpxSp (step-c)'!$AC$16 &amp; CU$72),"")</f>
        <v/>
      </c>
      <c r="CV108" s="1317" t="str">
        <f ca="1">IF(INDIRECT("'SpxSp (step-c)'!$B" &amp; CV$72)=$Z108,INDIRECT("'SpxSp (step-c)'!$" &amp; 'SpxSp (step-c)'!$AC$16 &amp; CV$72),"")</f>
        <v/>
      </c>
      <c r="CW108" s="1317" t="str">
        <f ca="1">IF(INDIRECT("'SpxSp (step-c)'!$B" &amp; CW$72)=$Z108,INDIRECT("'SpxSp (step-c)'!$" &amp; 'SpxSp (step-c)'!$AC$16 &amp; CW$72),"")</f>
        <v/>
      </c>
      <c r="CX108" s="1317" t="str">
        <f ca="1">IF(INDIRECT("'SpxSp (step-c)'!$B" &amp; CX$72)=$Z108,INDIRECT("'SpxSp (step-c)'!$" &amp; 'SpxSp (step-c)'!$AC$16 &amp; CX$72),"")</f>
        <v/>
      </c>
      <c r="CY108" s="1317" t="str">
        <f ca="1">IF(INDIRECT("'SpxSp (step-c)'!$B" &amp; CY$72)=$Z108,INDIRECT("'SpxSp (step-c)'!$" &amp; 'SpxSp (step-c)'!$AC$16 &amp; CY$72),"")</f>
        <v/>
      </c>
      <c r="CZ108" s="1317" t="str">
        <f ca="1">IF(INDIRECT("'SpxSp (step-c)'!$B" &amp; CZ$72)=$Z108,INDIRECT("'SpxSp (step-c)'!$" &amp; 'SpxSp (step-c)'!$AC$16 &amp; CZ$72),"")</f>
        <v/>
      </c>
      <c r="DA108" s="1317" t="str">
        <f ca="1">IF(INDIRECT("'SpxSp (step-c)'!$B" &amp; DA$72)=$Z108,INDIRECT("'SpxSp (step-c)'!$" &amp; 'SpxSp (step-c)'!$AC$16 &amp; DA$72),"")</f>
        <v/>
      </c>
      <c r="DB108" s="1317" t="str">
        <f ca="1">IF(INDIRECT("'SpxSp (step-c)'!$B" &amp; DB$72)=$Z108,INDIRECT("'SpxSp (step-c)'!$" &amp; 'SpxSp (step-c)'!$AC$16 &amp; DB$72),"")</f>
        <v/>
      </c>
      <c r="DC108" s="1317" t="str">
        <f ca="1">IF(INDIRECT("'SpxSp (step-c)'!$B" &amp; DC$72)=$Z108,INDIRECT("'SpxSp (step-c)'!$" &amp; 'SpxSp (step-c)'!$AC$16 &amp; DC$72),"")</f>
        <v/>
      </c>
      <c r="DD108" s="1317" t="str">
        <f ca="1">IF(INDIRECT("'SpxSp (step-c)'!$B" &amp; DD$72)=$Z108,INDIRECT("'SpxSp (step-c)'!$" &amp; 'SpxSp (step-c)'!$AC$16 &amp; DD$72),"")</f>
        <v/>
      </c>
      <c r="DE108" s="1317" t="str">
        <f ca="1">IF(INDIRECT("'SpxSp (step-c)'!$B" &amp; DE$72)=$Z108,INDIRECT("'SpxSp (step-c)'!$" &amp; 'SpxSp (step-c)'!$AC$16 &amp; DE$72),"")</f>
        <v/>
      </c>
      <c r="DF108" s="1317" t="str">
        <f ca="1">IF(INDIRECT("'SpxSp (step-c)'!$B" &amp; DF$72)=$Z108,INDIRECT("'SpxSp (step-c)'!$" &amp; 'SpxSp (step-c)'!$AC$16 &amp; DF$72),"")</f>
        <v/>
      </c>
      <c r="DG108" s="1317" t="str">
        <f ca="1">IF(INDIRECT("'SpxSp (step-c)'!$B" &amp; DG$72)=$Z108,INDIRECT("'SpxSp (step-c)'!$" &amp; 'SpxSp (step-c)'!$AC$16 &amp; DG$72),"")</f>
        <v/>
      </c>
      <c r="DH108" s="1317" t="str">
        <f ca="1">IF(INDIRECT("'SpxSp (step-c)'!$B" &amp; DH$72)=$Z108,INDIRECT("'SpxSp (step-c)'!$" &amp; 'SpxSp (step-c)'!$AC$16 &amp; DH$72),"")</f>
        <v/>
      </c>
      <c r="DI108" s="1317" t="str">
        <f ca="1">IF(INDIRECT("'SpxSp (step-c)'!$B" &amp; DI$72)=$Z108,INDIRECT("'SpxSp (step-c)'!$" &amp; 'SpxSp (step-c)'!$AC$16 &amp; DI$72),"")</f>
        <v/>
      </c>
      <c r="DJ108" s="1317" t="str">
        <f ca="1">IF(INDIRECT("'SpxSp (step-c)'!$B" &amp; DJ$72)=$Z108,INDIRECT("'SpxSp (step-c)'!$" &amp; 'SpxSp (step-c)'!$AC$16 &amp; DJ$72),"")</f>
        <v/>
      </c>
      <c r="DK108" s="1317" t="str">
        <f ca="1">IF(INDIRECT("'SpxSp (step-c)'!$B" &amp; DK$72)=$Z108,INDIRECT("'SpxSp (step-c)'!$" &amp; 'SpxSp (step-c)'!$AC$16 &amp; DK$72),"")</f>
        <v/>
      </c>
      <c r="DL108" s="1317" t="str">
        <f ca="1">IF(INDIRECT("'SpxSp (step-c)'!$B" &amp; DL$72)=$Z108,INDIRECT("'SpxSp (step-c)'!$" &amp; 'SpxSp (step-c)'!$AC$16 &amp; DL$72),"")</f>
        <v/>
      </c>
      <c r="DM108" s="1317" t="str">
        <f ca="1">IF(INDIRECT("'SpxSp (step-c)'!$B" &amp; DM$72)=$Z108,INDIRECT("'SpxSp (step-c)'!$" &amp; 'SpxSp (step-c)'!$AC$16 &amp; DM$72),"")</f>
        <v/>
      </c>
      <c r="DO108" s="1246" t="s">
        <v>1200</v>
      </c>
    </row>
    <row r="109" spans="26:119" ht="20" x14ac:dyDescent="0.2">
      <c r="Z109" s="1317" t="str">
        <f t="shared" ref="Z109:AA109" si="77">Z54</f>
        <v/>
      </c>
      <c r="AA109" s="1317" t="str">
        <f t="shared" si="77"/>
        <v/>
      </c>
      <c r="BN109" s="178">
        <v>37</v>
      </c>
      <c r="BO109" s="1316" t="str">
        <f t="shared" ca="1" si="43"/>
        <v/>
      </c>
      <c r="BP109" s="1317" t="str">
        <f ca="1">IF(INDIRECT("'SpxSp (step-c)'!$B" &amp; BP$72)=$Z109,INDIRECT("'SpxSp (step-c)'!$" &amp; 'SpxSp (step-c)'!$AC$16 &amp; BP$72),"")</f>
        <v/>
      </c>
      <c r="BQ109" s="1317" t="str">
        <f ca="1">IF(INDIRECT("'SpxSp (step-c)'!$B" &amp; BQ$72)=$Z109,INDIRECT("'SpxSp (step-c)'!$" &amp; 'SpxSp (step-c)'!$AC$16 &amp; BQ$72),"")</f>
        <v/>
      </c>
      <c r="BR109" s="1317" t="str">
        <f ca="1">IF(INDIRECT("'SpxSp (step-c)'!$B" &amp; BR$72)=$Z109,INDIRECT("'SpxSp (step-c)'!$" &amp; 'SpxSp (step-c)'!$AC$16 &amp; BR$72),"")</f>
        <v/>
      </c>
      <c r="BS109" s="1317" t="str">
        <f ca="1">IF(INDIRECT("'SpxSp (step-c)'!$B" &amp; BS$72)=$Z109,INDIRECT("'SpxSp (step-c)'!$" &amp; 'SpxSp (step-c)'!$AC$16 &amp; BS$72),"")</f>
        <v/>
      </c>
      <c r="BT109" s="1317" t="str">
        <f ca="1">IF(INDIRECT("'SpxSp (step-c)'!$B" &amp; BT$72)=$Z109,INDIRECT("'SpxSp (step-c)'!$" &amp; 'SpxSp (step-c)'!$AC$16 &amp; BT$72),"")</f>
        <v/>
      </c>
      <c r="BU109" s="1317" t="str">
        <f ca="1">IF(INDIRECT("'SpxSp (step-c)'!$B" &amp; BU$72)=$Z109,INDIRECT("'SpxSp (step-c)'!$" &amp; 'SpxSp (step-c)'!$AC$16 &amp; BU$72),"")</f>
        <v/>
      </c>
      <c r="BV109" s="1317" t="str">
        <f ca="1">IF(INDIRECT("'SpxSp (step-c)'!$B" &amp; BV$72)=$Z109,INDIRECT("'SpxSp (step-c)'!$" &amp; 'SpxSp (step-c)'!$AC$16 &amp; BV$72),"")</f>
        <v/>
      </c>
      <c r="BW109" s="1317" t="str">
        <f ca="1">IF(INDIRECT("'SpxSp (step-c)'!$B" &amp; BW$72)=$Z109,INDIRECT("'SpxSp (step-c)'!$" &amp; 'SpxSp (step-c)'!$AC$16 &amp; BW$72),"")</f>
        <v/>
      </c>
      <c r="BX109" s="1317" t="str">
        <f ca="1">IF(INDIRECT("'SpxSp (step-c)'!$B" &amp; BX$72)=$Z109,INDIRECT("'SpxSp (step-c)'!$" &amp; 'SpxSp (step-c)'!$AC$16 &amp; BX$72),"")</f>
        <v/>
      </c>
      <c r="BY109" s="1317" t="str">
        <f ca="1">IF(INDIRECT("'SpxSp (step-c)'!$B" &amp; BY$72)=$Z109,INDIRECT("'SpxSp (step-c)'!$" &amp; 'SpxSp (step-c)'!$AC$16 &amp; BY$72),"")</f>
        <v/>
      </c>
      <c r="BZ109" s="1317" t="str">
        <f ca="1">IF(INDIRECT("'SpxSp (step-c)'!$B" &amp; BZ$72)=$Z109,INDIRECT("'SpxSp (step-c)'!$" &amp; 'SpxSp (step-c)'!$AC$16 &amp; BZ$72),"")</f>
        <v/>
      </c>
      <c r="CA109" s="1317" t="str">
        <f ca="1">IF(INDIRECT("'SpxSp (step-c)'!$B" &amp; CA$72)=$Z109,INDIRECT("'SpxSp (step-c)'!$" &amp; 'SpxSp (step-c)'!$AC$16 &amp; CA$72),"")</f>
        <v/>
      </c>
      <c r="CB109" s="1317" t="str">
        <f ca="1">IF(INDIRECT("'SpxSp (step-c)'!$B" &amp; CB$72)=$Z109,INDIRECT("'SpxSp (step-c)'!$" &amp; 'SpxSp (step-c)'!$AC$16 &amp; CB$72),"")</f>
        <v/>
      </c>
      <c r="CC109" s="1317" t="str">
        <f ca="1">IF(INDIRECT("'SpxSp (step-c)'!$B" &amp; CC$72)=$Z109,INDIRECT("'SpxSp (step-c)'!$" &amp; 'SpxSp (step-c)'!$AC$16 &amp; CC$72),"")</f>
        <v/>
      </c>
      <c r="CD109" s="1317" t="str">
        <f ca="1">IF(INDIRECT("'SpxSp (step-c)'!$B" &amp; CD$72)=$Z109,INDIRECT("'SpxSp (step-c)'!$" &amp; 'SpxSp (step-c)'!$AC$16 &amp; CD$72),"")</f>
        <v/>
      </c>
      <c r="CE109" s="1317" t="str">
        <f ca="1">IF(INDIRECT("'SpxSp (step-c)'!$B" &amp; CE$72)=$Z109,INDIRECT("'SpxSp (step-c)'!$" &amp; 'SpxSp (step-c)'!$AC$16 &amp; CE$72),"")</f>
        <v/>
      </c>
      <c r="CF109" s="1317" t="str">
        <f ca="1">IF(INDIRECT("'SpxSp (step-c)'!$B" &amp; CF$72)=$Z109,INDIRECT("'SpxSp (step-c)'!$" &amp; 'SpxSp (step-c)'!$AC$16 &amp; CF$72),"")</f>
        <v/>
      </c>
      <c r="CG109" s="1317" t="str">
        <f ca="1">IF(INDIRECT("'SpxSp (step-c)'!$B" &amp; CG$72)=$Z109,INDIRECT("'SpxSp (step-c)'!$" &amp; 'SpxSp (step-c)'!$AC$16 &amp; CG$72),"")</f>
        <v/>
      </c>
      <c r="CH109" s="1317" t="str">
        <f ca="1">IF(INDIRECT("'SpxSp (step-c)'!$B" &amp; CH$72)=$Z109,INDIRECT("'SpxSp (step-c)'!$" &amp; 'SpxSp (step-c)'!$AC$16 &amp; CH$72),"")</f>
        <v/>
      </c>
      <c r="CI109" s="1317" t="str">
        <f ca="1">IF(INDIRECT("'SpxSp (step-c)'!$B" &amp; CI$72)=$Z109,INDIRECT("'SpxSp (step-c)'!$" &amp; 'SpxSp (step-c)'!$AC$16 &amp; CI$72),"")</f>
        <v/>
      </c>
      <c r="CJ109" s="1317" t="str">
        <f ca="1">IF(INDIRECT("'SpxSp (step-c)'!$B" &amp; CJ$72)=$Z109,INDIRECT("'SpxSp (step-c)'!$" &amp; 'SpxSp (step-c)'!$AC$16 &amp; CJ$72),"")</f>
        <v/>
      </c>
      <c r="CK109" s="1317" t="str">
        <f ca="1">IF(INDIRECT("'SpxSp (step-c)'!$B" &amp; CK$72)=$Z109,INDIRECT("'SpxSp (step-c)'!$" &amp; 'SpxSp (step-c)'!$AC$16 &amp; CK$72),"")</f>
        <v/>
      </c>
      <c r="CL109" s="1317" t="str">
        <f ca="1">IF(INDIRECT("'SpxSp (step-c)'!$B" &amp; CL$72)=$Z109,INDIRECT("'SpxSp (step-c)'!$" &amp; 'SpxSp (step-c)'!$AC$16 &amp; CL$72),"")</f>
        <v/>
      </c>
      <c r="CM109" s="1317" t="str">
        <f ca="1">IF(INDIRECT("'SpxSp (step-c)'!$B" &amp; CM$72)=$Z109,INDIRECT("'SpxSp (step-c)'!$" &amp; 'SpxSp (step-c)'!$AC$16 &amp; CM$72),"")</f>
        <v/>
      </c>
      <c r="CN109" s="1317" t="str">
        <f ca="1">IF(INDIRECT("'SpxSp (step-c)'!$B" &amp; CN$72)=$Z109,INDIRECT("'SpxSp (step-c)'!$" &amp; 'SpxSp (step-c)'!$AC$16 &amp; CN$72),"")</f>
        <v/>
      </c>
      <c r="CO109" s="1317" t="str">
        <f ca="1">IF(INDIRECT("'SpxSp (step-c)'!$B" &amp; CO$72)=$Z109,INDIRECT("'SpxSp (step-c)'!$" &amp; 'SpxSp (step-c)'!$AC$16 &amp; CO$72),"")</f>
        <v/>
      </c>
      <c r="CP109" s="1317" t="str">
        <f ca="1">IF(INDIRECT("'SpxSp (step-c)'!$B" &amp; CP$72)=$Z109,INDIRECT("'SpxSp (step-c)'!$" &amp; 'SpxSp (step-c)'!$AC$16 &amp; CP$72),"")</f>
        <v/>
      </c>
      <c r="CQ109" s="1317" t="str">
        <f ca="1">IF(INDIRECT("'SpxSp (step-c)'!$B" &amp; CQ$72)=$Z109,INDIRECT("'SpxSp (step-c)'!$" &amp; 'SpxSp (step-c)'!$AC$16 &amp; CQ$72),"")</f>
        <v/>
      </c>
      <c r="CR109" s="1317" t="str">
        <f ca="1">IF(INDIRECT("'SpxSp (step-c)'!$B" &amp; CR$72)=$Z109,INDIRECT("'SpxSp (step-c)'!$" &amp; 'SpxSp (step-c)'!$AC$16 &amp; CR$72),"")</f>
        <v/>
      </c>
      <c r="CS109" s="1317" t="str">
        <f ca="1">IF(INDIRECT("'SpxSp (step-c)'!$B" &amp; CS$72)=$Z109,INDIRECT("'SpxSp (step-c)'!$" &amp; 'SpxSp (step-c)'!$AC$16 &amp; CS$72),"")</f>
        <v/>
      </c>
      <c r="CT109" s="1317" t="str">
        <f ca="1">IF(INDIRECT("'SpxSp (step-c)'!$B" &amp; CT$72)=$Z109,INDIRECT("'SpxSp (step-c)'!$" &amp; 'SpxSp (step-c)'!$AC$16 &amp; CT$72),"")</f>
        <v/>
      </c>
      <c r="CU109" s="1317" t="str">
        <f ca="1">IF(INDIRECT("'SpxSp (step-c)'!$B" &amp; CU$72)=$Z109,INDIRECT("'SpxSp (step-c)'!$" &amp; 'SpxSp (step-c)'!$AC$16 &amp; CU$72),"")</f>
        <v/>
      </c>
      <c r="CV109" s="1317" t="str">
        <f ca="1">IF(INDIRECT("'SpxSp (step-c)'!$B" &amp; CV$72)=$Z109,INDIRECT("'SpxSp (step-c)'!$" &amp; 'SpxSp (step-c)'!$AC$16 &amp; CV$72),"")</f>
        <v/>
      </c>
      <c r="CW109" s="1317" t="str">
        <f ca="1">IF(INDIRECT("'SpxSp (step-c)'!$B" &amp; CW$72)=$Z109,INDIRECT("'SpxSp (step-c)'!$" &amp; 'SpxSp (step-c)'!$AC$16 &amp; CW$72),"")</f>
        <v/>
      </c>
      <c r="CX109" s="1317" t="str">
        <f ca="1">IF(INDIRECT("'SpxSp (step-c)'!$B" &amp; CX$72)=$Z109,INDIRECT("'SpxSp (step-c)'!$" &amp; 'SpxSp (step-c)'!$AC$16 &amp; CX$72),"")</f>
        <v/>
      </c>
      <c r="CY109" s="1317" t="str">
        <f ca="1">IF(INDIRECT("'SpxSp (step-c)'!$B" &amp; CY$72)=$Z109,INDIRECT("'SpxSp (step-c)'!$" &amp; 'SpxSp (step-c)'!$AC$16 &amp; CY$72),"")</f>
        <v/>
      </c>
      <c r="CZ109" s="1317" t="str">
        <f ca="1">IF(INDIRECT("'SpxSp (step-c)'!$B" &amp; CZ$72)=$Z109,INDIRECT("'SpxSp (step-c)'!$" &amp; 'SpxSp (step-c)'!$AC$16 &amp; CZ$72),"")</f>
        <v/>
      </c>
      <c r="DA109" s="1317" t="str">
        <f ca="1">IF(INDIRECT("'SpxSp (step-c)'!$B" &amp; DA$72)=$Z109,INDIRECT("'SpxSp (step-c)'!$" &amp; 'SpxSp (step-c)'!$AC$16 &amp; DA$72),"")</f>
        <v/>
      </c>
      <c r="DB109" s="1317" t="str">
        <f ca="1">IF(INDIRECT("'SpxSp (step-c)'!$B" &amp; DB$72)=$Z109,INDIRECT("'SpxSp (step-c)'!$" &amp; 'SpxSp (step-c)'!$AC$16 &amp; DB$72),"")</f>
        <v/>
      </c>
      <c r="DC109" s="1317" t="str">
        <f ca="1">IF(INDIRECT("'SpxSp (step-c)'!$B" &amp; DC$72)=$Z109,INDIRECT("'SpxSp (step-c)'!$" &amp; 'SpxSp (step-c)'!$AC$16 &amp; DC$72),"")</f>
        <v/>
      </c>
      <c r="DD109" s="1317" t="str">
        <f ca="1">IF(INDIRECT("'SpxSp (step-c)'!$B" &amp; DD$72)=$Z109,INDIRECT("'SpxSp (step-c)'!$" &amp; 'SpxSp (step-c)'!$AC$16 &amp; DD$72),"")</f>
        <v/>
      </c>
      <c r="DE109" s="1317" t="str">
        <f ca="1">IF(INDIRECT("'SpxSp (step-c)'!$B" &amp; DE$72)=$Z109,INDIRECT("'SpxSp (step-c)'!$" &amp; 'SpxSp (step-c)'!$AC$16 &amp; DE$72),"")</f>
        <v/>
      </c>
      <c r="DF109" s="1317" t="str">
        <f ca="1">IF(INDIRECT("'SpxSp (step-c)'!$B" &amp; DF$72)=$Z109,INDIRECT("'SpxSp (step-c)'!$" &amp; 'SpxSp (step-c)'!$AC$16 &amp; DF$72),"")</f>
        <v/>
      </c>
      <c r="DG109" s="1317" t="str">
        <f ca="1">IF(INDIRECT("'SpxSp (step-c)'!$B" &amp; DG$72)=$Z109,INDIRECT("'SpxSp (step-c)'!$" &amp; 'SpxSp (step-c)'!$AC$16 &amp; DG$72),"")</f>
        <v/>
      </c>
      <c r="DH109" s="1317" t="str">
        <f ca="1">IF(INDIRECT("'SpxSp (step-c)'!$B" &amp; DH$72)=$Z109,INDIRECT("'SpxSp (step-c)'!$" &amp; 'SpxSp (step-c)'!$AC$16 &amp; DH$72),"")</f>
        <v/>
      </c>
      <c r="DI109" s="1317" t="str">
        <f ca="1">IF(INDIRECT("'SpxSp (step-c)'!$B" &amp; DI$72)=$Z109,INDIRECT("'SpxSp (step-c)'!$" &amp; 'SpxSp (step-c)'!$AC$16 &amp; DI$72),"")</f>
        <v/>
      </c>
      <c r="DJ109" s="1317" t="str">
        <f ca="1">IF(INDIRECT("'SpxSp (step-c)'!$B" &amp; DJ$72)=$Z109,INDIRECT("'SpxSp (step-c)'!$" &amp; 'SpxSp (step-c)'!$AC$16 &amp; DJ$72),"")</f>
        <v/>
      </c>
      <c r="DK109" s="1317" t="str">
        <f ca="1">IF(INDIRECT("'SpxSp (step-c)'!$B" &amp; DK$72)=$Z109,INDIRECT("'SpxSp (step-c)'!$" &amp; 'SpxSp (step-c)'!$AC$16 &amp; DK$72),"")</f>
        <v/>
      </c>
      <c r="DL109" s="1317" t="str">
        <f ca="1">IF(INDIRECT("'SpxSp (step-c)'!$B" &amp; DL$72)=$Z109,INDIRECT("'SpxSp (step-c)'!$" &amp; 'SpxSp (step-c)'!$AC$16 &amp; DL$72),"")</f>
        <v/>
      </c>
      <c r="DM109" s="1317" t="str">
        <f ca="1">IF(INDIRECT("'SpxSp (step-c)'!$B" &amp; DM$72)=$Z109,INDIRECT("'SpxSp (step-c)'!$" &amp; 'SpxSp (step-c)'!$AC$16 &amp; DM$72),"")</f>
        <v/>
      </c>
      <c r="DO109" s="1246" t="s">
        <v>1200</v>
      </c>
    </row>
    <row r="110" spans="26:119" ht="20" x14ac:dyDescent="0.2">
      <c r="Z110" s="1317" t="str">
        <f t="shared" ref="Z110:AA110" si="78">Z55</f>
        <v/>
      </c>
      <c r="AA110" s="1317" t="str">
        <f t="shared" si="78"/>
        <v/>
      </c>
      <c r="BN110" s="178">
        <v>38</v>
      </c>
      <c r="BO110" s="1316" t="str">
        <f t="shared" ca="1" si="43"/>
        <v/>
      </c>
      <c r="BP110" s="1317" t="str">
        <f ca="1">IF(INDIRECT("'SpxSp (step-c)'!$B" &amp; BP$72)=$Z110,INDIRECT("'SpxSp (step-c)'!$" &amp; 'SpxSp (step-c)'!$AC$16 &amp; BP$72),"")</f>
        <v/>
      </c>
      <c r="BQ110" s="1317" t="str">
        <f ca="1">IF(INDIRECT("'SpxSp (step-c)'!$B" &amp; BQ$72)=$Z110,INDIRECT("'SpxSp (step-c)'!$" &amp; 'SpxSp (step-c)'!$AC$16 &amp; BQ$72),"")</f>
        <v/>
      </c>
      <c r="BR110" s="1317" t="str">
        <f ca="1">IF(INDIRECT("'SpxSp (step-c)'!$B" &amp; BR$72)=$Z110,INDIRECT("'SpxSp (step-c)'!$" &amp; 'SpxSp (step-c)'!$AC$16 &amp; BR$72),"")</f>
        <v/>
      </c>
      <c r="BS110" s="1317" t="str">
        <f ca="1">IF(INDIRECT("'SpxSp (step-c)'!$B" &amp; BS$72)=$Z110,INDIRECT("'SpxSp (step-c)'!$" &amp; 'SpxSp (step-c)'!$AC$16 &amp; BS$72),"")</f>
        <v/>
      </c>
      <c r="BT110" s="1317" t="str">
        <f ca="1">IF(INDIRECT("'SpxSp (step-c)'!$B" &amp; BT$72)=$Z110,INDIRECT("'SpxSp (step-c)'!$" &amp; 'SpxSp (step-c)'!$AC$16 &amp; BT$72),"")</f>
        <v/>
      </c>
      <c r="BU110" s="1317" t="str">
        <f ca="1">IF(INDIRECT("'SpxSp (step-c)'!$B" &amp; BU$72)=$Z110,INDIRECT("'SpxSp (step-c)'!$" &amp; 'SpxSp (step-c)'!$AC$16 &amp; BU$72),"")</f>
        <v/>
      </c>
      <c r="BV110" s="1317" t="str">
        <f ca="1">IF(INDIRECT("'SpxSp (step-c)'!$B" &amp; BV$72)=$Z110,INDIRECT("'SpxSp (step-c)'!$" &amp; 'SpxSp (step-c)'!$AC$16 &amp; BV$72),"")</f>
        <v/>
      </c>
      <c r="BW110" s="1317" t="str">
        <f ca="1">IF(INDIRECT("'SpxSp (step-c)'!$B" &amp; BW$72)=$Z110,INDIRECT("'SpxSp (step-c)'!$" &amp; 'SpxSp (step-c)'!$AC$16 &amp; BW$72),"")</f>
        <v/>
      </c>
      <c r="BX110" s="1317" t="str">
        <f ca="1">IF(INDIRECT("'SpxSp (step-c)'!$B" &amp; BX$72)=$Z110,INDIRECT("'SpxSp (step-c)'!$" &amp; 'SpxSp (step-c)'!$AC$16 &amp; BX$72),"")</f>
        <v/>
      </c>
      <c r="BY110" s="1317" t="str">
        <f ca="1">IF(INDIRECT("'SpxSp (step-c)'!$B" &amp; BY$72)=$Z110,INDIRECT("'SpxSp (step-c)'!$" &amp; 'SpxSp (step-c)'!$AC$16 &amp; BY$72),"")</f>
        <v/>
      </c>
      <c r="BZ110" s="1317" t="str">
        <f ca="1">IF(INDIRECT("'SpxSp (step-c)'!$B" &amp; BZ$72)=$Z110,INDIRECT("'SpxSp (step-c)'!$" &amp; 'SpxSp (step-c)'!$AC$16 &amp; BZ$72),"")</f>
        <v/>
      </c>
      <c r="CA110" s="1317" t="str">
        <f ca="1">IF(INDIRECT("'SpxSp (step-c)'!$B" &amp; CA$72)=$Z110,INDIRECT("'SpxSp (step-c)'!$" &amp; 'SpxSp (step-c)'!$AC$16 &amp; CA$72),"")</f>
        <v/>
      </c>
      <c r="CB110" s="1317" t="str">
        <f ca="1">IF(INDIRECT("'SpxSp (step-c)'!$B" &amp; CB$72)=$Z110,INDIRECT("'SpxSp (step-c)'!$" &amp; 'SpxSp (step-c)'!$AC$16 &amp; CB$72),"")</f>
        <v/>
      </c>
      <c r="CC110" s="1317" t="str">
        <f ca="1">IF(INDIRECT("'SpxSp (step-c)'!$B" &amp; CC$72)=$Z110,INDIRECT("'SpxSp (step-c)'!$" &amp; 'SpxSp (step-c)'!$AC$16 &amp; CC$72),"")</f>
        <v/>
      </c>
      <c r="CD110" s="1317" t="str">
        <f ca="1">IF(INDIRECT("'SpxSp (step-c)'!$B" &amp; CD$72)=$Z110,INDIRECT("'SpxSp (step-c)'!$" &amp; 'SpxSp (step-c)'!$AC$16 &amp; CD$72),"")</f>
        <v/>
      </c>
      <c r="CE110" s="1317" t="str">
        <f ca="1">IF(INDIRECT("'SpxSp (step-c)'!$B" &amp; CE$72)=$Z110,INDIRECT("'SpxSp (step-c)'!$" &amp; 'SpxSp (step-c)'!$AC$16 &amp; CE$72),"")</f>
        <v/>
      </c>
      <c r="CF110" s="1317" t="str">
        <f ca="1">IF(INDIRECT("'SpxSp (step-c)'!$B" &amp; CF$72)=$Z110,INDIRECT("'SpxSp (step-c)'!$" &amp; 'SpxSp (step-c)'!$AC$16 &amp; CF$72),"")</f>
        <v/>
      </c>
      <c r="CG110" s="1317" t="str">
        <f ca="1">IF(INDIRECT("'SpxSp (step-c)'!$B" &amp; CG$72)=$Z110,INDIRECT("'SpxSp (step-c)'!$" &amp; 'SpxSp (step-c)'!$AC$16 &amp; CG$72),"")</f>
        <v/>
      </c>
      <c r="CH110" s="1317" t="str">
        <f ca="1">IF(INDIRECT("'SpxSp (step-c)'!$B" &amp; CH$72)=$Z110,INDIRECT("'SpxSp (step-c)'!$" &amp; 'SpxSp (step-c)'!$AC$16 &amp; CH$72),"")</f>
        <v/>
      </c>
      <c r="CI110" s="1317" t="str">
        <f ca="1">IF(INDIRECT("'SpxSp (step-c)'!$B" &amp; CI$72)=$Z110,INDIRECT("'SpxSp (step-c)'!$" &amp; 'SpxSp (step-c)'!$AC$16 &amp; CI$72),"")</f>
        <v/>
      </c>
      <c r="CJ110" s="1317" t="str">
        <f ca="1">IF(INDIRECT("'SpxSp (step-c)'!$B" &amp; CJ$72)=$Z110,INDIRECT("'SpxSp (step-c)'!$" &amp; 'SpxSp (step-c)'!$AC$16 &amp; CJ$72),"")</f>
        <v/>
      </c>
      <c r="CK110" s="1317" t="str">
        <f ca="1">IF(INDIRECT("'SpxSp (step-c)'!$B" &amp; CK$72)=$Z110,INDIRECT("'SpxSp (step-c)'!$" &amp; 'SpxSp (step-c)'!$AC$16 &amp; CK$72),"")</f>
        <v/>
      </c>
      <c r="CL110" s="1317" t="str">
        <f ca="1">IF(INDIRECT("'SpxSp (step-c)'!$B" &amp; CL$72)=$Z110,INDIRECT("'SpxSp (step-c)'!$" &amp; 'SpxSp (step-c)'!$AC$16 &amp; CL$72),"")</f>
        <v/>
      </c>
      <c r="CM110" s="1317" t="str">
        <f ca="1">IF(INDIRECT("'SpxSp (step-c)'!$B" &amp; CM$72)=$Z110,INDIRECT("'SpxSp (step-c)'!$" &amp; 'SpxSp (step-c)'!$AC$16 &amp; CM$72),"")</f>
        <v/>
      </c>
      <c r="CN110" s="1317" t="str">
        <f ca="1">IF(INDIRECT("'SpxSp (step-c)'!$B" &amp; CN$72)=$Z110,INDIRECT("'SpxSp (step-c)'!$" &amp; 'SpxSp (step-c)'!$AC$16 &amp; CN$72),"")</f>
        <v/>
      </c>
      <c r="CO110" s="1317" t="str">
        <f ca="1">IF(INDIRECT("'SpxSp (step-c)'!$B" &amp; CO$72)=$Z110,INDIRECT("'SpxSp (step-c)'!$" &amp; 'SpxSp (step-c)'!$AC$16 &amp; CO$72),"")</f>
        <v/>
      </c>
      <c r="CP110" s="1317" t="str">
        <f ca="1">IF(INDIRECT("'SpxSp (step-c)'!$B" &amp; CP$72)=$Z110,INDIRECT("'SpxSp (step-c)'!$" &amp; 'SpxSp (step-c)'!$AC$16 &amp; CP$72),"")</f>
        <v/>
      </c>
      <c r="CQ110" s="1317" t="str">
        <f ca="1">IF(INDIRECT("'SpxSp (step-c)'!$B" &amp; CQ$72)=$Z110,INDIRECT("'SpxSp (step-c)'!$" &amp; 'SpxSp (step-c)'!$AC$16 &amp; CQ$72),"")</f>
        <v/>
      </c>
      <c r="CR110" s="1317" t="str">
        <f ca="1">IF(INDIRECT("'SpxSp (step-c)'!$B" &amp; CR$72)=$Z110,INDIRECT("'SpxSp (step-c)'!$" &amp; 'SpxSp (step-c)'!$AC$16 &amp; CR$72),"")</f>
        <v/>
      </c>
      <c r="CS110" s="1317" t="str">
        <f ca="1">IF(INDIRECT("'SpxSp (step-c)'!$B" &amp; CS$72)=$Z110,INDIRECT("'SpxSp (step-c)'!$" &amp; 'SpxSp (step-c)'!$AC$16 &amp; CS$72),"")</f>
        <v/>
      </c>
      <c r="CT110" s="1317" t="str">
        <f ca="1">IF(INDIRECT("'SpxSp (step-c)'!$B" &amp; CT$72)=$Z110,INDIRECT("'SpxSp (step-c)'!$" &amp; 'SpxSp (step-c)'!$AC$16 &amp; CT$72),"")</f>
        <v/>
      </c>
      <c r="CU110" s="1317" t="str">
        <f ca="1">IF(INDIRECT("'SpxSp (step-c)'!$B" &amp; CU$72)=$Z110,INDIRECT("'SpxSp (step-c)'!$" &amp; 'SpxSp (step-c)'!$AC$16 &amp; CU$72),"")</f>
        <v/>
      </c>
      <c r="CV110" s="1317" t="str">
        <f ca="1">IF(INDIRECT("'SpxSp (step-c)'!$B" &amp; CV$72)=$Z110,INDIRECT("'SpxSp (step-c)'!$" &amp; 'SpxSp (step-c)'!$AC$16 &amp; CV$72),"")</f>
        <v/>
      </c>
      <c r="CW110" s="1317" t="str">
        <f ca="1">IF(INDIRECT("'SpxSp (step-c)'!$B" &amp; CW$72)=$Z110,INDIRECT("'SpxSp (step-c)'!$" &amp; 'SpxSp (step-c)'!$AC$16 &amp; CW$72),"")</f>
        <v/>
      </c>
      <c r="CX110" s="1317" t="str">
        <f ca="1">IF(INDIRECT("'SpxSp (step-c)'!$B" &amp; CX$72)=$Z110,INDIRECT("'SpxSp (step-c)'!$" &amp; 'SpxSp (step-c)'!$AC$16 &amp; CX$72),"")</f>
        <v/>
      </c>
      <c r="CY110" s="1317" t="str">
        <f ca="1">IF(INDIRECT("'SpxSp (step-c)'!$B" &amp; CY$72)=$Z110,INDIRECT("'SpxSp (step-c)'!$" &amp; 'SpxSp (step-c)'!$AC$16 &amp; CY$72),"")</f>
        <v/>
      </c>
      <c r="CZ110" s="1317" t="str">
        <f ca="1">IF(INDIRECT("'SpxSp (step-c)'!$B" &amp; CZ$72)=$Z110,INDIRECT("'SpxSp (step-c)'!$" &amp; 'SpxSp (step-c)'!$AC$16 &amp; CZ$72),"")</f>
        <v/>
      </c>
      <c r="DA110" s="1317" t="str">
        <f ca="1">IF(INDIRECT("'SpxSp (step-c)'!$B" &amp; DA$72)=$Z110,INDIRECT("'SpxSp (step-c)'!$" &amp; 'SpxSp (step-c)'!$AC$16 &amp; DA$72),"")</f>
        <v/>
      </c>
      <c r="DB110" s="1317" t="str">
        <f ca="1">IF(INDIRECT("'SpxSp (step-c)'!$B" &amp; DB$72)=$Z110,INDIRECT("'SpxSp (step-c)'!$" &amp; 'SpxSp (step-c)'!$AC$16 &amp; DB$72),"")</f>
        <v/>
      </c>
      <c r="DC110" s="1317" t="str">
        <f ca="1">IF(INDIRECT("'SpxSp (step-c)'!$B" &amp; DC$72)=$Z110,INDIRECT("'SpxSp (step-c)'!$" &amp; 'SpxSp (step-c)'!$AC$16 &amp; DC$72),"")</f>
        <v/>
      </c>
      <c r="DD110" s="1317" t="str">
        <f ca="1">IF(INDIRECT("'SpxSp (step-c)'!$B" &amp; DD$72)=$Z110,INDIRECT("'SpxSp (step-c)'!$" &amp; 'SpxSp (step-c)'!$AC$16 &amp; DD$72),"")</f>
        <v/>
      </c>
      <c r="DE110" s="1317" t="str">
        <f ca="1">IF(INDIRECT("'SpxSp (step-c)'!$B" &amp; DE$72)=$Z110,INDIRECT("'SpxSp (step-c)'!$" &amp; 'SpxSp (step-c)'!$AC$16 &amp; DE$72),"")</f>
        <v/>
      </c>
      <c r="DF110" s="1317" t="str">
        <f ca="1">IF(INDIRECT("'SpxSp (step-c)'!$B" &amp; DF$72)=$Z110,INDIRECT("'SpxSp (step-c)'!$" &amp; 'SpxSp (step-c)'!$AC$16 &amp; DF$72),"")</f>
        <v/>
      </c>
      <c r="DG110" s="1317" t="str">
        <f ca="1">IF(INDIRECT("'SpxSp (step-c)'!$B" &amp; DG$72)=$Z110,INDIRECT("'SpxSp (step-c)'!$" &amp; 'SpxSp (step-c)'!$AC$16 &amp; DG$72),"")</f>
        <v/>
      </c>
      <c r="DH110" s="1317" t="str">
        <f ca="1">IF(INDIRECT("'SpxSp (step-c)'!$B" &amp; DH$72)=$Z110,INDIRECT("'SpxSp (step-c)'!$" &amp; 'SpxSp (step-c)'!$AC$16 &amp; DH$72),"")</f>
        <v/>
      </c>
      <c r="DI110" s="1317" t="str">
        <f ca="1">IF(INDIRECT("'SpxSp (step-c)'!$B" &amp; DI$72)=$Z110,INDIRECT("'SpxSp (step-c)'!$" &amp; 'SpxSp (step-c)'!$AC$16 &amp; DI$72),"")</f>
        <v/>
      </c>
      <c r="DJ110" s="1317" t="str">
        <f ca="1">IF(INDIRECT("'SpxSp (step-c)'!$B" &amp; DJ$72)=$Z110,INDIRECT("'SpxSp (step-c)'!$" &amp; 'SpxSp (step-c)'!$AC$16 &amp; DJ$72),"")</f>
        <v/>
      </c>
      <c r="DK110" s="1317" t="str">
        <f ca="1">IF(INDIRECT("'SpxSp (step-c)'!$B" &amp; DK$72)=$Z110,INDIRECT("'SpxSp (step-c)'!$" &amp; 'SpxSp (step-c)'!$AC$16 &amp; DK$72),"")</f>
        <v/>
      </c>
      <c r="DL110" s="1317" t="str">
        <f ca="1">IF(INDIRECT("'SpxSp (step-c)'!$B" &amp; DL$72)=$Z110,INDIRECT("'SpxSp (step-c)'!$" &amp; 'SpxSp (step-c)'!$AC$16 &amp; DL$72),"")</f>
        <v/>
      </c>
      <c r="DM110" s="1317" t="str">
        <f ca="1">IF(INDIRECT("'SpxSp (step-c)'!$B" &amp; DM$72)=$Z110,INDIRECT("'SpxSp (step-c)'!$" &amp; 'SpxSp (step-c)'!$AC$16 &amp; DM$72),"")</f>
        <v/>
      </c>
      <c r="DO110" s="1246" t="s">
        <v>1200</v>
      </c>
    </row>
    <row r="111" spans="26:119" ht="20" x14ac:dyDescent="0.2">
      <c r="Z111" s="1317" t="str">
        <f t="shared" ref="Z111:AA111" si="79">Z56</f>
        <v/>
      </c>
      <c r="AA111" s="1317" t="str">
        <f t="shared" si="79"/>
        <v/>
      </c>
      <c r="BN111" s="178">
        <v>39</v>
      </c>
      <c r="BO111" s="1316" t="str">
        <f t="shared" ca="1" si="43"/>
        <v/>
      </c>
      <c r="BP111" s="1317" t="str">
        <f ca="1">IF(INDIRECT("'SpxSp (step-c)'!$B" &amp; BP$72)=$Z111,INDIRECT("'SpxSp (step-c)'!$" &amp; 'SpxSp (step-c)'!$AC$16 &amp; BP$72),"")</f>
        <v/>
      </c>
      <c r="BQ111" s="1317" t="str">
        <f ca="1">IF(INDIRECT("'SpxSp (step-c)'!$B" &amp; BQ$72)=$Z111,INDIRECT("'SpxSp (step-c)'!$" &amp; 'SpxSp (step-c)'!$AC$16 &amp; BQ$72),"")</f>
        <v/>
      </c>
      <c r="BR111" s="1317" t="str">
        <f ca="1">IF(INDIRECT("'SpxSp (step-c)'!$B" &amp; BR$72)=$Z111,INDIRECT("'SpxSp (step-c)'!$" &amp; 'SpxSp (step-c)'!$AC$16 &amp; BR$72),"")</f>
        <v/>
      </c>
      <c r="BS111" s="1317" t="str">
        <f ca="1">IF(INDIRECT("'SpxSp (step-c)'!$B" &amp; BS$72)=$Z111,INDIRECT("'SpxSp (step-c)'!$" &amp; 'SpxSp (step-c)'!$AC$16 &amp; BS$72),"")</f>
        <v/>
      </c>
      <c r="BT111" s="1317" t="str">
        <f ca="1">IF(INDIRECT("'SpxSp (step-c)'!$B" &amp; BT$72)=$Z111,INDIRECT("'SpxSp (step-c)'!$" &amp; 'SpxSp (step-c)'!$AC$16 &amp; BT$72),"")</f>
        <v/>
      </c>
      <c r="BU111" s="1317" t="str">
        <f ca="1">IF(INDIRECT("'SpxSp (step-c)'!$B" &amp; BU$72)=$Z111,INDIRECT("'SpxSp (step-c)'!$" &amp; 'SpxSp (step-c)'!$AC$16 &amp; BU$72),"")</f>
        <v/>
      </c>
      <c r="BV111" s="1317" t="str">
        <f ca="1">IF(INDIRECT("'SpxSp (step-c)'!$B" &amp; BV$72)=$Z111,INDIRECT("'SpxSp (step-c)'!$" &amp; 'SpxSp (step-c)'!$AC$16 &amp; BV$72),"")</f>
        <v/>
      </c>
      <c r="BW111" s="1317" t="str">
        <f ca="1">IF(INDIRECT("'SpxSp (step-c)'!$B" &amp; BW$72)=$Z111,INDIRECT("'SpxSp (step-c)'!$" &amp; 'SpxSp (step-c)'!$AC$16 &amp; BW$72),"")</f>
        <v/>
      </c>
      <c r="BX111" s="1317" t="str">
        <f ca="1">IF(INDIRECT("'SpxSp (step-c)'!$B" &amp; BX$72)=$Z111,INDIRECT("'SpxSp (step-c)'!$" &amp; 'SpxSp (step-c)'!$AC$16 &amp; BX$72),"")</f>
        <v/>
      </c>
      <c r="BY111" s="1317" t="str">
        <f ca="1">IF(INDIRECT("'SpxSp (step-c)'!$B" &amp; BY$72)=$Z111,INDIRECT("'SpxSp (step-c)'!$" &amp; 'SpxSp (step-c)'!$AC$16 &amp; BY$72),"")</f>
        <v/>
      </c>
      <c r="BZ111" s="1317" t="str">
        <f ca="1">IF(INDIRECT("'SpxSp (step-c)'!$B" &amp; BZ$72)=$Z111,INDIRECT("'SpxSp (step-c)'!$" &amp; 'SpxSp (step-c)'!$AC$16 &amp; BZ$72),"")</f>
        <v/>
      </c>
      <c r="CA111" s="1317" t="str">
        <f ca="1">IF(INDIRECT("'SpxSp (step-c)'!$B" &amp; CA$72)=$Z111,INDIRECT("'SpxSp (step-c)'!$" &amp; 'SpxSp (step-c)'!$AC$16 &amp; CA$72),"")</f>
        <v/>
      </c>
      <c r="CB111" s="1317" t="str">
        <f ca="1">IF(INDIRECT("'SpxSp (step-c)'!$B" &amp; CB$72)=$Z111,INDIRECT("'SpxSp (step-c)'!$" &amp; 'SpxSp (step-c)'!$AC$16 &amp; CB$72),"")</f>
        <v/>
      </c>
      <c r="CC111" s="1317" t="str">
        <f ca="1">IF(INDIRECT("'SpxSp (step-c)'!$B" &amp; CC$72)=$Z111,INDIRECT("'SpxSp (step-c)'!$" &amp; 'SpxSp (step-c)'!$AC$16 &amp; CC$72),"")</f>
        <v/>
      </c>
      <c r="CD111" s="1317" t="str">
        <f ca="1">IF(INDIRECT("'SpxSp (step-c)'!$B" &amp; CD$72)=$Z111,INDIRECT("'SpxSp (step-c)'!$" &amp; 'SpxSp (step-c)'!$AC$16 &amp; CD$72),"")</f>
        <v/>
      </c>
      <c r="CE111" s="1317" t="str">
        <f ca="1">IF(INDIRECT("'SpxSp (step-c)'!$B" &amp; CE$72)=$Z111,INDIRECT("'SpxSp (step-c)'!$" &amp; 'SpxSp (step-c)'!$AC$16 &amp; CE$72),"")</f>
        <v/>
      </c>
      <c r="CF111" s="1317" t="str">
        <f ca="1">IF(INDIRECT("'SpxSp (step-c)'!$B" &amp; CF$72)=$Z111,INDIRECT("'SpxSp (step-c)'!$" &amp; 'SpxSp (step-c)'!$AC$16 &amp; CF$72),"")</f>
        <v/>
      </c>
      <c r="CG111" s="1317" t="str">
        <f ca="1">IF(INDIRECT("'SpxSp (step-c)'!$B" &amp; CG$72)=$Z111,INDIRECT("'SpxSp (step-c)'!$" &amp; 'SpxSp (step-c)'!$AC$16 &amp; CG$72),"")</f>
        <v/>
      </c>
      <c r="CH111" s="1317" t="str">
        <f ca="1">IF(INDIRECT("'SpxSp (step-c)'!$B" &amp; CH$72)=$Z111,INDIRECT("'SpxSp (step-c)'!$" &amp; 'SpxSp (step-c)'!$AC$16 &amp; CH$72),"")</f>
        <v/>
      </c>
      <c r="CI111" s="1317" t="str">
        <f ca="1">IF(INDIRECT("'SpxSp (step-c)'!$B" &amp; CI$72)=$Z111,INDIRECT("'SpxSp (step-c)'!$" &amp; 'SpxSp (step-c)'!$AC$16 &amp; CI$72),"")</f>
        <v/>
      </c>
      <c r="CJ111" s="1317" t="str">
        <f ca="1">IF(INDIRECT("'SpxSp (step-c)'!$B" &amp; CJ$72)=$Z111,INDIRECT("'SpxSp (step-c)'!$" &amp; 'SpxSp (step-c)'!$AC$16 &amp; CJ$72),"")</f>
        <v/>
      </c>
      <c r="CK111" s="1317" t="str">
        <f ca="1">IF(INDIRECT("'SpxSp (step-c)'!$B" &amp; CK$72)=$Z111,INDIRECT("'SpxSp (step-c)'!$" &amp; 'SpxSp (step-c)'!$AC$16 &amp; CK$72),"")</f>
        <v/>
      </c>
      <c r="CL111" s="1317" t="str">
        <f ca="1">IF(INDIRECT("'SpxSp (step-c)'!$B" &amp; CL$72)=$Z111,INDIRECT("'SpxSp (step-c)'!$" &amp; 'SpxSp (step-c)'!$AC$16 &amp; CL$72),"")</f>
        <v/>
      </c>
      <c r="CM111" s="1317" t="str">
        <f ca="1">IF(INDIRECT("'SpxSp (step-c)'!$B" &amp; CM$72)=$Z111,INDIRECT("'SpxSp (step-c)'!$" &amp; 'SpxSp (step-c)'!$AC$16 &amp; CM$72),"")</f>
        <v/>
      </c>
      <c r="CN111" s="1317" t="str">
        <f ca="1">IF(INDIRECT("'SpxSp (step-c)'!$B" &amp; CN$72)=$Z111,INDIRECT("'SpxSp (step-c)'!$" &amp; 'SpxSp (step-c)'!$AC$16 &amp; CN$72),"")</f>
        <v/>
      </c>
      <c r="CO111" s="1317" t="str">
        <f ca="1">IF(INDIRECT("'SpxSp (step-c)'!$B" &amp; CO$72)=$Z111,INDIRECT("'SpxSp (step-c)'!$" &amp; 'SpxSp (step-c)'!$AC$16 &amp; CO$72),"")</f>
        <v/>
      </c>
      <c r="CP111" s="1317" t="str">
        <f ca="1">IF(INDIRECT("'SpxSp (step-c)'!$B" &amp; CP$72)=$Z111,INDIRECT("'SpxSp (step-c)'!$" &amp; 'SpxSp (step-c)'!$AC$16 &amp; CP$72),"")</f>
        <v/>
      </c>
      <c r="CQ111" s="1317" t="str">
        <f ca="1">IF(INDIRECT("'SpxSp (step-c)'!$B" &amp; CQ$72)=$Z111,INDIRECT("'SpxSp (step-c)'!$" &amp; 'SpxSp (step-c)'!$AC$16 &amp; CQ$72),"")</f>
        <v/>
      </c>
      <c r="CR111" s="1317" t="str">
        <f ca="1">IF(INDIRECT("'SpxSp (step-c)'!$B" &amp; CR$72)=$Z111,INDIRECT("'SpxSp (step-c)'!$" &amp; 'SpxSp (step-c)'!$AC$16 &amp; CR$72),"")</f>
        <v/>
      </c>
      <c r="CS111" s="1317" t="str">
        <f ca="1">IF(INDIRECT("'SpxSp (step-c)'!$B" &amp; CS$72)=$Z111,INDIRECT("'SpxSp (step-c)'!$" &amp; 'SpxSp (step-c)'!$AC$16 &amp; CS$72),"")</f>
        <v/>
      </c>
      <c r="CT111" s="1317" t="str">
        <f ca="1">IF(INDIRECT("'SpxSp (step-c)'!$B" &amp; CT$72)=$Z111,INDIRECT("'SpxSp (step-c)'!$" &amp; 'SpxSp (step-c)'!$AC$16 &amp; CT$72),"")</f>
        <v/>
      </c>
      <c r="CU111" s="1317" t="str">
        <f ca="1">IF(INDIRECT("'SpxSp (step-c)'!$B" &amp; CU$72)=$Z111,INDIRECT("'SpxSp (step-c)'!$" &amp; 'SpxSp (step-c)'!$AC$16 &amp; CU$72),"")</f>
        <v/>
      </c>
      <c r="CV111" s="1317" t="str">
        <f ca="1">IF(INDIRECT("'SpxSp (step-c)'!$B" &amp; CV$72)=$Z111,INDIRECT("'SpxSp (step-c)'!$" &amp; 'SpxSp (step-c)'!$AC$16 &amp; CV$72),"")</f>
        <v/>
      </c>
      <c r="CW111" s="1317" t="str">
        <f ca="1">IF(INDIRECT("'SpxSp (step-c)'!$B" &amp; CW$72)=$Z111,INDIRECT("'SpxSp (step-c)'!$" &amp; 'SpxSp (step-c)'!$AC$16 &amp; CW$72),"")</f>
        <v/>
      </c>
      <c r="CX111" s="1317" t="str">
        <f ca="1">IF(INDIRECT("'SpxSp (step-c)'!$B" &amp; CX$72)=$Z111,INDIRECT("'SpxSp (step-c)'!$" &amp; 'SpxSp (step-c)'!$AC$16 &amp; CX$72),"")</f>
        <v/>
      </c>
      <c r="CY111" s="1317" t="str">
        <f ca="1">IF(INDIRECT("'SpxSp (step-c)'!$B" &amp; CY$72)=$Z111,INDIRECT("'SpxSp (step-c)'!$" &amp; 'SpxSp (step-c)'!$AC$16 &amp; CY$72),"")</f>
        <v/>
      </c>
      <c r="CZ111" s="1317" t="str">
        <f ca="1">IF(INDIRECT("'SpxSp (step-c)'!$B" &amp; CZ$72)=$Z111,INDIRECT("'SpxSp (step-c)'!$" &amp; 'SpxSp (step-c)'!$AC$16 &amp; CZ$72),"")</f>
        <v/>
      </c>
      <c r="DA111" s="1317" t="str">
        <f ca="1">IF(INDIRECT("'SpxSp (step-c)'!$B" &amp; DA$72)=$Z111,INDIRECT("'SpxSp (step-c)'!$" &amp; 'SpxSp (step-c)'!$AC$16 &amp; DA$72),"")</f>
        <v/>
      </c>
      <c r="DB111" s="1317" t="str">
        <f ca="1">IF(INDIRECT("'SpxSp (step-c)'!$B" &amp; DB$72)=$Z111,INDIRECT("'SpxSp (step-c)'!$" &amp; 'SpxSp (step-c)'!$AC$16 &amp; DB$72),"")</f>
        <v/>
      </c>
      <c r="DC111" s="1317" t="str">
        <f ca="1">IF(INDIRECT("'SpxSp (step-c)'!$B" &amp; DC$72)=$Z111,INDIRECT("'SpxSp (step-c)'!$" &amp; 'SpxSp (step-c)'!$AC$16 &amp; DC$72),"")</f>
        <v/>
      </c>
      <c r="DD111" s="1317" t="str">
        <f ca="1">IF(INDIRECT("'SpxSp (step-c)'!$B" &amp; DD$72)=$Z111,INDIRECT("'SpxSp (step-c)'!$" &amp; 'SpxSp (step-c)'!$AC$16 &amp; DD$72),"")</f>
        <v/>
      </c>
      <c r="DE111" s="1317" t="str">
        <f ca="1">IF(INDIRECT("'SpxSp (step-c)'!$B" &amp; DE$72)=$Z111,INDIRECT("'SpxSp (step-c)'!$" &amp; 'SpxSp (step-c)'!$AC$16 &amp; DE$72),"")</f>
        <v/>
      </c>
      <c r="DF111" s="1317" t="str">
        <f ca="1">IF(INDIRECT("'SpxSp (step-c)'!$B" &amp; DF$72)=$Z111,INDIRECT("'SpxSp (step-c)'!$" &amp; 'SpxSp (step-c)'!$AC$16 &amp; DF$72),"")</f>
        <v/>
      </c>
      <c r="DG111" s="1317" t="str">
        <f ca="1">IF(INDIRECT("'SpxSp (step-c)'!$B" &amp; DG$72)=$Z111,INDIRECT("'SpxSp (step-c)'!$" &amp; 'SpxSp (step-c)'!$AC$16 &amp; DG$72),"")</f>
        <v/>
      </c>
      <c r="DH111" s="1317" t="str">
        <f ca="1">IF(INDIRECT("'SpxSp (step-c)'!$B" &amp; DH$72)=$Z111,INDIRECT("'SpxSp (step-c)'!$" &amp; 'SpxSp (step-c)'!$AC$16 &amp; DH$72),"")</f>
        <v/>
      </c>
      <c r="DI111" s="1317" t="str">
        <f ca="1">IF(INDIRECT("'SpxSp (step-c)'!$B" &amp; DI$72)=$Z111,INDIRECT("'SpxSp (step-c)'!$" &amp; 'SpxSp (step-c)'!$AC$16 &amp; DI$72),"")</f>
        <v/>
      </c>
      <c r="DJ111" s="1317" t="str">
        <f ca="1">IF(INDIRECT("'SpxSp (step-c)'!$B" &amp; DJ$72)=$Z111,INDIRECT("'SpxSp (step-c)'!$" &amp; 'SpxSp (step-c)'!$AC$16 &amp; DJ$72),"")</f>
        <v/>
      </c>
      <c r="DK111" s="1317" t="str">
        <f ca="1">IF(INDIRECT("'SpxSp (step-c)'!$B" &amp; DK$72)=$Z111,INDIRECT("'SpxSp (step-c)'!$" &amp; 'SpxSp (step-c)'!$AC$16 &amp; DK$72),"")</f>
        <v/>
      </c>
      <c r="DL111" s="1317" t="str">
        <f ca="1">IF(INDIRECT("'SpxSp (step-c)'!$B" &amp; DL$72)=$Z111,INDIRECT("'SpxSp (step-c)'!$" &amp; 'SpxSp (step-c)'!$AC$16 &amp; DL$72),"")</f>
        <v/>
      </c>
      <c r="DM111" s="1317" t="str">
        <f ca="1">IF(INDIRECT("'SpxSp (step-c)'!$B" &amp; DM$72)=$Z111,INDIRECT("'SpxSp (step-c)'!$" &amp; 'SpxSp (step-c)'!$AC$16 &amp; DM$72),"")</f>
        <v/>
      </c>
      <c r="DO111" s="1246" t="s">
        <v>1200</v>
      </c>
    </row>
    <row r="112" spans="26:119" ht="20" x14ac:dyDescent="0.2">
      <c r="Z112" s="1317" t="str">
        <f t="shared" ref="Z112:AA112" si="80">Z57</f>
        <v/>
      </c>
      <c r="AA112" s="1317" t="str">
        <f t="shared" si="80"/>
        <v/>
      </c>
      <c r="BN112" s="178">
        <v>40</v>
      </c>
      <c r="BO112" s="1316" t="str">
        <f t="shared" ca="1" si="43"/>
        <v/>
      </c>
      <c r="BP112" s="1317" t="str">
        <f ca="1">IF(INDIRECT("'SpxSp (step-c)'!$B" &amp; BP$72)=$Z112,INDIRECT("'SpxSp (step-c)'!$" &amp; 'SpxSp (step-c)'!$AC$16 &amp; BP$72),"")</f>
        <v/>
      </c>
      <c r="BQ112" s="1317" t="str">
        <f ca="1">IF(INDIRECT("'SpxSp (step-c)'!$B" &amp; BQ$72)=$Z112,INDIRECT("'SpxSp (step-c)'!$" &amp; 'SpxSp (step-c)'!$AC$16 &amp; BQ$72),"")</f>
        <v/>
      </c>
      <c r="BR112" s="1317" t="str">
        <f ca="1">IF(INDIRECT("'SpxSp (step-c)'!$B" &amp; BR$72)=$Z112,INDIRECT("'SpxSp (step-c)'!$" &amp; 'SpxSp (step-c)'!$AC$16 &amp; BR$72),"")</f>
        <v/>
      </c>
      <c r="BS112" s="1317" t="str">
        <f ca="1">IF(INDIRECT("'SpxSp (step-c)'!$B" &amp; BS$72)=$Z112,INDIRECT("'SpxSp (step-c)'!$" &amp; 'SpxSp (step-c)'!$AC$16 &amp; BS$72),"")</f>
        <v/>
      </c>
      <c r="BT112" s="1317" t="str">
        <f ca="1">IF(INDIRECT("'SpxSp (step-c)'!$B" &amp; BT$72)=$Z112,INDIRECT("'SpxSp (step-c)'!$" &amp; 'SpxSp (step-c)'!$AC$16 &amp; BT$72),"")</f>
        <v/>
      </c>
      <c r="BU112" s="1317" t="str">
        <f ca="1">IF(INDIRECT("'SpxSp (step-c)'!$B" &amp; BU$72)=$Z112,INDIRECT("'SpxSp (step-c)'!$" &amp; 'SpxSp (step-c)'!$AC$16 &amp; BU$72),"")</f>
        <v/>
      </c>
      <c r="BV112" s="1317" t="str">
        <f ca="1">IF(INDIRECT("'SpxSp (step-c)'!$B" &amp; BV$72)=$Z112,INDIRECT("'SpxSp (step-c)'!$" &amp; 'SpxSp (step-c)'!$AC$16 &amp; BV$72),"")</f>
        <v/>
      </c>
      <c r="BW112" s="1317" t="str">
        <f ca="1">IF(INDIRECT("'SpxSp (step-c)'!$B" &amp; BW$72)=$Z112,INDIRECT("'SpxSp (step-c)'!$" &amp; 'SpxSp (step-c)'!$AC$16 &amp; BW$72),"")</f>
        <v/>
      </c>
      <c r="BX112" s="1317" t="str">
        <f ca="1">IF(INDIRECT("'SpxSp (step-c)'!$B" &amp; BX$72)=$Z112,INDIRECT("'SpxSp (step-c)'!$" &amp; 'SpxSp (step-c)'!$AC$16 &amp; BX$72),"")</f>
        <v/>
      </c>
      <c r="BY112" s="1317" t="str">
        <f ca="1">IF(INDIRECT("'SpxSp (step-c)'!$B" &amp; BY$72)=$Z112,INDIRECT("'SpxSp (step-c)'!$" &amp; 'SpxSp (step-c)'!$AC$16 &amp; BY$72),"")</f>
        <v/>
      </c>
      <c r="BZ112" s="1317" t="str">
        <f ca="1">IF(INDIRECT("'SpxSp (step-c)'!$B" &amp; BZ$72)=$Z112,INDIRECT("'SpxSp (step-c)'!$" &amp; 'SpxSp (step-c)'!$AC$16 &amp; BZ$72),"")</f>
        <v/>
      </c>
      <c r="CA112" s="1317" t="str">
        <f ca="1">IF(INDIRECT("'SpxSp (step-c)'!$B" &amp; CA$72)=$Z112,INDIRECT("'SpxSp (step-c)'!$" &amp; 'SpxSp (step-c)'!$AC$16 &amp; CA$72),"")</f>
        <v/>
      </c>
      <c r="CB112" s="1317" t="str">
        <f ca="1">IF(INDIRECT("'SpxSp (step-c)'!$B" &amp; CB$72)=$Z112,INDIRECT("'SpxSp (step-c)'!$" &amp; 'SpxSp (step-c)'!$AC$16 &amp; CB$72),"")</f>
        <v/>
      </c>
      <c r="CC112" s="1317" t="str">
        <f ca="1">IF(INDIRECT("'SpxSp (step-c)'!$B" &amp; CC$72)=$Z112,INDIRECT("'SpxSp (step-c)'!$" &amp; 'SpxSp (step-c)'!$AC$16 &amp; CC$72),"")</f>
        <v/>
      </c>
      <c r="CD112" s="1317" t="str">
        <f ca="1">IF(INDIRECT("'SpxSp (step-c)'!$B" &amp; CD$72)=$Z112,INDIRECT("'SpxSp (step-c)'!$" &amp; 'SpxSp (step-c)'!$AC$16 &amp; CD$72),"")</f>
        <v/>
      </c>
      <c r="CE112" s="1317" t="str">
        <f ca="1">IF(INDIRECT("'SpxSp (step-c)'!$B" &amp; CE$72)=$Z112,INDIRECT("'SpxSp (step-c)'!$" &amp; 'SpxSp (step-c)'!$AC$16 &amp; CE$72),"")</f>
        <v/>
      </c>
      <c r="CF112" s="1317" t="str">
        <f ca="1">IF(INDIRECT("'SpxSp (step-c)'!$B" &amp; CF$72)=$Z112,INDIRECT("'SpxSp (step-c)'!$" &amp; 'SpxSp (step-c)'!$AC$16 &amp; CF$72),"")</f>
        <v/>
      </c>
      <c r="CG112" s="1317" t="str">
        <f ca="1">IF(INDIRECT("'SpxSp (step-c)'!$B" &amp; CG$72)=$Z112,INDIRECT("'SpxSp (step-c)'!$" &amp; 'SpxSp (step-c)'!$AC$16 &amp; CG$72),"")</f>
        <v/>
      </c>
      <c r="CH112" s="1317" t="str">
        <f ca="1">IF(INDIRECT("'SpxSp (step-c)'!$B" &amp; CH$72)=$Z112,INDIRECT("'SpxSp (step-c)'!$" &amp; 'SpxSp (step-c)'!$AC$16 &amp; CH$72),"")</f>
        <v/>
      </c>
      <c r="CI112" s="1317" t="str">
        <f ca="1">IF(INDIRECT("'SpxSp (step-c)'!$B" &amp; CI$72)=$Z112,INDIRECT("'SpxSp (step-c)'!$" &amp; 'SpxSp (step-c)'!$AC$16 &amp; CI$72),"")</f>
        <v/>
      </c>
      <c r="CJ112" s="1317" t="str">
        <f ca="1">IF(INDIRECT("'SpxSp (step-c)'!$B" &amp; CJ$72)=$Z112,INDIRECT("'SpxSp (step-c)'!$" &amp; 'SpxSp (step-c)'!$AC$16 &amp; CJ$72),"")</f>
        <v/>
      </c>
      <c r="CK112" s="1317" t="str">
        <f ca="1">IF(INDIRECT("'SpxSp (step-c)'!$B" &amp; CK$72)=$Z112,INDIRECT("'SpxSp (step-c)'!$" &amp; 'SpxSp (step-c)'!$AC$16 &amp; CK$72),"")</f>
        <v/>
      </c>
      <c r="CL112" s="1317" t="str">
        <f ca="1">IF(INDIRECT("'SpxSp (step-c)'!$B" &amp; CL$72)=$Z112,INDIRECT("'SpxSp (step-c)'!$" &amp; 'SpxSp (step-c)'!$AC$16 &amp; CL$72),"")</f>
        <v/>
      </c>
      <c r="CM112" s="1317" t="str">
        <f ca="1">IF(INDIRECT("'SpxSp (step-c)'!$B" &amp; CM$72)=$Z112,INDIRECT("'SpxSp (step-c)'!$" &amp; 'SpxSp (step-c)'!$AC$16 &amp; CM$72),"")</f>
        <v/>
      </c>
      <c r="CN112" s="1317" t="str">
        <f ca="1">IF(INDIRECT("'SpxSp (step-c)'!$B" &amp; CN$72)=$Z112,INDIRECT("'SpxSp (step-c)'!$" &amp; 'SpxSp (step-c)'!$AC$16 &amp; CN$72),"")</f>
        <v/>
      </c>
      <c r="CO112" s="1317" t="str">
        <f ca="1">IF(INDIRECT("'SpxSp (step-c)'!$B" &amp; CO$72)=$Z112,INDIRECT("'SpxSp (step-c)'!$" &amp; 'SpxSp (step-c)'!$AC$16 &amp; CO$72),"")</f>
        <v/>
      </c>
      <c r="CP112" s="1317" t="str">
        <f ca="1">IF(INDIRECT("'SpxSp (step-c)'!$B" &amp; CP$72)=$Z112,INDIRECT("'SpxSp (step-c)'!$" &amp; 'SpxSp (step-c)'!$AC$16 &amp; CP$72),"")</f>
        <v/>
      </c>
      <c r="CQ112" s="1317" t="str">
        <f ca="1">IF(INDIRECT("'SpxSp (step-c)'!$B" &amp; CQ$72)=$Z112,INDIRECT("'SpxSp (step-c)'!$" &amp; 'SpxSp (step-c)'!$AC$16 &amp; CQ$72),"")</f>
        <v/>
      </c>
      <c r="CR112" s="1317" t="str">
        <f ca="1">IF(INDIRECT("'SpxSp (step-c)'!$B" &amp; CR$72)=$Z112,INDIRECT("'SpxSp (step-c)'!$" &amp; 'SpxSp (step-c)'!$AC$16 &amp; CR$72),"")</f>
        <v/>
      </c>
      <c r="CS112" s="1317" t="str">
        <f ca="1">IF(INDIRECT("'SpxSp (step-c)'!$B" &amp; CS$72)=$Z112,INDIRECT("'SpxSp (step-c)'!$" &amp; 'SpxSp (step-c)'!$AC$16 &amp; CS$72),"")</f>
        <v/>
      </c>
      <c r="CT112" s="1317" t="str">
        <f ca="1">IF(INDIRECT("'SpxSp (step-c)'!$B" &amp; CT$72)=$Z112,INDIRECT("'SpxSp (step-c)'!$" &amp; 'SpxSp (step-c)'!$AC$16 &amp; CT$72),"")</f>
        <v/>
      </c>
      <c r="CU112" s="1317" t="str">
        <f ca="1">IF(INDIRECT("'SpxSp (step-c)'!$B" &amp; CU$72)=$Z112,INDIRECT("'SpxSp (step-c)'!$" &amp; 'SpxSp (step-c)'!$AC$16 &amp; CU$72),"")</f>
        <v/>
      </c>
      <c r="CV112" s="1317" t="str">
        <f ca="1">IF(INDIRECT("'SpxSp (step-c)'!$B" &amp; CV$72)=$Z112,INDIRECT("'SpxSp (step-c)'!$" &amp; 'SpxSp (step-c)'!$AC$16 &amp; CV$72),"")</f>
        <v/>
      </c>
      <c r="CW112" s="1317" t="str">
        <f ca="1">IF(INDIRECT("'SpxSp (step-c)'!$B" &amp; CW$72)=$Z112,INDIRECT("'SpxSp (step-c)'!$" &amp; 'SpxSp (step-c)'!$AC$16 &amp; CW$72),"")</f>
        <v/>
      </c>
      <c r="CX112" s="1317" t="str">
        <f ca="1">IF(INDIRECT("'SpxSp (step-c)'!$B" &amp; CX$72)=$Z112,INDIRECT("'SpxSp (step-c)'!$" &amp; 'SpxSp (step-c)'!$AC$16 &amp; CX$72),"")</f>
        <v/>
      </c>
      <c r="CY112" s="1317" t="str">
        <f ca="1">IF(INDIRECT("'SpxSp (step-c)'!$B" &amp; CY$72)=$Z112,INDIRECT("'SpxSp (step-c)'!$" &amp; 'SpxSp (step-c)'!$AC$16 &amp; CY$72),"")</f>
        <v/>
      </c>
      <c r="CZ112" s="1317" t="str">
        <f ca="1">IF(INDIRECT("'SpxSp (step-c)'!$B" &amp; CZ$72)=$Z112,INDIRECT("'SpxSp (step-c)'!$" &amp; 'SpxSp (step-c)'!$AC$16 &amp; CZ$72),"")</f>
        <v/>
      </c>
      <c r="DA112" s="1317" t="str">
        <f ca="1">IF(INDIRECT("'SpxSp (step-c)'!$B" &amp; DA$72)=$Z112,INDIRECT("'SpxSp (step-c)'!$" &amp; 'SpxSp (step-c)'!$AC$16 &amp; DA$72),"")</f>
        <v/>
      </c>
      <c r="DB112" s="1317" t="str">
        <f ca="1">IF(INDIRECT("'SpxSp (step-c)'!$B" &amp; DB$72)=$Z112,INDIRECT("'SpxSp (step-c)'!$" &amp; 'SpxSp (step-c)'!$AC$16 &amp; DB$72),"")</f>
        <v/>
      </c>
      <c r="DC112" s="1317" t="str">
        <f ca="1">IF(INDIRECT("'SpxSp (step-c)'!$B" &amp; DC$72)=$Z112,INDIRECT("'SpxSp (step-c)'!$" &amp; 'SpxSp (step-c)'!$AC$16 &amp; DC$72),"")</f>
        <v/>
      </c>
      <c r="DD112" s="1317" t="str">
        <f ca="1">IF(INDIRECT("'SpxSp (step-c)'!$B" &amp; DD$72)=$Z112,INDIRECT("'SpxSp (step-c)'!$" &amp; 'SpxSp (step-c)'!$AC$16 &amp; DD$72),"")</f>
        <v/>
      </c>
      <c r="DE112" s="1317" t="str">
        <f ca="1">IF(INDIRECT("'SpxSp (step-c)'!$B" &amp; DE$72)=$Z112,INDIRECT("'SpxSp (step-c)'!$" &amp; 'SpxSp (step-c)'!$AC$16 &amp; DE$72),"")</f>
        <v/>
      </c>
      <c r="DF112" s="1317" t="str">
        <f ca="1">IF(INDIRECT("'SpxSp (step-c)'!$B" &amp; DF$72)=$Z112,INDIRECT("'SpxSp (step-c)'!$" &amp; 'SpxSp (step-c)'!$AC$16 &amp; DF$72),"")</f>
        <v/>
      </c>
      <c r="DG112" s="1317" t="str">
        <f ca="1">IF(INDIRECT("'SpxSp (step-c)'!$B" &amp; DG$72)=$Z112,INDIRECT("'SpxSp (step-c)'!$" &amp; 'SpxSp (step-c)'!$AC$16 &amp; DG$72),"")</f>
        <v/>
      </c>
      <c r="DH112" s="1317" t="str">
        <f ca="1">IF(INDIRECT("'SpxSp (step-c)'!$B" &amp; DH$72)=$Z112,INDIRECT("'SpxSp (step-c)'!$" &amp; 'SpxSp (step-c)'!$AC$16 &amp; DH$72),"")</f>
        <v/>
      </c>
      <c r="DI112" s="1317" t="str">
        <f ca="1">IF(INDIRECT("'SpxSp (step-c)'!$B" &amp; DI$72)=$Z112,INDIRECT("'SpxSp (step-c)'!$" &amp; 'SpxSp (step-c)'!$AC$16 &amp; DI$72),"")</f>
        <v/>
      </c>
      <c r="DJ112" s="1317" t="str">
        <f ca="1">IF(INDIRECT("'SpxSp (step-c)'!$B" &amp; DJ$72)=$Z112,INDIRECT("'SpxSp (step-c)'!$" &amp; 'SpxSp (step-c)'!$AC$16 &amp; DJ$72),"")</f>
        <v/>
      </c>
      <c r="DK112" s="1317" t="str">
        <f ca="1">IF(INDIRECT("'SpxSp (step-c)'!$B" &amp; DK$72)=$Z112,INDIRECT("'SpxSp (step-c)'!$" &amp; 'SpxSp (step-c)'!$AC$16 &amp; DK$72),"")</f>
        <v/>
      </c>
      <c r="DL112" s="1317" t="str">
        <f ca="1">IF(INDIRECT("'SpxSp (step-c)'!$B" &amp; DL$72)=$Z112,INDIRECT("'SpxSp (step-c)'!$" &amp; 'SpxSp (step-c)'!$AC$16 &amp; DL$72),"")</f>
        <v/>
      </c>
      <c r="DM112" s="1317" t="str">
        <f ca="1">IF(INDIRECT("'SpxSp (step-c)'!$B" &amp; DM$72)=$Z112,INDIRECT("'SpxSp (step-c)'!$" &amp; 'SpxSp (step-c)'!$AC$16 &amp; DM$72),"")</f>
        <v/>
      </c>
      <c r="DO112" s="1246" t="s">
        <v>1200</v>
      </c>
    </row>
    <row r="113" spans="24:119" ht="20" x14ac:dyDescent="0.2">
      <c r="Z113" s="1317" t="str">
        <f t="shared" ref="Z113:AA113" si="81">Z58</f>
        <v/>
      </c>
      <c r="AA113" s="1317" t="str">
        <f t="shared" si="81"/>
        <v/>
      </c>
      <c r="BN113" s="178">
        <v>41</v>
      </c>
      <c r="BO113" s="1316" t="str">
        <f t="shared" ca="1" si="43"/>
        <v/>
      </c>
      <c r="BP113" s="1317" t="str">
        <f ca="1">IF(INDIRECT("'SpxSp (step-c)'!$B" &amp; BP$72)=$Z113,INDIRECT("'SpxSp (step-c)'!$" &amp; 'SpxSp (step-c)'!$AC$16 &amp; BP$72),"")</f>
        <v/>
      </c>
      <c r="BQ113" s="1317" t="str">
        <f ca="1">IF(INDIRECT("'SpxSp (step-c)'!$B" &amp; BQ$72)=$Z113,INDIRECT("'SpxSp (step-c)'!$" &amp; 'SpxSp (step-c)'!$AC$16 &amp; BQ$72),"")</f>
        <v/>
      </c>
      <c r="BR113" s="1317" t="str">
        <f ca="1">IF(INDIRECT("'SpxSp (step-c)'!$B" &amp; BR$72)=$Z113,INDIRECT("'SpxSp (step-c)'!$" &amp; 'SpxSp (step-c)'!$AC$16 &amp; BR$72),"")</f>
        <v/>
      </c>
      <c r="BS113" s="1317" t="str">
        <f ca="1">IF(INDIRECT("'SpxSp (step-c)'!$B" &amp; BS$72)=$Z113,INDIRECT("'SpxSp (step-c)'!$" &amp; 'SpxSp (step-c)'!$AC$16 &amp; BS$72),"")</f>
        <v/>
      </c>
      <c r="BT113" s="1317" t="str">
        <f ca="1">IF(INDIRECT("'SpxSp (step-c)'!$B" &amp; BT$72)=$Z113,INDIRECT("'SpxSp (step-c)'!$" &amp; 'SpxSp (step-c)'!$AC$16 &amp; BT$72),"")</f>
        <v/>
      </c>
      <c r="BU113" s="1317" t="str">
        <f ca="1">IF(INDIRECT("'SpxSp (step-c)'!$B" &amp; BU$72)=$Z113,INDIRECT("'SpxSp (step-c)'!$" &amp; 'SpxSp (step-c)'!$AC$16 &amp; BU$72),"")</f>
        <v/>
      </c>
      <c r="BV113" s="1317" t="str">
        <f ca="1">IF(INDIRECT("'SpxSp (step-c)'!$B" &amp; BV$72)=$Z113,INDIRECT("'SpxSp (step-c)'!$" &amp; 'SpxSp (step-c)'!$AC$16 &amp; BV$72),"")</f>
        <v/>
      </c>
      <c r="BW113" s="1317" t="str">
        <f ca="1">IF(INDIRECT("'SpxSp (step-c)'!$B" &amp; BW$72)=$Z113,INDIRECT("'SpxSp (step-c)'!$" &amp; 'SpxSp (step-c)'!$AC$16 &amp; BW$72),"")</f>
        <v/>
      </c>
      <c r="BX113" s="1317" t="str">
        <f ca="1">IF(INDIRECT("'SpxSp (step-c)'!$B" &amp; BX$72)=$Z113,INDIRECT("'SpxSp (step-c)'!$" &amp; 'SpxSp (step-c)'!$AC$16 &amp; BX$72),"")</f>
        <v/>
      </c>
      <c r="BY113" s="1317" t="str">
        <f ca="1">IF(INDIRECT("'SpxSp (step-c)'!$B" &amp; BY$72)=$Z113,INDIRECT("'SpxSp (step-c)'!$" &amp; 'SpxSp (step-c)'!$AC$16 &amp; BY$72),"")</f>
        <v/>
      </c>
      <c r="BZ113" s="1317" t="str">
        <f ca="1">IF(INDIRECT("'SpxSp (step-c)'!$B" &amp; BZ$72)=$Z113,INDIRECT("'SpxSp (step-c)'!$" &amp; 'SpxSp (step-c)'!$AC$16 &amp; BZ$72),"")</f>
        <v/>
      </c>
      <c r="CA113" s="1317" t="str">
        <f ca="1">IF(INDIRECT("'SpxSp (step-c)'!$B" &amp; CA$72)=$Z113,INDIRECT("'SpxSp (step-c)'!$" &amp; 'SpxSp (step-c)'!$AC$16 &amp; CA$72),"")</f>
        <v/>
      </c>
      <c r="CB113" s="1317" t="str">
        <f ca="1">IF(INDIRECT("'SpxSp (step-c)'!$B" &amp; CB$72)=$Z113,INDIRECT("'SpxSp (step-c)'!$" &amp; 'SpxSp (step-c)'!$AC$16 &amp; CB$72),"")</f>
        <v/>
      </c>
      <c r="CC113" s="1317" t="str">
        <f ca="1">IF(INDIRECT("'SpxSp (step-c)'!$B" &amp; CC$72)=$Z113,INDIRECT("'SpxSp (step-c)'!$" &amp; 'SpxSp (step-c)'!$AC$16 &amp; CC$72),"")</f>
        <v/>
      </c>
      <c r="CD113" s="1317" t="str">
        <f ca="1">IF(INDIRECT("'SpxSp (step-c)'!$B" &amp; CD$72)=$Z113,INDIRECT("'SpxSp (step-c)'!$" &amp; 'SpxSp (step-c)'!$AC$16 &amp; CD$72),"")</f>
        <v/>
      </c>
      <c r="CE113" s="1317" t="str">
        <f ca="1">IF(INDIRECT("'SpxSp (step-c)'!$B" &amp; CE$72)=$Z113,INDIRECT("'SpxSp (step-c)'!$" &amp; 'SpxSp (step-c)'!$AC$16 &amp; CE$72),"")</f>
        <v/>
      </c>
      <c r="CF113" s="1317" t="str">
        <f ca="1">IF(INDIRECT("'SpxSp (step-c)'!$B" &amp; CF$72)=$Z113,INDIRECT("'SpxSp (step-c)'!$" &amp; 'SpxSp (step-c)'!$AC$16 &amp; CF$72),"")</f>
        <v/>
      </c>
      <c r="CG113" s="1317" t="str">
        <f ca="1">IF(INDIRECT("'SpxSp (step-c)'!$B" &amp; CG$72)=$Z113,INDIRECT("'SpxSp (step-c)'!$" &amp; 'SpxSp (step-c)'!$AC$16 &amp; CG$72),"")</f>
        <v/>
      </c>
      <c r="CH113" s="1317" t="str">
        <f ca="1">IF(INDIRECT("'SpxSp (step-c)'!$B" &amp; CH$72)=$Z113,INDIRECT("'SpxSp (step-c)'!$" &amp; 'SpxSp (step-c)'!$AC$16 &amp; CH$72),"")</f>
        <v/>
      </c>
      <c r="CI113" s="1317" t="str">
        <f ca="1">IF(INDIRECT("'SpxSp (step-c)'!$B" &amp; CI$72)=$Z113,INDIRECT("'SpxSp (step-c)'!$" &amp; 'SpxSp (step-c)'!$AC$16 &amp; CI$72),"")</f>
        <v/>
      </c>
      <c r="CJ113" s="1317" t="str">
        <f ca="1">IF(INDIRECT("'SpxSp (step-c)'!$B" &amp; CJ$72)=$Z113,INDIRECT("'SpxSp (step-c)'!$" &amp; 'SpxSp (step-c)'!$AC$16 &amp; CJ$72),"")</f>
        <v/>
      </c>
      <c r="CK113" s="1317" t="str">
        <f ca="1">IF(INDIRECT("'SpxSp (step-c)'!$B" &amp; CK$72)=$Z113,INDIRECT("'SpxSp (step-c)'!$" &amp; 'SpxSp (step-c)'!$AC$16 &amp; CK$72),"")</f>
        <v/>
      </c>
      <c r="CL113" s="1317" t="str">
        <f ca="1">IF(INDIRECT("'SpxSp (step-c)'!$B" &amp; CL$72)=$Z113,INDIRECT("'SpxSp (step-c)'!$" &amp; 'SpxSp (step-c)'!$AC$16 &amp; CL$72),"")</f>
        <v/>
      </c>
      <c r="CM113" s="1317" t="str">
        <f ca="1">IF(INDIRECT("'SpxSp (step-c)'!$B" &amp; CM$72)=$Z113,INDIRECT("'SpxSp (step-c)'!$" &amp; 'SpxSp (step-c)'!$AC$16 &amp; CM$72),"")</f>
        <v/>
      </c>
      <c r="CN113" s="1317" t="str">
        <f ca="1">IF(INDIRECT("'SpxSp (step-c)'!$B" &amp; CN$72)=$Z113,INDIRECT("'SpxSp (step-c)'!$" &amp; 'SpxSp (step-c)'!$AC$16 &amp; CN$72),"")</f>
        <v/>
      </c>
      <c r="CO113" s="1317" t="str">
        <f ca="1">IF(INDIRECT("'SpxSp (step-c)'!$B" &amp; CO$72)=$Z113,INDIRECT("'SpxSp (step-c)'!$" &amp; 'SpxSp (step-c)'!$AC$16 &amp; CO$72),"")</f>
        <v/>
      </c>
      <c r="CP113" s="1317" t="str">
        <f ca="1">IF(INDIRECT("'SpxSp (step-c)'!$B" &amp; CP$72)=$Z113,INDIRECT("'SpxSp (step-c)'!$" &amp; 'SpxSp (step-c)'!$AC$16 &amp; CP$72),"")</f>
        <v/>
      </c>
      <c r="CQ113" s="1317" t="str">
        <f ca="1">IF(INDIRECT("'SpxSp (step-c)'!$B" &amp; CQ$72)=$Z113,INDIRECT("'SpxSp (step-c)'!$" &amp; 'SpxSp (step-c)'!$AC$16 &amp; CQ$72),"")</f>
        <v/>
      </c>
      <c r="CR113" s="1317" t="str">
        <f ca="1">IF(INDIRECT("'SpxSp (step-c)'!$B" &amp; CR$72)=$Z113,INDIRECT("'SpxSp (step-c)'!$" &amp; 'SpxSp (step-c)'!$AC$16 &amp; CR$72),"")</f>
        <v/>
      </c>
      <c r="CS113" s="1317" t="str">
        <f ca="1">IF(INDIRECT("'SpxSp (step-c)'!$B" &amp; CS$72)=$Z113,INDIRECT("'SpxSp (step-c)'!$" &amp; 'SpxSp (step-c)'!$AC$16 &amp; CS$72),"")</f>
        <v/>
      </c>
      <c r="CT113" s="1317" t="str">
        <f ca="1">IF(INDIRECT("'SpxSp (step-c)'!$B" &amp; CT$72)=$Z113,INDIRECT("'SpxSp (step-c)'!$" &amp; 'SpxSp (step-c)'!$AC$16 &amp; CT$72),"")</f>
        <v/>
      </c>
      <c r="CU113" s="1317" t="str">
        <f ca="1">IF(INDIRECT("'SpxSp (step-c)'!$B" &amp; CU$72)=$Z113,INDIRECT("'SpxSp (step-c)'!$" &amp; 'SpxSp (step-c)'!$AC$16 &amp; CU$72),"")</f>
        <v/>
      </c>
      <c r="CV113" s="1317" t="str">
        <f ca="1">IF(INDIRECT("'SpxSp (step-c)'!$B" &amp; CV$72)=$Z113,INDIRECT("'SpxSp (step-c)'!$" &amp; 'SpxSp (step-c)'!$AC$16 &amp; CV$72),"")</f>
        <v/>
      </c>
      <c r="CW113" s="1317" t="str">
        <f ca="1">IF(INDIRECT("'SpxSp (step-c)'!$B" &amp; CW$72)=$Z113,INDIRECT("'SpxSp (step-c)'!$" &amp; 'SpxSp (step-c)'!$AC$16 &amp; CW$72),"")</f>
        <v/>
      </c>
      <c r="CX113" s="1317" t="str">
        <f ca="1">IF(INDIRECT("'SpxSp (step-c)'!$B" &amp; CX$72)=$Z113,INDIRECT("'SpxSp (step-c)'!$" &amp; 'SpxSp (step-c)'!$AC$16 &amp; CX$72),"")</f>
        <v/>
      </c>
      <c r="CY113" s="1317" t="str">
        <f ca="1">IF(INDIRECT("'SpxSp (step-c)'!$B" &amp; CY$72)=$Z113,INDIRECT("'SpxSp (step-c)'!$" &amp; 'SpxSp (step-c)'!$AC$16 &amp; CY$72),"")</f>
        <v/>
      </c>
      <c r="CZ113" s="1317" t="str">
        <f ca="1">IF(INDIRECT("'SpxSp (step-c)'!$B" &amp; CZ$72)=$Z113,INDIRECT("'SpxSp (step-c)'!$" &amp; 'SpxSp (step-c)'!$AC$16 &amp; CZ$72),"")</f>
        <v/>
      </c>
      <c r="DA113" s="1317" t="str">
        <f ca="1">IF(INDIRECT("'SpxSp (step-c)'!$B" &amp; DA$72)=$Z113,INDIRECT("'SpxSp (step-c)'!$" &amp; 'SpxSp (step-c)'!$AC$16 &amp; DA$72),"")</f>
        <v/>
      </c>
      <c r="DB113" s="1317" t="str">
        <f ca="1">IF(INDIRECT("'SpxSp (step-c)'!$B" &amp; DB$72)=$Z113,INDIRECT("'SpxSp (step-c)'!$" &amp; 'SpxSp (step-c)'!$AC$16 &amp; DB$72),"")</f>
        <v/>
      </c>
      <c r="DC113" s="1317" t="str">
        <f ca="1">IF(INDIRECT("'SpxSp (step-c)'!$B" &amp; DC$72)=$Z113,INDIRECT("'SpxSp (step-c)'!$" &amp; 'SpxSp (step-c)'!$AC$16 &amp; DC$72),"")</f>
        <v/>
      </c>
      <c r="DD113" s="1317" t="str">
        <f ca="1">IF(INDIRECT("'SpxSp (step-c)'!$B" &amp; DD$72)=$Z113,INDIRECT("'SpxSp (step-c)'!$" &amp; 'SpxSp (step-c)'!$AC$16 &amp; DD$72),"")</f>
        <v/>
      </c>
      <c r="DE113" s="1317" t="str">
        <f ca="1">IF(INDIRECT("'SpxSp (step-c)'!$B" &amp; DE$72)=$Z113,INDIRECT("'SpxSp (step-c)'!$" &amp; 'SpxSp (step-c)'!$AC$16 &amp; DE$72),"")</f>
        <v/>
      </c>
      <c r="DF113" s="1317" t="str">
        <f ca="1">IF(INDIRECT("'SpxSp (step-c)'!$B" &amp; DF$72)=$Z113,INDIRECT("'SpxSp (step-c)'!$" &amp; 'SpxSp (step-c)'!$AC$16 &amp; DF$72),"")</f>
        <v/>
      </c>
      <c r="DG113" s="1317" t="str">
        <f ca="1">IF(INDIRECT("'SpxSp (step-c)'!$B" &amp; DG$72)=$Z113,INDIRECT("'SpxSp (step-c)'!$" &amp; 'SpxSp (step-c)'!$AC$16 &amp; DG$72),"")</f>
        <v/>
      </c>
      <c r="DH113" s="1317" t="str">
        <f ca="1">IF(INDIRECT("'SpxSp (step-c)'!$B" &amp; DH$72)=$Z113,INDIRECT("'SpxSp (step-c)'!$" &amp; 'SpxSp (step-c)'!$AC$16 &amp; DH$72),"")</f>
        <v/>
      </c>
      <c r="DI113" s="1317" t="str">
        <f ca="1">IF(INDIRECT("'SpxSp (step-c)'!$B" &amp; DI$72)=$Z113,INDIRECT("'SpxSp (step-c)'!$" &amp; 'SpxSp (step-c)'!$AC$16 &amp; DI$72),"")</f>
        <v/>
      </c>
      <c r="DJ113" s="1317" t="str">
        <f ca="1">IF(INDIRECT("'SpxSp (step-c)'!$B" &amp; DJ$72)=$Z113,INDIRECT("'SpxSp (step-c)'!$" &amp; 'SpxSp (step-c)'!$AC$16 &amp; DJ$72),"")</f>
        <v/>
      </c>
      <c r="DK113" s="1317" t="str">
        <f ca="1">IF(INDIRECT("'SpxSp (step-c)'!$B" &amp; DK$72)=$Z113,INDIRECT("'SpxSp (step-c)'!$" &amp; 'SpxSp (step-c)'!$AC$16 &amp; DK$72),"")</f>
        <v/>
      </c>
      <c r="DL113" s="1317" t="str">
        <f ca="1">IF(INDIRECT("'SpxSp (step-c)'!$B" &amp; DL$72)=$Z113,INDIRECT("'SpxSp (step-c)'!$" &amp; 'SpxSp (step-c)'!$AC$16 &amp; DL$72),"")</f>
        <v/>
      </c>
      <c r="DM113" s="1317" t="str">
        <f ca="1">IF(INDIRECT("'SpxSp (step-c)'!$B" &amp; DM$72)=$Z113,INDIRECT("'SpxSp (step-c)'!$" &amp; 'SpxSp (step-c)'!$AC$16 &amp; DM$72),"")</f>
        <v/>
      </c>
      <c r="DO113" s="1246" t="s">
        <v>1200</v>
      </c>
    </row>
    <row r="114" spans="24:119" ht="20" x14ac:dyDescent="0.2">
      <c r="Z114" s="1317" t="str">
        <f t="shared" ref="Z114:AA114" si="82">Z59</f>
        <v/>
      </c>
      <c r="AA114" s="1317" t="str">
        <f t="shared" si="82"/>
        <v/>
      </c>
      <c r="BN114" s="178">
        <v>42</v>
      </c>
      <c r="BO114" s="1316" t="str">
        <f t="shared" ca="1" si="43"/>
        <v/>
      </c>
      <c r="BP114" s="1317" t="str">
        <f ca="1">IF(INDIRECT("'SpxSp (step-c)'!$B" &amp; BP$72)=$Z114,INDIRECT("'SpxSp (step-c)'!$" &amp; 'SpxSp (step-c)'!$AC$16 &amp; BP$72),"")</f>
        <v/>
      </c>
      <c r="BQ114" s="1317" t="str">
        <f ca="1">IF(INDIRECT("'SpxSp (step-c)'!$B" &amp; BQ$72)=$Z114,INDIRECT("'SpxSp (step-c)'!$" &amp; 'SpxSp (step-c)'!$AC$16 &amp; BQ$72),"")</f>
        <v/>
      </c>
      <c r="BR114" s="1317" t="str">
        <f ca="1">IF(INDIRECT("'SpxSp (step-c)'!$B" &amp; BR$72)=$Z114,INDIRECT("'SpxSp (step-c)'!$" &amp; 'SpxSp (step-c)'!$AC$16 &amp; BR$72),"")</f>
        <v/>
      </c>
      <c r="BS114" s="1317" t="str">
        <f ca="1">IF(INDIRECT("'SpxSp (step-c)'!$B" &amp; BS$72)=$Z114,INDIRECT("'SpxSp (step-c)'!$" &amp; 'SpxSp (step-c)'!$AC$16 &amp; BS$72),"")</f>
        <v/>
      </c>
      <c r="BT114" s="1317" t="str">
        <f ca="1">IF(INDIRECT("'SpxSp (step-c)'!$B" &amp; BT$72)=$Z114,INDIRECT("'SpxSp (step-c)'!$" &amp; 'SpxSp (step-c)'!$AC$16 &amp; BT$72),"")</f>
        <v/>
      </c>
      <c r="BU114" s="1317" t="str">
        <f ca="1">IF(INDIRECT("'SpxSp (step-c)'!$B" &amp; BU$72)=$Z114,INDIRECT("'SpxSp (step-c)'!$" &amp; 'SpxSp (step-c)'!$AC$16 &amp; BU$72),"")</f>
        <v/>
      </c>
      <c r="BV114" s="1317" t="str">
        <f ca="1">IF(INDIRECT("'SpxSp (step-c)'!$B" &amp; BV$72)=$Z114,INDIRECT("'SpxSp (step-c)'!$" &amp; 'SpxSp (step-c)'!$AC$16 &amp; BV$72),"")</f>
        <v/>
      </c>
      <c r="BW114" s="1317" t="str">
        <f ca="1">IF(INDIRECT("'SpxSp (step-c)'!$B" &amp; BW$72)=$Z114,INDIRECT("'SpxSp (step-c)'!$" &amp; 'SpxSp (step-c)'!$AC$16 &amp; BW$72),"")</f>
        <v/>
      </c>
      <c r="BX114" s="1317" t="str">
        <f ca="1">IF(INDIRECT("'SpxSp (step-c)'!$B" &amp; BX$72)=$Z114,INDIRECT("'SpxSp (step-c)'!$" &amp; 'SpxSp (step-c)'!$AC$16 &amp; BX$72),"")</f>
        <v/>
      </c>
      <c r="BY114" s="1317" t="str">
        <f ca="1">IF(INDIRECT("'SpxSp (step-c)'!$B" &amp; BY$72)=$Z114,INDIRECT("'SpxSp (step-c)'!$" &amp; 'SpxSp (step-c)'!$AC$16 &amp; BY$72),"")</f>
        <v/>
      </c>
      <c r="BZ114" s="1317" t="str">
        <f ca="1">IF(INDIRECT("'SpxSp (step-c)'!$B" &amp; BZ$72)=$Z114,INDIRECT("'SpxSp (step-c)'!$" &amp; 'SpxSp (step-c)'!$AC$16 &amp; BZ$72),"")</f>
        <v/>
      </c>
      <c r="CA114" s="1317" t="str">
        <f ca="1">IF(INDIRECT("'SpxSp (step-c)'!$B" &amp; CA$72)=$Z114,INDIRECT("'SpxSp (step-c)'!$" &amp; 'SpxSp (step-c)'!$AC$16 &amp; CA$72),"")</f>
        <v/>
      </c>
      <c r="CB114" s="1317" t="str">
        <f ca="1">IF(INDIRECT("'SpxSp (step-c)'!$B" &amp; CB$72)=$Z114,INDIRECT("'SpxSp (step-c)'!$" &amp; 'SpxSp (step-c)'!$AC$16 &amp; CB$72),"")</f>
        <v/>
      </c>
      <c r="CC114" s="1317" t="str">
        <f ca="1">IF(INDIRECT("'SpxSp (step-c)'!$B" &amp; CC$72)=$Z114,INDIRECT("'SpxSp (step-c)'!$" &amp; 'SpxSp (step-c)'!$AC$16 &amp; CC$72),"")</f>
        <v/>
      </c>
      <c r="CD114" s="1317" t="str">
        <f ca="1">IF(INDIRECT("'SpxSp (step-c)'!$B" &amp; CD$72)=$Z114,INDIRECT("'SpxSp (step-c)'!$" &amp; 'SpxSp (step-c)'!$AC$16 &amp; CD$72),"")</f>
        <v/>
      </c>
      <c r="CE114" s="1317" t="str">
        <f ca="1">IF(INDIRECT("'SpxSp (step-c)'!$B" &amp; CE$72)=$Z114,INDIRECT("'SpxSp (step-c)'!$" &amp; 'SpxSp (step-c)'!$AC$16 &amp; CE$72),"")</f>
        <v/>
      </c>
      <c r="CF114" s="1317" t="str">
        <f ca="1">IF(INDIRECT("'SpxSp (step-c)'!$B" &amp; CF$72)=$Z114,INDIRECT("'SpxSp (step-c)'!$" &amp; 'SpxSp (step-c)'!$AC$16 &amp; CF$72),"")</f>
        <v/>
      </c>
      <c r="CG114" s="1317" t="str">
        <f ca="1">IF(INDIRECT("'SpxSp (step-c)'!$B" &amp; CG$72)=$Z114,INDIRECT("'SpxSp (step-c)'!$" &amp; 'SpxSp (step-c)'!$AC$16 &amp; CG$72),"")</f>
        <v/>
      </c>
      <c r="CH114" s="1317" t="str">
        <f ca="1">IF(INDIRECT("'SpxSp (step-c)'!$B" &amp; CH$72)=$Z114,INDIRECT("'SpxSp (step-c)'!$" &amp; 'SpxSp (step-c)'!$AC$16 &amp; CH$72),"")</f>
        <v/>
      </c>
      <c r="CI114" s="1317" t="str">
        <f ca="1">IF(INDIRECT("'SpxSp (step-c)'!$B" &amp; CI$72)=$Z114,INDIRECT("'SpxSp (step-c)'!$" &amp; 'SpxSp (step-c)'!$AC$16 &amp; CI$72),"")</f>
        <v/>
      </c>
      <c r="CJ114" s="1317" t="str">
        <f ca="1">IF(INDIRECT("'SpxSp (step-c)'!$B" &amp; CJ$72)=$Z114,INDIRECT("'SpxSp (step-c)'!$" &amp; 'SpxSp (step-c)'!$AC$16 &amp; CJ$72),"")</f>
        <v/>
      </c>
      <c r="CK114" s="1317" t="str">
        <f ca="1">IF(INDIRECT("'SpxSp (step-c)'!$B" &amp; CK$72)=$Z114,INDIRECT("'SpxSp (step-c)'!$" &amp; 'SpxSp (step-c)'!$AC$16 &amp; CK$72),"")</f>
        <v/>
      </c>
      <c r="CL114" s="1317" t="str">
        <f ca="1">IF(INDIRECT("'SpxSp (step-c)'!$B" &amp; CL$72)=$Z114,INDIRECT("'SpxSp (step-c)'!$" &amp; 'SpxSp (step-c)'!$AC$16 &amp; CL$72),"")</f>
        <v/>
      </c>
      <c r="CM114" s="1317" t="str">
        <f ca="1">IF(INDIRECT("'SpxSp (step-c)'!$B" &amp; CM$72)=$Z114,INDIRECT("'SpxSp (step-c)'!$" &amp; 'SpxSp (step-c)'!$AC$16 &amp; CM$72),"")</f>
        <v/>
      </c>
      <c r="CN114" s="1317" t="str">
        <f ca="1">IF(INDIRECT("'SpxSp (step-c)'!$B" &amp; CN$72)=$Z114,INDIRECT("'SpxSp (step-c)'!$" &amp; 'SpxSp (step-c)'!$AC$16 &amp; CN$72),"")</f>
        <v/>
      </c>
      <c r="CO114" s="1317" t="str">
        <f ca="1">IF(INDIRECT("'SpxSp (step-c)'!$B" &amp; CO$72)=$Z114,INDIRECT("'SpxSp (step-c)'!$" &amp; 'SpxSp (step-c)'!$AC$16 &amp; CO$72),"")</f>
        <v/>
      </c>
      <c r="CP114" s="1317" t="str">
        <f ca="1">IF(INDIRECT("'SpxSp (step-c)'!$B" &amp; CP$72)=$Z114,INDIRECT("'SpxSp (step-c)'!$" &amp; 'SpxSp (step-c)'!$AC$16 &amp; CP$72),"")</f>
        <v/>
      </c>
      <c r="CQ114" s="1317" t="str">
        <f ca="1">IF(INDIRECT("'SpxSp (step-c)'!$B" &amp; CQ$72)=$Z114,INDIRECT("'SpxSp (step-c)'!$" &amp; 'SpxSp (step-c)'!$AC$16 &amp; CQ$72),"")</f>
        <v/>
      </c>
      <c r="CR114" s="1317" t="str">
        <f ca="1">IF(INDIRECT("'SpxSp (step-c)'!$B" &amp; CR$72)=$Z114,INDIRECT("'SpxSp (step-c)'!$" &amp; 'SpxSp (step-c)'!$AC$16 &amp; CR$72),"")</f>
        <v/>
      </c>
      <c r="CS114" s="1317" t="str">
        <f ca="1">IF(INDIRECT("'SpxSp (step-c)'!$B" &amp; CS$72)=$Z114,INDIRECT("'SpxSp (step-c)'!$" &amp; 'SpxSp (step-c)'!$AC$16 &amp; CS$72),"")</f>
        <v/>
      </c>
      <c r="CT114" s="1317" t="str">
        <f ca="1">IF(INDIRECT("'SpxSp (step-c)'!$B" &amp; CT$72)=$Z114,INDIRECT("'SpxSp (step-c)'!$" &amp; 'SpxSp (step-c)'!$AC$16 &amp; CT$72),"")</f>
        <v/>
      </c>
      <c r="CU114" s="1317" t="str">
        <f ca="1">IF(INDIRECT("'SpxSp (step-c)'!$B" &amp; CU$72)=$Z114,INDIRECT("'SpxSp (step-c)'!$" &amp; 'SpxSp (step-c)'!$AC$16 &amp; CU$72),"")</f>
        <v/>
      </c>
      <c r="CV114" s="1317" t="str">
        <f ca="1">IF(INDIRECT("'SpxSp (step-c)'!$B" &amp; CV$72)=$Z114,INDIRECT("'SpxSp (step-c)'!$" &amp; 'SpxSp (step-c)'!$AC$16 &amp; CV$72),"")</f>
        <v/>
      </c>
      <c r="CW114" s="1317" t="str">
        <f ca="1">IF(INDIRECT("'SpxSp (step-c)'!$B" &amp; CW$72)=$Z114,INDIRECT("'SpxSp (step-c)'!$" &amp; 'SpxSp (step-c)'!$AC$16 &amp; CW$72),"")</f>
        <v/>
      </c>
      <c r="CX114" s="1317" t="str">
        <f ca="1">IF(INDIRECT("'SpxSp (step-c)'!$B" &amp; CX$72)=$Z114,INDIRECT("'SpxSp (step-c)'!$" &amp; 'SpxSp (step-c)'!$AC$16 &amp; CX$72),"")</f>
        <v/>
      </c>
      <c r="CY114" s="1317" t="str">
        <f ca="1">IF(INDIRECT("'SpxSp (step-c)'!$B" &amp; CY$72)=$Z114,INDIRECT("'SpxSp (step-c)'!$" &amp; 'SpxSp (step-c)'!$AC$16 &amp; CY$72),"")</f>
        <v/>
      </c>
      <c r="CZ114" s="1317" t="str">
        <f ca="1">IF(INDIRECT("'SpxSp (step-c)'!$B" &amp; CZ$72)=$Z114,INDIRECT("'SpxSp (step-c)'!$" &amp; 'SpxSp (step-c)'!$AC$16 &amp; CZ$72),"")</f>
        <v/>
      </c>
      <c r="DA114" s="1317" t="str">
        <f ca="1">IF(INDIRECT("'SpxSp (step-c)'!$B" &amp; DA$72)=$Z114,INDIRECT("'SpxSp (step-c)'!$" &amp; 'SpxSp (step-c)'!$AC$16 &amp; DA$72),"")</f>
        <v/>
      </c>
      <c r="DB114" s="1317" t="str">
        <f ca="1">IF(INDIRECT("'SpxSp (step-c)'!$B" &amp; DB$72)=$Z114,INDIRECT("'SpxSp (step-c)'!$" &amp; 'SpxSp (step-c)'!$AC$16 &amp; DB$72),"")</f>
        <v/>
      </c>
      <c r="DC114" s="1317" t="str">
        <f ca="1">IF(INDIRECT("'SpxSp (step-c)'!$B" &amp; DC$72)=$Z114,INDIRECT("'SpxSp (step-c)'!$" &amp; 'SpxSp (step-c)'!$AC$16 &amp; DC$72),"")</f>
        <v/>
      </c>
      <c r="DD114" s="1317" t="str">
        <f ca="1">IF(INDIRECT("'SpxSp (step-c)'!$B" &amp; DD$72)=$Z114,INDIRECT("'SpxSp (step-c)'!$" &amp; 'SpxSp (step-c)'!$AC$16 &amp; DD$72),"")</f>
        <v/>
      </c>
      <c r="DE114" s="1317" t="str">
        <f ca="1">IF(INDIRECT("'SpxSp (step-c)'!$B" &amp; DE$72)=$Z114,INDIRECT("'SpxSp (step-c)'!$" &amp; 'SpxSp (step-c)'!$AC$16 &amp; DE$72),"")</f>
        <v/>
      </c>
      <c r="DF114" s="1317" t="str">
        <f ca="1">IF(INDIRECT("'SpxSp (step-c)'!$B" &amp; DF$72)=$Z114,INDIRECT("'SpxSp (step-c)'!$" &amp; 'SpxSp (step-c)'!$AC$16 &amp; DF$72),"")</f>
        <v/>
      </c>
      <c r="DG114" s="1317" t="str">
        <f ca="1">IF(INDIRECT("'SpxSp (step-c)'!$B" &amp; DG$72)=$Z114,INDIRECT("'SpxSp (step-c)'!$" &amp; 'SpxSp (step-c)'!$AC$16 &amp; DG$72),"")</f>
        <v/>
      </c>
      <c r="DH114" s="1317" t="str">
        <f ca="1">IF(INDIRECT("'SpxSp (step-c)'!$B" &amp; DH$72)=$Z114,INDIRECT("'SpxSp (step-c)'!$" &amp; 'SpxSp (step-c)'!$AC$16 &amp; DH$72),"")</f>
        <v/>
      </c>
      <c r="DI114" s="1317" t="str">
        <f ca="1">IF(INDIRECT("'SpxSp (step-c)'!$B" &amp; DI$72)=$Z114,INDIRECT("'SpxSp (step-c)'!$" &amp; 'SpxSp (step-c)'!$AC$16 &amp; DI$72),"")</f>
        <v/>
      </c>
      <c r="DJ114" s="1317" t="str">
        <f ca="1">IF(INDIRECT("'SpxSp (step-c)'!$B" &amp; DJ$72)=$Z114,INDIRECT("'SpxSp (step-c)'!$" &amp; 'SpxSp (step-c)'!$AC$16 &amp; DJ$72),"")</f>
        <v/>
      </c>
      <c r="DK114" s="1317" t="str">
        <f ca="1">IF(INDIRECT("'SpxSp (step-c)'!$B" &amp; DK$72)=$Z114,INDIRECT("'SpxSp (step-c)'!$" &amp; 'SpxSp (step-c)'!$AC$16 &amp; DK$72),"")</f>
        <v/>
      </c>
      <c r="DL114" s="1317" t="str">
        <f ca="1">IF(INDIRECT("'SpxSp (step-c)'!$B" &amp; DL$72)=$Z114,INDIRECT("'SpxSp (step-c)'!$" &amp; 'SpxSp (step-c)'!$AC$16 &amp; DL$72),"")</f>
        <v/>
      </c>
      <c r="DM114" s="1317" t="str">
        <f ca="1">IF(INDIRECT("'SpxSp (step-c)'!$B" &amp; DM$72)=$Z114,INDIRECT("'SpxSp (step-c)'!$" &amp; 'SpxSp (step-c)'!$AC$16 &amp; DM$72),"")</f>
        <v/>
      </c>
      <c r="DO114" s="1246" t="s">
        <v>1200</v>
      </c>
    </row>
    <row r="115" spans="24:119" ht="20" x14ac:dyDescent="0.2">
      <c r="Z115" s="1317" t="str">
        <f t="shared" ref="Z115:AA115" si="83">Z60</f>
        <v/>
      </c>
      <c r="AA115" s="1317" t="str">
        <f t="shared" si="83"/>
        <v/>
      </c>
      <c r="BN115" s="178">
        <v>43</v>
      </c>
      <c r="BO115" s="1316" t="str">
        <f t="shared" ca="1" si="43"/>
        <v/>
      </c>
      <c r="BP115" s="1317" t="str">
        <f ca="1">IF(INDIRECT("'SpxSp (step-c)'!$B" &amp; BP$72)=$Z115,INDIRECT("'SpxSp (step-c)'!$" &amp; 'SpxSp (step-c)'!$AC$16 &amp; BP$72),"")</f>
        <v/>
      </c>
      <c r="BQ115" s="1317" t="str">
        <f ca="1">IF(INDIRECT("'SpxSp (step-c)'!$B" &amp; BQ$72)=$Z115,INDIRECT("'SpxSp (step-c)'!$" &amp; 'SpxSp (step-c)'!$AC$16 &amp; BQ$72),"")</f>
        <v/>
      </c>
      <c r="BR115" s="1317" t="str">
        <f ca="1">IF(INDIRECT("'SpxSp (step-c)'!$B" &amp; BR$72)=$Z115,INDIRECT("'SpxSp (step-c)'!$" &amp; 'SpxSp (step-c)'!$AC$16 &amp; BR$72),"")</f>
        <v/>
      </c>
      <c r="BS115" s="1317" t="str">
        <f ca="1">IF(INDIRECT("'SpxSp (step-c)'!$B" &amp; BS$72)=$Z115,INDIRECT("'SpxSp (step-c)'!$" &amp; 'SpxSp (step-c)'!$AC$16 &amp; BS$72),"")</f>
        <v/>
      </c>
      <c r="BT115" s="1317" t="str">
        <f ca="1">IF(INDIRECT("'SpxSp (step-c)'!$B" &amp; BT$72)=$Z115,INDIRECT("'SpxSp (step-c)'!$" &amp; 'SpxSp (step-c)'!$AC$16 &amp; BT$72),"")</f>
        <v/>
      </c>
      <c r="BU115" s="1317" t="str">
        <f ca="1">IF(INDIRECT("'SpxSp (step-c)'!$B" &amp; BU$72)=$Z115,INDIRECT("'SpxSp (step-c)'!$" &amp; 'SpxSp (step-c)'!$AC$16 &amp; BU$72),"")</f>
        <v/>
      </c>
      <c r="BV115" s="1317" t="str">
        <f ca="1">IF(INDIRECT("'SpxSp (step-c)'!$B" &amp; BV$72)=$Z115,INDIRECT("'SpxSp (step-c)'!$" &amp; 'SpxSp (step-c)'!$AC$16 &amp; BV$72),"")</f>
        <v/>
      </c>
      <c r="BW115" s="1317" t="str">
        <f ca="1">IF(INDIRECT("'SpxSp (step-c)'!$B" &amp; BW$72)=$Z115,INDIRECT("'SpxSp (step-c)'!$" &amp; 'SpxSp (step-c)'!$AC$16 &amp; BW$72),"")</f>
        <v/>
      </c>
      <c r="BX115" s="1317" t="str">
        <f ca="1">IF(INDIRECT("'SpxSp (step-c)'!$B" &amp; BX$72)=$Z115,INDIRECT("'SpxSp (step-c)'!$" &amp; 'SpxSp (step-c)'!$AC$16 &amp; BX$72),"")</f>
        <v/>
      </c>
      <c r="BY115" s="1317" t="str">
        <f ca="1">IF(INDIRECT("'SpxSp (step-c)'!$B" &amp; BY$72)=$Z115,INDIRECT("'SpxSp (step-c)'!$" &amp; 'SpxSp (step-c)'!$AC$16 &amp; BY$72),"")</f>
        <v/>
      </c>
      <c r="BZ115" s="1317" t="str">
        <f ca="1">IF(INDIRECT("'SpxSp (step-c)'!$B" &amp; BZ$72)=$Z115,INDIRECT("'SpxSp (step-c)'!$" &amp; 'SpxSp (step-c)'!$AC$16 &amp; BZ$72),"")</f>
        <v/>
      </c>
      <c r="CA115" s="1317" t="str">
        <f ca="1">IF(INDIRECT("'SpxSp (step-c)'!$B" &amp; CA$72)=$Z115,INDIRECT("'SpxSp (step-c)'!$" &amp; 'SpxSp (step-c)'!$AC$16 &amp; CA$72),"")</f>
        <v/>
      </c>
      <c r="CB115" s="1317" t="str">
        <f ca="1">IF(INDIRECT("'SpxSp (step-c)'!$B" &amp; CB$72)=$Z115,INDIRECT("'SpxSp (step-c)'!$" &amp; 'SpxSp (step-c)'!$AC$16 &amp; CB$72),"")</f>
        <v/>
      </c>
      <c r="CC115" s="1317" t="str">
        <f ca="1">IF(INDIRECT("'SpxSp (step-c)'!$B" &amp; CC$72)=$Z115,INDIRECT("'SpxSp (step-c)'!$" &amp; 'SpxSp (step-c)'!$AC$16 &amp; CC$72),"")</f>
        <v/>
      </c>
      <c r="CD115" s="1317" t="str">
        <f ca="1">IF(INDIRECT("'SpxSp (step-c)'!$B" &amp; CD$72)=$Z115,INDIRECT("'SpxSp (step-c)'!$" &amp; 'SpxSp (step-c)'!$AC$16 &amp; CD$72),"")</f>
        <v/>
      </c>
      <c r="CE115" s="1317" t="str">
        <f ca="1">IF(INDIRECT("'SpxSp (step-c)'!$B" &amp; CE$72)=$Z115,INDIRECT("'SpxSp (step-c)'!$" &amp; 'SpxSp (step-c)'!$AC$16 &amp; CE$72),"")</f>
        <v/>
      </c>
      <c r="CF115" s="1317" t="str">
        <f ca="1">IF(INDIRECT("'SpxSp (step-c)'!$B" &amp; CF$72)=$Z115,INDIRECT("'SpxSp (step-c)'!$" &amp; 'SpxSp (step-c)'!$AC$16 &amp; CF$72),"")</f>
        <v/>
      </c>
      <c r="CG115" s="1317" t="str">
        <f ca="1">IF(INDIRECT("'SpxSp (step-c)'!$B" &amp; CG$72)=$Z115,INDIRECT("'SpxSp (step-c)'!$" &amp; 'SpxSp (step-c)'!$AC$16 &amp; CG$72),"")</f>
        <v/>
      </c>
      <c r="CH115" s="1317" t="str">
        <f ca="1">IF(INDIRECT("'SpxSp (step-c)'!$B" &amp; CH$72)=$Z115,INDIRECT("'SpxSp (step-c)'!$" &amp; 'SpxSp (step-c)'!$AC$16 &amp; CH$72),"")</f>
        <v/>
      </c>
      <c r="CI115" s="1317" t="str">
        <f ca="1">IF(INDIRECT("'SpxSp (step-c)'!$B" &amp; CI$72)=$Z115,INDIRECT("'SpxSp (step-c)'!$" &amp; 'SpxSp (step-c)'!$AC$16 &amp; CI$72),"")</f>
        <v/>
      </c>
      <c r="CJ115" s="1317" t="str">
        <f ca="1">IF(INDIRECT("'SpxSp (step-c)'!$B" &amp; CJ$72)=$Z115,INDIRECT("'SpxSp (step-c)'!$" &amp; 'SpxSp (step-c)'!$AC$16 &amp; CJ$72),"")</f>
        <v/>
      </c>
      <c r="CK115" s="1317" t="str">
        <f ca="1">IF(INDIRECT("'SpxSp (step-c)'!$B" &amp; CK$72)=$Z115,INDIRECT("'SpxSp (step-c)'!$" &amp; 'SpxSp (step-c)'!$AC$16 &amp; CK$72),"")</f>
        <v/>
      </c>
      <c r="CL115" s="1317" t="str">
        <f ca="1">IF(INDIRECT("'SpxSp (step-c)'!$B" &amp; CL$72)=$Z115,INDIRECT("'SpxSp (step-c)'!$" &amp; 'SpxSp (step-c)'!$AC$16 &amp; CL$72),"")</f>
        <v/>
      </c>
      <c r="CM115" s="1317" t="str">
        <f ca="1">IF(INDIRECT("'SpxSp (step-c)'!$B" &amp; CM$72)=$Z115,INDIRECT("'SpxSp (step-c)'!$" &amp; 'SpxSp (step-c)'!$AC$16 &amp; CM$72),"")</f>
        <v/>
      </c>
      <c r="CN115" s="1317" t="str">
        <f ca="1">IF(INDIRECT("'SpxSp (step-c)'!$B" &amp; CN$72)=$Z115,INDIRECT("'SpxSp (step-c)'!$" &amp; 'SpxSp (step-c)'!$AC$16 &amp; CN$72),"")</f>
        <v/>
      </c>
      <c r="CO115" s="1317" t="str">
        <f ca="1">IF(INDIRECT("'SpxSp (step-c)'!$B" &amp; CO$72)=$Z115,INDIRECT("'SpxSp (step-c)'!$" &amp; 'SpxSp (step-c)'!$AC$16 &amp; CO$72),"")</f>
        <v/>
      </c>
      <c r="CP115" s="1317" t="str">
        <f ca="1">IF(INDIRECT("'SpxSp (step-c)'!$B" &amp; CP$72)=$Z115,INDIRECT("'SpxSp (step-c)'!$" &amp; 'SpxSp (step-c)'!$AC$16 &amp; CP$72),"")</f>
        <v/>
      </c>
      <c r="CQ115" s="1317" t="str">
        <f ca="1">IF(INDIRECT("'SpxSp (step-c)'!$B" &amp; CQ$72)=$Z115,INDIRECT("'SpxSp (step-c)'!$" &amp; 'SpxSp (step-c)'!$AC$16 &amp; CQ$72),"")</f>
        <v/>
      </c>
      <c r="CR115" s="1317" t="str">
        <f ca="1">IF(INDIRECT("'SpxSp (step-c)'!$B" &amp; CR$72)=$Z115,INDIRECT("'SpxSp (step-c)'!$" &amp; 'SpxSp (step-c)'!$AC$16 &amp; CR$72),"")</f>
        <v/>
      </c>
      <c r="CS115" s="1317" t="str">
        <f ca="1">IF(INDIRECT("'SpxSp (step-c)'!$B" &amp; CS$72)=$Z115,INDIRECT("'SpxSp (step-c)'!$" &amp; 'SpxSp (step-c)'!$AC$16 &amp; CS$72),"")</f>
        <v/>
      </c>
      <c r="CT115" s="1317" t="str">
        <f ca="1">IF(INDIRECT("'SpxSp (step-c)'!$B" &amp; CT$72)=$Z115,INDIRECT("'SpxSp (step-c)'!$" &amp; 'SpxSp (step-c)'!$AC$16 &amp; CT$72),"")</f>
        <v/>
      </c>
      <c r="CU115" s="1317" t="str">
        <f ca="1">IF(INDIRECT("'SpxSp (step-c)'!$B" &amp; CU$72)=$Z115,INDIRECT("'SpxSp (step-c)'!$" &amp; 'SpxSp (step-c)'!$AC$16 &amp; CU$72),"")</f>
        <v/>
      </c>
      <c r="CV115" s="1317" t="str">
        <f ca="1">IF(INDIRECT("'SpxSp (step-c)'!$B" &amp; CV$72)=$Z115,INDIRECT("'SpxSp (step-c)'!$" &amp; 'SpxSp (step-c)'!$AC$16 &amp; CV$72),"")</f>
        <v/>
      </c>
      <c r="CW115" s="1317" t="str">
        <f ca="1">IF(INDIRECT("'SpxSp (step-c)'!$B" &amp; CW$72)=$Z115,INDIRECT("'SpxSp (step-c)'!$" &amp; 'SpxSp (step-c)'!$AC$16 &amp; CW$72),"")</f>
        <v/>
      </c>
      <c r="CX115" s="1317" t="str">
        <f ca="1">IF(INDIRECT("'SpxSp (step-c)'!$B" &amp; CX$72)=$Z115,INDIRECT("'SpxSp (step-c)'!$" &amp; 'SpxSp (step-c)'!$AC$16 &amp; CX$72),"")</f>
        <v/>
      </c>
      <c r="CY115" s="1317" t="str">
        <f ca="1">IF(INDIRECT("'SpxSp (step-c)'!$B" &amp; CY$72)=$Z115,INDIRECT("'SpxSp (step-c)'!$" &amp; 'SpxSp (step-c)'!$AC$16 &amp; CY$72),"")</f>
        <v/>
      </c>
      <c r="CZ115" s="1317" t="str">
        <f ca="1">IF(INDIRECT("'SpxSp (step-c)'!$B" &amp; CZ$72)=$Z115,INDIRECT("'SpxSp (step-c)'!$" &amp; 'SpxSp (step-c)'!$AC$16 &amp; CZ$72),"")</f>
        <v/>
      </c>
      <c r="DA115" s="1317" t="str">
        <f ca="1">IF(INDIRECT("'SpxSp (step-c)'!$B" &amp; DA$72)=$Z115,INDIRECT("'SpxSp (step-c)'!$" &amp; 'SpxSp (step-c)'!$AC$16 &amp; DA$72),"")</f>
        <v/>
      </c>
      <c r="DB115" s="1317" t="str">
        <f ca="1">IF(INDIRECT("'SpxSp (step-c)'!$B" &amp; DB$72)=$Z115,INDIRECT("'SpxSp (step-c)'!$" &amp; 'SpxSp (step-c)'!$AC$16 &amp; DB$72),"")</f>
        <v/>
      </c>
      <c r="DC115" s="1317" t="str">
        <f ca="1">IF(INDIRECT("'SpxSp (step-c)'!$B" &amp; DC$72)=$Z115,INDIRECT("'SpxSp (step-c)'!$" &amp; 'SpxSp (step-c)'!$AC$16 &amp; DC$72),"")</f>
        <v/>
      </c>
      <c r="DD115" s="1317" t="str">
        <f ca="1">IF(INDIRECT("'SpxSp (step-c)'!$B" &amp; DD$72)=$Z115,INDIRECT("'SpxSp (step-c)'!$" &amp; 'SpxSp (step-c)'!$AC$16 &amp; DD$72),"")</f>
        <v/>
      </c>
      <c r="DE115" s="1317" t="str">
        <f ca="1">IF(INDIRECT("'SpxSp (step-c)'!$B" &amp; DE$72)=$Z115,INDIRECT("'SpxSp (step-c)'!$" &amp; 'SpxSp (step-c)'!$AC$16 &amp; DE$72),"")</f>
        <v/>
      </c>
      <c r="DF115" s="1317" t="str">
        <f ca="1">IF(INDIRECT("'SpxSp (step-c)'!$B" &amp; DF$72)=$Z115,INDIRECT("'SpxSp (step-c)'!$" &amp; 'SpxSp (step-c)'!$AC$16 &amp; DF$72),"")</f>
        <v/>
      </c>
      <c r="DG115" s="1317" t="str">
        <f ca="1">IF(INDIRECT("'SpxSp (step-c)'!$B" &amp; DG$72)=$Z115,INDIRECT("'SpxSp (step-c)'!$" &amp; 'SpxSp (step-c)'!$AC$16 &amp; DG$72),"")</f>
        <v/>
      </c>
      <c r="DH115" s="1317" t="str">
        <f ca="1">IF(INDIRECT("'SpxSp (step-c)'!$B" &amp; DH$72)=$Z115,INDIRECT("'SpxSp (step-c)'!$" &amp; 'SpxSp (step-c)'!$AC$16 &amp; DH$72),"")</f>
        <v/>
      </c>
      <c r="DI115" s="1317" t="str">
        <f ca="1">IF(INDIRECT("'SpxSp (step-c)'!$B" &amp; DI$72)=$Z115,INDIRECT("'SpxSp (step-c)'!$" &amp; 'SpxSp (step-c)'!$AC$16 &amp; DI$72),"")</f>
        <v/>
      </c>
      <c r="DJ115" s="1317" t="str">
        <f ca="1">IF(INDIRECT("'SpxSp (step-c)'!$B" &amp; DJ$72)=$Z115,INDIRECT("'SpxSp (step-c)'!$" &amp; 'SpxSp (step-c)'!$AC$16 &amp; DJ$72),"")</f>
        <v/>
      </c>
      <c r="DK115" s="1317" t="str">
        <f ca="1">IF(INDIRECT("'SpxSp (step-c)'!$B" &amp; DK$72)=$Z115,INDIRECT("'SpxSp (step-c)'!$" &amp; 'SpxSp (step-c)'!$AC$16 &amp; DK$72),"")</f>
        <v/>
      </c>
      <c r="DL115" s="1317" t="str">
        <f ca="1">IF(INDIRECT("'SpxSp (step-c)'!$B" &amp; DL$72)=$Z115,INDIRECT("'SpxSp (step-c)'!$" &amp; 'SpxSp (step-c)'!$AC$16 &amp; DL$72),"")</f>
        <v/>
      </c>
      <c r="DM115" s="1317" t="str">
        <f ca="1">IF(INDIRECT("'SpxSp (step-c)'!$B" &amp; DM$72)=$Z115,INDIRECT("'SpxSp (step-c)'!$" &amp; 'SpxSp (step-c)'!$AC$16 &amp; DM$72),"")</f>
        <v/>
      </c>
      <c r="DO115" s="1246" t="s">
        <v>1200</v>
      </c>
    </row>
    <row r="116" spans="24:119" ht="20" x14ac:dyDescent="0.2">
      <c r="Z116" s="1317" t="str">
        <f t="shared" ref="Z116:AA116" si="84">Z61</f>
        <v/>
      </c>
      <c r="AA116" s="1317" t="str">
        <f t="shared" si="84"/>
        <v/>
      </c>
      <c r="BN116" s="178">
        <v>44</v>
      </c>
      <c r="BO116" s="1316" t="str">
        <f t="shared" ca="1" si="43"/>
        <v/>
      </c>
      <c r="BP116" s="1317" t="str">
        <f ca="1">IF(INDIRECT("'SpxSp (step-c)'!$B" &amp; BP$72)=$Z116,INDIRECT("'SpxSp (step-c)'!$" &amp; 'SpxSp (step-c)'!$AC$16 &amp; BP$72),"")</f>
        <v/>
      </c>
      <c r="BQ116" s="1317" t="str">
        <f ca="1">IF(INDIRECT("'SpxSp (step-c)'!$B" &amp; BQ$72)=$Z116,INDIRECT("'SpxSp (step-c)'!$" &amp; 'SpxSp (step-c)'!$AC$16 &amp; BQ$72),"")</f>
        <v/>
      </c>
      <c r="BR116" s="1317" t="str">
        <f ca="1">IF(INDIRECT("'SpxSp (step-c)'!$B" &amp; BR$72)=$Z116,INDIRECT("'SpxSp (step-c)'!$" &amp; 'SpxSp (step-c)'!$AC$16 &amp; BR$72),"")</f>
        <v/>
      </c>
      <c r="BS116" s="1317" t="str">
        <f ca="1">IF(INDIRECT("'SpxSp (step-c)'!$B" &amp; BS$72)=$Z116,INDIRECT("'SpxSp (step-c)'!$" &amp; 'SpxSp (step-c)'!$AC$16 &amp; BS$72),"")</f>
        <v/>
      </c>
      <c r="BT116" s="1317" t="str">
        <f ca="1">IF(INDIRECT("'SpxSp (step-c)'!$B" &amp; BT$72)=$Z116,INDIRECT("'SpxSp (step-c)'!$" &amp; 'SpxSp (step-c)'!$AC$16 &amp; BT$72),"")</f>
        <v/>
      </c>
      <c r="BU116" s="1317" t="str">
        <f ca="1">IF(INDIRECT("'SpxSp (step-c)'!$B" &amp; BU$72)=$Z116,INDIRECT("'SpxSp (step-c)'!$" &amp; 'SpxSp (step-c)'!$AC$16 &amp; BU$72),"")</f>
        <v/>
      </c>
      <c r="BV116" s="1317" t="str">
        <f ca="1">IF(INDIRECT("'SpxSp (step-c)'!$B" &amp; BV$72)=$Z116,INDIRECT("'SpxSp (step-c)'!$" &amp; 'SpxSp (step-c)'!$AC$16 &amp; BV$72),"")</f>
        <v/>
      </c>
      <c r="BW116" s="1317" t="str">
        <f ca="1">IF(INDIRECT("'SpxSp (step-c)'!$B" &amp; BW$72)=$Z116,INDIRECT("'SpxSp (step-c)'!$" &amp; 'SpxSp (step-c)'!$AC$16 &amp; BW$72),"")</f>
        <v/>
      </c>
      <c r="BX116" s="1317" t="str">
        <f ca="1">IF(INDIRECT("'SpxSp (step-c)'!$B" &amp; BX$72)=$Z116,INDIRECT("'SpxSp (step-c)'!$" &amp; 'SpxSp (step-c)'!$AC$16 &amp; BX$72),"")</f>
        <v/>
      </c>
      <c r="BY116" s="1317" t="str">
        <f ca="1">IF(INDIRECT("'SpxSp (step-c)'!$B" &amp; BY$72)=$Z116,INDIRECT("'SpxSp (step-c)'!$" &amp; 'SpxSp (step-c)'!$AC$16 &amp; BY$72),"")</f>
        <v/>
      </c>
      <c r="BZ116" s="1317" t="str">
        <f ca="1">IF(INDIRECT("'SpxSp (step-c)'!$B" &amp; BZ$72)=$Z116,INDIRECT("'SpxSp (step-c)'!$" &amp; 'SpxSp (step-c)'!$AC$16 &amp; BZ$72),"")</f>
        <v/>
      </c>
      <c r="CA116" s="1317" t="str">
        <f ca="1">IF(INDIRECT("'SpxSp (step-c)'!$B" &amp; CA$72)=$Z116,INDIRECT("'SpxSp (step-c)'!$" &amp; 'SpxSp (step-c)'!$AC$16 &amp; CA$72),"")</f>
        <v/>
      </c>
      <c r="CB116" s="1317" t="str">
        <f ca="1">IF(INDIRECT("'SpxSp (step-c)'!$B" &amp; CB$72)=$Z116,INDIRECT("'SpxSp (step-c)'!$" &amp; 'SpxSp (step-c)'!$AC$16 &amp; CB$72),"")</f>
        <v/>
      </c>
      <c r="CC116" s="1317" t="str">
        <f ca="1">IF(INDIRECT("'SpxSp (step-c)'!$B" &amp; CC$72)=$Z116,INDIRECT("'SpxSp (step-c)'!$" &amp; 'SpxSp (step-c)'!$AC$16 &amp; CC$72),"")</f>
        <v/>
      </c>
      <c r="CD116" s="1317" t="str">
        <f ca="1">IF(INDIRECT("'SpxSp (step-c)'!$B" &amp; CD$72)=$Z116,INDIRECT("'SpxSp (step-c)'!$" &amp; 'SpxSp (step-c)'!$AC$16 &amp; CD$72),"")</f>
        <v/>
      </c>
      <c r="CE116" s="1317" t="str">
        <f ca="1">IF(INDIRECT("'SpxSp (step-c)'!$B" &amp; CE$72)=$Z116,INDIRECT("'SpxSp (step-c)'!$" &amp; 'SpxSp (step-c)'!$AC$16 &amp; CE$72),"")</f>
        <v/>
      </c>
      <c r="CF116" s="1317" t="str">
        <f ca="1">IF(INDIRECT("'SpxSp (step-c)'!$B" &amp; CF$72)=$Z116,INDIRECT("'SpxSp (step-c)'!$" &amp; 'SpxSp (step-c)'!$AC$16 &amp; CF$72),"")</f>
        <v/>
      </c>
      <c r="CG116" s="1317" t="str">
        <f ca="1">IF(INDIRECT("'SpxSp (step-c)'!$B" &amp; CG$72)=$Z116,INDIRECT("'SpxSp (step-c)'!$" &amp; 'SpxSp (step-c)'!$AC$16 &amp; CG$72),"")</f>
        <v/>
      </c>
      <c r="CH116" s="1317" t="str">
        <f ca="1">IF(INDIRECT("'SpxSp (step-c)'!$B" &amp; CH$72)=$Z116,INDIRECT("'SpxSp (step-c)'!$" &amp; 'SpxSp (step-c)'!$AC$16 &amp; CH$72),"")</f>
        <v/>
      </c>
      <c r="CI116" s="1317" t="str">
        <f ca="1">IF(INDIRECT("'SpxSp (step-c)'!$B" &amp; CI$72)=$Z116,INDIRECT("'SpxSp (step-c)'!$" &amp; 'SpxSp (step-c)'!$AC$16 &amp; CI$72),"")</f>
        <v/>
      </c>
      <c r="CJ116" s="1317" t="str">
        <f ca="1">IF(INDIRECT("'SpxSp (step-c)'!$B" &amp; CJ$72)=$Z116,INDIRECT("'SpxSp (step-c)'!$" &amp; 'SpxSp (step-c)'!$AC$16 &amp; CJ$72),"")</f>
        <v/>
      </c>
      <c r="CK116" s="1317" t="str">
        <f ca="1">IF(INDIRECT("'SpxSp (step-c)'!$B" &amp; CK$72)=$Z116,INDIRECT("'SpxSp (step-c)'!$" &amp; 'SpxSp (step-c)'!$AC$16 &amp; CK$72),"")</f>
        <v/>
      </c>
      <c r="CL116" s="1317" t="str">
        <f ca="1">IF(INDIRECT("'SpxSp (step-c)'!$B" &amp; CL$72)=$Z116,INDIRECT("'SpxSp (step-c)'!$" &amp; 'SpxSp (step-c)'!$AC$16 &amp; CL$72),"")</f>
        <v/>
      </c>
      <c r="CM116" s="1317" t="str">
        <f ca="1">IF(INDIRECT("'SpxSp (step-c)'!$B" &amp; CM$72)=$Z116,INDIRECT("'SpxSp (step-c)'!$" &amp; 'SpxSp (step-c)'!$AC$16 &amp; CM$72),"")</f>
        <v/>
      </c>
      <c r="CN116" s="1317" t="str">
        <f ca="1">IF(INDIRECT("'SpxSp (step-c)'!$B" &amp; CN$72)=$Z116,INDIRECT("'SpxSp (step-c)'!$" &amp; 'SpxSp (step-c)'!$AC$16 &amp; CN$72),"")</f>
        <v/>
      </c>
      <c r="CO116" s="1317" t="str">
        <f ca="1">IF(INDIRECT("'SpxSp (step-c)'!$B" &amp; CO$72)=$Z116,INDIRECT("'SpxSp (step-c)'!$" &amp; 'SpxSp (step-c)'!$AC$16 &amp; CO$72),"")</f>
        <v/>
      </c>
      <c r="CP116" s="1317" t="str">
        <f ca="1">IF(INDIRECT("'SpxSp (step-c)'!$B" &amp; CP$72)=$Z116,INDIRECT("'SpxSp (step-c)'!$" &amp; 'SpxSp (step-c)'!$AC$16 &amp; CP$72),"")</f>
        <v/>
      </c>
      <c r="CQ116" s="1317" t="str">
        <f ca="1">IF(INDIRECT("'SpxSp (step-c)'!$B" &amp; CQ$72)=$Z116,INDIRECT("'SpxSp (step-c)'!$" &amp; 'SpxSp (step-c)'!$AC$16 &amp; CQ$72),"")</f>
        <v/>
      </c>
      <c r="CR116" s="1317" t="str">
        <f ca="1">IF(INDIRECT("'SpxSp (step-c)'!$B" &amp; CR$72)=$Z116,INDIRECT("'SpxSp (step-c)'!$" &amp; 'SpxSp (step-c)'!$AC$16 &amp; CR$72),"")</f>
        <v/>
      </c>
      <c r="CS116" s="1317" t="str">
        <f ca="1">IF(INDIRECT("'SpxSp (step-c)'!$B" &amp; CS$72)=$Z116,INDIRECT("'SpxSp (step-c)'!$" &amp; 'SpxSp (step-c)'!$AC$16 &amp; CS$72),"")</f>
        <v/>
      </c>
      <c r="CT116" s="1317" t="str">
        <f ca="1">IF(INDIRECT("'SpxSp (step-c)'!$B" &amp; CT$72)=$Z116,INDIRECT("'SpxSp (step-c)'!$" &amp; 'SpxSp (step-c)'!$AC$16 &amp; CT$72),"")</f>
        <v/>
      </c>
      <c r="CU116" s="1317" t="str">
        <f ca="1">IF(INDIRECT("'SpxSp (step-c)'!$B" &amp; CU$72)=$Z116,INDIRECT("'SpxSp (step-c)'!$" &amp; 'SpxSp (step-c)'!$AC$16 &amp; CU$72),"")</f>
        <v/>
      </c>
      <c r="CV116" s="1317" t="str">
        <f ca="1">IF(INDIRECT("'SpxSp (step-c)'!$B" &amp; CV$72)=$Z116,INDIRECT("'SpxSp (step-c)'!$" &amp; 'SpxSp (step-c)'!$AC$16 &amp; CV$72),"")</f>
        <v/>
      </c>
      <c r="CW116" s="1317" t="str">
        <f ca="1">IF(INDIRECT("'SpxSp (step-c)'!$B" &amp; CW$72)=$Z116,INDIRECT("'SpxSp (step-c)'!$" &amp; 'SpxSp (step-c)'!$AC$16 &amp; CW$72),"")</f>
        <v/>
      </c>
      <c r="CX116" s="1317" t="str">
        <f ca="1">IF(INDIRECT("'SpxSp (step-c)'!$B" &amp; CX$72)=$Z116,INDIRECT("'SpxSp (step-c)'!$" &amp; 'SpxSp (step-c)'!$AC$16 &amp; CX$72),"")</f>
        <v/>
      </c>
      <c r="CY116" s="1317" t="str">
        <f ca="1">IF(INDIRECT("'SpxSp (step-c)'!$B" &amp; CY$72)=$Z116,INDIRECT("'SpxSp (step-c)'!$" &amp; 'SpxSp (step-c)'!$AC$16 &amp; CY$72),"")</f>
        <v/>
      </c>
      <c r="CZ116" s="1317" t="str">
        <f ca="1">IF(INDIRECT("'SpxSp (step-c)'!$B" &amp; CZ$72)=$Z116,INDIRECT("'SpxSp (step-c)'!$" &amp; 'SpxSp (step-c)'!$AC$16 &amp; CZ$72),"")</f>
        <v/>
      </c>
      <c r="DA116" s="1317" t="str">
        <f ca="1">IF(INDIRECT("'SpxSp (step-c)'!$B" &amp; DA$72)=$Z116,INDIRECT("'SpxSp (step-c)'!$" &amp; 'SpxSp (step-c)'!$AC$16 &amp; DA$72),"")</f>
        <v/>
      </c>
      <c r="DB116" s="1317" t="str">
        <f ca="1">IF(INDIRECT("'SpxSp (step-c)'!$B" &amp; DB$72)=$Z116,INDIRECT("'SpxSp (step-c)'!$" &amp; 'SpxSp (step-c)'!$AC$16 &amp; DB$72),"")</f>
        <v/>
      </c>
      <c r="DC116" s="1317" t="str">
        <f ca="1">IF(INDIRECT("'SpxSp (step-c)'!$B" &amp; DC$72)=$Z116,INDIRECT("'SpxSp (step-c)'!$" &amp; 'SpxSp (step-c)'!$AC$16 &amp; DC$72),"")</f>
        <v/>
      </c>
      <c r="DD116" s="1317" t="str">
        <f ca="1">IF(INDIRECT("'SpxSp (step-c)'!$B" &amp; DD$72)=$Z116,INDIRECT("'SpxSp (step-c)'!$" &amp; 'SpxSp (step-c)'!$AC$16 &amp; DD$72),"")</f>
        <v/>
      </c>
      <c r="DE116" s="1317" t="str">
        <f ca="1">IF(INDIRECT("'SpxSp (step-c)'!$B" &amp; DE$72)=$Z116,INDIRECT("'SpxSp (step-c)'!$" &amp; 'SpxSp (step-c)'!$AC$16 &amp; DE$72),"")</f>
        <v/>
      </c>
      <c r="DF116" s="1317" t="str">
        <f ca="1">IF(INDIRECT("'SpxSp (step-c)'!$B" &amp; DF$72)=$Z116,INDIRECT("'SpxSp (step-c)'!$" &amp; 'SpxSp (step-c)'!$AC$16 &amp; DF$72),"")</f>
        <v/>
      </c>
      <c r="DG116" s="1317" t="str">
        <f ca="1">IF(INDIRECT("'SpxSp (step-c)'!$B" &amp; DG$72)=$Z116,INDIRECT("'SpxSp (step-c)'!$" &amp; 'SpxSp (step-c)'!$AC$16 &amp; DG$72),"")</f>
        <v/>
      </c>
      <c r="DH116" s="1317" t="str">
        <f ca="1">IF(INDIRECT("'SpxSp (step-c)'!$B" &amp; DH$72)=$Z116,INDIRECT("'SpxSp (step-c)'!$" &amp; 'SpxSp (step-c)'!$AC$16 &amp; DH$72),"")</f>
        <v/>
      </c>
      <c r="DI116" s="1317" t="str">
        <f ca="1">IF(INDIRECT("'SpxSp (step-c)'!$B" &amp; DI$72)=$Z116,INDIRECT("'SpxSp (step-c)'!$" &amp; 'SpxSp (step-c)'!$AC$16 &amp; DI$72),"")</f>
        <v/>
      </c>
      <c r="DJ116" s="1317" t="str">
        <f ca="1">IF(INDIRECT("'SpxSp (step-c)'!$B" &amp; DJ$72)=$Z116,INDIRECT("'SpxSp (step-c)'!$" &amp; 'SpxSp (step-c)'!$AC$16 &amp; DJ$72),"")</f>
        <v/>
      </c>
      <c r="DK116" s="1317" t="str">
        <f ca="1">IF(INDIRECT("'SpxSp (step-c)'!$B" &amp; DK$72)=$Z116,INDIRECT("'SpxSp (step-c)'!$" &amp; 'SpxSp (step-c)'!$AC$16 &amp; DK$72),"")</f>
        <v/>
      </c>
      <c r="DL116" s="1317" t="str">
        <f ca="1">IF(INDIRECT("'SpxSp (step-c)'!$B" &amp; DL$72)=$Z116,INDIRECT("'SpxSp (step-c)'!$" &amp; 'SpxSp (step-c)'!$AC$16 &amp; DL$72),"")</f>
        <v/>
      </c>
      <c r="DM116" s="1317" t="str">
        <f ca="1">IF(INDIRECT("'SpxSp (step-c)'!$B" &amp; DM$72)=$Z116,INDIRECT("'SpxSp (step-c)'!$" &amp; 'SpxSp (step-c)'!$AC$16 &amp; DM$72),"")</f>
        <v/>
      </c>
      <c r="DO116" s="1246" t="s">
        <v>1200</v>
      </c>
    </row>
    <row r="117" spans="24:119" ht="20" x14ac:dyDescent="0.2">
      <c r="Z117" s="1317" t="str">
        <f t="shared" ref="Z117:AA117" si="85">Z62</f>
        <v/>
      </c>
      <c r="AA117" s="1317" t="str">
        <f t="shared" si="85"/>
        <v/>
      </c>
      <c r="BN117" s="178">
        <v>45</v>
      </c>
      <c r="BO117" s="1316" t="str">
        <f t="shared" ca="1" si="43"/>
        <v/>
      </c>
      <c r="BP117" s="1317" t="str">
        <f ca="1">IF(INDIRECT("'SpxSp (step-c)'!$B" &amp; BP$72)=$Z117,INDIRECT("'SpxSp (step-c)'!$" &amp; 'SpxSp (step-c)'!$AC$16 &amp; BP$72),"")</f>
        <v/>
      </c>
      <c r="BQ117" s="1317" t="str">
        <f ca="1">IF(INDIRECT("'SpxSp (step-c)'!$B" &amp; BQ$72)=$Z117,INDIRECT("'SpxSp (step-c)'!$" &amp; 'SpxSp (step-c)'!$AC$16 &amp; BQ$72),"")</f>
        <v/>
      </c>
      <c r="BR117" s="1317" t="str">
        <f ca="1">IF(INDIRECT("'SpxSp (step-c)'!$B" &amp; BR$72)=$Z117,INDIRECT("'SpxSp (step-c)'!$" &amp; 'SpxSp (step-c)'!$AC$16 &amp; BR$72),"")</f>
        <v/>
      </c>
      <c r="BS117" s="1317" t="str">
        <f ca="1">IF(INDIRECT("'SpxSp (step-c)'!$B" &amp; BS$72)=$Z117,INDIRECT("'SpxSp (step-c)'!$" &amp; 'SpxSp (step-c)'!$AC$16 &amp; BS$72),"")</f>
        <v/>
      </c>
      <c r="BT117" s="1317" t="str">
        <f ca="1">IF(INDIRECT("'SpxSp (step-c)'!$B" &amp; BT$72)=$Z117,INDIRECT("'SpxSp (step-c)'!$" &amp; 'SpxSp (step-c)'!$AC$16 &amp; BT$72),"")</f>
        <v/>
      </c>
      <c r="BU117" s="1317" t="str">
        <f ca="1">IF(INDIRECT("'SpxSp (step-c)'!$B" &amp; BU$72)=$Z117,INDIRECT("'SpxSp (step-c)'!$" &amp; 'SpxSp (step-c)'!$AC$16 &amp; BU$72),"")</f>
        <v/>
      </c>
      <c r="BV117" s="1317" t="str">
        <f ca="1">IF(INDIRECT("'SpxSp (step-c)'!$B" &amp; BV$72)=$Z117,INDIRECT("'SpxSp (step-c)'!$" &amp; 'SpxSp (step-c)'!$AC$16 &amp; BV$72),"")</f>
        <v/>
      </c>
      <c r="BW117" s="1317" t="str">
        <f ca="1">IF(INDIRECT("'SpxSp (step-c)'!$B" &amp; BW$72)=$Z117,INDIRECT("'SpxSp (step-c)'!$" &amp; 'SpxSp (step-c)'!$AC$16 &amp; BW$72),"")</f>
        <v/>
      </c>
      <c r="BX117" s="1317" t="str">
        <f ca="1">IF(INDIRECT("'SpxSp (step-c)'!$B" &amp; BX$72)=$Z117,INDIRECT("'SpxSp (step-c)'!$" &amp; 'SpxSp (step-c)'!$AC$16 &amp; BX$72),"")</f>
        <v/>
      </c>
      <c r="BY117" s="1317" t="str">
        <f ca="1">IF(INDIRECT("'SpxSp (step-c)'!$B" &amp; BY$72)=$Z117,INDIRECT("'SpxSp (step-c)'!$" &amp; 'SpxSp (step-c)'!$AC$16 &amp; BY$72),"")</f>
        <v/>
      </c>
      <c r="BZ117" s="1317" t="str">
        <f ca="1">IF(INDIRECT("'SpxSp (step-c)'!$B" &amp; BZ$72)=$Z117,INDIRECT("'SpxSp (step-c)'!$" &amp; 'SpxSp (step-c)'!$AC$16 &amp; BZ$72),"")</f>
        <v/>
      </c>
      <c r="CA117" s="1317" t="str">
        <f ca="1">IF(INDIRECT("'SpxSp (step-c)'!$B" &amp; CA$72)=$Z117,INDIRECT("'SpxSp (step-c)'!$" &amp; 'SpxSp (step-c)'!$AC$16 &amp; CA$72),"")</f>
        <v/>
      </c>
      <c r="CB117" s="1317" t="str">
        <f ca="1">IF(INDIRECT("'SpxSp (step-c)'!$B" &amp; CB$72)=$Z117,INDIRECT("'SpxSp (step-c)'!$" &amp; 'SpxSp (step-c)'!$AC$16 &amp; CB$72),"")</f>
        <v/>
      </c>
      <c r="CC117" s="1317" t="str">
        <f ca="1">IF(INDIRECT("'SpxSp (step-c)'!$B" &amp; CC$72)=$Z117,INDIRECT("'SpxSp (step-c)'!$" &amp; 'SpxSp (step-c)'!$AC$16 &amp; CC$72),"")</f>
        <v/>
      </c>
      <c r="CD117" s="1317" t="str">
        <f ca="1">IF(INDIRECT("'SpxSp (step-c)'!$B" &amp; CD$72)=$Z117,INDIRECT("'SpxSp (step-c)'!$" &amp; 'SpxSp (step-c)'!$AC$16 &amp; CD$72),"")</f>
        <v/>
      </c>
      <c r="CE117" s="1317" t="str">
        <f ca="1">IF(INDIRECT("'SpxSp (step-c)'!$B" &amp; CE$72)=$Z117,INDIRECT("'SpxSp (step-c)'!$" &amp; 'SpxSp (step-c)'!$AC$16 &amp; CE$72),"")</f>
        <v/>
      </c>
      <c r="CF117" s="1317" t="str">
        <f ca="1">IF(INDIRECT("'SpxSp (step-c)'!$B" &amp; CF$72)=$Z117,INDIRECT("'SpxSp (step-c)'!$" &amp; 'SpxSp (step-c)'!$AC$16 &amp; CF$72),"")</f>
        <v/>
      </c>
      <c r="CG117" s="1317" t="str">
        <f ca="1">IF(INDIRECT("'SpxSp (step-c)'!$B" &amp; CG$72)=$Z117,INDIRECT("'SpxSp (step-c)'!$" &amp; 'SpxSp (step-c)'!$AC$16 &amp; CG$72),"")</f>
        <v/>
      </c>
      <c r="CH117" s="1317" t="str">
        <f ca="1">IF(INDIRECT("'SpxSp (step-c)'!$B" &amp; CH$72)=$Z117,INDIRECT("'SpxSp (step-c)'!$" &amp; 'SpxSp (step-c)'!$AC$16 &amp; CH$72),"")</f>
        <v/>
      </c>
      <c r="CI117" s="1317" t="str">
        <f ca="1">IF(INDIRECT("'SpxSp (step-c)'!$B" &amp; CI$72)=$Z117,INDIRECT("'SpxSp (step-c)'!$" &amp; 'SpxSp (step-c)'!$AC$16 &amp; CI$72),"")</f>
        <v/>
      </c>
      <c r="CJ117" s="1317" t="str">
        <f ca="1">IF(INDIRECT("'SpxSp (step-c)'!$B" &amp; CJ$72)=$Z117,INDIRECT("'SpxSp (step-c)'!$" &amp; 'SpxSp (step-c)'!$AC$16 &amp; CJ$72),"")</f>
        <v/>
      </c>
      <c r="CK117" s="1317" t="str">
        <f ca="1">IF(INDIRECT("'SpxSp (step-c)'!$B" &amp; CK$72)=$Z117,INDIRECT("'SpxSp (step-c)'!$" &amp; 'SpxSp (step-c)'!$AC$16 &amp; CK$72),"")</f>
        <v/>
      </c>
      <c r="CL117" s="1317" t="str">
        <f ca="1">IF(INDIRECT("'SpxSp (step-c)'!$B" &amp; CL$72)=$Z117,INDIRECT("'SpxSp (step-c)'!$" &amp; 'SpxSp (step-c)'!$AC$16 &amp; CL$72),"")</f>
        <v/>
      </c>
      <c r="CM117" s="1317" t="str">
        <f ca="1">IF(INDIRECT("'SpxSp (step-c)'!$B" &amp; CM$72)=$Z117,INDIRECT("'SpxSp (step-c)'!$" &amp; 'SpxSp (step-c)'!$AC$16 &amp; CM$72),"")</f>
        <v/>
      </c>
      <c r="CN117" s="1317" t="str">
        <f ca="1">IF(INDIRECT("'SpxSp (step-c)'!$B" &amp; CN$72)=$Z117,INDIRECT("'SpxSp (step-c)'!$" &amp; 'SpxSp (step-c)'!$AC$16 &amp; CN$72),"")</f>
        <v/>
      </c>
      <c r="CO117" s="1317" t="str">
        <f ca="1">IF(INDIRECT("'SpxSp (step-c)'!$B" &amp; CO$72)=$Z117,INDIRECT("'SpxSp (step-c)'!$" &amp; 'SpxSp (step-c)'!$AC$16 &amp; CO$72),"")</f>
        <v/>
      </c>
      <c r="CP117" s="1317" t="str">
        <f ca="1">IF(INDIRECT("'SpxSp (step-c)'!$B" &amp; CP$72)=$Z117,INDIRECT("'SpxSp (step-c)'!$" &amp; 'SpxSp (step-c)'!$AC$16 &amp; CP$72),"")</f>
        <v/>
      </c>
      <c r="CQ117" s="1317" t="str">
        <f ca="1">IF(INDIRECT("'SpxSp (step-c)'!$B" &amp; CQ$72)=$Z117,INDIRECT("'SpxSp (step-c)'!$" &amp; 'SpxSp (step-c)'!$AC$16 &amp; CQ$72),"")</f>
        <v/>
      </c>
      <c r="CR117" s="1317" t="str">
        <f ca="1">IF(INDIRECT("'SpxSp (step-c)'!$B" &amp; CR$72)=$Z117,INDIRECT("'SpxSp (step-c)'!$" &amp; 'SpxSp (step-c)'!$AC$16 &amp; CR$72),"")</f>
        <v/>
      </c>
      <c r="CS117" s="1317" t="str">
        <f ca="1">IF(INDIRECT("'SpxSp (step-c)'!$B" &amp; CS$72)=$Z117,INDIRECT("'SpxSp (step-c)'!$" &amp; 'SpxSp (step-c)'!$AC$16 &amp; CS$72),"")</f>
        <v/>
      </c>
      <c r="CT117" s="1317" t="str">
        <f ca="1">IF(INDIRECT("'SpxSp (step-c)'!$B" &amp; CT$72)=$Z117,INDIRECT("'SpxSp (step-c)'!$" &amp; 'SpxSp (step-c)'!$AC$16 &amp; CT$72),"")</f>
        <v/>
      </c>
      <c r="CU117" s="1317" t="str">
        <f ca="1">IF(INDIRECT("'SpxSp (step-c)'!$B" &amp; CU$72)=$Z117,INDIRECT("'SpxSp (step-c)'!$" &amp; 'SpxSp (step-c)'!$AC$16 &amp; CU$72),"")</f>
        <v/>
      </c>
      <c r="CV117" s="1317" t="str">
        <f ca="1">IF(INDIRECT("'SpxSp (step-c)'!$B" &amp; CV$72)=$Z117,INDIRECT("'SpxSp (step-c)'!$" &amp; 'SpxSp (step-c)'!$AC$16 &amp; CV$72),"")</f>
        <v/>
      </c>
      <c r="CW117" s="1317" t="str">
        <f ca="1">IF(INDIRECT("'SpxSp (step-c)'!$B" &amp; CW$72)=$Z117,INDIRECT("'SpxSp (step-c)'!$" &amp; 'SpxSp (step-c)'!$AC$16 &amp; CW$72),"")</f>
        <v/>
      </c>
      <c r="CX117" s="1317" t="str">
        <f ca="1">IF(INDIRECT("'SpxSp (step-c)'!$B" &amp; CX$72)=$Z117,INDIRECT("'SpxSp (step-c)'!$" &amp; 'SpxSp (step-c)'!$AC$16 &amp; CX$72),"")</f>
        <v/>
      </c>
      <c r="CY117" s="1317" t="str">
        <f ca="1">IF(INDIRECT("'SpxSp (step-c)'!$B" &amp; CY$72)=$Z117,INDIRECT("'SpxSp (step-c)'!$" &amp; 'SpxSp (step-c)'!$AC$16 &amp; CY$72),"")</f>
        <v/>
      </c>
      <c r="CZ117" s="1317" t="str">
        <f ca="1">IF(INDIRECT("'SpxSp (step-c)'!$B" &amp; CZ$72)=$Z117,INDIRECT("'SpxSp (step-c)'!$" &amp; 'SpxSp (step-c)'!$AC$16 &amp; CZ$72),"")</f>
        <v/>
      </c>
      <c r="DA117" s="1317" t="str">
        <f ca="1">IF(INDIRECT("'SpxSp (step-c)'!$B" &amp; DA$72)=$Z117,INDIRECT("'SpxSp (step-c)'!$" &amp; 'SpxSp (step-c)'!$AC$16 &amp; DA$72),"")</f>
        <v/>
      </c>
      <c r="DB117" s="1317" t="str">
        <f ca="1">IF(INDIRECT("'SpxSp (step-c)'!$B" &amp; DB$72)=$Z117,INDIRECT("'SpxSp (step-c)'!$" &amp; 'SpxSp (step-c)'!$AC$16 &amp; DB$72),"")</f>
        <v/>
      </c>
      <c r="DC117" s="1317" t="str">
        <f ca="1">IF(INDIRECT("'SpxSp (step-c)'!$B" &amp; DC$72)=$Z117,INDIRECT("'SpxSp (step-c)'!$" &amp; 'SpxSp (step-c)'!$AC$16 &amp; DC$72),"")</f>
        <v/>
      </c>
      <c r="DD117" s="1317" t="str">
        <f ca="1">IF(INDIRECT("'SpxSp (step-c)'!$B" &amp; DD$72)=$Z117,INDIRECT("'SpxSp (step-c)'!$" &amp; 'SpxSp (step-c)'!$AC$16 &amp; DD$72),"")</f>
        <v/>
      </c>
      <c r="DE117" s="1317" t="str">
        <f ca="1">IF(INDIRECT("'SpxSp (step-c)'!$B" &amp; DE$72)=$Z117,INDIRECT("'SpxSp (step-c)'!$" &amp; 'SpxSp (step-c)'!$AC$16 &amp; DE$72),"")</f>
        <v/>
      </c>
      <c r="DF117" s="1317" t="str">
        <f ca="1">IF(INDIRECT("'SpxSp (step-c)'!$B" &amp; DF$72)=$Z117,INDIRECT("'SpxSp (step-c)'!$" &amp; 'SpxSp (step-c)'!$AC$16 &amp; DF$72),"")</f>
        <v/>
      </c>
      <c r="DG117" s="1317" t="str">
        <f ca="1">IF(INDIRECT("'SpxSp (step-c)'!$B" &amp; DG$72)=$Z117,INDIRECT("'SpxSp (step-c)'!$" &amp; 'SpxSp (step-c)'!$AC$16 &amp; DG$72),"")</f>
        <v/>
      </c>
      <c r="DH117" s="1317" t="str">
        <f ca="1">IF(INDIRECT("'SpxSp (step-c)'!$B" &amp; DH$72)=$Z117,INDIRECT("'SpxSp (step-c)'!$" &amp; 'SpxSp (step-c)'!$AC$16 &amp; DH$72),"")</f>
        <v/>
      </c>
      <c r="DI117" s="1317" t="str">
        <f ca="1">IF(INDIRECT("'SpxSp (step-c)'!$B" &amp; DI$72)=$Z117,INDIRECT("'SpxSp (step-c)'!$" &amp; 'SpxSp (step-c)'!$AC$16 &amp; DI$72),"")</f>
        <v/>
      </c>
      <c r="DJ117" s="1317" t="str">
        <f ca="1">IF(INDIRECT("'SpxSp (step-c)'!$B" &amp; DJ$72)=$Z117,INDIRECT("'SpxSp (step-c)'!$" &amp; 'SpxSp (step-c)'!$AC$16 &amp; DJ$72),"")</f>
        <v/>
      </c>
      <c r="DK117" s="1317" t="str">
        <f ca="1">IF(INDIRECT("'SpxSp (step-c)'!$B" &amp; DK$72)=$Z117,INDIRECT("'SpxSp (step-c)'!$" &amp; 'SpxSp (step-c)'!$AC$16 &amp; DK$72),"")</f>
        <v/>
      </c>
      <c r="DL117" s="1317" t="str">
        <f ca="1">IF(INDIRECT("'SpxSp (step-c)'!$B" &amp; DL$72)=$Z117,INDIRECT("'SpxSp (step-c)'!$" &amp; 'SpxSp (step-c)'!$AC$16 &amp; DL$72),"")</f>
        <v/>
      </c>
      <c r="DM117" s="1317" t="str">
        <f ca="1">IF(INDIRECT("'SpxSp (step-c)'!$B" &amp; DM$72)=$Z117,INDIRECT("'SpxSp (step-c)'!$" &amp; 'SpxSp (step-c)'!$AC$16 &amp; DM$72),"")</f>
        <v/>
      </c>
      <c r="DO117" s="1246" t="s">
        <v>1200</v>
      </c>
    </row>
    <row r="118" spans="24:119" ht="20" x14ac:dyDescent="0.2">
      <c r="Z118" s="1317" t="str">
        <f t="shared" ref="Z118:AA118" si="86">Z63</f>
        <v/>
      </c>
      <c r="AA118" s="1317" t="str">
        <f t="shared" si="86"/>
        <v/>
      </c>
      <c r="BN118" s="178">
        <v>46</v>
      </c>
      <c r="BO118" s="1316" t="str">
        <f t="shared" ca="1" si="43"/>
        <v/>
      </c>
      <c r="BP118" s="1317" t="str">
        <f ca="1">IF(INDIRECT("'SpxSp (step-c)'!$B" &amp; BP$72)=$Z118,INDIRECT("'SpxSp (step-c)'!$" &amp; 'SpxSp (step-c)'!$AC$16 &amp; BP$72),"")</f>
        <v/>
      </c>
      <c r="BQ118" s="1317" t="str">
        <f ca="1">IF(INDIRECT("'SpxSp (step-c)'!$B" &amp; BQ$72)=$Z118,INDIRECT("'SpxSp (step-c)'!$" &amp; 'SpxSp (step-c)'!$AC$16 &amp; BQ$72),"")</f>
        <v/>
      </c>
      <c r="BR118" s="1317" t="str">
        <f ca="1">IF(INDIRECT("'SpxSp (step-c)'!$B" &amp; BR$72)=$Z118,INDIRECT("'SpxSp (step-c)'!$" &amp; 'SpxSp (step-c)'!$AC$16 &amp; BR$72),"")</f>
        <v/>
      </c>
      <c r="BS118" s="1317" t="str">
        <f ca="1">IF(INDIRECT("'SpxSp (step-c)'!$B" &amp; BS$72)=$Z118,INDIRECT("'SpxSp (step-c)'!$" &amp; 'SpxSp (step-c)'!$AC$16 &amp; BS$72),"")</f>
        <v/>
      </c>
      <c r="BT118" s="1317" t="str">
        <f ca="1">IF(INDIRECT("'SpxSp (step-c)'!$B" &amp; BT$72)=$Z118,INDIRECT("'SpxSp (step-c)'!$" &amp; 'SpxSp (step-c)'!$AC$16 &amp; BT$72),"")</f>
        <v/>
      </c>
      <c r="BU118" s="1317" t="str">
        <f ca="1">IF(INDIRECT("'SpxSp (step-c)'!$B" &amp; BU$72)=$Z118,INDIRECT("'SpxSp (step-c)'!$" &amp; 'SpxSp (step-c)'!$AC$16 &amp; BU$72),"")</f>
        <v/>
      </c>
      <c r="BV118" s="1317" t="str">
        <f ca="1">IF(INDIRECT("'SpxSp (step-c)'!$B" &amp; BV$72)=$Z118,INDIRECT("'SpxSp (step-c)'!$" &amp; 'SpxSp (step-c)'!$AC$16 &amp; BV$72),"")</f>
        <v/>
      </c>
      <c r="BW118" s="1317" t="str">
        <f ca="1">IF(INDIRECT("'SpxSp (step-c)'!$B" &amp; BW$72)=$Z118,INDIRECT("'SpxSp (step-c)'!$" &amp; 'SpxSp (step-c)'!$AC$16 &amp; BW$72),"")</f>
        <v/>
      </c>
      <c r="BX118" s="1317" t="str">
        <f ca="1">IF(INDIRECT("'SpxSp (step-c)'!$B" &amp; BX$72)=$Z118,INDIRECT("'SpxSp (step-c)'!$" &amp; 'SpxSp (step-c)'!$AC$16 &amp; BX$72),"")</f>
        <v/>
      </c>
      <c r="BY118" s="1317" t="str">
        <f ca="1">IF(INDIRECT("'SpxSp (step-c)'!$B" &amp; BY$72)=$Z118,INDIRECT("'SpxSp (step-c)'!$" &amp; 'SpxSp (step-c)'!$AC$16 &amp; BY$72),"")</f>
        <v/>
      </c>
      <c r="BZ118" s="1317" t="str">
        <f ca="1">IF(INDIRECT("'SpxSp (step-c)'!$B" &amp; BZ$72)=$Z118,INDIRECT("'SpxSp (step-c)'!$" &amp; 'SpxSp (step-c)'!$AC$16 &amp; BZ$72),"")</f>
        <v/>
      </c>
      <c r="CA118" s="1317" t="str">
        <f ca="1">IF(INDIRECT("'SpxSp (step-c)'!$B" &amp; CA$72)=$Z118,INDIRECT("'SpxSp (step-c)'!$" &amp; 'SpxSp (step-c)'!$AC$16 &amp; CA$72),"")</f>
        <v/>
      </c>
      <c r="CB118" s="1317" t="str">
        <f ca="1">IF(INDIRECT("'SpxSp (step-c)'!$B" &amp; CB$72)=$Z118,INDIRECT("'SpxSp (step-c)'!$" &amp; 'SpxSp (step-c)'!$AC$16 &amp; CB$72),"")</f>
        <v/>
      </c>
      <c r="CC118" s="1317" t="str">
        <f ca="1">IF(INDIRECT("'SpxSp (step-c)'!$B" &amp; CC$72)=$Z118,INDIRECT("'SpxSp (step-c)'!$" &amp; 'SpxSp (step-c)'!$AC$16 &amp; CC$72),"")</f>
        <v/>
      </c>
      <c r="CD118" s="1317" t="str">
        <f ca="1">IF(INDIRECT("'SpxSp (step-c)'!$B" &amp; CD$72)=$Z118,INDIRECT("'SpxSp (step-c)'!$" &amp; 'SpxSp (step-c)'!$AC$16 &amp; CD$72),"")</f>
        <v/>
      </c>
      <c r="CE118" s="1317" t="str">
        <f ca="1">IF(INDIRECT("'SpxSp (step-c)'!$B" &amp; CE$72)=$Z118,INDIRECT("'SpxSp (step-c)'!$" &amp; 'SpxSp (step-c)'!$AC$16 &amp; CE$72),"")</f>
        <v/>
      </c>
      <c r="CF118" s="1317" t="str">
        <f ca="1">IF(INDIRECT("'SpxSp (step-c)'!$B" &amp; CF$72)=$Z118,INDIRECT("'SpxSp (step-c)'!$" &amp; 'SpxSp (step-c)'!$AC$16 &amp; CF$72),"")</f>
        <v/>
      </c>
      <c r="CG118" s="1317" t="str">
        <f ca="1">IF(INDIRECT("'SpxSp (step-c)'!$B" &amp; CG$72)=$Z118,INDIRECT("'SpxSp (step-c)'!$" &amp; 'SpxSp (step-c)'!$AC$16 &amp; CG$72),"")</f>
        <v/>
      </c>
      <c r="CH118" s="1317" t="str">
        <f ca="1">IF(INDIRECT("'SpxSp (step-c)'!$B" &amp; CH$72)=$Z118,INDIRECT("'SpxSp (step-c)'!$" &amp; 'SpxSp (step-c)'!$AC$16 &amp; CH$72),"")</f>
        <v/>
      </c>
      <c r="CI118" s="1317" t="str">
        <f ca="1">IF(INDIRECT("'SpxSp (step-c)'!$B" &amp; CI$72)=$Z118,INDIRECT("'SpxSp (step-c)'!$" &amp; 'SpxSp (step-c)'!$AC$16 &amp; CI$72),"")</f>
        <v/>
      </c>
      <c r="CJ118" s="1317" t="str">
        <f ca="1">IF(INDIRECT("'SpxSp (step-c)'!$B" &amp; CJ$72)=$Z118,INDIRECT("'SpxSp (step-c)'!$" &amp; 'SpxSp (step-c)'!$AC$16 &amp; CJ$72),"")</f>
        <v/>
      </c>
      <c r="CK118" s="1317" t="str">
        <f ca="1">IF(INDIRECT("'SpxSp (step-c)'!$B" &amp; CK$72)=$Z118,INDIRECT("'SpxSp (step-c)'!$" &amp; 'SpxSp (step-c)'!$AC$16 &amp; CK$72),"")</f>
        <v/>
      </c>
      <c r="CL118" s="1317" t="str">
        <f ca="1">IF(INDIRECT("'SpxSp (step-c)'!$B" &amp; CL$72)=$Z118,INDIRECT("'SpxSp (step-c)'!$" &amp; 'SpxSp (step-c)'!$AC$16 &amp; CL$72),"")</f>
        <v/>
      </c>
      <c r="CM118" s="1317" t="str">
        <f ca="1">IF(INDIRECT("'SpxSp (step-c)'!$B" &amp; CM$72)=$Z118,INDIRECT("'SpxSp (step-c)'!$" &amp; 'SpxSp (step-c)'!$AC$16 &amp; CM$72),"")</f>
        <v/>
      </c>
      <c r="CN118" s="1317" t="str">
        <f ca="1">IF(INDIRECT("'SpxSp (step-c)'!$B" &amp; CN$72)=$Z118,INDIRECT("'SpxSp (step-c)'!$" &amp; 'SpxSp (step-c)'!$AC$16 &amp; CN$72),"")</f>
        <v/>
      </c>
      <c r="CO118" s="1317" t="str">
        <f ca="1">IF(INDIRECT("'SpxSp (step-c)'!$B" &amp; CO$72)=$Z118,INDIRECT("'SpxSp (step-c)'!$" &amp; 'SpxSp (step-c)'!$AC$16 &amp; CO$72),"")</f>
        <v/>
      </c>
      <c r="CP118" s="1317" t="str">
        <f ca="1">IF(INDIRECT("'SpxSp (step-c)'!$B" &amp; CP$72)=$Z118,INDIRECT("'SpxSp (step-c)'!$" &amp; 'SpxSp (step-c)'!$AC$16 &amp; CP$72),"")</f>
        <v/>
      </c>
      <c r="CQ118" s="1317" t="str">
        <f ca="1">IF(INDIRECT("'SpxSp (step-c)'!$B" &amp; CQ$72)=$Z118,INDIRECT("'SpxSp (step-c)'!$" &amp; 'SpxSp (step-c)'!$AC$16 &amp; CQ$72),"")</f>
        <v/>
      </c>
      <c r="CR118" s="1317" t="str">
        <f ca="1">IF(INDIRECT("'SpxSp (step-c)'!$B" &amp; CR$72)=$Z118,INDIRECT("'SpxSp (step-c)'!$" &amp; 'SpxSp (step-c)'!$AC$16 &amp; CR$72),"")</f>
        <v/>
      </c>
      <c r="CS118" s="1317" t="str">
        <f ca="1">IF(INDIRECT("'SpxSp (step-c)'!$B" &amp; CS$72)=$Z118,INDIRECT("'SpxSp (step-c)'!$" &amp; 'SpxSp (step-c)'!$AC$16 &amp; CS$72),"")</f>
        <v/>
      </c>
      <c r="CT118" s="1317" t="str">
        <f ca="1">IF(INDIRECT("'SpxSp (step-c)'!$B" &amp; CT$72)=$Z118,INDIRECT("'SpxSp (step-c)'!$" &amp; 'SpxSp (step-c)'!$AC$16 &amp; CT$72),"")</f>
        <v/>
      </c>
      <c r="CU118" s="1317" t="str">
        <f ca="1">IF(INDIRECT("'SpxSp (step-c)'!$B" &amp; CU$72)=$Z118,INDIRECT("'SpxSp (step-c)'!$" &amp; 'SpxSp (step-c)'!$AC$16 &amp; CU$72),"")</f>
        <v/>
      </c>
      <c r="CV118" s="1317" t="str">
        <f ca="1">IF(INDIRECT("'SpxSp (step-c)'!$B" &amp; CV$72)=$Z118,INDIRECT("'SpxSp (step-c)'!$" &amp; 'SpxSp (step-c)'!$AC$16 &amp; CV$72),"")</f>
        <v/>
      </c>
      <c r="CW118" s="1317" t="str">
        <f ca="1">IF(INDIRECT("'SpxSp (step-c)'!$B" &amp; CW$72)=$Z118,INDIRECT("'SpxSp (step-c)'!$" &amp; 'SpxSp (step-c)'!$AC$16 &amp; CW$72),"")</f>
        <v/>
      </c>
      <c r="CX118" s="1317" t="str">
        <f ca="1">IF(INDIRECT("'SpxSp (step-c)'!$B" &amp; CX$72)=$Z118,INDIRECT("'SpxSp (step-c)'!$" &amp; 'SpxSp (step-c)'!$AC$16 &amp; CX$72),"")</f>
        <v/>
      </c>
      <c r="CY118" s="1317" t="str">
        <f ca="1">IF(INDIRECT("'SpxSp (step-c)'!$B" &amp; CY$72)=$Z118,INDIRECT("'SpxSp (step-c)'!$" &amp; 'SpxSp (step-c)'!$AC$16 &amp; CY$72),"")</f>
        <v/>
      </c>
      <c r="CZ118" s="1317" t="str">
        <f ca="1">IF(INDIRECT("'SpxSp (step-c)'!$B" &amp; CZ$72)=$Z118,INDIRECT("'SpxSp (step-c)'!$" &amp; 'SpxSp (step-c)'!$AC$16 &amp; CZ$72),"")</f>
        <v/>
      </c>
      <c r="DA118" s="1317" t="str">
        <f ca="1">IF(INDIRECT("'SpxSp (step-c)'!$B" &amp; DA$72)=$Z118,INDIRECT("'SpxSp (step-c)'!$" &amp; 'SpxSp (step-c)'!$AC$16 &amp; DA$72),"")</f>
        <v/>
      </c>
      <c r="DB118" s="1317" t="str">
        <f ca="1">IF(INDIRECT("'SpxSp (step-c)'!$B" &amp; DB$72)=$Z118,INDIRECT("'SpxSp (step-c)'!$" &amp; 'SpxSp (step-c)'!$AC$16 &amp; DB$72),"")</f>
        <v/>
      </c>
      <c r="DC118" s="1317" t="str">
        <f ca="1">IF(INDIRECT("'SpxSp (step-c)'!$B" &amp; DC$72)=$Z118,INDIRECT("'SpxSp (step-c)'!$" &amp; 'SpxSp (step-c)'!$AC$16 &amp; DC$72),"")</f>
        <v/>
      </c>
      <c r="DD118" s="1317" t="str">
        <f ca="1">IF(INDIRECT("'SpxSp (step-c)'!$B" &amp; DD$72)=$Z118,INDIRECT("'SpxSp (step-c)'!$" &amp; 'SpxSp (step-c)'!$AC$16 &amp; DD$72),"")</f>
        <v/>
      </c>
      <c r="DE118" s="1317" t="str">
        <f ca="1">IF(INDIRECT("'SpxSp (step-c)'!$B" &amp; DE$72)=$Z118,INDIRECT("'SpxSp (step-c)'!$" &amp; 'SpxSp (step-c)'!$AC$16 &amp; DE$72),"")</f>
        <v/>
      </c>
      <c r="DF118" s="1317" t="str">
        <f ca="1">IF(INDIRECT("'SpxSp (step-c)'!$B" &amp; DF$72)=$Z118,INDIRECT("'SpxSp (step-c)'!$" &amp; 'SpxSp (step-c)'!$AC$16 &amp; DF$72),"")</f>
        <v/>
      </c>
      <c r="DG118" s="1317" t="str">
        <f ca="1">IF(INDIRECT("'SpxSp (step-c)'!$B" &amp; DG$72)=$Z118,INDIRECT("'SpxSp (step-c)'!$" &amp; 'SpxSp (step-c)'!$AC$16 &amp; DG$72),"")</f>
        <v/>
      </c>
      <c r="DH118" s="1317" t="str">
        <f ca="1">IF(INDIRECT("'SpxSp (step-c)'!$B" &amp; DH$72)=$Z118,INDIRECT("'SpxSp (step-c)'!$" &amp; 'SpxSp (step-c)'!$AC$16 &amp; DH$72),"")</f>
        <v/>
      </c>
      <c r="DI118" s="1317" t="str">
        <f ca="1">IF(INDIRECT("'SpxSp (step-c)'!$B" &amp; DI$72)=$Z118,INDIRECT("'SpxSp (step-c)'!$" &amp; 'SpxSp (step-c)'!$AC$16 &amp; DI$72),"")</f>
        <v/>
      </c>
      <c r="DJ118" s="1317" t="str">
        <f ca="1">IF(INDIRECT("'SpxSp (step-c)'!$B" &amp; DJ$72)=$Z118,INDIRECT("'SpxSp (step-c)'!$" &amp; 'SpxSp (step-c)'!$AC$16 &amp; DJ$72),"")</f>
        <v/>
      </c>
      <c r="DK118" s="1317" t="str">
        <f ca="1">IF(INDIRECT("'SpxSp (step-c)'!$B" &amp; DK$72)=$Z118,INDIRECT("'SpxSp (step-c)'!$" &amp; 'SpxSp (step-c)'!$AC$16 &amp; DK$72),"")</f>
        <v/>
      </c>
      <c r="DL118" s="1317" t="str">
        <f ca="1">IF(INDIRECT("'SpxSp (step-c)'!$B" &amp; DL$72)=$Z118,INDIRECT("'SpxSp (step-c)'!$" &amp; 'SpxSp (step-c)'!$AC$16 &amp; DL$72),"")</f>
        <v/>
      </c>
      <c r="DM118" s="1317" t="str">
        <f ca="1">IF(INDIRECT("'SpxSp (step-c)'!$B" &amp; DM$72)=$Z118,INDIRECT("'SpxSp (step-c)'!$" &amp; 'SpxSp (step-c)'!$AC$16 &amp; DM$72),"")</f>
        <v/>
      </c>
      <c r="DO118" s="1246" t="s">
        <v>1200</v>
      </c>
    </row>
    <row r="119" spans="24:119" ht="20" x14ac:dyDescent="0.2">
      <c r="Z119" s="1317" t="str">
        <f t="shared" ref="Z119:AA119" si="87">Z64</f>
        <v/>
      </c>
      <c r="AA119" s="1317" t="str">
        <f t="shared" si="87"/>
        <v/>
      </c>
      <c r="BN119" s="178">
        <v>47</v>
      </c>
      <c r="BO119" s="1316" t="str">
        <f t="shared" ca="1" si="43"/>
        <v/>
      </c>
      <c r="BP119" s="1317" t="str">
        <f ca="1">IF(INDIRECT("'SpxSp (step-c)'!$B" &amp; BP$72)=$Z119,INDIRECT("'SpxSp (step-c)'!$" &amp; 'SpxSp (step-c)'!$AC$16 &amp; BP$72),"")</f>
        <v/>
      </c>
      <c r="BQ119" s="1317" t="str">
        <f ca="1">IF(INDIRECT("'SpxSp (step-c)'!$B" &amp; BQ$72)=$Z119,INDIRECT("'SpxSp (step-c)'!$" &amp; 'SpxSp (step-c)'!$AC$16 &amp; BQ$72),"")</f>
        <v/>
      </c>
      <c r="BR119" s="1317" t="str">
        <f ca="1">IF(INDIRECT("'SpxSp (step-c)'!$B" &amp; BR$72)=$Z119,INDIRECT("'SpxSp (step-c)'!$" &amp; 'SpxSp (step-c)'!$AC$16 &amp; BR$72),"")</f>
        <v/>
      </c>
      <c r="BS119" s="1317" t="str">
        <f ca="1">IF(INDIRECT("'SpxSp (step-c)'!$B" &amp; BS$72)=$Z119,INDIRECT("'SpxSp (step-c)'!$" &amp; 'SpxSp (step-c)'!$AC$16 &amp; BS$72),"")</f>
        <v/>
      </c>
      <c r="BT119" s="1317" t="str">
        <f ca="1">IF(INDIRECT("'SpxSp (step-c)'!$B" &amp; BT$72)=$Z119,INDIRECT("'SpxSp (step-c)'!$" &amp; 'SpxSp (step-c)'!$AC$16 &amp; BT$72),"")</f>
        <v/>
      </c>
      <c r="BU119" s="1317" t="str">
        <f ca="1">IF(INDIRECT("'SpxSp (step-c)'!$B" &amp; BU$72)=$Z119,INDIRECT("'SpxSp (step-c)'!$" &amp; 'SpxSp (step-c)'!$AC$16 &amp; BU$72),"")</f>
        <v/>
      </c>
      <c r="BV119" s="1317" t="str">
        <f ca="1">IF(INDIRECT("'SpxSp (step-c)'!$B" &amp; BV$72)=$Z119,INDIRECT("'SpxSp (step-c)'!$" &amp; 'SpxSp (step-c)'!$AC$16 &amp; BV$72),"")</f>
        <v/>
      </c>
      <c r="BW119" s="1317" t="str">
        <f ca="1">IF(INDIRECT("'SpxSp (step-c)'!$B" &amp; BW$72)=$Z119,INDIRECT("'SpxSp (step-c)'!$" &amp; 'SpxSp (step-c)'!$AC$16 &amp; BW$72),"")</f>
        <v/>
      </c>
      <c r="BX119" s="1317" t="str">
        <f ca="1">IF(INDIRECT("'SpxSp (step-c)'!$B" &amp; BX$72)=$Z119,INDIRECT("'SpxSp (step-c)'!$" &amp; 'SpxSp (step-c)'!$AC$16 &amp; BX$72),"")</f>
        <v/>
      </c>
      <c r="BY119" s="1317" t="str">
        <f ca="1">IF(INDIRECT("'SpxSp (step-c)'!$B" &amp; BY$72)=$Z119,INDIRECT("'SpxSp (step-c)'!$" &amp; 'SpxSp (step-c)'!$AC$16 &amp; BY$72),"")</f>
        <v/>
      </c>
      <c r="BZ119" s="1317" t="str">
        <f ca="1">IF(INDIRECT("'SpxSp (step-c)'!$B" &amp; BZ$72)=$Z119,INDIRECT("'SpxSp (step-c)'!$" &amp; 'SpxSp (step-c)'!$AC$16 &amp; BZ$72),"")</f>
        <v/>
      </c>
      <c r="CA119" s="1317" t="str">
        <f ca="1">IF(INDIRECT("'SpxSp (step-c)'!$B" &amp; CA$72)=$Z119,INDIRECT("'SpxSp (step-c)'!$" &amp; 'SpxSp (step-c)'!$AC$16 &amp; CA$72),"")</f>
        <v/>
      </c>
      <c r="CB119" s="1317" t="str">
        <f ca="1">IF(INDIRECT("'SpxSp (step-c)'!$B" &amp; CB$72)=$Z119,INDIRECT("'SpxSp (step-c)'!$" &amp; 'SpxSp (step-c)'!$AC$16 &amp; CB$72),"")</f>
        <v/>
      </c>
      <c r="CC119" s="1317" t="str">
        <f ca="1">IF(INDIRECT("'SpxSp (step-c)'!$B" &amp; CC$72)=$Z119,INDIRECT("'SpxSp (step-c)'!$" &amp; 'SpxSp (step-c)'!$AC$16 &amp; CC$72),"")</f>
        <v/>
      </c>
      <c r="CD119" s="1317" t="str">
        <f ca="1">IF(INDIRECT("'SpxSp (step-c)'!$B" &amp; CD$72)=$Z119,INDIRECT("'SpxSp (step-c)'!$" &amp; 'SpxSp (step-c)'!$AC$16 &amp; CD$72),"")</f>
        <v/>
      </c>
      <c r="CE119" s="1317" t="str">
        <f ca="1">IF(INDIRECT("'SpxSp (step-c)'!$B" &amp; CE$72)=$Z119,INDIRECT("'SpxSp (step-c)'!$" &amp; 'SpxSp (step-c)'!$AC$16 &amp; CE$72),"")</f>
        <v/>
      </c>
      <c r="CF119" s="1317" t="str">
        <f ca="1">IF(INDIRECT("'SpxSp (step-c)'!$B" &amp; CF$72)=$Z119,INDIRECT("'SpxSp (step-c)'!$" &amp; 'SpxSp (step-c)'!$AC$16 &amp; CF$72),"")</f>
        <v/>
      </c>
      <c r="CG119" s="1317" t="str">
        <f ca="1">IF(INDIRECT("'SpxSp (step-c)'!$B" &amp; CG$72)=$Z119,INDIRECT("'SpxSp (step-c)'!$" &amp; 'SpxSp (step-c)'!$AC$16 &amp; CG$72),"")</f>
        <v/>
      </c>
      <c r="CH119" s="1317" t="str">
        <f ca="1">IF(INDIRECT("'SpxSp (step-c)'!$B" &amp; CH$72)=$Z119,INDIRECT("'SpxSp (step-c)'!$" &amp; 'SpxSp (step-c)'!$AC$16 &amp; CH$72),"")</f>
        <v/>
      </c>
      <c r="CI119" s="1317" t="str">
        <f ca="1">IF(INDIRECT("'SpxSp (step-c)'!$B" &amp; CI$72)=$Z119,INDIRECT("'SpxSp (step-c)'!$" &amp; 'SpxSp (step-c)'!$AC$16 &amp; CI$72),"")</f>
        <v/>
      </c>
      <c r="CJ119" s="1317" t="str">
        <f ca="1">IF(INDIRECT("'SpxSp (step-c)'!$B" &amp; CJ$72)=$Z119,INDIRECT("'SpxSp (step-c)'!$" &amp; 'SpxSp (step-c)'!$AC$16 &amp; CJ$72),"")</f>
        <v/>
      </c>
      <c r="CK119" s="1317" t="str">
        <f ca="1">IF(INDIRECT("'SpxSp (step-c)'!$B" &amp; CK$72)=$Z119,INDIRECT("'SpxSp (step-c)'!$" &amp; 'SpxSp (step-c)'!$AC$16 &amp; CK$72),"")</f>
        <v/>
      </c>
      <c r="CL119" s="1317" t="str">
        <f ca="1">IF(INDIRECT("'SpxSp (step-c)'!$B" &amp; CL$72)=$Z119,INDIRECT("'SpxSp (step-c)'!$" &amp; 'SpxSp (step-c)'!$AC$16 &amp; CL$72),"")</f>
        <v/>
      </c>
      <c r="CM119" s="1317" t="str">
        <f ca="1">IF(INDIRECT("'SpxSp (step-c)'!$B" &amp; CM$72)=$Z119,INDIRECT("'SpxSp (step-c)'!$" &amp; 'SpxSp (step-c)'!$AC$16 &amp; CM$72),"")</f>
        <v/>
      </c>
      <c r="CN119" s="1317" t="str">
        <f ca="1">IF(INDIRECT("'SpxSp (step-c)'!$B" &amp; CN$72)=$Z119,INDIRECT("'SpxSp (step-c)'!$" &amp; 'SpxSp (step-c)'!$AC$16 &amp; CN$72),"")</f>
        <v/>
      </c>
      <c r="CO119" s="1317" t="str">
        <f ca="1">IF(INDIRECT("'SpxSp (step-c)'!$B" &amp; CO$72)=$Z119,INDIRECT("'SpxSp (step-c)'!$" &amp; 'SpxSp (step-c)'!$AC$16 &amp; CO$72),"")</f>
        <v/>
      </c>
      <c r="CP119" s="1317" t="str">
        <f ca="1">IF(INDIRECT("'SpxSp (step-c)'!$B" &amp; CP$72)=$Z119,INDIRECT("'SpxSp (step-c)'!$" &amp; 'SpxSp (step-c)'!$AC$16 &amp; CP$72),"")</f>
        <v/>
      </c>
      <c r="CQ119" s="1317" t="str">
        <f ca="1">IF(INDIRECT("'SpxSp (step-c)'!$B" &amp; CQ$72)=$Z119,INDIRECT("'SpxSp (step-c)'!$" &amp; 'SpxSp (step-c)'!$AC$16 &amp; CQ$72),"")</f>
        <v/>
      </c>
      <c r="CR119" s="1317" t="str">
        <f ca="1">IF(INDIRECT("'SpxSp (step-c)'!$B" &amp; CR$72)=$Z119,INDIRECT("'SpxSp (step-c)'!$" &amp; 'SpxSp (step-c)'!$AC$16 &amp; CR$72),"")</f>
        <v/>
      </c>
      <c r="CS119" s="1317" t="str">
        <f ca="1">IF(INDIRECT("'SpxSp (step-c)'!$B" &amp; CS$72)=$Z119,INDIRECT("'SpxSp (step-c)'!$" &amp; 'SpxSp (step-c)'!$AC$16 &amp; CS$72),"")</f>
        <v/>
      </c>
      <c r="CT119" s="1317" t="str">
        <f ca="1">IF(INDIRECT("'SpxSp (step-c)'!$B" &amp; CT$72)=$Z119,INDIRECT("'SpxSp (step-c)'!$" &amp; 'SpxSp (step-c)'!$AC$16 &amp; CT$72),"")</f>
        <v/>
      </c>
      <c r="CU119" s="1317" t="str">
        <f ca="1">IF(INDIRECT("'SpxSp (step-c)'!$B" &amp; CU$72)=$Z119,INDIRECT("'SpxSp (step-c)'!$" &amp; 'SpxSp (step-c)'!$AC$16 &amp; CU$72),"")</f>
        <v/>
      </c>
      <c r="CV119" s="1317" t="str">
        <f ca="1">IF(INDIRECT("'SpxSp (step-c)'!$B" &amp; CV$72)=$Z119,INDIRECT("'SpxSp (step-c)'!$" &amp; 'SpxSp (step-c)'!$AC$16 &amp; CV$72),"")</f>
        <v/>
      </c>
      <c r="CW119" s="1317" t="str">
        <f ca="1">IF(INDIRECT("'SpxSp (step-c)'!$B" &amp; CW$72)=$Z119,INDIRECT("'SpxSp (step-c)'!$" &amp; 'SpxSp (step-c)'!$AC$16 &amp; CW$72),"")</f>
        <v/>
      </c>
      <c r="CX119" s="1317" t="str">
        <f ca="1">IF(INDIRECT("'SpxSp (step-c)'!$B" &amp; CX$72)=$Z119,INDIRECT("'SpxSp (step-c)'!$" &amp; 'SpxSp (step-c)'!$AC$16 &amp; CX$72),"")</f>
        <v/>
      </c>
      <c r="CY119" s="1317" t="str">
        <f ca="1">IF(INDIRECT("'SpxSp (step-c)'!$B" &amp; CY$72)=$Z119,INDIRECT("'SpxSp (step-c)'!$" &amp; 'SpxSp (step-c)'!$AC$16 &amp; CY$72),"")</f>
        <v/>
      </c>
      <c r="CZ119" s="1317" t="str">
        <f ca="1">IF(INDIRECT("'SpxSp (step-c)'!$B" &amp; CZ$72)=$Z119,INDIRECT("'SpxSp (step-c)'!$" &amp; 'SpxSp (step-c)'!$AC$16 &amp; CZ$72),"")</f>
        <v/>
      </c>
      <c r="DA119" s="1317" t="str">
        <f ca="1">IF(INDIRECT("'SpxSp (step-c)'!$B" &amp; DA$72)=$Z119,INDIRECT("'SpxSp (step-c)'!$" &amp; 'SpxSp (step-c)'!$AC$16 &amp; DA$72),"")</f>
        <v/>
      </c>
      <c r="DB119" s="1317" t="str">
        <f ca="1">IF(INDIRECT("'SpxSp (step-c)'!$B" &amp; DB$72)=$Z119,INDIRECT("'SpxSp (step-c)'!$" &amp; 'SpxSp (step-c)'!$AC$16 &amp; DB$72),"")</f>
        <v/>
      </c>
      <c r="DC119" s="1317" t="str">
        <f ca="1">IF(INDIRECT("'SpxSp (step-c)'!$B" &amp; DC$72)=$Z119,INDIRECT("'SpxSp (step-c)'!$" &amp; 'SpxSp (step-c)'!$AC$16 &amp; DC$72),"")</f>
        <v/>
      </c>
      <c r="DD119" s="1317" t="str">
        <f ca="1">IF(INDIRECT("'SpxSp (step-c)'!$B" &amp; DD$72)=$Z119,INDIRECT("'SpxSp (step-c)'!$" &amp; 'SpxSp (step-c)'!$AC$16 &amp; DD$72),"")</f>
        <v/>
      </c>
      <c r="DE119" s="1317" t="str">
        <f ca="1">IF(INDIRECT("'SpxSp (step-c)'!$B" &amp; DE$72)=$Z119,INDIRECT("'SpxSp (step-c)'!$" &amp; 'SpxSp (step-c)'!$AC$16 &amp; DE$72),"")</f>
        <v/>
      </c>
      <c r="DF119" s="1317" t="str">
        <f ca="1">IF(INDIRECT("'SpxSp (step-c)'!$B" &amp; DF$72)=$Z119,INDIRECT("'SpxSp (step-c)'!$" &amp; 'SpxSp (step-c)'!$AC$16 &amp; DF$72),"")</f>
        <v/>
      </c>
      <c r="DG119" s="1317" t="str">
        <f ca="1">IF(INDIRECT("'SpxSp (step-c)'!$B" &amp; DG$72)=$Z119,INDIRECT("'SpxSp (step-c)'!$" &amp; 'SpxSp (step-c)'!$AC$16 &amp; DG$72),"")</f>
        <v/>
      </c>
      <c r="DH119" s="1317" t="str">
        <f ca="1">IF(INDIRECT("'SpxSp (step-c)'!$B" &amp; DH$72)=$Z119,INDIRECT("'SpxSp (step-c)'!$" &amp; 'SpxSp (step-c)'!$AC$16 &amp; DH$72),"")</f>
        <v/>
      </c>
      <c r="DI119" s="1317" t="str">
        <f ca="1">IF(INDIRECT("'SpxSp (step-c)'!$B" &amp; DI$72)=$Z119,INDIRECT("'SpxSp (step-c)'!$" &amp; 'SpxSp (step-c)'!$AC$16 &amp; DI$72),"")</f>
        <v/>
      </c>
      <c r="DJ119" s="1317" t="str">
        <f ca="1">IF(INDIRECT("'SpxSp (step-c)'!$B" &amp; DJ$72)=$Z119,INDIRECT("'SpxSp (step-c)'!$" &amp; 'SpxSp (step-c)'!$AC$16 &amp; DJ$72),"")</f>
        <v/>
      </c>
      <c r="DK119" s="1317" t="str">
        <f ca="1">IF(INDIRECT("'SpxSp (step-c)'!$B" &amp; DK$72)=$Z119,INDIRECT("'SpxSp (step-c)'!$" &amp; 'SpxSp (step-c)'!$AC$16 &amp; DK$72),"")</f>
        <v/>
      </c>
      <c r="DL119" s="1317" t="str">
        <f ca="1">IF(INDIRECT("'SpxSp (step-c)'!$B" &amp; DL$72)=$Z119,INDIRECT("'SpxSp (step-c)'!$" &amp; 'SpxSp (step-c)'!$AC$16 &amp; DL$72),"")</f>
        <v/>
      </c>
      <c r="DM119" s="1317" t="str">
        <f ca="1">IF(INDIRECT("'SpxSp (step-c)'!$B" &amp; DM$72)=$Z119,INDIRECT("'SpxSp (step-c)'!$" &amp; 'SpxSp (step-c)'!$AC$16 &amp; DM$72),"")</f>
        <v/>
      </c>
      <c r="DO119" s="1246" t="s">
        <v>1200</v>
      </c>
    </row>
    <row r="120" spans="24:119" ht="20" x14ac:dyDescent="0.2">
      <c r="Z120" s="1317" t="str">
        <f t="shared" ref="Z120:AA120" si="88">Z65</f>
        <v/>
      </c>
      <c r="AA120" s="1317" t="str">
        <f t="shared" si="88"/>
        <v/>
      </c>
      <c r="BN120" s="178">
        <v>48</v>
      </c>
      <c r="BO120" s="1316" t="str">
        <f t="shared" ca="1" si="43"/>
        <v/>
      </c>
      <c r="BP120" s="1317" t="str">
        <f ca="1">IF(INDIRECT("'SpxSp (step-c)'!$B" &amp; BP$72)=$Z120,INDIRECT("'SpxSp (step-c)'!$" &amp; 'SpxSp (step-c)'!$AC$16 &amp; BP$72),"")</f>
        <v/>
      </c>
      <c r="BQ120" s="1317" t="str">
        <f ca="1">IF(INDIRECT("'SpxSp (step-c)'!$B" &amp; BQ$72)=$Z120,INDIRECT("'SpxSp (step-c)'!$" &amp; 'SpxSp (step-c)'!$AC$16 &amp; BQ$72),"")</f>
        <v/>
      </c>
      <c r="BR120" s="1317" t="str">
        <f ca="1">IF(INDIRECT("'SpxSp (step-c)'!$B" &amp; BR$72)=$Z120,INDIRECT("'SpxSp (step-c)'!$" &amp; 'SpxSp (step-c)'!$AC$16 &amp; BR$72),"")</f>
        <v/>
      </c>
      <c r="BS120" s="1317" t="str">
        <f ca="1">IF(INDIRECT("'SpxSp (step-c)'!$B" &amp; BS$72)=$Z120,INDIRECT("'SpxSp (step-c)'!$" &amp; 'SpxSp (step-c)'!$AC$16 &amp; BS$72),"")</f>
        <v/>
      </c>
      <c r="BT120" s="1317" t="str">
        <f ca="1">IF(INDIRECT("'SpxSp (step-c)'!$B" &amp; BT$72)=$Z120,INDIRECT("'SpxSp (step-c)'!$" &amp; 'SpxSp (step-c)'!$AC$16 &amp; BT$72),"")</f>
        <v/>
      </c>
      <c r="BU120" s="1317" t="str">
        <f ca="1">IF(INDIRECT("'SpxSp (step-c)'!$B" &amp; BU$72)=$Z120,INDIRECT("'SpxSp (step-c)'!$" &amp; 'SpxSp (step-c)'!$AC$16 &amp; BU$72),"")</f>
        <v/>
      </c>
      <c r="BV120" s="1317" t="str">
        <f ca="1">IF(INDIRECT("'SpxSp (step-c)'!$B" &amp; BV$72)=$Z120,INDIRECT("'SpxSp (step-c)'!$" &amp; 'SpxSp (step-c)'!$AC$16 &amp; BV$72),"")</f>
        <v/>
      </c>
      <c r="BW120" s="1317" t="str">
        <f ca="1">IF(INDIRECT("'SpxSp (step-c)'!$B" &amp; BW$72)=$Z120,INDIRECT("'SpxSp (step-c)'!$" &amp; 'SpxSp (step-c)'!$AC$16 &amp; BW$72),"")</f>
        <v/>
      </c>
      <c r="BX120" s="1317" t="str">
        <f ca="1">IF(INDIRECT("'SpxSp (step-c)'!$B" &amp; BX$72)=$Z120,INDIRECT("'SpxSp (step-c)'!$" &amp; 'SpxSp (step-c)'!$AC$16 &amp; BX$72),"")</f>
        <v/>
      </c>
      <c r="BY120" s="1317" t="str">
        <f ca="1">IF(INDIRECT("'SpxSp (step-c)'!$B" &amp; BY$72)=$Z120,INDIRECT("'SpxSp (step-c)'!$" &amp; 'SpxSp (step-c)'!$AC$16 &amp; BY$72),"")</f>
        <v/>
      </c>
      <c r="BZ120" s="1317" t="str">
        <f ca="1">IF(INDIRECT("'SpxSp (step-c)'!$B" &amp; BZ$72)=$Z120,INDIRECT("'SpxSp (step-c)'!$" &amp; 'SpxSp (step-c)'!$AC$16 &amp; BZ$72),"")</f>
        <v/>
      </c>
      <c r="CA120" s="1317" t="str">
        <f ca="1">IF(INDIRECT("'SpxSp (step-c)'!$B" &amp; CA$72)=$Z120,INDIRECT("'SpxSp (step-c)'!$" &amp; 'SpxSp (step-c)'!$AC$16 &amp; CA$72),"")</f>
        <v/>
      </c>
      <c r="CB120" s="1317" t="str">
        <f ca="1">IF(INDIRECT("'SpxSp (step-c)'!$B" &amp; CB$72)=$Z120,INDIRECT("'SpxSp (step-c)'!$" &amp; 'SpxSp (step-c)'!$AC$16 &amp; CB$72),"")</f>
        <v/>
      </c>
      <c r="CC120" s="1317" t="str">
        <f ca="1">IF(INDIRECT("'SpxSp (step-c)'!$B" &amp; CC$72)=$Z120,INDIRECT("'SpxSp (step-c)'!$" &amp; 'SpxSp (step-c)'!$AC$16 &amp; CC$72),"")</f>
        <v/>
      </c>
      <c r="CD120" s="1317" t="str">
        <f ca="1">IF(INDIRECT("'SpxSp (step-c)'!$B" &amp; CD$72)=$Z120,INDIRECT("'SpxSp (step-c)'!$" &amp; 'SpxSp (step-c)'!$AC$16 &amp; CD$72),"")</f>
        <v/>
      </c>
      <c r="CE120" s="1317" t="str">
        <f ca="1">IF(INDIRECT("'SpxSp (step-c)'!$B" &amp; CE$72)=$Z120,INDIRECT("'SpxSp (step-c)'!$" &amp; 'SpxSp (step-c)'!$AC$16 &amp; CE$72),"")</f>
        <v/>
      </c>
      <c r="CF120" s="1317" t="str">
        <f ca="1">IF(INDIRECT("'SpxSp (step-c)'!$B" &amp; CF$72)=$Z120,INDIRECT("'SpxSp (step-c)'!$" &amp; 'SpxSp (step-c)'!$AC$16 &amp; CF$72),"")</f>
        <v/>
      </c>
      <c r="CG120" s="1317" t="str">
        <f ca="1">IF(INDIRECT("'SpxSp (step-c)'!$B" &amp; CG$72)=$Z120,INDIRECT("'SpxSp (step-c)'!$" &amp; 'SpxSp (step-c)'!$AC$16 &amp; CG$72),"")</f>
        <v/>
      </c>
      <c r="CH120" s="1317" t="str">
        <f ca="1">IF(INDIRECT("'SpxSp (step-c)'!$B" &amp; CH$72)=$Z120,INDIRECT("'SpxSp (step-c)'!$" &amp; 'SpxSp (step-c)'!$AC$16 &amp; CH$72),"")</f>
        <v/>
      </c>
      <c r="CI120" s="1317" t="str">
        <f ca="1">IF(INDIRECT("'SpxSp (step-c)'!$B" &amp; CI$72)=$Z120,INDIRECT("'SpxSp (step-c)'!$" &amp; 'SpxSp (step-c)'!$AC$16 &amp; CI$72),"")</f>
        <v/>
      </c>
      <c r="CJ120" s="1317" t="str">
        <f ca="1">IF(INDIRECT("'SpxSp (step-c)'!$B" &amp; CJ$72)=$Z120,INDIRECT("'SpxSp (step-c)'!$" &amp; 'SpxSp (step-c)'!$AC$16 &amp; CJ$72),"")</f>
        <v/>
      </c>
      <c r="CK120" s="1317" t="str">
        <f ca="1">IF(INDIRECT("'SpxSp (step-c)'!$B" &amp; CK$72)=$Z120,INDIRECT("'SpxSp (step-c)'!$" &amp; 'SpxSp (step-c)'!$AC$16 &amp; CK$72),"")</f>
        <v/>
      </c>
      <c r="CL120" s="1317" t="str">
        <f ca="1">IF(INDIRECT("'SpxSp (step-c)'!$B" &amp; CL$72)=$Z120,INDIRECT("'SpxSp (step-c)'!$" &amp; 'SpxSp (step-c)'!$AC$16 &amp; CL$72),"")</f>
        <v/>
      </c>
      <c r="CM120" s="1317" t="str">
        <f ca="1">IF(INDIRECT("'SpxSp (step-c)'!$B" &amp; CM$72)=$Z120,INDIRECT("'SpxSp (step-c)'!$" &amp; 'SpxSp (step-c)'!$AC$16 &amp; CM$72),"")</f>
        <v/>
      </c>
      <c r="CN120" s="1317" t="str">
        <f ca="1">IF(INDIRECT("'SpxSp (step-c)'!$B" &amp; CN$72)=$Z120,INDIRECT("'SpxSp (step-c)'!$" &amp; 'SpxSp (step-c)'!$AC$16 &amp; CN$72),"")</f>
        <v/>
      </c>
      <c r="CO120" s="1317" t="str">
        <f ca="1">IF(INDIRECT("'SpxSp (step-c)'!$B" &amp; CO$72)=$Z120,INDIRECT("'SpxSp (step-c)'!$" &amp; 'SpxSp (step-c)'!$AC$16 &amp; CO$72),"")</f>
        <v/>
      </c>
      <c r="CP120" s="1317" t="str">
        <f ca="1">IF(INDIRECT("'SpxSp (step-c)'!$B" &amp; CP$72)=$Z120,INDIRECT("'SpxSp (step-c)'!$" &amp; 'SpxSp (step-c)'!$AC$16 &amp; CP$72),"")</f>
        <v/>
      </c>
      <c r="CQ120" s="1317" t="str">
        <f ca="1">IF(INDIRECT("'SpxSp (step-c)'!$B" &amp; CQ$72)=$Z120,INDIRECT("'SpxSp (step-c)'!$" &amp; 'SpxSp (step-c)'!$AC$16 &amp; CQ$72),"")</f>
        <v/>
      </c>
      <c r="CR120" s="1317" t="str">
        <f ca="1">IF(INDIRECT("'SpxSp (step-c)'!$B" &amp; CR$72)=$Z120,INDIRECT("'SpxSp (step-c)'!$" &amp; 'SpxSp (step-c)'!$AC$16 &amp; CR$72),"")</f>
        <v/>
      </c>
      <c r="CS120" s="1317" t="str">
        <f ca="1">IF(INDIRECT("'SpxSp (step-c)'!$B" &amp; CS$72)=$Z120,INDIRECT("'SpxSp (step-c)'!$" &amp; 'SpxSp (step-c)'!$AC$16 &amp; CS$72),"")</f>
        <v/>
      </c>
      <c r="CT120" s="1317" t="str">
        <f ca="1">IF(INDIRECT("'SpxSp (step-c)'!$B" &amp; CT$72)=$Z120,INDIRECT("'SpxSp (step-c)'!$" &amp; 'SpxSp (step-c)'!$AC$16 &amp; CT$72),"")</f>
        <v/>
      </c>
      <c r="CU120" s="1317" t="str">
        <f ca="1">IF(INDIRECT("'SpxSp (step-c)'!$B" &amp; CU$72)=$Z120,INDIRECT("'SpxSp (step-c)'!$" &amp; 'SpxSp (step-c)'!$AC$16 &amp; CU$72),"")</f>
        <v/>
      </c>
      <c r="CV120" s="1317" t="str">
        <f ca="1">IF(INDIRECT("'SpxSp (step-c)'!$B" &amp; CV$72)=$Z120,INDIRECT("'SpxSp (step-c)'!$" &amp; 'SpxSp (step-c)'!$AC$16 &amp; CV$72),"")</f>
        <v/>
      </c>
      <c r="CW120" s="1317" t="str">
        <f ca="1">IF(INDIRECT("'SpxSp (step-c)'!$B" &amp; CW$72)=$Z120,INDIRECT("'SpxSp (step-c)'!$" &amp; 'SpxSp (step-c)'!$AC$16 &amp; CW$72),"")</f>
        <v/>
      </c>
      <c r="CX120" s="1317" t="str">
        <f ca="1">IF(INDIRECT("'SpxSp (step-c)'!$B" &amp; CX$72)=$Z120,INDIRECT("'SpxSp (step-c)'!$" &amp; 'SpxSp (step-c)'!$AC$16 &amp; CX$72),"")</f>
        <v/>
      </c>
      <c r="CY120" s="1317" t="str">
        <f ca="1">IF(INDIRECT("'SpxSp (step-c)'!$B" &amp; CY$72)=$Z120,INDIRECT("'SpxSp (step-c)'!$" &amp; 'SpxSp (step-c)'!$AC$16 &amp; CY$72),"")</f>
        <v/>
      </c>
      <c r="CZ120" s="1317" t="str">
        <f ca="1">IF(INDIRECT("'SpxSp (step-c)'!$B" &amp; CZ$72)=$Z120,INDIRECT("'SpxSp (step-c)'!$" &amp; 'SpxSp (step-c)'!$AC$16 &amp; CZ$72),"")</f>
        <v/>
      </c>
      <c r="DA120" s="1317" t="str">
        <f ca="1">IF(INDIRECT("'SpxSp (step-c)'!$B" &amp; DA$72)=$Z120,INDIRECT("'SpxSp (step-c)'!$" &amp; 'SpxSp (step-c)'!$AC$16 &amp; DA$72),"")</f>
        <v/>
      </c>
      <c r="DB120" s="1317" t="str">
        <f ca="1">IF(INDIRECT("'SpxSp (step-c)'!$B" &amp; DB$72)=$Z120,INDIRECT("'SpxSp (step-c)'!$" &amp; 'SpxSp (step-c)'!$AC$16 &amp; DB$72),"")</f>
        <v/>
      </c>
      <c r="DC120" s="1317" t="str">
        <f ca="1">IF(INDIRECT("'SpxSp (step-c)'!$B" &amp; DC$72)=$Z120,INDIRECT("'SpxSp (step-c)'!$" &amp; 'SpxSp (step-c)'!$AC$16 &amp; DC$72),"")</f>
        <v/>
      </c>
      <c r="DD120" s="1317" t="str">
        <f ca="1">IF(INDIRECT("'SpxSp (step-c)'!$B" &amp; DD$72)=$Z120,INDIRECT("'SpxSp (step-c)'!$" &amp; 'SpxSp (step-c)'!$AC$16 &amp; DD$72),"")</f>
        <v/>
      </c>
      <c r="DE120" s="1317" t="str">
        <f ca="1">IF(INDIRECT("'SpxSp (step-c)'!$B" &amp; DE$72)=$Z120,INDIRECT("'SpxSp (step-c)'!$" &amp; 'SpxSp (step-c)'!$AC$16 &amp; DE$72),"")</f>
        <v/>
      </c>
      <c r="DF120" s="1317" t="str">
        <f ca="1">IF(INDIRECT("'SpxSp (step-c)'!$B" &amp; DF$72)=$Z120,INDIRECT("'SpxSp (step-c)'!$" &amp; 'SpxSp (step-c)'!$AC$16 &amp; DF$72),"")</f>
        <v/>
      </c>
      <c r="DG120" s="1317" t="str">
        <f ca="1">IF(INDIRECT("'SpxSp (step-c)'!$B" &amp; DG$72)=$Z120,INDIRECT("'SpxSp (step-c)'!$" &amp; 'SpxSp (step-c)'!$AC$16 &amp; DG$72),"")</f>
        <v/>
      </c>
      <c r="DH120" s="1317" t="str">
        <f ca="1">IF(INDIRECT("'SpxSp (step-c)'!$B" &amp; DH$72)=$Z120,INDIRECT("'SpxSp (step-c)'!$" &amp; 'SpxSp (step-c)'!$AC$16 &amp; DH$72),"")</f>
        <v/>
      </c>
      <c r="DI120" s="1317" t="str">
        <f ca="1">IF(INDIRECT("'SpxSp (step-c)'!$B" &amp; DI$72)=$Z120,INDIRECT("'SpxSp (step-c)'!$" &amp; 'SpxSp (step-c)'!$AC$16 &amp; DI$72),"")</f>
        <v/>
      </c>
      <c r="DJ120" s="1317" t="str">
        <f ca="1">IF(INDIRECT("'SpxSp (step-c)'!$B" &amp; DJ$72)=$Z120,INDIRECT("'SpxSp (step-c)'!$" &amp; 'SpxSp (step-c)'!$AC$16 &amp; DJ$72),"")</f>
        <v/>
      </c>
      <c r="DK120" s="1317" t="str">
        <f ca="1">IF(INDIRECT("'SpxSp (step-c)'!$B" &amp; DK$72)=$Z120,INDIRECT("'SpxSp (step-c)'!$" &amp; 'SpxSp (step-c)'!$AC$16 &amp; DK$72),"")</f>
        <v/>
      </c>
      <c r="DL120" s="1317" t="str">
        <f ca="1">IF(INDIRECT("'SpxSp (step-c)'!$B" &amp; DL$72)=$Z120,INDIRECT("'SpxSp (step-c)'!$" &amp; 'SpxSp (step-c)'!$AC$16 &amp; DL$72),"")</f>
        <v/>
      </c>
      <c r="DM120" s="1317" t="str">
        <f ca="1">IF(INDIRECT("'SpxSp (step-c)'!$B" &amp; DM$72)=$Z120,INDIRECT("'SpxSp (step-c)'!$" &amp; 'SpxSp (step-c)'!$AC$16 &amp; DM$72),"")</f>
        <v/>
      </c>
      <c r="DO120" s="1246" t="s">
        <v>1200</v>
      </c>
    </row>
    <row r="121" spans="24:119" ht="20" x14ac:dyDescent="0.2">
      <c r="Z121" s="1317" t="str">
        <f t="shared" ref="Z121:AA121" si="89">Z66</f>
        <v/>
      </c>
      <c r="AA121" s="1317" t="str">
        <f t="shared" si="89"/>
        <v/>
      </c>
      <c r="BN121" s="178">
        <v>49</v>
      </c>
      <c r="BO121" s="1316" t="str">
        <f t="shared" ca="1" si="43"/>
        <v/>
      </c>
      <c r="BP121" s="1317" t="str">
        <f ca="1">IF(INDIRECT("'SpxSp (step-c)'!$B" &amp; BP$72)=$Z121,INDIRECT("'SpxSp (step-c)'!$" &amp; 'SpxSp (step-c)'!$AC$16 &amp; BP$72),"")</f>
        <v/>
      </c>
      <c r="BQ121" s="1317" t="str">
        <f ca="1">IF(INDIRECT("'SpxSp (step-c)'!$B" &amp; BQ$72)=$Z121,INDIRECT("'SpxSp (step-c)'!$" &amp; 'SpxSp (step-c)'!$AC$16 &amp; BQ$72),"")</f>
        <v/>
      </c>
      <c r="BR121" s="1317" t="str">
        <f ca="1">IF(INDIRECT("'SpxSp (step-c)'!$B" &amp; BR$72)=$Z121,INDIRECT("'SpxSp (step-c)'!$" &amp; 'SpxSp (step-c)'!$AC$16 &amp; BR$72),"")</f>
        <v/>
      </c>
      <c r="BS121" s="1317" t="str">
        <f ca="1">IF(INDIRECT("'SpxSp (step-c)'!$B" &amp; BS$72)=$Z121,INDIRECT("'SpxSp (step-c)'!$" &amp; 'SpxSp (step-c)'!$AC$16 &amp; BS$72),"")</f>
        <v/>
      </c>
      <c r="BT121" s="1317" t="str">
        <f ca="1">IF(INDIRECT("'SpxSp (step-c)'!$B" &amp; BT$72)=$Z121,INDIRECT("'SpxSp (step-c)'!$" &amp; 'SpxSp (step-c)'!$AC$16 &amp; BT$72),"")</f>
        <v/>
      </c>
      <c r="BU121" s="1317" t="str">
        <f ca="1">IF(INDIRECT("'SpxSp (step-c)'!$B" &amp; BU$72)=$Z121,INDIRECT("'SpxSp (step-c)'!$" &amp; 'SpxSp (step-c)'!$AC$16 &amp; BU$72),"")</f>
        <v/>
      </c>
      <c r="BV121" s="1317" t="str">
        <f ca="1">IF(INDIRECT("'SpxSp (step-c)'!$B" &amp; BV$72)=$Z121,INDIRECT("'SpxSp (step-c)'!$" &amp; 'SpxSp (step-c)'!$AC$16 &amp; BV$72),"")</f>
        <v/>
      </c>
      <c r="BW121" s="1317" t="str">
        <f ca="1">IF(INDIRECT("'SpxSp (step-c)'!$B" &amp; BW$72)=$Z121,INDIRECT("'SpxSp (step-c)'!$" &amp; 'SpxSp (step-c)'!$AC$16 &amp; BW$72),"")</f>
        <v/>
      </c>
      <c r="BX121" s="1317" t="str">
        <f ca="1">IF(INDIRECT("'SpxSp (step-c)'!$B" &amp; BX$72)=$Z121,INDIRECT("'SpxSp (step-c)'!$" &amp; 'SpxSp (step-c)'!$AC$16 &amp; BX$72),"")</f>
        <v/>
      </c>
      <c r="BY121" s="1317" t="str">
        <f ca="1">IF(INDIRECT("'SpxSp (step-c)'!$B" &amp; BY$72)=$Z121,INDIRECT("'SpxSp (step-c)'!$" &amp; 'SpxSp (step-c)'!$AC$16 &amp; BY$72),"")</f>
        <v/>
      </c>
      <c r="BZ121" s="1317" t="str">
        <f ca="1">IF(INDIRECT("'SpxSp (step-c)'!$B" &amp; BZ$72)=$Z121,INDIRECT("'SpxSp (step-c)'!$" &amp; 'SpxSp (step-c)'!$AC$16 &amp; BZ$72),"")</f>
        <v/>
      </c>
      <c r="CA121" s="1317" t="str">
        <f ca="1">IF(INDIRECT("'SpxSp (step-c)'!$B" &amp; CA$72)=$Z121,INDIRECT("'SpxSp (step-c)'!$" &amp; 'SpxSp (step-c)'!$AC$16 &amp; CA$72),"")</f>
        <v/>
      </c>
      <c r="CB121" s="1317" t="str">
        <f ca="1">IF(INDIRECT("'SpxSp (step-c)'!$B" &amp; CB$72)=$Z121,INDIRECT("'SpxSp (step-c)'!$" &amp; 'SpxSp (step-c)'!$AC$16 &amp; CB$72),"")</f>
        <v/>
      </c>
      <c r="CC121" s="1317" t="str">
        <f ca="1">IF(INDIRECT("'SpxSp (step-c)'!$B" &amp; CC$72)=$Z121,INDIRECT("'SpxSp (step-c)'!$" &amp; 'SpxSp (step-c)'!$AC$16 &amp; CC$72),"")</f>
        <v/>
      </c>
      <c r="CD121" s="1317" t="str">
        <f ca="1">IF(INDIRECT("'SpxSp (step-c)'!$B" &amp; CD$72)=$Z121,INDIRECT("'SpxSp (step-c)'!$" &amp; 'SpxSp (step-c)'!$AC$16 &amp; CD$72),"")</f>
        <v/>
      </c>
      <c r="CE121" s="1317" t="str">
        <f ca="1">IF(INDIRECT("'SpxSp (step-c)'!$B" &amp; CE$72)=$Z121,INDIRECT("'SpxSp (step-c)'!$" &amp; 'SpxSp (step-c)'!$AC$16 &amp; CE$72),"")</f>
        <v/>
      </c>
      <c r="CF121" s="1317" t="str">
        <f ca="1">IF(INDIRECT("'SpxSp (step-c)'!$B" &amp; CF$72)=$Z121,INDIRECT("'SpxSp (step-c)'!$" &amp; 'SpxSp (step-c)'!$AC$16 &amp; CF$72),"")</f>
        <v/>
      </c>
      <c r="CG121" s="1317" t="str">
        <f ca="1">IF(INDIRECT("'SpxSp (step-c)'!$B" &amp; CG$72)=$Z121,INDIRECT("'SpxSp (step-c)'!$" &amp; 'SpxSp (step-c)'!$AC$16 &amp; CG$72),"")</f>
        <v/>
      </c>
      <c r="CH121" s="1317" t="str">
        <f ca="1">IF(INDIRECT("'SpxSp (step-c)'!$B" &amp; CH$72)=$Z121,INDIRECT("'SpxSp (step-c)'!$" &amp; 'SpxSp (step-c)'!$AC$16 &amp; CH$72),"")</f>
        <v/>
      </c>
      <c r="CI121" s="1317" t="str">
        <f ca="1">IF(INDIRECT("'SpxSp (step-c)'!$B" &amp; CI$72)=$Z121,INDIRECT("'SpxSp (step-c)'!$" &amp; 'SpxSp (step-c)'!$AC$16 &amp; CI$72),"")</f>
        <v/>
      </c>
      <c r="CJ121" s="1317" t="str">
        <f ca="1">IF(INDIRECT("'SpxSp (step-c)'!$B" &amp; CJ$72)=$Z121,INDIRECT("'SpxSp (step-c)'!$" &amp; 'SpxSp (step-c)'!$AC$16 &amp; CJ$72),"")</f>
        <v/>
      </c>
      <c r="CK121" s="1317" t="str">
        <f ca="1">IF(INDIRECT("'SpxSp (step-c)'!$B" &amp; CK$72)=$Z121,INDIRECT("'SpxSp (step-c)'!$" &amp; 'SpxSp (step-c)'!$AC$16 &amp; CK$72),"")</f>
        <v/>
      </c>
      <c r="CL121" s="1317" t="str">
        <f ca="1">IF(INDIRECT("'SpxSp (step-c)'!$B" &amp; CL$72)=$Z121,INDIRECT("'SpxSp (step-c)'!$" &amp; 'SpxSp (step-c)'!$AC$16 &amp; CL$72),"")</f>
        <v/>
      </c>
      <c r="CM121" s="1317" t="str">
        <f ca="1">IF(INDIRECT("'SpxSp (step-c)'!$B" &amp; CM$72)=$Z121,INDIRECT("'SpxSp (step-c)'!$" &amp; 'SpxSp (step-c)'!$AC$16 &amp; CM$72),"")</f>
        <v/>
      </c>
      <c r="CN121" s="1317" t="str">
        <f ca="1">IF(INDIRECT("'SpxSp (step-c)'!$B" &amp; CN$72)=$Z121,INDIRECT("'SpxSp (step-c)'!$" &amp; 'SpxSp (step-c)'!$AC$16 &amp; CN$72),"")</f>
        <v/>
      </c>
      <c r="CO121" s="1317" t="str">
        <f ca="1">IF(INDIRECT("'SpxSp (step-c)'!$B" &amp; CO$72)=$Z121,INDIRECT("'SpxSp (step-c)'!$" &amp; 'SpxSp (step-c)'!$AC$16 &amp; CO$72),"")</f>
        <v/>
      </c>
      <c r="CP121" s="1317" t="str">
        <f ca="1">IF(INDIRECT("'SpxSp (step-c)'!$B" &amp; CP$72)=$Z121,INDIRECT("'SpxSp (step-c)'!$" &amp; 'SpxSp (step-c)'!$AC$16 &amp; CP$72),"")</f>
        <v/>
      </c>
      <c r="CQ121" s="1317" t="str">
        <f ca="1">IF(INDIRECT("'SpxSp (step-c)'!$B" &amp; CQ$72)=$Z121,INDIRECT("'SpxSp (step-c)'!$" &amp; 'SpxSp (step-c)'!$AC$16 &amp; CQ$72),"")</f>
        <v/>
      </c>
      <c r="CR121" s="1317" t="str">
        <f ca="1">IF(INDIRECT("'SpxSp (step-c)'!$B" &amp; CR$72)=$Z121,INDIRECT("'SpxSp (step-c)'!$" &amp; 'SpxSp (step-c)'!$AC$16 &amp; CR$72),"")</f>
        <v/>
      </c>
      <c r="CS121" s="1317" t="str">
        <f ca="1">IF(INDIRECT("'SpxSp (step-c)'!$B" &amp; CS$72)=$Z121,INDIRECT("'SpxSp (step-c)'!$" &amp; 'SpxSp (step-c)'!$AC$16 &amp; CS$72),"")</f>
        <v/>
      </c>
      <c r="CT121" s="1317" t="str">
        <f ca="1">IF(INDIRECT("'SpxSp (step-c)'!$B" &amp; CT$72)=$Z121,INDIRECT("'SpxSp (step-c)'!$" &amp; 'SpxSp (step-c)'!$AC$16 &amp; CT$72),"")</f>
        <v/>
      </c>
      <c r="CU121" s="1317" t="str">
        <f ca="1">IF(INDIRECT("'SpxSp (step-c)'!$B" &amp; CU$72)=$Z121,INDIRECT("'SpxSp (step-c)'!$" &amp; 'SpxSp (step-c)'!$AC$16 &amp; CU$72),"")</f>
        <v/>
      </c>
      <c r="CV121" s="1317" t="str">
        <f ca="1">IF(INDIRECT("'SpxSp (step-c)'!$B" &amp; CV$72)=$Z121,INDIRECT("'SpxSp (step-c)'!$" &amp; 'SpxSp (step-c)'!$AC$16 &amp; CV$72),"")</f>
        <v/>
      </c>
      <c r="CW121" s="1317" t="str">
        <f ca="1">IF(INDIRECT("'SpxSp (step-c)'!$B" &amp; CW$72)=$Z121,INDIRECT("'SpxSp (step-c)'!$" &amp; 'SpxSp (step-c)'!$AC$16 &amp; CW$72),"")</f>
        <v/>
      </c>
      <c r="CX121" s="1317" t="str">
        <f ca="1">IF(INDIRECT("'SpxSp (step-c)'!$B" &amp; CX$72)=$Z121,INDIRECT("'SpxSp (step-c)'!$" &amp; 'SpxSp (step-c)'!$AC$16 &amp; CX$72),"")</f>
        <v/>
      </c>
      <c r="CY121" s="1317" t="str">
        <f ca="1">IF(INDIRECT("'SpxSp (step-c)'!$B" &amp; CY$72)=$Z121,INDIRECT("'SpxSp (step-c)'!$" &amp; 'SpxSp (step-c)'!$AC$16 &amp; CY$72),"")</f>
        <v/>
      </c>
      <c r="CZ121" s="1317" t="str">
        <f ca="1">IF(INDIRECT("'SpxSp (step-c)'!$B" &amp; CZ$72)=$Z121,INDIRECT("'SpxSp (step-c)'!$" &amp; 'SpxSp (step-c)'!$AC$16 &amp; CZ$72),"")</f>
        <v/>
      </c>
      <c r="DA121" s="1317" t="str">
        <f ca="1">IF(INDIRECT("'SpxSp (step-c)'!$B" &amp; DA$72)=$Z121,INDIRECT("'SpxSp (step-c)'!$" &amp; 'SpxSp (step-c)'!$AC$16 &amp; DA$72),"")</f>
        <v/>
      </c>
      <c r="DB121" s="1317" t="str">
        <f ca="1">IF(INDIRECT("'SpxSp (step-c)'!$B" &amp; DB$72)=$Z121,INDIRECT("'SpxSp (step-c)'!$" &amp; 'SpxSp (step-c)'!$AC$16 &amp; DB$72),"")</f>
        <v/>
      </c>
      <c r="DC121" s="1317" t="str">
        <f ca="1">IF(INDIRECT("'SpxSp (step-c)'!$B" &amp; DC$72)=$Z121,INDIRECT("'SpxSp (step-c)'!$" &amp; 'SpxSp (step-c)'!$AC$16 &amp; DC$72),"")</f>
        <v/>
      </c>
      <c r="DD121" s="1317" t="str">
        <f ca="1">IF(INDIRECT("'SpxSp (step-c)'!$B" &amp; DD$72)=$Z121,INDIRECT("'SpxSp (step-c)'!$" &amp; 'SpxSp (step-c)'!$AC$16 &amp; DD$72),"")</f>
        <v/>
      </c>
      <c r="DE121" s="1317" t="str">
        <f ca="1">IF(INDIRECT("'SpxSp (step-c)'!$B" &amp; DE$72)=$Z121,INDIRECT("'SpxSp (step-c)'!$" &amp; 'SpxSp (step-c)'!$AC$16 &amp; DE$72),"")</f>
        <v/>
      </c>
      <c r="DF121" s="1317" t="str">
        <f ca="1">IF(INDIRECT("'SpxSp (step-c)'!$B" &amp; DF$72)=$Z121,INDIRECT("'SpxSp (step-c)'!$" &amp; 'SpxSp (step-c)'!$AC$16 &amp; DF$72),"")</f>
        <v/>
      </c>
      <c r="DG121" s="1317" t="str">
        <f ca="1">IF(INDIRECT("'SpxSp (step-c)'!$B" &amp; DG$72)=$Z121,INDIRECT("'SpxSp (step-c)'!$" &amp; 'SpxSp (step-c)'!$AC$16 &amp; DG$72),"")</f>
        <v/>
      </c>
      <c r="DH121" s="1317" t="str">
        <f ca="1">IF(INDIRECT("'SpxSp (step-c)'!$B" &amp; DH$72)=$Z121,INDIRECT("'SpxSp (step-c)'!$" &amp; 'SpxSp (step-c)'!$AC$16 &amp; DH$72),"")</f>
        <v/>
      </c>
      <c r="DI121" s="1317" t="str">
        <f ca="1">IF(INDIRECT("'SpxSp (step-c)'!$B" &amp; DI$72)=$Z121,INDIRECT("'SpxSp (step-c)'!$" &amp; 'SpxSp (step-c)'!$AC$16 &amp; DI$72),"")</f>
        <v/>
      </c>
      <c r="DJ121" s="1317" t="str">
        <f ca="1">IF(INDIRECT("'SpxSp (step-c)'!$B" &amp; DJ$72)=$Z121,INDIRECT("'SpxSp (step-c)'!$" &amp; 'SpxSp (step-c)'!$AC$16 &amp; DJ$72),"")</f>
        <v/>
      </c>
      <c r="DK121" s="1317" t="str">
        <f ca="1">IF(INDIRECT("'SpxSp (step-c)'!$B" &amp; DK$72)=$Z121,INDIRECT("'SpxSp (step-c)'!$" &amp; 'SpxSp (step-c)'!$AC$16 &amp; DK$72),"")</f>
        <v/>
      </c>
      <c r="DL121" s="1317" t="str">
        <f ca="1">IF(INDIRECT("'SpxSp (step-c)'!$B" &amp; DL$72)=$Z121,INDIRECT("'SpxSp (step-c)'!$" &amp; 'SpxSp (step-c)'!$AC$16 &amp; DL$72),"")</f>
        <v/>
      </c>
      <c r="DM121" s="1317" t="str">
        <f ca="1">IF(INDIRECT("'SpxSp (step-c)'!$B" &amp; DM$72)=$Z121,INDIRECT("'SpxSp (step-c)'!$" &amp; 'SpxSp (step-c)'!$AC$16 &amp; DM$72),"")</f>
        <v/>
      </c>
      <c r="DO121" s="1246" t="s">
        <v>1200</v>
      </c>
    </row>
    <row r="122" spans="24:119" ht="20" x14ac:dyDescent="0.2">
      <c r="Z122" s="1317" t="str">
        <f t="shared" ref="Z122:AA122" si="90">Z67</f>
        <v/>
      </c>
      <c r="AA122" s="1317" t="str">
        <f t="shared" si="90"/>
        <v/>
      </c>
      <c r="BN122" s="178">
        <v>50</v>
      </c>
      <c r="BO122" s="1316" t="str">
        <f t="shared" ref="BO122" ca="1" si="91">CONCATENATE(BP122,BQ122,BR122,BS122,BT122,BU122,BV122,BW122,BX122,BY122,BZ122,CA122,CB122,CC122,CD122,CE122,CF122,CG122,CH122,CI122,CJ122,CK122,CL122,CM122,CN122,CO122,CP122,CQ122,CR122,CS122,CT122,CU122,CV122,CW122,CX122,CY122,CZ122,DA122,DB122,DC122,DD122,DE122,DF122,DG122,DH122,DI122,DJ122,DK122,DL122,DM122)</f>
        <v/>
      </c>
      <c r="BP122" s="1317" t="str">
        <f ca="1">IF(INDIRECT("'SpxSp (step-c)'!$B" &amp; BP$72)=$Z122,INDIRECT("'SpxSp (step-c)'!$" &amp; 'SpxSp (step-c)'!$AC$16 &amp; BP$72),"")</f>
        <v/>
      </c>
      <c r="BQ122" s="1317" t="str">
        <f ca="1">IF(INDIRECT("'SpxSp (step-c)'!$B" &amp; BQ$72)=$Z122,INDIRECT("'SpxSp (step-c)'!$" &amp; 'SpxSp (step-c)'!$AC$16 &amp; BQ$72),"")</f>
        <v/>
      </c>
      <c r="BR122" s="1317" t="str">
        <f ca="1">IF(INDIRECT("'SpxSp (step-c)'!$B" &amp; BR$72)=$Z122,INDIRECT("'SpxSp (step-c)'!$" &amp; 'SpxSp (step-c)'!$AC$16 &amp; BR$72),"")</f>
        <v/>
      </c>
      <c r="BS122" s="1317" t="str">
        <f ca="1">IF(INDIRECT("'SpxSp (step-c)'!$B" &amp; BS$72)=$Z122,INDIRECT("'SpxSp (step-c)'!$" &amp; 'SpxSp (step-c)'!$AC$16 &amp; BS$72),"")</f>
        <v/>
      </c>
      <c r="BT122" s="1317" t="str">
        <f ca="1">IF(INDIRECT("'SpxSp (step-c)'!$B" &amp; BT$72)=$Z122,INDIRECT("'SpxSp (step-c)'!$" &amp; 'SpxSp (step-c)'!$AC$16 &amp; BT$72),"")</f>
        <v/>
      </c>
      <c r="BU122" s="1317" t="str">
        <f ca="1">IF(INDIRECT("'SpxSp (step-c)'!$B" &amp; BU$72)=$Z122,INDIRECT("'SpxSp (step-c)'!$" &amp; 'SpxSp (step-c)'!$AC$16 &amp; BU$72),"")</f>
        <v/>
      </c>
      <c r="BV122" s="1317" t="str">
        <f ca="1">IF(INDIRECT("'SpxSp (step-c)'!$B" &amp; BV$72)=$Z122,INDIRECT("'SpxSp (step-c)'!$" &amp; 'SpxSp (step-c)'!$AC$16 &amp; BV$72),"")</f>
        <v/>
      </c>
      <c r="BW122" s="1317" t="str">
        <f ca="1">IF(INDIRECT("'SpxSp (step-c)'!$B" &amp; BW$72)=$Z122,INDIRECT("'SpxSp (step-c)'!$" &amp; 'SpxSp (step-c)'!$AC$16 &amp; BW$72),"")</f>
        <v/>
      </c>
      <c r="BX122" s="1317" t="str">
        <f ca="1">IF(INDIRECT("'SpxSp (step-c)'!$B" &amp; BX$72)=$Z122,INDIRECT("'SpxSp (step-c)'!$" &amp; 'SpxSp (step-c)'!$AC$16 &amp; BX$72),"")</f>
        <v/>
      </c>
      <c r="BY122" s="1317" t="str">
        <f ca="1">IF(INDIRECT("'SpxSp (step-c)'!$B" &amp; BY$72)=$Z122,INDIRECT("'SpxSp (step-c)'!$" &amp; 'SpxSp (step-c)'!$AC$16 &amp; BY$72),"")</f>
        <v/>
      </c>
      <c r="BZ122" s="1317" t="str">
        <f ca="1">IF(INDIRECT("'SpxSp (step-c)'!$B" &amp; BZ$72)=$Z122,INDIRECT("'SpxSp (step-c)'!$" &amp; 'SpxSp (step-c)'!$AC$16 &amp; BZ$72),"")</f>
        <v/>
      </c>
      <c r="CA122" s="1317" t="str">
        <f ca="1">IF(INDIRECT("'SpxSp (step-c)'!$B" &amp; CA$72)=$Z122,INDIRECT("'SpxSp (step-c)'!$" &amp; 'SpxSp (step-c)'!$AC$16 &amp; CA$72),"")</f>
        <v/>
      </c>
      <c r="CB122" s="1317" t="str">
        <f ca="1">IF(INDIRECT("'SpxSp (step-c)'!$B" &amp; CB$72)=$Z122,INDIRECT("'SpxSp (step-c)'!$" &amp; 'SpxSp (step-c)'!$AC$16 &amp; CB$72),"")</f>
        <v/>
      </c>
      <c r="CC122" s="1317" t="str">
        <f ca="1">IF(INDIRECT("'SpxSp (step-c)'!$B" &amp; CC$72)=$Z122,INDIRECT("'SpxSp (step-c)'!$" &amp; 'SpxSp (step-c)'!$AC$16 &amp; CC$72),"")</f>
        <v/>
      </c>
      <c r="CD122" s="1317" t="str">
        <f ca="1">IF(INDIRECT("'SpxSp (step-c)'!$B" &amp; CD$72)=$Z122,INDIRECT("'SpxSp (step-c)'!$" &amp; 'SpxSp (step-c)'!$AC$16 &amp; CD$72),"")</f>
        <v/>
      </c>
      <c r="CE122" s="1317" t="str">
        <f ca="1">IF(INDIRECT("'SpxSp (step-c)'!$B" &amp; CE$72)=$Z122,INDIRECT("'SpxSp (step-c)'!$" &amp; 'SpxSp (step-c)'!$AC$16 &amp; CE$72),"")</f>
        <v/>
      </c>
      <c r="CF122" s="1317" t="str">
        <f ca="1">IF(INDIRECT("'SpxSp (step-c)'!$B" &amp; CF$72)=$Z122,INDIRECT("'SpxSp (step-c)'!$" &amp; 'SpxSp (step-c)'!$AC$16 &amp; CF$72),"")</f>
        <v/>
      </c>
      <c r="CG122" s="1317" t="str">
        <f ca="1">IF(INDIRECT("'SpxSp (step-c)'!$B" &amp; CG$72)=$Z122,INDIRECT("'SpxSp (step-c)'!$" &amp; 'SpxSp (step-c)'!$AC$16 &amp; CG$72),"")</f>
        <v/>
      </c>
      <c r="CH122" s="1317" t="str">
        <f ca="1">IF(INDIRECT("'SpxSp (step-c)'!$B" &amp; CH$72)=$Z122,INDIRECT("'SpxSp (step-c)'!$" &amp; 'SpxSp (step-c)'!$AC$16 &amp; CH$72),"")</f>
        <v/>
      </c>
      <c r="CI122" s="1317" t="str">
        <f ca="1">IF(INDIRECT("'SpxSp (step-c)'!$B" &amp; CI$72)=$Z122,INDIRECT("'SpxSp (step-c)'!$" &amp; 'SpxSp (step-c)'!$AC$16 &amp; CI$72),"")</f>
        <v/>
      </c>
      <c r="CJ122" s="1317" t="str">
        <f ca="1">IF(INDIRECT("'SpxSp (step-c)'!$B" &amp; CJ$72)=$Z122,INDIRECT("'SpxSp (step-c)'!$" &amp; 'SpxSp (step-c)'!$AC$16 &amp; CJ$72),"")</f>
        <v/>
      </c>
      <c r="CK122" s="1317" t="str">
        <f ca="1">IF(INDIRECT("'SpxSp (step-c)'!$B" &amp; CK$72)=$Z122,INDIRECT("'SpxSp (step-c)'!$" &amp; 'SpxSp (step-c)'!$AC$16 &amp; CK$72),"")</f>
        <v/>
      </c>
      <c r="CL122" s="1317" t="str">
        <f ca="1">IF(INDIRECT("'SpxSp (step-c)'!$B" &amp; CL$72)=$Z122,INDIRECT("'SpxSp (step-c)'!$" &amp; 'SpxSp (step-c)'!$AC$16 &amp; CL$72),"")</f>
        <v/>
      </c>
      <c r="CM122" s="1317" t="str">
        <f ca="1">IF(INDIRECT("'SpxSp (step-c)'!$B" &amp; CM$72)=$Z122,INDIRECT("'SpxSp (step-c)'!$" &amp; 'SpxSp (step-c)'!$AC$16 &amp; CM$72),"")</f>
        <v/>
      </c>
      <c r="CN122" s="1317" t="str">
        <f ca="1">IF(INDIRECT("'SpxSp (step-c)'!$B" &amp; CN$72)=$Z122,INDIRECT("'SpxSp (step-c)'!$" &amp; 'SpxSp (step-c)'!$AC$16 &amp; CN$72),"")</f>
        <v/>
      </c>
      <c r="CO122" s="1317" t="str">
        <f ca="1">IF(INDIRECT("'SpxSp (step-c)'!$B" &amp; CO$72)=$Z122,INDIRECT("'SpxSp (step-c)'!$" &amp; 'SpxSp (step-c)'!$AC$16 &amp; CO$72),"")</f>
        <v/>
      </c>
      <c r="CP122" s="1317" t="str">
        <f ca="1">IF(INDIRECT("'SpxSp (step-c)'!$B" &amp; CP$72)=$Z122,INDIRECT("'SpxSp (step-c)'!$" &amp; 'SpxSp (step-c)'!$AC$16 &amp; CP$72),"")</f>
        <v/>
      </c>
      <c r="CQ122" s="1317" t="str">
        <f ca="1">IF(INDIRECT("'SpxSp (step-c)'!$B" &amp; CQ$72)=$Z122,INDIRECT("'SpxSp (step-c)'!$" &amp; 'SpxSp (step-c)'!$AC$16 &amp; CQ$72),"")</f>
        <v/>
      </c>
      <c r="CR122" s="1317" t="str">
        <f ca="1">IF(INDIRECT("'SpxSp (step-c)'!$B" &amp; CR$72)=$Z122,INDIRECT("'SpxSp (step-c)'!$" &amp; 'SpxSp (step-c)'!$AC$16 &amp; CR$72),"")</f>
        <v/>
      </c>
      <c r="CS122" s="1317" t="str">
        <f ca="1">IF(INDIRECT("'SpxSp (step-c)'!$B" &amp; CS$72)=$Z122,INDIRECT("'SpxSp (step-c)'!$" &amp; 'SpxSp (step-c)'!$AC$16 &amp; CS$72),"")</f>
        <v/>
      </c>
      <c r="CT122" s="1317" t="str">
        <f ca="1">IF(INDIRECT("'SpxSp (step-c)'!$B" &amp; CT$72)=$Z122,INDIRECT("'SpxSp (step-c)'!$" &amp; 'SpxSp (step-c)'!$AC$16 &amp; CT$72),"")</f>
        <v/>
      </c>
      <c r="CU122" s="1317" t="str">
        <f ca="1">IF(INDIRECT("'SpxSp (step-c)'!$B" &amp; CU$72)=$Z122,INDIRECT("'SpxSp (step-c)'!$" &amp; 'SpxSp (step-c)'!$AC$16 &amp; CU$72),"")</f>
        <v/>
      </c>
      <c r="CV122" s="1317" t="str">
        <f ca="1">IF(INDIRECT("'SpxSp (step-c)'!$B" &amp; CV$72)=$Z122,INDIRECT("'SpxSp (step-c)'!$" &amp; 'SpxSp (step-c)'!$AC$16 &amp; CV$72),"")</f>
        <v/>
      </c>
      <c r="CW122" s="1317" t="str">
        <f ca="1">IF(INDIRECT("'SpxSp (step-c)'!$B" &amp; CW$72)=$Z122,INDIRECT("'SpxSp (step-c)'!$" &amp; 'SpxSp (step-c)'!$AC$16 &amp; CW$72),"")</f>
        <v/>
      </c>
      <c r="CX122" s="1317" t="str">
        <f ca="1">IF(INDIRECT("'SpxSp (step-c)'!$B" &amp; CX$72)=$Z122,INDIRECT("'SpxSp (step-c)'!$" &amp; 'SpxSp (step-c)'!$AC$16 &amp; CX$72),"")</f>
        <v/>
      </c>
      <c r="CY122" s="1317" t="str">
        <f ca="1">IF(INDIRECT("'SpxSp (step-c)'!$B" &amp; CY$72)=$Z122,INDIRECT("'SpxSp (step-c)'!$" &amp; 'SpxSp (step-c)'!$AC$16 &amp; CY$72),"")</f>
        <v/>
      </c>
      <c r="CZ122" s="1317" t="str">
        <f ca="1">IF(INDIRECT("'SpxSp (step-c)'!$B" &amp; CZ$72)=$Z122,INDIRECT("'SpxSp (step-c)'!$" &amp; 'SpxSp (step-c)'!$AC$16 &amp; CZ$72),"")</f>
        <v/>
      </c>
      <c r="DA122" s="1317" t="str">
        <f ca="1">IF(INDIRECT("'SpxSp (step-c)'!$B" &amp; DA$72)=$Z122,INDIRECT("'SpxSp (step-c)'!$" &amp; 'SpxSp (step-c)'!$AC$16 &amp; DA$72),"")</f>
        <v/>
      </c>
      <c r="DB122" s="1317" t="str">
        <f ca="1">IF(INDIRECT("'SpxSp (step-c)'!$B" &amp; DB$72)=$Z122,INDIRECT("'SpxSp (step-c)'!$" &amp; 'SpxSp (step-c)'!$AC$16 &amp; DB$72),"")</f>
        <v/>
      </c>
      <c r="DC122" s="1317" t="str">
        <f ca="1">IF(INDIRECT("'SpxSp (step-c)'!$B" &amp; DC$72)=$Z122,INDIRECT("'SpxSp (step-c)'!$" &amp; 'SpxSp (step-c)'!$AC$16 &amp; DC$72),"")</f>
        <v/>
      </c>
      <c r="DD122" s="1317" t="str">
        <f ca="1">IF(INDIRECT("'SpxSp (step-c)'!$B" &amp; DD$72)=$Z122,INDIRECT("'SpxSp (step-c)'!$" &amp; 'SpxSp (step-c)'!$AC$16 &amp; DD$72),"")</f>
        <v/>
      </c>
      <c r="DE122" s="1317" t="str">
        <f ca="1">IF(INDIRECT("'SpxSp (step-c)'!$B" &amp; DE$72)=$Z122,INDIRECT("'SpxSp (step-c)'!$" &amp; 'SpxSp (step-c)'!$AC$16 &amp; DE$72),"")</f>
        <v/>
      </c>
      <c r="DF122" s="1317" t="str">
        <f ca="1">IF(INDIRECT("'SpxSp (step-c)'!$B" &amp; DF$72)=$Z122,INDIRECT("'SpxSp (step-c)'!$" &amp; 'SpxSp (step-c)'!$AC$16 &amp; DF$72),"")</f>
        <v/>
      </c>
      <c r="DG122" s="1317" t="str">
        <f ca="1">IF(INDIRECT("'SpxSp (step-c)'!$B" &amp; DG$72)=$Z122,INDIRECT("'SpxSp (step-c)'!$" &amp; 'SpxSp (step-c)'!$AC$16 &amp; DG$72),"")</f>
        <v/>
      </c>
      <c r="DH122" s="1317" t="str">
        <f ca="1">IF(INDIRECT("'SpxSp (step-c)'!$B" &amp; DH$72)=$Z122,INDIRECT("'SpxSp (step-c)'!$" &amp; 'SpxSp (step-c)'!$AC$16 &amp; DH$72),"")</f>
        <v/>
      </c>
      <c r="DI122" s="1317" t="str">
        <f ca="1">IF(INDIRECT("'SpxSp (step-c)'!$B" &amp; DI$72)=$Z122,INDIRECT("'SpxSp (step-c)'!$" &amp; 'SpxSp (step-c)'!$AC$16 &amp; DI$72),"")</f>
        <v/>
      </c>
      <c r="DJ122" s="1317" t="str">
        <f ca="1">IF(INDIRECT("'SpxSp (step-c)'!$B" &amp; DJ$72)=$Z122,INDIRECT("'SpxSp (step-c)'!$" &amp; 'SpxSp (step-c)'!$AC$16 &amp; DJ$72),"")</f>
        <v/>
      </c>
      <c r="DK122" s="1317" t="str">
        <f ca="1">IF(INDIRECT("'SpxSp (step-c)'!$B" &amp; DK$72)=$Z122,INDIRECT("'SpxSp (step-c)'!$" &amp; 'SpxSp (step-c)'!$AC$16 &amp; DK$72),"")</f>
        <v/>
      </c>
      <c r="DL122" s="1317" t="str">
        <f ca="1">IF(INDIRECT("'SpxSp (step-c)'!$B" &amp; DL$72)=$Z122,INDIRECT("'SpxSp (step-c)'!$" &amp; 'SpxSp (step-c)'!$AC$16 &amp; DL$72),"")</f>
        <v/>
      </c>
      <c r="DM122" s="1317" t="str">
        <f ca="1">IF(INDIRECT("'SpxSp (step-c)'!$B" &amp; DM$72)=$Z122,INDIRECT("'SpxSp (step-c)'!$" &amp; 'SpxSp (step-c)'!$AC$16 &amp; DM$72),"")</f>
        <v/>
      </c>
      <c r="DO122" s="1246" t="s">
        <v>1200</v>
      </c>
    </row>
    <row r="126" spans="24:119" x14ac:dyDescent="0.2">
      <c r="X126" s="178" t="s">
        <v>36</v>
      </c>
      <c r="BC126" s="1248"/>
      <c r="BD126" s="1248"/>
      <c r="BE126" s="1335"/>
      <c r="BF126" s="1336"/>
      <c r="BP126" s="178">
        <v>1</v>
      </c>
      <c r="BQ126" s="178">
        <v>2</v>
      </c>
      <c r="BR126" s="178">
        <v>3</v>
      </c>
      <c r="BS126" s="178">
        <v>4</v>
      </c>
      <c r="BT126" s="178">
        <v>5</v>
      </c>
      <c r="BU126" s="178">
        <v>6</v>
      </c>
      <c r="BV126" s="178">
        <v>7</v>
      </c>
      <c r="BW126" s="178">
        <v>8</v>
      </c>
      <c r="BX126" s="178">
        <v>9</v>
      </c>
      <c r="BY126" s="178">
        <v>10</v>
      </c>
      <c r="BZ126" s="178">
        <v>11</v>
      </c>
      <c r="CA126" s="178">
        <v>12</v>
      </c>
      <c r="CB126" s="178">
        <v>13</v>
      </c>
      <c r="CC126" s="178">
        <v>14</v>
      </c>
      <c r="CD126" s="178">
        <v>15</v>
      </c>
      <c r="CE126" s="178">
        <v>16</v>
      </c>
      <c r="CF126" s="178">
        <v>17</v>
      </c>
      <c r="CG126" s="178">
        <v>18</v>
      </c>
      <c r="CH126" s="178">
        <v>19</v>
      </c>
      <c r="CI126" s="178">
        <v>20</v>
      </c>
      <c r="CJ126" s="178">
        <v>21</v>
      </c>
      <c r="CK126" s="178">
        <v>22</v>
      </c>
      <c r="CL126" s="178">
        <v>23</v>
      </c>
      <c r="CM126" s="178">
        <v>24</v>
      </c>
      <c r="CN126" s="178">
        <v>25</v>
      </c>
      <c r="CO126" s="178">
        <v>26</v>
      </c>
      <c r="CP126" s="178">
        <v>27</v>
      </c>
      <c r="CQ126" s="178">
        <v>28</v>
      </c>
      <c r="CR126" s="178">
        <v>29</v>
      </c>
      <c r="CS126" s="178">
        <v>30</v>
      </c>
      <c r="CT126" s="178">
        <v>31</v>
      </c>
      <c r="CU126" s="178">
        <v>32</v>
      </c>
      <c r="CV126" s="178">
        <v>33</v>
      </c>
      <c r="CW126" s="178">
        <v>34</v>
      </c>
      <c r="CX126" s="178">
        <v>35</v>
      </c>
      <c r="CY126" s="178">
        <v>36</v>
      </c>
      <c r="CZ126" s="178">
        <v>37</v>
      </c>
      <c r="DA126" s="178">
        <v>38</v>
      </c>
      <c r="DB126" s="178">
        <v>39</v>
      </c>
      <c r="DC126" s="178">
        <v>40</v>
      </c>
      <c r="DD126" s="178">
        <v>41</v>
      </c>
      <c r="DE126" s="178">
        <v>42</v>
      </c>
      <c r="DF126" s="178">
        <v>43</v>
      </c>
      <c r="DG126" s="178">
        <v>44</v>
      </c>
      <c r="DH126" s="178">
        <v>45</v>
      </c>
      <c r="DI126" s="178">
        <v>46</v>
      </c>
      <c r="DJ126" s="178">
        <v>47</v>
      </c>
      <c r="DK126" s="178">
        <v>48</v>
      </c>
      <c r="DL126" s="178">
        <v>49</v>
      </c>
      <c r="DM126" s="178">
        <v>50</v>
      </c>
    </row>
    <row r="127" spans="24:119" x14ac:dyDescent="0.2">
      <c r="BC127" s="1248"/>
      <c r="BD127" s="1248"/>
      <c r="BP127" s="178">
        <v>18</v>
      </c>
      <c r="BQ127" s="178">
        <v>19</v>
      </c>
      <c r="BR127" s="178">
        <v>20</v>
      </c>
      <c r="BS127" s="178">
        <v>21</v>
      </c>
      <c r="BT127" s="178">
        <v>22</v>
      </c>
      <c r="BU127" s="178">
        <v>23</v>
      </c>
      <c r="BV127" s="178">
        <v>24</v>
      </c>
      <c r="BW127" s="178">
        <v>25</v>
      </c>
      <c r="BX127" s="178">
        <v>26</v>
      </c>
      <c r="BY127" s="178">
        <v>27</v>
      </c>
      <c r="BZ127" s="178">
        <v>28</v>
      </c>
      <c r="CA127" s="178">
        <v>29</v>
      </c>
      <c r="CB127" s="178">
        <v>30</v>
      </c>
      <c r="CC127" s="178">
        <v>31</v>
      </c>
      <c r="CD127" s="178">
        <v>32</v>
      </c>
      <c r="CE127" s="178">
        <v>33</v>
      </c>
      <c r="CF127" s="178">
        <v>34</v>
      </c>
      <c r="CG127" s="178">
        <v>35</v>
      </c>
      <c r="CH127" s="178">
        <v>36</v>
      </c>
      <c r="CI127" s="178">
        <v>37</v>
      </c>
      <c r="CJ127" s="178">
        <v>38</v>
      </c>
      <c r="CK127" s="178">
        <v>39</v>
      </c>
      <c r="CL127" s="178">
        <v>40</v>
      </c>
      <c r="CM127" s="178">
        <v>41</v>
      </c>
      <c r="CN127" s="178">
        <v>42</v>
      </c>
      <c r="CO127" s="178">
        <v>43</v>
      </c>
      <c r="CP127" s="178">
        <v>44</v>
      </c>
      <c r="CQ127" s="178">
        <v>45</v>
      </c>
      <c r="CR127" s="178">
        <v>46</v>
      </c>
      <c r="CS127" s="178">
        <v>47</v>
      </c>
      <c r="CT127" s="178">
        <v>48</v>
      </c>
      <c r="CU127" s="178">
        <v>49</v>
      </c>
      <c r="CV127" s="178">
        <v>50</v>
      </c>
      <c r="CW127" s="178">
        <v>51</v>
      </c>
      <c r="CX127" s="178">
        <v>52</v>
      </c>
      <c r="CY127" s="178">
        <v>53</v>
      </c>
      <c r="CZ127" s="178">
        <v>54</v>
      </c>
      <c r="DA127" s="178">
        <v>55</v>
      </c>
      <c r="DB127" s="178">
        <v>56</v>
      </c>
      <c r="DC127" s="178">
        <v>57</v>
      </c>
      <c r="DD127" s="178">
        <v>58</v>
      </c>
      <c r="DE127" s="178">
        <v>59</v>
      </c>
      <c r="DF127" s="178">
        <v>60</v>
      </c>
      <c r="DG127" s="178">
        <v>61</v>
      </c>
      <c r="DH127" s="178">
        <v>62</v>
      </c>
      <c r="DI127" s="178">
        <v>63</v>
      </c>
      <c r="DJ127" s="178">
        <v>64</v>
      </c>
      <c r="DK127" s="178">
        <v>65</v>
      </c>
      <c r="DL127" s="178">
        <v>66</v>
      </c>
      <c r="DM127" s="178">
        <v>67</v>
      </c>
    </row>
    <row r="128" spans="24:119" ht="20" x14ac:dyDescent="0.2">
      <c r="Z128" s="1317" t="str">
        <f>Z73</f>
        <v/>
      </c>
      <c r="AA128" s="1317" t="str">
        <f>AA73</f>
        <v/>
      </c>
      <c r="BM128" s="178" t="str">
        <f>IFERROR(VLOOKUP(Z128,'SpxSp (step-d)'!B$18:I$67,6,FALSE),"")</f>
        <v/>
      </c>
      <c r="BN128" s="178">
        <v>1</v>
      </c>
      <c r="BO128" s="1316" t="str">
        <f t="shared" ref="BO128:BO177" ca="1" si="92">CONCATENATE(BP128,BQ128,BR128,BS128,BT128,BU128,BV128,BW128,BX128,BY128,BZ128,CA128,CB128,CC128,CD128,CE128,CF128,CG128,CH128,CI128,CJ128,CK128,CL128,CM128,CN128,CO128,CP128,CQ128,CR128,CS128,CT128,CU128,CV128,CW128,CX128,CY128,CZ128,DA128,DB128,DC128,DD128,DE128,DF128,DG128,DH128,DI128,DJ128,DK128,DL128,DM128)</f>
        <v/>
      </c>
      <c r="BP128" s="1317" t="str">
        <f ca="1">IF(INDIRECT("'SpxSp (step-d)'!$B" &amp; BP$72)=$Z128,INDIRECT("'SpxSp (step-d)'!$" &amp; 'SpxSp (step-d)'!$AD$16 &amp; BP$72),"")</f>
        <v/>
      </c>
      <c r="BQ128" s="1317" t="str">
        <f ca="1">IF(INDIRECT("'SpxSp (step-d)'!$B" &amp; BQ$72)=$Z128,INDIRECT("'SpxSp (step-d)'!$" &amp; 'SpxSp (step-d)'!$AD$16 &amp; BQ$72),"")</f>
        <v/>
      </c>
      <c r="BR128" s="1317" t="str">
        <f ca="1">IF(INDIRECT("'SpxSp (step-d)'!$B" &amp; BR$72)=$Z128,INDIRECT("'SpxSp (step-d)'!$" &amp; 'SpxSp (step-d)'!$AD$16 &amp; BR$72),"")</f>
        <v/>
      </c>
      <c r="BS128" s="1317" t="str">
        <f ca="1">IF(INDIRECT("'SpxSp (step-d)'!$B" &amp; BS$72)=$Z128,INDIRECT("'SpxSp (step-d)'!$" &amp; 'SpxSp (step-d)'!$AD$16 &amp; BS$72),"")</f>
        <v/>
      </c>
      <c r="BT128" s="1317" t="str">
        <f ca="1">IF(INDIRECT("'SpxSp (step-d)'!$B" &amp; BT$72)=$Z128,INDIRECT("'SpxSp (step-d)'!$" &amp; 'SpxSp (step-d)'!$AD$16 &amp; BT$72),"")</f>
        <v/>
      </c>
      <c r="BU128" s="1317" t="str">
        <f ca="1">IF(INDIRECT("'SpxSp (step-d)'!$B" &amp; BU$72)=$Z128,INDIRECT("'SpxSp (step-d)'!$" &amp; 'SpxSp (step-d)'!$AD$16 &amp; BU$72),"")</f>
        <v/>
      </c>
      <c r="BV128" s="1317" t="str">
        <f ca="1">IF(INDIRECT("'SpxSp (step-d)'!$B" &amp; BV$72)=$Z128,INDIRECT("'SpxSp (step-d)'!$" &amp; 'SpxSp (step-d)'!$AD$16 &amp; BV$72),"")</f>
        <v/>
      </c>
      <c r="BW128" s="1317" t="str">
        <f ca="1">IF(INDIRECT("'SpxSp (step-d)'!$B" &amp; BW$72)=$Z128,INDIRECT("'SpxSp (step-d)'!$" &amp; 'SpxSp (step-d)'!$AD$16 &amp; BW$72),"")</f>
        <v/>
      </c>
      <c r="BX128" s="1317" t="str">
        <f ca="1">IF(INDIRECT("'SpxSp (step-d)'!$B" &amp; BX$72)=$Z128,INDIRECT("'SpxSp (step-d)'!$" &amp; 'SpxSp (step-d)'!$AD$16 &amp; BX$72),"")</f>
        <v/>
      </c>
      <c r="BY128" s="1317" t="str">
        <f ca="1">IF(INDIRECT("'SpxSp (step-d)'!$B" &amp; BY$72)=$Z128,INDIRECT("'SpxSp (step-d)'!$" &amp; 'SpxSp (step-d)'!$AD$16 &amp; BY$72),"")</f>
        <v/>
      </c>
      <c r="BZ128" s="1317" t="str">
        <f ca="1">IF(INDIRECT("'SpxSp (step-d)'!$B" &amp; BZ$72)=$Z128,INDIRECT("'SpxSp (step-d)'!$" &amp; 'SpxSp (step-d)'!$AD$16 &amp; BZ$72),"")</f>
        <v/>
      </c>
      <c r="CA128" s="1317" t="str">
        <f ca="1">IF(INDIRECT("'SpxSp (step-d)'!$B" &amp; CA$72)=$Z128,INDIRECT("'SpxSp (step-d)'!$" &amp; 'SpxSp (step-d)'!$AD$16 &amp; CA$72),"")</f>
        <v/>
      </c>
      <c r="CB128" s="1317" t="str">
        <f ca="1">IF(INDIRECT("'SpxSp (step-d)'!$B" &amp; CB$72)=$Z128,INDIRECT("'SpxSp (step-d)'!$" &amp; 'SpxSp (step-d)'!$AD$16 &amp; CB$72),"")</f>
        <v/>
      </c>
      <c r="CC128" s="1317" t="str">
        <f ca="1">IF(INDIRECT("'SpxSp (step-d)'!$B" &amp; CC$72)=$Z128,INDIRECT("'SpxSp (step-d)'!$" &amp; 'SpxSp (step-d)'!$AD$16 &amp; CC$72),"")</f>
        <v/>
      </c>
      <c r="CD128" s="1317" t="str">
        <f ca="1">IF(INDIRECT("'SpxSp (step-d)'!$B" &amp; CD$72)=$Z128,INDIRECT("'SpxSp (step-d)'!$" &amp; 'SpxSp (step-d)'!$AD$16 &amp; CD$72),"")</f>
        <v/>
      </c>
      <c r="CE128" s="1317" t="str">
        <f ca="1">IF(INDIRECT("'SpxSp (step-d)'!$B" &amp; CE$72)=$Z128,INDIRECT("'SpxSp (step-d)'!$" &amp; 'SpxSp (step-d)'!$AD$16 &amp; CE$72),"")</f>
        <v/>
      </c>
      <c r="CF128" s="1317" t="str">
        <f ca="1">IF(INDIRECT("'SpxSp (step-d)'!$B" &amp; CF$72)=$Z128,INDIRECT("'SpxSp (step-d)'!$" &amp; 'SpxSp (step-d)'!$AD$16 &amp; CF$72),"")</f>
        <v/>
      </c>
      <c r="CG128" s="1317" t="str">
        <f ca="1">IF(INDIRECT("'SpxSp (step-d)'!$B" &amp; CG$72)=$Z128,INDIRECT("'SpxSp (step-d)'!$" &amp; 'SpxSp (step-d)'!$AD$16 &amp; CG$72),"")</f>
        <v/>
      </c>
      <c r="CH128" s="1317" t="str">
        <f ca="1">IF(INDIRECT("'SpxSp (step-d)'!$B" &amp; CH$72)=$Z128,INDIRECT("'SpxSp (step-d)'!$" &amp; 'SpxSp (step-d)'!$AD$16 &amp; CH$72),"")</f>
        <v/>
      </c>
      <c r="CI128" s="1317" t="str">
        <f ca="1">IF(INDIRECT("'SpxSp (step-d)'!$B" &amp; CI$72)=$Z128,INDIRECT("'SpxSp (step-d)'!$" &amp; 'SpxSp (step-d)'!$AD$16 &amp; CI$72),"")</f>
        <v/>
      </c>
      <c r="CJ128" s="1317" t="str">
        <f ca="1">IF(INDIRECT("'SpxSp (step-d)'!$B" &amp; CJ$72)=$Z128,INDIRECT("'SpxSp (step-d)'!$" &amp; 'SpxSp (step-d)'!$AD$16 &amp; CJ$72),"")</f>
        <v/>
      </c>
      <c r="CK128" s="1317" t="str">
        <f ca="1">IF(INDIRECT("'SpxSp (step-d)'!$B" &amp; CK$72)=$Z128,INDIRECT("'SpxSp (step-d)'!$" &amp; 'SpxSp (step-d)'!$AD$16 &amp; CK$72),"")</f>
        <v/>
      </c>
      <c r="CL128" s="1317" t="str">
        <f ca="1">IF(INDIRECT("'SpxSp (step-d)'!$B" &amp; CL$72)=$Z128,INDIRECT("'SpxSp (step-d)'!$" &amp; 'SpxSp (step-d)'!$AD$16 &amp; CL$72),"")</f>
        <v/>
      </c>
      <c r="CM128" s="1317" t="str">
        <f ca="1">IF(INDIRECT("'SpxSp (step-d)'!$B" &amp; CM$72)=$Z128,INDIRECT("'SpxSp (step-d)'!$" &amp; 'SpxSp (step-d)'!$AD$16 &amp; CM$72),"")</f>
        <v/>
      </c>
      <c r="CN128" s="1317" t="str">
        <f ca="1">IF(INDIRECT("'SpxSp (step-d)'!$B" &amp; CN$72)=$Z128,INDIRECT("'SpxSp (step-d)'!$" &amp; 'SpxSp (step-d)'!$AD$16 &amp; CN$72),"")</f>
        <v/>
      </c>
      <c r="CO128" s="1317" t="str">
        <f ca="1">IF(INDIRECT("'SpxSp (step-d)'!$B" &amp; CO$72)=$Z128,INDIRECT("'SpxSp (step-d)'!$" &amp; 'SpxSp (step-d)'!$AD$16 &amp; CO$72),"")</f>
        <v/>
      </c>
      <c r="CP128" s="1317" t="str">
        <f ca="1">IF(INDIRECT("'SpxSp (step-d)'!$B" &amp; CP$72)=$Z128,INDIRECT("'SpxSp (step-d)'!$" &amp; 'SpxSp (step-d)'!$AD$16 &amp; CP$72),"")</f>
        <v/>
      </c>
      <c r="CQ128" s="1317" t="str">
        <f ca="1">IF(INDIRECT("'SpxSp (step-d)'!$B" &amp; CQ$72)=$Z128,INDIRECT("'SpxSp (step-d)'!$" &amp; 'SpxSp (step-d)'!$AD$16 &amp; CQ$72),"")</f>
        <v/>
      </c>
      <c r="CR128" s="1317" t="str">
        <f ca="1">IF(INDIRECT("'SpxSp (step-d)'!$B" &amp; CR$72)=$Z128,INDIRECT("'SpxSp (step-d)'!$" &amp; 'SpxSp (step-d)'!$AD$16 &amp; CR$72),"")</f>
        <v/>
      </c>
      <c r="CS128" s="1317" t="str">
        <f ca="1">IF(INDIRECT("'SpxSp (step-d)'!$B" &amp; CS$72)=$Z128,INDIRECT("'SpxSp (step-d)'!$" &amp; 'SpxSp (step-d)'!$AD$16 &amp; CS$72),"")</f>
        <v/>
      </c>
      <c r="CT128" s="1317" t="str">
        <f ca="1">IF(INDIRECT("'SpxSp (step-d)'!$B" &amp; CT$72)=$Z128,INDIRECT("'SpxSp (step-d)'!$" &amp; 'SpxSp (step-d)'!$AD$16 &amp; CT$72),"")</f>
        <v/>
      </c>
      <c r="CU128" s="1317" t="str">
        <f ca="1">IF(INDIRECT("'SpxSp (step-d)'!$B" &amp; CU$72)=$Z128,INDIRECT("'SpxSp (step-d)'!$" &amp; 'SpxSp (step-d)'!$AD$16 &amp; CU$72),"")</f>
        <v/>
      </c>
      <c r="CV128" s="1317" t="str">
        <f ca="1">IF(INDIRECT("'SpxSp (step-d)'!$B" &amp; CV$72)=$Z128,INDIRECT("'SpxSp (step-d)'!$" &amp; 'SpxSp (step-d)'!$AD$16 &amp; CV$72),"")</f>
        <v/>
      </c>
      <c r="CW128" s="1317" t="str">
        <f ca="1">IF(INDIRECT("'SpxSp (step-d)'!$B" &amp; CW$72)=$Z128,INDIRECT("'SpxSp (step-d)'!$" &amp; 'SpxSp (step-d)'!$AD$16 &amp; CW$72),"")</f>
        <v/>
      </c>
      <c r="CX128" s="1317" t="str">
        <f ca="1">IF(INDIRECT("'SpxSp (step-d)'!$B" &amp; CX$72)=$Z128,INDIRECT("'SpxSp (step-d)'!$" &amp; 'SpxSp (step-d)'!$AD$16 &amp; CX$72),"")</f>
        <v/>
      </c>
      <c r="CY128" s="1317" t="str">
        <f ca="1">IF(INDIRECT("'SpxSp (step-d)'!$B" &amp; CY$72)=$Z128,INDIRECT("'SpxSp (step-d)'!$" &amp; 'SpxSp (step-d)'!$AD$16 &amp; CY$72),"")</f>
        <v/>
      </c>
      <c r="CZ128" s="1317" t="str">
        <f ca="1">IF(INDIRECT("'SpxSp (step-d)'!$B" &amp; CZ$72)=$Z128,INDIRECT("'SpxSp (step-d)'!$" &amp; 'SpxSp (step-d)'!$AD$16 &amp; CZ$72),"")</f>
        <v/>
      </c>
      <c r="DA128" s="1317" t="str">
        <f ca="1">IF(INDIRECT("'SpxSp (step-d)'!$B" &amp; DA$72)=$Z128,INDIRECT("'SpxSp (step-d)'!$" &amp; 'SpxSp (step-d)'!$AD$16 &amp; DA$72),"")</f>
        <v/>
      </c>
      <c r="DB128" s="1317" t="str">
        <f ca="1">IF(INDIRECT("'SpxSp (step-d)'!$B" &amp; DB$72)=$Z128,INDIRECT("'SpxSp (step-d)'!$" &amp; 'SpxSp (step-d)'!$AD$16 &amp; DB$72),"")</f>
        <v/>
      </c>
      <c r="DC128" s="1317" t="str">
        <f ca="1">IF(INDIRECT("'SpxSp (step-d)'!$B" &amp; DC$72)=$Z128,INDIRECT("'SpxSp (step-d)'!$" &amp; 'SpxSp (step-d)'!$AD$16 &amp; DC$72),"")</f>
        <v/>
      </c>
      <c r="DD128" s="1317" t="str">
        <f ca="1">IF(INDIRECT("'SpxSp (step-d)'!$B" &amp; DD$72)=$Z128,INDIRECT("'SpxSp (step-d)'!$" &amp; 'SpxSp (step-d)'!$AD$16 &amp; DD$72),"")</f>
        <v/>
      </c>
      <c r="DE128" s="1317" t="str">
        <f ca="1">IF(INDIRECT("'SpxSp (step-d)'!$B" &amp; DE$72)=$Z128,INDIRECT("'SpxSp (step-d)'!$" &amp; 'SpxSp (step-d)'!$AD$16 &amp; DE$72),"")</f>
        <v/>
      </c>
      <c r="DF128" s="1317" t="str">
        <f ca="1">IF(INDIRECT("'SpxSp (step-d)'!$B" &amp; DF$72)=$Z128,INDIRECT("'SpxSp (step-d)'!$" &amp; 'SpxSp (step-d)'!$AD$16 &amp; DF$72),"")</f>
        <v/>
      </c>
      <c r="DG128" s="1317" t="str">
        <f ca="1">IF(INDIRECT("'SpxSp (step-d)'!$B" &amp; DG$72)=$Z128,INDIRECT("'SpxSp (step-d)'!$" &amp; 'SpxSp (step-d)'!$AD$16 &amp; DG$72),"")</f>
        <v/>
      </c>
      <c r="DH128" s="1317" t="str">
        <f ca="1">IF(INDIRECT("'SpxSp (step-d)'!$B" &amp; DH$72)=$Z128,INDIRECT("'SpxSp (step-d)'!$" &amp; 'SpxSp (step-d)'!$AD$16 &amp; DH$72),"")</f>
        <v/>
      </c>
      <c r="DI128" s="1317" t="str">
        <f ca="1">IF(INDIRECT("'SpxSp (step-d)'!$B" &amp; DI$72)=$Z128,INDIRECT("'SpxSp (step-d)'!$" &amp; 'SpxSp (step-d)'!$AD$16 &amp; DI$72),"")</f>
        <v/>
      </c>
      <c r="DJ128" s="1317" t="str">
        <f ca="1">IF(INDIRECT("'SpxSp (step-d)'!$B" &amp; DJ$72)=$Z128,INDIRECT("'SpxSp (step-d)'!$" &amp; 'SpxSp (step-d)'!$AD$16 &amp; DJ$72),"")</f>
        <v/>
      </c>
      <c r="DK128" s="1317" t="str">
        <f ca="1">IF(INDIRECT("'SpxSp (step-d)'!$B" &amp; DK$72)=$Z128,INDIRECT("'SpxSp (step-d)'!$" &amp; 'SpxSp (step-d)'!$AD$16 &amp; DK$72),"")</f>
        <v/>
      </c>
      <c r="DL128" s="1317" t="str">
        <f ca="1">IF(INDIRECT("'SpxSp (step-d)'!$B" &amp; DL$72)=$Z128,INDIRECT("'SpxSp (step-d)'!$" &amp; 'SpxSp (step-d)'!$AD$16 &amp; DL$72),"")</f>
        <v/>
      </c>
      <c r="DM128" s="1317" t="str">
        <f ca="1">IF(INDIRECT("'SpxSp (step-d)'!$B" &amp; DM$72)=$Z128,INDIRECT("'SpxSp (step-d)'!$" &amp; 'SpxSp (step-d)'!$AD$16 &amp; DM$72),"")</f>
        <v/>
      </c>
      <c r="DO128" s="1246" t="s">
        <v>1200</v>
      </c>
    </row>
    <row r="129" spans="26:119" ht="20" x14ac:dyDescent="0.2">
      <c r="Z129" s="1317" t="str">
        <f t="shared" ref="Z129:AA129" si="93">Z74</f>
        <v/>
      </c>
      <c r="AA129" s="1317" t="str">
        <f t="shared" si="93"/>
        <v/>
      </c>
      <c r="BM129" s="178" t="str">
        <f>IFERROR(VLOOKUP(Z129,'SpxSp (step-d)'!B$18:I$67,6,FALSE),"")</f>
        <v/>
      </c>
      <c r="BN129" s="178">
        <v>2</v>
      </c>
      <c r="BO129" s="1316" t="str">
        <f t="shared" ca="1" si="92"/>
        <v/>
      </c>
      <c r="BP129" s="1317" t="str">
        <f ca="1">IF(INDIRECT("'SpxSp (step-d)'!$B" &amp; BP$72)=$Z129,INDIRECT("'SpxSp (step-d)'!$" &amp; 'SpxSp (step-d)'!$AD$16 &amp; BP$72),"")</f>
        <v/>
      </c>
      <c r="BQ129" s="1317" t="str">
        <f ca="1">IF(INDIRECT("'SpxSp (step-d)'!$B" &amp; BQ$72)=$Z129,INDIRECT("'SpxSp (step-d)'!$" &amp; 'SpxSp (step-d)'!$AD$16 &amp; BQ$72),"")</f>
        <v/>
      </c>
      <c r="BR129" s="1317" t="str">
        <f ca="1">IF(INDIRECT("'SpxSp (step-d)'!$B" &amp; BR$72)=$Z129,INDIRECT("'SpxSp (step-d)'!$" &amp; 'SpxSp (step-d)'!$AD$16 &amp; BR$72),"")</f>
        <v/>
      </c>
      <c r="BS129" s="1317" t="str">
        <f ca="1">IF(INDIRECT("'SpxSp (step-d)'!$B" &amp; BS$72)=$Z129,INDIRECT("'SpxSp (step-d)'!$" &amp; 'SpxSp (step-d)'!$AD$16 &amp; BS$72),"")</f>
        <v/>
      </c>
      <c r="BT129" s="1317" t="str">
        <f ca="1">IF(INDIRECT("'SpxSp (step-d)'!$B" &amp; BT$72)=$Z129,INDIRECT("'SpxSp (step-d)'!$" &amp; 'SpxSp (step-d)'!$AD$16 &amp; BT$72),"")</f>
        <v/>
      </c>
      <c r="BU129" s="1317" t="str">
        <f ca="1">IF(INDIRECT("'SpxSp (step-d)'!$B" &amp; BU$72)=$Z129,INDIRECT("'SpxSp (step-d)'!$" &amp; 'SpxSp (step-d)'!$AD$16 &amp; BU$72),"")</f>
        <v/>
      </c>
      <c r="BV129" s="1317" t="str">
        <f ca="1">IF(INDIRECT("'SpxSp (step-d)'!$B" &amp; BV$72)=$Z129,INDIRECT("'SpxSp (step-d)'!$" &amp; 'SpxSp (step-d)'!$AD$16 &amp; BV$72),"")</f>
        <v/>
      </c>
      <c r="BW129" s="1317" t="str">
        <f ca="1">IF(INDIRECT("'SpxSp (step-d)'!$B" &amp; BW$72)=$Z129,INDIRECT("'SpxSp (step-d)'!$" &amp; 'SpxSp (step-d)'!$AD$16 &amp; BW$72),"")</f>
        <v/>
      </c>
      <c r="BX129" s="1317" t="str">
        <f ca="1">IF(INDIRECT("'SpxSp (step-d)'!$B" &amp; BX$72)=$Z129,INDIRECT("'SpxSp (step-d)'!$" &amp; 'SpxSp (step-d)'!$AD$16 &amp; BX$72),"")</f>
        <v/>
      </c>
      <c r="BY129" s="1317" t="str">
        <f ca="1">IF(INDIRECT("'SpxSp (step-d)'!$B" &amp; BY$72)=$Z129,INDIRECT("'SpxSp (step-d)'!$" &amp; 'SpxSp (step-d)'!$AD$16 &amp; BY$72),"")</f>
        <v/>
      </c>
      <c r="BZ129" s="1317" t="str">
        <f ca="1">IF(INDIRECT("'SpxSp (step-d)'!$B" &amp; BZ$72)=$Z129,INDIRECT("'SpxSp (step-d)'!$" &amp; 'SpxSp (step-d)'!$AD$16 &amp; BZ$72),"")</f>
        <v/>
      </c>
      <c r="CA129" s="1317" t="str">
        <f ca="1">IF(INDIRECT("'SpxSp (step-d)'!$B" &amp; CA$72)=$Z129,INDIRECT("'SpxSp (step-d)'!$" &amp; 'SpxSp (step-d)'!$AD$16 &amp; CA$72),"")</f>
        <v/>
      </c>
      <c r="CB129" s="1317" t="str">
        <f ca="1">IF(INDIRECT("'SpxSp (step-d)'!$B" &amp; CB$72)=$Z129,INDIRECT("'SpxSp (step-d)'!$" &amp; 'SpxSp (step-d)'!$AD$16 &amp; CB$72),"")</f>
        <v/>
      </c>
      <c r="CC129" s="1317" t="str">
        <f ca="1">IF(INDIRECT("'SpxSp (step-d)'!$B" &amp; CC$72)=$Z129,INDIRECT("'SpxSp (step-d)'!$" &amp; 'SpxSp (step-d)'!$AD$16 &amp; CC$72),"")</f>
        <v/>
      </c>
      <c r="CD129" s="1317" t="str">
        <f ca="1">IF(INDIRECT("'SpxSp (step-d)'!$B" &amp; CD$72)=$Z129,INDIRECT("'SpxSp (step-d)'!$" &amp; 'SpxSp (step-d)'!$AD$16 &amp; CD$72),"")</f>
        <v/>
      </c>
      <c r="CE129" s="1317" t="str">
        <f ca="1">IF(INDIRECT("'SpxSp (step-d)'!$B" &amp; CE$72)=$Z129,INDIRECT("'SpxSp (step-d)'!$" &amp; 'SpxSp (step-d)'!$AD$16 &amp; CE$72),"")</f>
        <v/>
      </c>
      <c r="CF129" s="1317" t="str">
        <f ca="1">IF(INDIRECT("'SpxSp (step-d)'!$B" &amp; CF$72)=$Z129,INDIRECT("'SpxSp (step-d)'!$" &amp; 'SpxSp (step-d)'!$AD$16 &amp; CF$72),"")</f>
        <v/>
      </c>
      <c r="CG129" s="1317" t="str">
        <f ca="1">IF(INDIRECT("'SpxSp (step-d)'!$B" &amp; CG$72)=$Z129,INDIRECT("'SpxSp (step-d)'!$" &amp; 'SpxSp (step-d)'!$AD$16 &amp; CG$72),"")</f>
        <v/>
      </c>
      <c r="CH129" s="1317" t="str">
        <f ca="1">IF(INDIRECT("'SpxSp (step-d)'!$B" &amp; CH$72)=$Z129,INDIRECT("'SpxSp (step-d)'!$" &amp; 'SpxSp (step-d)'!$AD$16 &amp; CH$72),"")</f>
        <v/>
      </c>
      <c r="CI129" s="1317" t="str">
        <f ca="1">IF(INDIRECT("'SpxSp (step-d)'!$B" &amp; CI$72)=$Z129,INDIRECT("'SpxSp (step-d)'!$" &amp; 'SpxSp (step-d)'!$AD$16 &amp; CI$72),"")</f>
        <v/>
      </c>
      <c r="CJ129" s="1317" t="str">
        <f ca="1">IF(INDIRECT("'SpxSp (step-d)'!$B" &amp; CJ$72)=$Z129,INDIRECT("'SpxSp (step-d)'!$" &amp; 'SpxSp (step-d)'!$AD$16 &amp; CJ$72),"")</f>
        <v/>
      </c>
      <c r="CK129" s="1317" t="str">
        <f ca="1">IF(INDIRECT("'SpxSp (step-d)'!$B" &amp; CK$72)=$Z129,INDIRECT("'SpxSp (step-d)'!$" &amp; 'SpxSp (step-d)'!$AD$16 &amp; CK$72),"")</f>
        <v/>
      </c>
      <c r="CL129" s="1317" t="str">
        <f ca="1">IF(INDIRECT("'SpxSp (step-d)'!$B" &amp; CL$72)=$Z129,INDIRECT("'SpxSp (step-d)'!$" &amp; 'SpxSp (step-d)'!$AD$16 &amp; CL$72),"")</f>
        <v/>
      </c>
      <c r="CM129" s="1317" t="str">
        <f ca="1">IF(INDIRECT("'SpxSp (step-d)'!$B" &amp; CM$72)=$Z129,INDIRECT("'SpxSp (step-d)'!$" &amp; 'SpxSp (step-d)'!$AD$16 &amp; CM$72),"")</f>
        <v/>
      </c>
      <c r="CN129" s="1317" t="str">
        <f ca="1">IF(INDIRECT("'SpxSp (step-d)'!$B" &amp; CN$72)=$Z129,INDIRECT("'SpxSp (step-d)'!$" &amp; 'SpxSp (step-d)'!$AD$16 &amp; CN$72),"")</f>
        <v/>
      </c>
      <c r="CO129" s="1317" t="str">
        <f ca="1">IF(INDIRECT("'SpxSp (step-d)'!$B" &amp; CO$72)=$Z129,INDIRECT("'SpxSp (step-d)'!$" &amp; 'SpxSp (step-d)'!$AD$16 &amp; CO$72),"")</f>
        <v/>
      </c>
      <c r="CP129" s="1317" t="str">
        <f ca="1">IF(INDIRECT("'SpxSp (step-d)'!$B" &amp; CP$72)=$Z129,INDIRECT("'SpxSp (step-d)'!$" &amp; 'SpxSp (step-d)'!$AD$16 &amp; CP$72),"")</f>
        <v/>
      </c>
      <c r="CQ129" s="1317" t="str">
        <f ca="1">IF(INDIRECT("'SpxSp (step-d)'!$B" &amp; CQ$72)=$Z129,INDIRECT("'SpxSp (step-d)'!$" &amp; 'SpxSp (step-d)'!$AD$16 &amp; CQ$72),"")</f>
        <v/>
      </c>
      <c r="CR129" s="1317" t="str">
        <f ca="1">IF(INDIRECT("'SpxSp (step-d)'!$B" &amp; CR$72)=$Z129,INDIRECT("'SpxSp (step-d)'!$" &amp; 'SpxSp (step-d)'!$AD$16 &amp; CR$72),"")</f>
        <v/>
      </c>
      <c r="CS129" s="1317" t="str">
        <f ca="1">IF(INDIRECT("'SpxSp (step-d)'!$B" &amp; CS$72)=$Z129,INDIRECT("'SpxSp (step-d)'!$" &amp; 'SpxSp (step-d)'!$AD$16 &amp; CS$72),"")</f>
        <v/>
      </c>
      <c r="CT129" s="1317" t="str">
        <f ca="1">IF(INDIRECT("'SpxSp (step-d)'!$B" &amp; CT$72)=$Z129,INDIRECT("'SpxSp (step-d)'!$" &amp; 'SpxSp (step-d)'!$AD$16 &amp; CT$72),"")</f>
        <v/>
      </c>
      <c r="CU129" s="1317" t="str">
        <f ca="1">IF(INDIRECT("'SpxSp (step-d)'!$B" &amp; CU$72)=$Z129,INDIRECT("'SpxSp (step-d)'!$" &amp; 'SpxSp (step-d)'!$AD$16 &amp; CU$72),"")</f>
        <v/>
      </c>
      <c r="CV129" s="1317" t="str">
        <f ca="1">IF(INDIRECT("'SpxSp (step-d)'!$B" &amp; CV$72)=$Z129,INDIRECT("'SpxSp (step-d)'!$" &amp; 'SpxSp (step-d)'!$AD$16 &amp; CV$72),"")</f>
        <v/>
      </c>
      <c r="CW129" s="1317" t="str">
        <f ca="1">IF(INDIRECT("'SpxSp (step-d)'!$B" &amp; CW$72)=$Z129,INDIRECT("'SpxSp (step-d)'!$" &amp; 'SpxSp (step-d)'!$AD$16 &amp; CW$72),"")</f>
        <v/>
      </c>
      <c r="CX129" s="1317" t="str">
        <f ca="1">IF(INDIRECT("'SpxSp (step-d)'!$B" &amp; CX$72)=$Z129,INDIRECT("'SpxSp (step-d)'!$" &amp; 'SpxSp (step-d)'!$AD$16 &amp; CX$72),"")</f>
        <v/>
      </c>
      <c r="CY129" s="1317" t="str">
        <f ca="1">IF(INDIRECT("'SpxSp (step-d)'!$B" &amp; CY$72)=$Z129,INDIRECT("'SpxSp (step-d)'!$" &amp; 'SpxSp (step-d)'!$AD$16 &amp; CY$72),"")</f>
        <v/>
      </c>
      <c r="CZ129" s="1317" t="str">
        <f ca="1">IF(INDIRECT("'SpxSp (step-d)'!$B" &amp; CZ$72)=$Z129,INDIRECT("'SpxSp (step-d)'!$" &amp; 'SpxSp (step-d)'!$AD$16 &amp; CZ$72),"")</f>
        <v/>
      </c>
      <c r="DA129" s="1317" t="str">
        <f ca="1">IF(INDIRECT("'SpxSp (step-d)'!$B" &amp; DA$72)=$Z129,INDIRECT("'SpxSp (step-d)'!$" &amp; 'SpxSp (step-d)'!$AD$16 &amp; DA$72),"")</f>
        <v/>
      </c>
      <c r="DB129" s="1317" t="str">
        <f ca="1">IF(INDIRECT("'SpxSp (step-d)'!$B" &amp; DB$72)=$Z129,INDIRECT("'SpxSp (step-d)'!$" &amp; 'SpxSp (step-d)'!$AD$16 &amp; DB$72),"")</f>
        <v/>
      </c>
      <c r="DC129" s="1317" t="str">
        <f ca="1">IF(INDIRECT("'SpxSp (step-d)'!$B" &amp; DC$72)=$Z129,INDIRECT("'SpxSp (step-d)'!$" &amp; 'SpxSp (step-d)'!$AD$16 &amp; DC$72),"")</f>
        <v/>
      </c>
      <c r="DD129" s="1317" t="str">
        <f ca="1">IF(INDIRECT("'SpxSp (step-d)'!$B" &amp; DD$72)=$Z129,INDIRECT("'SpxSp (step-d)'!$" &amp; 'SpxSp (step-d)'!$AD$16 &amp; DD$72),"")</f>
        <v/>
      </c>
      <c r="DE129" s="1317" t="str">
        <f ca="1">IF(INDIRECT("'SpxSp (step-d)'!$B" &amp; DE$72)=$Z129,INDIRECT("'SpxSp (step-d)'!$" &amp; 'SpxSp (step-d)'!$AD$16 &amp; DE$72),"")</f>
        <v/>
      </c>
      <c r="DF129" s="1317" t="str">
        <f ca="1">IF(INDIRECT("'SpxSp (step-d)'!$B" &amp; DF$72)=$Z129,INDIRECT("'SpxSp (step-d)'!$" &amp; 'SpxSp (step-d)'!$AD$16 &amp; DF$72),"")</f>
        <v/>
      </c>
      <c r="DG129" s="1317" t="str">
        <f ca="1">IF(INDIRECT("'SpxSp (step-d)'!$B" &amp; DG$72)=$Z129,INDIRECT("'SpxSp (step-d)'!$" &amp; 'SpxSp (step-d)'!$AD$16 &amp; DG$72),"")</f>
        <v/>
      </c>
      <c r="DH129" s="1317" t="str">
        <f ca="1">IF(INDIRECT("'SpxSp (step-d)'!$B" &amp; DH$72)=$Z129,INDIRECT("'SpxSp (step-d)'!$" &amp; 'SpxSp (step-d)'!$AD$16 &amp; DH$72),"")</f>
        <v/>
      </c>
      <c r="DI129" s="1317" t="str">
        <f ca="1">IF(INDIRECT("'SpxSp (step-d)'!$B" &amp; DI$72)=$Z129,INDIRECT("'SpxSp (step-d)'!$" &amp; 'SpxSp (step-d)'!$AD$16 &amp; DI$72),"")</f>
        <v/>
      </c>
      <c r="DJ129" s="1317" t="str">
        <f ca="1">IF(INDIRECT("'SpxSp (step-d)'!$B" &amp; DJ$72)=$Z129,INDIRECT("'SpxSp (step-d)'!$" &amp; 'SpxSp (step-d)'!$AD$16 &amp; DJ$72),"")</f>
        <v/>
      </c>
      <c r="DK129" s="1317" t="str">
        <f ca="1">IF(INDIRECT("'SpxSp (step-d)'!$B" &amp; DK$72)=$Z129,INDIRECT("'SpxSp (step-d)'!$" &amp; 'SpxSp (step-d)'!$AD$16 &amp; DK$72),"")</f>
        <v/>
      </c>
      <c r="DL129" s="1317" t="str">
        <f ca="1">IF(INDIRECT("'SpxSp (step-d)'!$B" &amp; DL$72)=$Z129,INDIRECT("'SpxSp (step-d)'!$" &amp; 'SpxSp (step-d)'!$AD$16 &amp; DL$72),"")</f>
        <v/>
      </c>
      <c r="DM129" s="1317" t="str">
        <f ca="1">IF(INDIRECT("'SpxSp (step-d)'!$B" &amp; DM$72)=$Z129,INDIRECT("'SpxSp (step-d)'!$" &amp; 'SpxSp (step-d)'!$AD$16 &amp; DM$72),"")</f>
        <v/>
      </c>
      <c r="DO129" s="1246" t="s">
        <v>1200</v>
      </c>
    </row>
    <row r="130" spans="26:119" ht="20" x14ac:dyDescent="0.2">
      <c r="Z130" s="1317" t="str">
        <f t="shared" ref="Z130:AA130" si="94">Z75</f>
        <v/>
      </c>
      <c r="AA130" s="1317" t="str">
        <f t="shared" si="94"/>
        <v/>
      </c>
      <c r="BM130" s="178" t="str">
        <f>IFERROR(VLOOKUP(Z130,'SpxSp (step-d)'!B$18:I$67,6,FALSE),"")</f>
        <v/>
      </c>
      <c r="BN130" s="178">
        <v>3</v>
      </c>
      <c r="BO130" s="1316" t="str">
        <f t="shared" ca="1" si="92"/>
        <v/>
      </c>
      <c r="BP130" s="1317" t="str">
        <f ca="1">IF(INDIRECT("'SpxSp (step-d)'!$B" &amp; BP$72)=$Z130,INDIRECT("'SpxSp (step-d)'!$" &amp; 'SpxSp (step-d)'!$AD$16 &amp; BP$72),"")</f>
        <v/>
      </c>
      <c r="BQ130" s="1317" t="str">
        <f ca="1">IF(INDIRECT("'SpxSp (step-d)'!$B" &amp; BQ$72)=$Z130,INDIRECT("'SpxSp (step-d)'!$" &amp; 'SpxSp (step-d)'!$AD$16 &amp; BQ$72),"")</f>
        <v/>
      </c>
      <c r="BR130" s="1317" t="str">
        <f ca="1">IF(INDIRECT("'SpxSp (step-d)'!$B" &amp; BR$72)=$Z130,INDIRECT("'SpxSp (step-d)'!$" &amp; 'SpxSp (step-d)'!$AD$16 &amp; BR$72),"")</f>
        <v/>
      </c>
      <c r="BS130" s="1317" t="str">
        <f ca="1">IF(INDIRECT("'SpxSp (step-d)'!$B" &amp; BS$72)=$Z130,INDIRECT("'SpxSp (step-d)'!$" &amp; 'SpxSp (step-d)'!$AD$16 &amp; BS$72),"")</f>
        <v/>
      </c>
      <c r="BT130" s="1317" t="str">
        <f ca="1">IF(INDIRECT("'SpxSp (step-d)'!$B" &amp; BT$72)=$Z130,INDIRECT("'SpxSp (step-d)'!$" &amp; 'SpxSp (step-d)'!$AD$16 &amp; BT$72),"")</f>
        <v/>
      </c>
      <c r="BU130" s="1317" t="str">
        <f ca="1">IF(INDIRECT("'SpxSp (step-d)'!$B" &amp; BU$72)=$Z130,INDIRECT("'SpxSp (step-d)'!$" &amp; 'SpxSp (step-d)'!$AD$16 &amp; BU$72),"")</f>
        <v/>
      </c>
      <c r="BV130" s="1317" t="str">
        <f ca="1">IF(INDIRECT("'SpxSp (step-d)'!$B" &amp; BV$72)=$Z130,INDIRECT("'SpxSp (step-d)'!$" &amp; 'SpxSp (step-d)'!$AD$16 &amp; BV$72),"")</f>
        <v/>
      </c>
      <c r="BW130" s="1317" t="str">
        <f ca="1">IF(INDIRECT("'SpxSp (step-d)'!$B" &amp; BW$72)=$Z130,INDIRECT("'SpxSp (step-d)'!$" &amp; 'SpxSp (step-d)'!$AD$16 &amp; BW$72),"")</f>
        <v/>
      </c>
      <c r="BX130" s="1317" t="str">
        <f ca="1">IF(INDIRECT("'SpxSp (step-d)'!$B" &amp; BX$72)=$Z130,INDIRECT("'SpxSp (step-d)'!$" &amp; 'SpxSp (step-d)'!$AD$16 &amp; BX$72),"")</f>
        <v/>
      </c>
      <c r="BY130" s="1317" t="str">
        <f ca="1">IF(INDIRECT("'SpxSp (step-d)'!$B" &amp; BY$72)=$Z130,INDIRECT("'SpxSp (step-d)'!$" &amp; 'SpxSp (step-d)'!$AD$16 &amp; BY$72),"")</f>
        <v/>
      </c>
      <c r="BZ130" s="1317" t="str">
        <f ca="1">IF(INDIRECT("'SpxSp (step-d)'!$B" &amp; BZ$72)=$Z130,INDIRECT("'SpxSp (step-d)'!$" &amp; 'SpxSp (step-d)'!$AD$16 &amp; BZ$72),"")</f>
        <v/>
      </c>
      <c r="CA130" s="1317" t="str">
        <f ca="1">IF(INDIRECT("'SpxSp (step-d)'!$B" &amp; CA$72)=$Z130,INDIRECT("'SpxSp (step-d)'!$" &amp; 'SpxSp (step-d)'!$AD$16 &amp; CA$72),"")</f>
        <v/>
      </c>
      <c r="CB130" s="1317" t="str">
        <f ca="1">IF(INDIRECT("'SpxSp (step-d)'!$B" &amp; CB$72)=$Z130,INDIRECT("'SpxSp (step-d)'!$" &amp; 'SpxSp (step-d)'!$AD$16 &amp; CB$72),"")</f>
        <v/>
      </c>
      <c r="CC130" s="1317" t="str">
        <f ca="1">IF(INDIRECT("'SpxSp (step-d)'!$B" &amp; CC$72)=$Z130,INDIRECT("'SpxSp (step-d)'!$" &amp; 'SpxSp (step-d)'!$AD$16 &amp; CC$72),"")</f>
        <v/>
      </c>
      <c r="CD130" s="1317" t="str">
        <f ca="1">IF(INDIRECT("'SpxSp (step-d)'!$B" &amp; CD$72)=$Z130,INDIRECT("'SpxSp (step-d)'!$" &amp; 'SpxSp (step-d)'!$AD$16 &amp; CD$72),"")</f>
        <v/>
      </c>
      <c r="CE130" s="1317" t="str">
        <f ca="1">IF(INDIRECT("'SpxSp (step-d)'!$B" &amp; CE$72)=$Z130,INDIRECT("'SpxSp (step-d)'!$" &amp; 'SpxSp (step-d)'!$AD$16 &amp; CE$72),"")</f>
        <v/>
      </c>
      <c r="CF130" s="1317" t="str">
        <f ca="1">IF(INDIRECT("'SpxSp (step-d)'!$B" &amp; CF$72)=$Z130,INDIRECT("'SpxSp (step-d)'!$" &amp; 'SpxSp (step-d)'!$AD$16 &amp; CF$72),"")</f>
        <v/>
      </c>
      <c r="CG130" s="1317" t="str">
        <f ca="1">IF(INDIRECT("'SpxSp (step-d)'!$B" &amp; CG$72)=$Z130,INDIRECT("'SpxSp (step-d)'!$" &amp; 'SpxSp (step-d)'!$AD$16 &amp; CG$72),"")</f>
        <v/>
      </c>
      <c r="CH130" s="1317" t="str">
        <f ca="1">IF(INDIRECT("'SpxSp (step-d)'!$B" &amp; CH$72)=$Z130,INDIRECT("'SpxSp (step-d)'!$" &amp; 'SpxSp (step-d)'!$AD$16 &amp; CH$72),"")</f>
        <v/>
      </c>
      <c r="CI130" s="1317" t="str">
        <f ca="1">IF(INDIRECT("'SpxSp (step-d)'!$B" &amp; CI$72)=$Z130,INDIRECT("'SpxSp (step-d)'!$" &amp; 'SpxSp (step-d)'!$AD$16 &amp; CI$72),"")</f>
        <v/>
      </c>
      <c r="CJ130" s="1317" t="str">
        <f ca="1">IF(INDIRECT("'SpxSp (step-d)'!$B" &amp; CJ$72)=$Z130,INDIRECT("'SpxSp (step-d)'!$" &amp; 'SpxSp (step-d)'!$AD$16 &amp; CJ$72),"")</f>
        <v/>
      </c>
      <c r="CK130" s="1317" t="str">
        <f ca="1">IF(INDIRECT("'SpxSp (step-d)'!$B" &amp; CK$72)=$Z130,INDIRECT("'SpxSp (step-d)'!$" &amp; 'SpxSp (step-d)'!$AD$16 &amp; CK$72),"")</f>
        <v/>
      </c>
      <c r="CL130" s="1317" t="str">
        <f ca="1">IF(INDIRECT("'SpxSp (step-d)'!$B" &amp; CL$72)=$Z130,INDIRECT("'SpxSp (step-d)'!$" &amp; 'SpxSp (step-d)'!$AD$16 &amp; CL$72),"")</f>
        <v/>
      </c>
      <c r="CM130" s="1317" t="str">
        <f ca="1">IF(INDIRECT("'SpxSp (step-d)'!$B" &amp; CM$72)=$Z130,INDIRECT("'SpxSp (step-d)'!$" &amp; 'SpxSp (step-d)'!$AD$16 &amp; CM$72),"")</f>
        <v/>
      </c>
      <c r="CN130" s="1317" t="str">
        <f ca="1">IF(INDIRECT("'SpxSp (step-d)'!$B" &amp; CN$72)=$Z130,INDIRECT("'SpxSp (step-d)'!$" &amp; 'SpxSp (step-d)'!$AD$16 &amp; CN$72),"")</f>
        <v/>
      </c>
      <c r="CO130" s="1317" t="str">
        <f ca="1">IF(INDIRECT("'SpxSp (step-d)'!$B" &amp; CO$72)=$Z130,INDIRECT("'SpxSp (step-d)'!$" &amp; 'SpxSp (step-d)'!$AD$16 &amp; CO$72),"")</f>
        <v/>
      </c>
      <c r="CP130" s="1317" t="str">
        <f ca="1">IF(INDIRECT("'SpxSp (step-d)'!$B" &amp; CP$72)=$Z130,INDIRECT("'SpxSp (step-d)'!$" &amp; 'SpxSp (step-d)'!$AD$16 &amp; CP$72),"")</f>
        <v/>
      </c>
      <c r="CQ130" s="1317" t="str">
        <f ca="1">IF(INDIRECT("'SpxSp (step-d)'!$B" &amp; CQ$72)=$Z130,INDIRECT("'SpxSp (step-d)'!$" &amp; 'SpxSp (step-d)'!$AD$16 &amp; CQ$72),"")</f>
        <v/>
      </c>
      <c r="CR130" s="1317" t="str">
        <f ca="1">IF(INDIRECT("'SpxSp (step-d)'!$B" &amp; CR$72)=$Z130,INDIRECT("'SpxSp (step-d)'!$" &amp; 'SpxSp (step-d)'!$AD$16 &amp; CR$72),"")</f>
        <v/>
      </c>
      <c r="CS130" s="1317" t="str">
        <f ca="1">IF(INDIRECT("'SpxSp (step-d)'!$B" &amp; CS$72)=$Z130,INDIRECT("'SpxSp (step-d)'!$" &amp; 'SpxSp (step-d)'!$AD$16 &amp; CS$72),"")</f>
        <v/>
      </c>
      <c r="CT130" s="1317" t="str">
        <f ca="1">IF(INDIRECT("'SpxSp (step-d)'!$B" &amp; CT$72)=$Z130,INDIRECT("'SpxSp (step-d)'!$" &amp; 'SpxSp (step-d)'!$AD$16 &amp; CT$72),"")</f>
        <v/>
      </c>
      <c r="CU130" s="1317" t="str">
        <f ca="1">IF(INDIRECT("'SpxSp (step-d)'!$B" &amp; CU$72)=$Z130,INDIRECT("'SpxSp (step-d)'!$" &amp; 'SpxSp (step-d)'!$AD$16 &amp; CU$72),"")</f>
        <v/>
      </c>
      <c r="CV130" s="1317" t="str">
        <f ca="1">IF(INDIRECT("'SpxSp (step-d)'!$B" &amp; CV$72)=$Z130,INDIRECT("'SpxSp (step-d)'!$" &amp; 'SpxSp (step-d)'!$AD$16 &amp; CV$72),"")</f>
        <v/>
      </c>
      <c r="CW130" s="1317" t="str">
        <f ca="1">IF(INDIRECT("'SpxSp (step-d)'!$B" &amp; CW$72)=$Z130,INDIRECT("'SpxSp (step-d)'!$" &amp; 'SpxSp (step-d)'!$AD$16 &amp; CW$72),"")</f>
        <v/>
      </c>
      <c r="CX130" s="1317" t="str">
        <f ca="1">IF(INDIRECT("'SpxSp (step-d)'!$B" &amp; CX$72)=$Z130,INDIRECT("'SpxSp (step-d)'!$" &amp; 'SpxSp (step-d)'!$AD$16 &amp; CX$72),"")</f>
        <v/>
      </c>
      <c r="CY130" s="1317" t="str">
        <f ca="1">IF(INDIRECT("'SpxSp (step-d)'!$B" &amp; CY$72)=$Z130,INDIRECT("'SpxSp (step-d)'!$" &amp; 'SpxSp (step-d)'!$AD$16 &amp; CY$72),"")</f>
        <v/>
      </c>
      <c r="CZ130" s="1317" t="str">
        <f ca="1">IF(INDIRECT("'SpxSp (step-d)'!$B" &amp; CZ$72)=$Z130,INDIRECT("'SpxSp (step-d)'!$" &amp; 'SpxSp (step-d)'!$AD$16 &amp; CZ$72),"")</f>
        <v/>
      </c>
      <c r="DA130" s="1317" t="str">
        <f ca="1">IF(INDIRECT("'SpxSp (step-d)'!$B" &amp; DA$72)=$Z130,INDIRECT("'SpxSp (step-d)'!$" &amp; 'SpxSp (step-d)'!$AD$16 &amp; DA$72),"")</f>
        <v/>
      </c>
      <c r="DB130" s="1317" t="str">
        <f ca="1">IF(INDIRECT("'SpxSp (step-d)'!$B" &amp; DB$72)=$Z130,INDIRECT("'SpxSp (step-d)'!$" &amp; 'SpxSp (step-d)'!$AD$16 &amp; DB$72),"")</f>
        <v/>
      </c>
      <c r="DC130" s="1317" t="str">
        <f ca="1">IF(INDIRECT("'SpxSp (step-d)'!$B" &amp; DC$72)=$Z130,INDIRECT("'SpxSp (step-d)'!$" &amp; 'SpxSp (step-d)'!$AD$16 &amp; DC$72),"")</f>
        <v/>
      </c>
      <c r="DD130" s="1317" t="str">
        <f ca="1">IF(INDIRECT("'SpxSp (step-d)'!$B" &amp; DD$72)=$Z130,INDIRECT("'SpxSp (step-d)'!$" &amp; 'SpxSp (step-d)'!$AD$16 &amp; DD$72),"")</f>
        <v/>
      </c>
      <c r="DE130" s="1317" t="str">
        <f ca="1">IF(INDIRECT("'SpxSp (step-d)'!$B" &amp; DE$72)=$Z130,INDIRECT("'SpxSp (step-d)'!$" &amp; 'SpxSp (step-d)'!$AD$16 &amp; DE$72),"")</f>
        <v/>
      </c>
      <c r="DF130" s="1317" t="str">
        <f ca="1">IF(INDIRECT("'SpxSp (step-d)'!$B" &amp; DF$72)=$Z130,INDIRECT("'SpxSp (step-d)'!$" &amp; 'SpxSp (step-d)'!$AD$16 &amp; DF$72),"")</f>
        <v/>
      </c>
      <c r="DG130" s="1317" t="str">
        <f ca="1">IF(INDIRECT("'SpxSp (step-d)'!$B" &amp; DG$72)=$Z130,INDIRECT("'SpxSp (step-d)'!$" &amp; 'SpxSp (step-d)'!$AD$16 &amp; DG$72),"")</f>
        <v/>
      </c>
      <c r="DH130" s="1317" t="str">
        <f ca="1">IF(INDIRECT("'SpxSp (step-d)'!$B" &amp; DH$72)=$Z130,INDIRECT("'SpxSp (step-d)'!$" &amp; 'SpxSp (step-d)'!$AD$16 &amp; DH$72),"")</f>
        <v/>
      </c>
      <c r="DI130" s="1317" t="str">
        <f ca="1">IF(INDIRECT("'SpxSp (step-d)'!$B" &amp; DI$72)=$Z130,INDIRECT("'SpxSp (step-d)'!$" &amp; 'SpxSp (step-d)'!$AD$16 &amp; DI$72),"")</f>
        <v/>
      </c>
      <c r="DJ130" s="1317" t="str">
        <f ca="1">IF(INDIRECT("'SpxSp (step-d)'!$B" &amp; DJ$72)=$Z130,INDIRECT("'SpxSp (step-d)'!$" &amp; 'SpxSp (step-d)'!$AD$16 &amp; DJ$72),"")</f>
        <v/>
      </c>
      <c r="DK130" s="1317" t="str">
        <f ca="1">IF(INDIRECT("'SpxSp (step-d)'!$B" &amp; DK$72)=$Z130,INDIRECT("'SpxSp (step-d)'!$" &amp; 'SpxSp (step-d)'!$AD$16 &amp; DK$72),"")</f>
        <v/>
      </c>
      <c r="DL130" s="1317" t="str">
        <f ca="1">IF(INDIRECT("'SpxSp (step-d)'!$B" &amp; DL$72)=$Z130,INDIRECT("'SpxSp (step-d)'!$" &amp; 'SpxSp (step-d)'!$AD$16 &amp; DL$72),"")</f>
        <v/>
      </c>
      <c r="DM130" s="1317" t="str">
        <f ca="1">IF(INDIRECT("'SpxSp (step-d)'!$B" &amp; DM$72)=$Z130,INDIRECT("'SpxSp (step-d)'!$" &amp; 'SpxSp (step-d)'!$AD$16 &amp; DM$72),"")</f>
        <v/>
      </c>
      <c r="DO130" s="1246" t="s">
        <v>1200</v>
      </c>
    </row>
    <row r="131" spans="26:119" ht="20" x14ac:dyDescent="0.2">
      <c r="Z131" s="1317" t="str">
        <f t="shared" ref="Z131:AA131" si="95">Z76</f>
        <v/>
      </c>
      <c r="AA131" s="1317" t="str">
        <f t="shared" si="95"/>
        <v/>
      </c>
      <c r="BM131" s="178" t="str">
        <f>IFERROR(VLOOKUP(Z131,'SpxSp (step-d)'!B$18:I$67,6,FALSE),"")</f>
        <v/>
      </c>
      <c r="BN131" s="178">
        <v>4</v>
      </c>
      <c r="BO131" s="1316" t="str">
        <f t="shared" ca="1" si="92"/>
        <v/>
      </c>
      <c r="BP131" s="1317" t="str">
        <f ca="1">IF(INDIRECT("'SpxSp (step-d)'!$B" &amp; BP$72)=$Z131,INDIRECT("'SpxSp (step-d)'!$" &amp; 'SpxSp (step-d)'!$AD$16 &amp; BP$72),"")</f>
        <v/>
      </c>
      <c r="BQ131" s="1317" t="str">
        <f ca="1">IF(INDIRECT("'SpxSp (step-d)'!$B" &amp; BQ$72)=$Z131,INDIRECT("'SpxSp (step-d)'!$" &amp; 'SpxSp (step-d)'!$AD$16 &amp; BQ$72),"")</f>
        <v/>
      </c>
      <c r="BR131" s="1317" t="str">
        <f ca="1">IF(INDIRECT("'SpxSp (step-d)'!$B" &amp; BR$72)=$Z131,INDIRECT("'SpxSp (step-d)'!$" &amp; 'SpxSp (step-d)'!$AD$16 &amp; BR$72),"")</f>
        <v/>
      </c>
      <c r="BS131" s="1317" t="str">
        <f ca="1">IF(INDIRECT("'SpxSp (step-d)'!$B" &amp; BS$72)=$Z131,INDIRECT("'SpxSp (step-d)'!$" &amp; 'SpxSp (step-d)'!$AD$16 &amp; BS$72),"")</f>
        <v/>
      </c>
      <c r="BT131" s="1317" t="str">
        <f ca="1">IF(INDIRECT("'SpxSp (step-d)'!$B" &amp; BT$72)=$Z131,INDIRECT("'SpxSp (step-d)'!$" &amp; 'SpxSp (step-d)'!$AD$16 &amp; BT$72),"")</f>
        <v/>
      </c>
      <c r="BU131" s="1317" t="str">
        <f ca="1">IF(INDIRECT("'SpxSp (step-d)'!$B" &amp; BU$72)=$Z131,INDIRECT("'SpxSp (step-d)'!$" &amp; 'SpxSp (step-d)'!$AD$16 &amp; BU$72),"")</f>
        <v/>
      </c>
      <c r="BV131" s="1317" t="str">
        <f ca="1">IF(INDIRECT("'SpxSp (step-d)'!$B" &amp; BV$72)=$Z131,INDIRECT("'SpxSp (step-d)'!$" &amp; 'SpxSp (step-d)'!$AD$16 &amp; BV$72),"")</f>
        <v/>
      </c>
      <c r="BW131" s="1317" t="str">
        <f ca="1">IF(INDIRECT("'SpxSp (step-d)'!$B" &amp; BW$72)=$Z131,INDIRECT("'SpxSp (step-d)'!$" &amp; 'SpxSp (step-d)'!$AD$16 &amp; BW$72),"")</f>
        <v/>
      </c>
      <c r="BX131" s="1317" t="str">
        <f ca="1">IF(INDIRECT("'SpxSp (step-d)'!$B" &amp; BX$72)=$Z131,INDIRECT("'SpxSp (step-d)'!$" &amp; 'SpxSp (step-d)'!$AD$16 &amp; BX$72),"")</f>
        <v/>
      </c>
      <c r="BY131" s="1317" t="str">
        <f ca="1">IF(INDIRECT("'SpxSp (step-d)'!$B" &amp; BY$72)=$Z131,INDIRECT("'SpxSp (step-d)'!$" &amp; 'SpxSp (step-d)'!$AD$16 &amp; BY$72),"")</f>
        <v/>
      </c>
      <c r="BZ131" s="1317" t="str">
        <f ca="1">IF(INDIRECT("'SpxSp (step-d)'!$B" &amp; BZ$72)=$Z131,INDIRECT("'SpxSp (step-d)'!$" &amp; 'SpxSp (step-d)'!$AD$16 &amp; BZ$72),"")</f>
        <v/>
      </c>
      <c r="CA131" s="1317" t="str">
        <f ca="1">IF(INDIRECT("'SpxSp (step-d)'!$B" &amp; CA$72)=$Z131,INDIRECT("'SpxSp (step-d)'!$" &amp; 'SpxSp (step-d)'!$AD$16 &amp; CA$72),"")</f>
        <v/>
      </c>
      <c r="CB131" s="1317" t="str">
        <f ca="1">IF(INDIRECT("'SpxSp (step-d)'!$B" &amp; CB$72)=$Z131,INDIRECT("'SpxSp (step-d)'!$" &amp; 'SpxSp (step-d)'!$AD$16 &amp; CB$72),"")</f>
        <v/>
      </c>
      <c r="CC131" s="1317" t="str">
        <f ca="1">IF(INDIRECT("'SpxSp (step-d)'!$B" &amp; CC$72)=$Z131,INDIRECT("'SpxSp (step-d)'!$" &amp; 'SpxSp (step-d)'!$AD$16 &amp; CC$72),"")</f>
        <v/>
      </c>
      <c r="CD131" s="1317" t="str">
        <f ca="1">IF(INDIRECT("'SpxSp (step-d)'!$B" &amp; CD$72)=$Z131,INDIRECT("'SpxSp (step-d)'!$" &amp; 'SpxSp (step-d)'!$AD$16 &amp; CD$72),"")</f>
        <v/>
      </c>
      <c r="CE131" s="1317" t="str">
        <f ca="1">IF(INDIRECT("'SpxSp (step-d)'!$B" &amp; CE$72)=$Z131,INDIRECT("'SpxSp (step-d)'!$" &amp; 'SpxSp (step-d)'!$AD$16 &amp; CE$72),"")</f>
        <v/>
      </c>
      <c r="CF131" s="1317" t="str">
        <f ca="1">IF(INDIRECT("'SpxSp (step-d)'!$B" &amp; CF$72)=$Z131,INDIRECT("'SpxSp (step-d)'!$" &amp; 'SpxSp (step-d)'!$AD$16 &amp; CF$72),"")</f>
        <v/>
      </c>
      <c r="CG131" s="1317" t="str">
        <f ca="1">IF(INDIRECT("'SpxSp (step-d)'!$B" &amp; CG$72)=$Z131,INDIRECT("'SpxSp (step-d)'!$" &amp; 'SpxSp (step-d)'!$AD$16 &amp; CG$72),"")</f>
        <v/>
      </c>
      <c r="CH131" s="1317" t="str">
        <f ca="1">IF(INDIRECT("'SpxSp (step-d)'!$B" &amp; CH$72)=$Z131,INDIRECT("'SpxSp (step-d)'!$" &amp; 'SpxSp (step-d)'!$AD$16 &amp; CH$72),"")</f>
        <v/>
      </c>
      <c r="CI131" s="1317" t="str">
        <f ca="1">IF(INDIRECT("'SpxSp (step-d)'!$B" &amp; CI$72)=$Z131,INDIRECT("'SpxSp (step-d)'!$" &amp; 'SpxSp (step-d)'!$AD$16 &amp; CI$72),"")</f>
        <v/>
      </c>
      <c r="CJ131" s="1317" t="str">
        <f ca="1">IF(INDIRECT("'SpxSp (step-d)'!$B" &amp; CJ$72)=$Z131,INDIRECT("'SpxSp (step-d)'!$" &amp; 'SpxSp (step-d)'!$AD$16 &amp; CJ$72),"")</f>
        <v/>
      </c>
      <c r="CK131" s="1317" t="str">
        <f ca="1">IF(INDIRECT("'SpxSp (step-d)'!$B" &amp; CK$72)=$Z131,INDIRECT("'SpxSp (step-d)'!$" &amp; 'SpxSp (step-d)'!$AD$16 &amp; CK$72),"")</f>
        <v/>
      </c>
      <c r="CL131" s="1317" t="str">
        <f ca="1">IF(INDIRECT("'SpxSp (step-d)'!$B" &amp; CL$72)=$Z131,INDIRECT("'SpxSp (step-d)'!$" &amp; 'SpxSp (step-d)'!$AD$16 &amp; CL$72),"")</f>
        <v/>
      </c>
      <c r="CM131" s="1317" t="str">
        <f ca="1">IF(INDIRECT("'SpxSp (step-d)'!$B" &amp; CM$72)=$Z131,INDIRECT("'SpxSp (step-d)'!$" &amp; 'SpxSp (step-d)'!$AD$16 &amp; CM$72),"")</f>
        <v/>
      </c>
      <c r="CN131" s="1317" t="str">
        <f ca="1">IF(INDIRECT("'SpxSp (step-d)'!$B" &amp; CN$72)=$Z131,INDIRECT("'SpxSp (step-d)'!$" &amp; 'SpxSp (step-d)'!$AD$16 &amp; CN$72),"")</f>
        <v/>
      </c>
      <c r="CO131" s="1317" t="str">
        <f ca="1">IF(INDIRECT("'SpxSp (step-d)'!$B" &amp; CO$72)=$Z131,INDIRECT("'SpxSp (step-d)'!$" &amp; 'SpxSp (step-d)'!$AD$16 &amp; CO$72),"")</f>
        <v/>
      </c>
      <c r="CP131" s="1317" t="str">
        <f ca="1">IF(INDIRECT("'SpxSp (step-d)'!$B" &amp; CP$72)=$Z131,INDIRECT("'SpxSp (step-d)'!$" &amp; 'SpxSp (step-d)'!$AD$16 &amp; CP$72),"")</f>
        <v/>
      </c>
      <c r="CQ131" s="1317" t="str">
        <f ca="1">IF(INDIRECT("'SpxSp (step-d)'!$B" &amp; CQ$72)=$Z131,INDIRECT("'SpxSp (step-d)'!$" &amp; 'SpxSp (step-d)'!$AD$16 &amp; CQ$72),"")</f>
        <v/>
      </c>
      <c r="CR131" s="1317" t="str">
        <f ca="1">IF(INDIRECT("'SpxSp (step-d)'!$B" &amp; CR$72)=$Z131,INDIRECT("'SpxSp (step-d)'!$" &amp; 'SpxSp (step-d)'!$AD$16 &amp; CR$72),"")</f>
        <v/>
      </c>
      <c r="CS131" s="1317" t="str">
        <f ca="1">IF(INDIRECT("'SpxSp (step-d)'!$B" &amp; CS$72)=$Z131,INDIRECT("'SpxSp (step-d)'!$" &amp; 'SpxSp (step-d)'!$AD$16 &amp; CS$72),"")</f>
        <v/>
      </c>
      <c r="CT131" s="1317" t="str">
        <f ca="1">IF(INDIRECT("'SpxSp (step-d)'!$B" &amp; CT$72)=$Z131,INDIRECT("'SpxSp (step-d)'!$" &amp; 'SpxSp (step-d)'!$AD$16 &amp; CT$72),"")</f>
        <v/>
      </c>
      <c r="CU131" s="1317" t="str">
        <f ca="1">IF(INDIRECT("'SpxSp (step-d)'!$B" &amp; CU$72)=$Z131,INDIRECT("'SpxSp (step-d)'!$" &amp; 'SpxSp (step-d)'!$AD$16 &amp; CU$72),"")</f>
        <v/>
      </c>
      <c r="CV131" s="1317" t="str">
        <f ca="1">IF(INDIRECT("'SpxSp (step-d)'!$B" &amp; CV$72)=$Z131,INDIRECT("'SpxSp (step-d)'!$" &amp; 'SpxSp (step-d)'!$AD$16 &amp; CV$72),"")</f>
        <v/>
      </c>
      <c r="CW131" s="1317" t="str">
        <f ca="1">IF(INDIRECT("'SpxSp (step-d)'!$B" &amp; CW$72)=$Z131,INDIRECT("'SpxSp (step-d)'!$" &amp; 'SpxSp (step-d)'!$AD$16 &amp; CW$72),"")</f>
        <v/>
      </c>
      <c r="CX131" s="1317" t="str">
        <f ca="1">IF(INDIRECT("'SpxSp (step-d)'!$B" &amp; CX$72)=$Z131,INDIRECT("'SpxSp (step-d)'!$" &amp; 'SpxSp (step-d)'!$AD$16 &amp; CX$72),"")</f>
        <v/>
      </c>
      <c r="CY131" s="1317" t="str">
        <f ca="1">IF(INDIRECT("'SpxSp (step-d)'!$B" &amp; CY$72)=$Z131,INDIRECT("'SpxSp (step-d)'!$" &amp; 'SpxSp (step-d)'!$AD$16 &amp; CY$72),"")</f>
        <v/>
      </c>
      <c r="CZ131" s="1317" t="str">
        <f ca="1">IF(INDIRECT("'SpxSp (step-d)'!$B" &amp; CZ$72)=$Z131,INDIRECT("'SpxSp (step-d)'!$" &amp; 'SpxSp (step-d)'!$AD$16 &amp; CZ$72),"")</f>
        <v/>
      </c>
      <c r="DA131" s="1317" t="str">
        <f ca="1">IF(INDIRECT("'SpxSp (step-d)'!$B" &amp; DA$72)=$Z131,INDIRECT("'SpxSp (step-d)'!$" &amp; 'SpxSp (step-d)'!$AD$16 &amp; DA$72),"")</f>
        <v/>
      </c>
      <c r="DB131" s="1317" t="str">
        <f ca="1">IF(INDIRECT("'SpxSp (step-d)'!$B" &amp; DB$72)=$Z131,INDIRECT("'SpxSp (step-d)'!$" &amp; 'SpxSp (step-d)'!$AD$16 &amp; DB$72),"")</f>
        <v/>
      </c>
      <c r="DC131" s="1317" t="str">
        <f ca="1">IF(INDIRECT("'SpxSp (step-d)'!$B" &amp; DC$72)=$Z131,INDIRECT("'SpxSp (step-d)'!$" &amp; 'SpxSp (step-d)'!$AD$16 &amp; DC$72),"")</f>
        <v/>
      </c>
      <c r="DD131" s="1317" t="str">
        <f ca="1">IF(INDIRECT("'SpxSp (step-d)'!$B" &amp; DD$72)=$Z131,INDIRECT("'SpxSp (step-d)'!$" &amp; 'SpxSp (step-d)'!$AD$16 &amp; DD$72),"")</f>
        <v/>
      </c>
      <c r="DE131" s="1317" t="str">
        <f ca="1">IF(INDIRECT("'SpxSp (step-d)'!$B" &amp; DE$72)=$Z131,INDIRECT("'SpxSp (step-d)'!$" &amp; 'SpxSp (step-d)'!$AD$16 &amp; DE$72),"")</f>
        <v/>
      </c>
      <c r="DF131" s="1317" t="str">
        <f ca="1">IF(INDIRECT("'SpxSp (step-d)'!$B" &amp; DF$72)=$Z131,INDIRECT("'SpxSp (step-d)'!$" &amp; 'SpxSp (step-d)'!$AD$16 &amp; DF$72),"")</f>
        <v/>
      </c>
      <c r="DG131" s="1317" t="str">
        <f ca="1">IF(INDIRECT("'SpxSp (step-d)'!$B" &amp; DG$72)=$Z131,INDIRECT("'SpxSp (step-d)'!$" &amp; 'SpxSp (step-d)'!$AD$16 &amp; DG$72),"")</f>
        <v/>
      </c>
      <c r="DH131" s="1317" t="str">
        <f ca="1">IF(INDIRECT("'SpxSp (step-d)'!$B" &amp; DH$72)=$Z131,INDIRECT("'SpxSp (step-d)'!$" &amp; 'SpxSp (step-d)'!$AD$16 &amp; DH$72),"")</f>
        <v/>
      </c>
      <c r="DI131" s="1317" t="str">
        <f ca="1">IF(INDIRECT("'SpxSp (step-d)'!$B" &amp; DI$72)=$Z131,INDIRECT("'SpxSp (step-d)'!$" &amp; 'SpxSp (step-d)'!$AD$16 &amp; DI$72),"")</f>
        <v/>
      </c>
      <c r="DJ131" s="1317" t="str">
        <f ca="1">IF(INDIRECT("'SpxSp (step-d)'!$B" &amp; DJ$72)=$Z131,INDIRECT("'SpxSp (step-d)'!$" &amp; 'SpxSp (step-d)'!$AD$16 &amp; DJ$72),"")</f>
        <v/>
      </c>
      <c r="DK131" s="1317" t="str">
        <f ca="1">IF(INDIRECT("'SpxSp (step-d)'!$B" &amp; DK$72)=$Z131,INDIRECT("'SpxSp (step-d)'!$" &amp; 'SpxSp (step-d)'!$AD$16 &amp; DK$72),"")</f>
        <v/>
      </c>
      <c r="DL131" s="1317" t="str">
        <f ca="1">IF(INDIRECT("'SpxSp (step-d)'!$B" &amp; DL$72)=$Z131,INDIRECT("'SpxSp (step-d)'!$" &amp; 'SpxSp (step-d)'!$AD$16 &amp; DL$72),"")</f>
        <v/>
      </c>
      <c r="DM131" s="1317" t="str">
        <f ca="1">IF(INDIRECT("'SpxSp (step-d)'!$B" &amp; DM$72)=$Z131,INDIRECT("'SpxSp (step-d)'!$" &amp; 'SpxSp (step-d)'!$AD$16 &amp; DM$72),"")</f>
        <v/>
      </c>
      <c r="DO131" s="1246" t="s">
        <v>1200</v>
      </c>
    </row>
    <row r="132" spans="26:119" ht="20" x14ac:dyDescent="0.2">
      <c r="Z132" s="1317" t="str">
        <f t="shared" ref="Z132:AA132" si="96">Z77</f>
        <v/>
      </c>
      <c r="AA132" s="1317" t="str">
        <f t="shared" si="96"/>
        <v/>
      </c>
      <c r="BM132" s="178" t="str">
        <f>IFERROR(VLOOKUP(Z132,'SpxSp (step-d)'!B$18:I$67,6,FALSE),"")</f>
        <v/>
      </c>
      <c r="BN132" s="178">
        <v>5</v>
      </c>
      <c r="BO132" s="1316" t="str">
        <f t="shared" ca="1" si="92"/>
        <v/>
      </c>
      <c r="BP132" s="1317" t="str">
        <f ca="1">IF(INDIRECT("'SpxSp (step-d)'!$B" &amp; BP$72)=$Z132,INDIRECT("'SpxSp (step-d)'!$" &amp; 'SpxSp (step-d)'!$AD$16 &amp; BP$72),"")</f>
        <v/>
      </c>
      <c r="BQ132" s="1317" t="str">
        <f ca="1">IF(INDIRECT("'SpxSp (step-d)'!$B" &amp; BQ$72)=$Z132,INDIRECT("'SpxSp (step-d)'!$" &amp; 'SpxSp (step-d)'!$AD$16 &amp; BQ$72),"")</f>
        <v/>
      </c>
      <c r="BR132" s="1317" t="str">
        <f ca="1">IF(INDIRECT("'SpxSp (step-d)'!$B" &amp; BR$72)=$Z132,INDIRECT("'SpxSp (step-d)'!$" &amp; 'SpxSp (step-d)'!$AD$16 &amp; BR$72),"")</f>
        <v/>
      </c>
      <c r="BS132" s="1317" t="str">
        <f ca="1">IF(INDIRECT("'SpxSp (step-d)'!$B" &amp; BS$72)=$Z132,INDIRECT("'SpxSp (step-d)'!$" &amp; 'SpxSp (step-d)'!$AD$16 &amp; BS$72),"")</f>
        <v/>
      </c>
      <c r="BT132" s="1317" t="str">
        <f ca="1">IF(INDIRECT("'SpxSp (step-d)'!$B" &amp; BT$72)=$Z132,INDIRECT("'SpxSp (step-d)'!$" &amp; 'SpxSp (step-d)'!$AD$16 &amp; BT$72),"")</f>
        <v/>
      </c>
      <c r="BU132" s="1317" t="str">
        <f ca="1">IF(INDIRECT("'SpxSp (step-d)'!$B" &amp; BU$72)=$Z132,INDIRECT("'SpxSp (step-d)'!$" &amp; 'SpxSp (step-d)'!$AD$16 &amp; BU$72),"")</f>
        <v/>
      </c>
      <c r="BV132" s="1317" t="str">
        <f ca="1">IF(INDIRECT("'SpxSp (step-d)'!$B" &amp; BV$72)=$Z132,INDIRECT("'SpxSp (step-d)'!$" &amp; 'SpxSp (step-d)'!$AD$16 &amp; BV$72),"")</f>
        <v/>
      </c>
      <c r="BW132" s="1317" t="str">
        <f ca="1">IF(INDIRECT("'SpxSp (step-d)'!$B" &amp; BW$72)=$Z132,INDIRECT("'SpxSp (step-d)'!$" &amp; 'SpxSp (step-d)'!$AD$16 &amp; BW$72),"")</f>
        <v/>
      </c>
      <c r="BX132" s="1317" t="str">
        <f ca="1">IF(INDIRECT("'SpxSp (step-d)'!$B" &amp; BX$72)=$Z132,INDIRECT("'SpxSp (step-d)'!$" &amp; 'SpxSp (step-d)'!$AD$16 &amp; BX$72),"")</f>
        <v/>
      </c>
      <c r="BY132" s="1317" t="str">
        <f ca="1">IF(INDIRECT("'SpxSp (step-d)'!$B" &amp; BY$72)=$Z132,INDIRECT("'SpxSp (step-d)'!$" &amp; 'SpxSp (step-d)'!$AD$16 &amp; BY$72),"")</f>
        <v/>
      </c>
      <c r="BZ132" s="1317" t="str">
        <f ca="1">IF(INDIRECT("'SpxSp (step-d)'!$B" &amp; BZ$72)=$Z132,INDIRECT("'SpxSp (step-d)'!$" &amp; 'SpxSp (step-d)'!$AD$16 &amp; BZ$72),"")</f>
        <v/>
      </c>
      <c r="CA132" s="1317" t="str">
        <f ca="1">IF(INDIRECT("'SpxSp (step-d)'!$B" &amp; CA$72)=$Z132,INDIRECT("'SpxSp (step-d)'!$" &amp; 'SpxSp (step-d)'!$AD$16 &amp; CA$72),"")</f>
        <v/>
      </c>
      <c r="CB132" s="1317" t="str">
        <f ca="1">IF(INDIRECT("'SpxSp (step-d)'!$B" &amp; CB$72)=$Z132,INDIRECT("'SpxSp (step-d)'!$" &amp; 'SpxSp (step-d)'!$AD$16 &amp; CB$72),"")</f>
        <v/>
      </c>
      <c r="CC132" s="1317" t="str">
        <f ca="1">IF(INDIRECT("'SpxSp (step-d)'!$B" &amp; CC$72)=$Z132,INDIRECT("'SpxSp (step-d)'!$" &amp; 'SpxSp (step-d)'!$AD$16 &amp; CC$72),"")</f>
        <v/>
      </c>
      <c r="CD132" s="1317" t="str">
        <f ca="1">IF(INDIRECT("'SpxSp (step-d)'!$B" &amp; CD$72)=$Z132,INDIRECT("'SpxSp (step-d)'!$" &amp; 'SpxSp (step-d)'!$AD$16 &amp; CD$72),"")</f>
        <v/>
      </c>
      <c r="CE132" s="1317" t="str">
        <f ca="1">IF(INDIRECT("'SpxSp (step-d)'!$B" &amp; CE$72)=$Z132,INDIRECT("'SpxSp (step-d)'!$" &amp; 'SpxSp (step-d)'!$AD$16 &amp; CE$72),"")</f>
        <v/>
      </c>
      <c r="CF132" s="1317" t="str">
        <f ca="1">IF(INDIRECT("'SpxSp (step-d)'!$B" &amp; CF$72)=$Z132,INDIRECT("'SpxSp (step-d)'!$" &amp; 'SpxSp (step-d)'!$AD$16 &amp; CF$72),"")</f>
        <v/>
      </c>
      <c r="CG132" s="1317" t="str">
        <f ca="1">IF(INDIRECT("'SpxSp (step-d)'!$B" &amp; CG$72)=$Z132,INDIRECT("'SpxSp (step-d)'!$" &amp; 'SpxSp (step-d)'!$AD$16 &amp; CG$72),"")</f>
        <v/>
      </c>
      <c r="CH132" s="1317" t="str">
        <f ca="1">IF(INDIRECT("'SpxSp (step-d)'!$B" &amp; CH$72)=$Z132,INDIRECT("'SpxSp (step-d)'!$" &amp; 'SpxSp (step-d)'!$AD$16 &amp; CH$72),"")</f>
        <v/>
      </c>
      <c r="CI132" s="1317" t="str">
        <f ca="1">IF(INDIRECT("'SpxSp (step-d)'!$B" &amp; CI$72)=$Z132,INDIRECT("'SpxSp (step-d)'!$" &amp; 'SpxSp (step-d)'!$AD$16 &amp; CI$72),"")</f>
        <v/>
      </c>
      <c r="CJ132" s="1317" t="str">
        <f ca="1">IF(INDIRECT("'SpxSp (step-d)'!$B" &amp; CJ$72)=$Z132,INDIRECT("'SpxSp (step-d)'!$" &amp; 'SpxSp (step-d)'!$AD$16 &amp; CJ$72),"")</f>
        <v/>
      </c>
      <c r="CK132" s="1317" t="str">
        <f ca="1">IF(INDIRECT("'SpxSp (step-d)'!$B" &amp; CK$72)=$Z132,INDIRECT("'SpxSp (step-d)'!$" &amp; 'SpxSp (step-d)'!$AD$16 &amp; CK$72),"")</f>
        <v/>
      </c>
      <c r="CL132" s="1317" t="str">
        <f ca="1">IF(INDIRECT("'SpxSp (step-d)'!$B" &amp; CL$72)=$Z132,INDIRECT("'SpxSp (step-d)'!$" &amp; 'SpxSp (step-d)'!$AD$16 &amp; CL$72),"")</f>
        <v/>
      </c>
      <c r="CM132" s="1317" t="str">
        <f ca="1">IF(INDIRECT("'SpxSp (step-d)'!$B" &amp; CM$72)=$Z132,INDIRECT("'SpxSp (step-d)'!$" &amp; 'SpxSp (step-d)'!$AD$16 &amp; CM$72),"")</f>
        <v/>
      </c>
      <c r="CN132" s="1317" t="str">
        <f ca="1">IF(INDIRECT("'SpxSp (step-d)'!$B" &amp; CN$72)=$Z132,INDIRECT("'SpxSp (step-d)'!$" &amp; 'SpxSp (step-d)'!$AD$16 &amp; CN$72),"")</f>
        <v/>
      </c>
      <c r="CO132" s="1317" t="str">
        <f ca="1">IF(INDIRECT("'SpxSp (step-d)'!$B" &amp; CO$72)=$Z132,INDIRECT("'SpxSp (step-d)'!$" &amp; 'SpxSp (step-d)'!$AD$16 &amp; CO$72),"")</f>
        <v/>
      </c>
      <c r="CP132" s="1317" t="str">
        <f ca="1">IF(INDIRECT("'SpxSp (step-d)'!$B" &amp; CP$72)=$Z132,INDIRECT("'SpxSp (step-d)'!$" &amp; 'SpxSp (step-d)'!$AD$16 &amp; CP$72),"")</f>
        <v/>
      </c>
      <c r="CQ132" s="1317" t="str">
        <f ca="1">IF(INDIRECT("'SpxSp (step-d)'!$B" &amp; CQ$72)=$Z132,INDIRECT("'SpxSp (step-d)'!$" &amp; 'SpxSp (step-d)'!$AD$16 &amp; CQ$72),"")</f>
        <v/>
      </c>
      <c r="CR132" s="1317" t="str">
        <f ca="1">IF(INDIRECT("'SpxSp (step-d)'!$B" &amp; CR$72)=$Z132,INDIRECT("'SpxSp (step-d)'!$" &amp; 'SpxSp (step-d)'!$AD$16 &amp; CR$72),"")</f>
        <v/>
      </c>
      <c r="CS132" s="1317" t="str">
        <f ca="1">IF(INDIRECT("'SpxSp (step-d)'!$B" &amp; CS$72)=$Z132,INDIRECT("'SpxSp (step-d)'!$" &amp; 'SpxSp (step-d)'!$AD$16 &amp; CS$72),"")</f>
        <v/>
      </c>
      <c r="CT132" s="1317" t="str">
        <f ca="1">IF(INDIRECT("'SpxSp (step-d)'!$B" &amp; CT$72)=$Z132,INDIRECT("'SpxSp (step-d)'!$" &amp; 'SpxSp (step-d)'!$AD$16 &amp; CT$72),"")</f>
        <v/>
      </c>
      <c r="CU132" s="1317" t="str">
        <f ca="1">IF(INDIRECT("'SpxSp (step-d)'!$B" &amp; CU$72)=$Z132,INDIRECT("'SpxSp (step-d)'!$" &amp; 'SpxSp (step-d)'!$AD$16 &amp; CU$72),"")</f>
        <v/>
      </c>
      <c r="CV132" s="1317" t="str">
        <f ca="1">IF(INDIRECT("'SpxSp (step-d)'!$B" &amp; CV$72)=$Z132,INDIRECT("'SpxSp (step-d)'!$" &amp; 'SpxSp (step-d)'!$AD$16 &amp; CV$72),"")</f>
        <v/>
      </c>
      <c r="CW132" s="1317" t="str">
        <f ca="1">IF(INDIRECT("'SpxSp (step-d)'!$B" &amp; CW$72)=$Z132,INDIRECT("'SpxSp (step-d)'!$" &amp; 'SpxSp (step-d)'!$AD$16 &amp; CW$72),"")</f>
        <v/>
      </c>
      <c r="CX132" s="1317" t="str">
        <f ca="1">IF(INDIRECT("'SpxSp (step-d)'!$B" &amp; CX$72)=$Z132,INDIRECT("'SpxSp (step-d)'!$" &amp; 'SpxSp (step-d)'!$AD$16 &amp; CX$72),"")</f>
        <v/>
      </c>
      <c r="CY132" s="1317" t="str">
        <f ca="1">IF(INDIRECT("'SpxSp (step-d)'!$B" &amp; CY$72)=$Z132,INDIRECT("'SpxSp (step-d)'!$" &amp; 'SpxSp (step-d)'!$AD$16 &amp; CY$72),"")</f>
        <v/>
      </c>
      <c r="CZ132" s="1317" t="str">
        <f ca="1">IF(INDIRECT("'SpxSp (step-d)'!$B" &amp; CZ$72)=$Z132,INDIRECT("'SpxSp (step-d)'!$" &amp; 'SpxSp (step-d)'!$AD$16 &amp; CZ$72),"")</f>
        <v/>
      </c>
      <c r="DA132" s="1317" t="str">
        <f ca="1">IF(INDIRECT("'SpxSp (step-d)'!$B" &amp; DA$72)=$Z132,INDIRECT("'SpxSp (step-d)'!$" &amp; 'SpxSp (step-d)'!$AD$16 &amp; DA$72),"")</f>
        <v/>
      </c>
      <c r="DB132" s="1317" t="str">
        <f ca="1">IF(INDIRECT("'SpxSp (step-d)'!$B" &amp; DB$72)=$Z132,INDIRECT("'SpxSp (step-d)'!$" &amp; 'SpxSp (step-d)'!$AD$16 &amp; DB$72),"")</f>
        <v/>
      </c>
      <c r="DC132" s="1317" t="str">
        <f ca="1">IF(INDIRECT("'SpxSp (step-d)'!$B" &amp; DC$72)=$Z132,INDIRECT("'SpxSp (step-d)'!$" &amp; 'SpxSp (step-d)'!$AD$16 &amp; DC$72),"")</f>
        <v/>
      </c>
      <c r="DD132" s="1317" t="str">
        <f ca="1">IF(INDIRECT("'SpxSp (step-d)'!$B" &amp; DD$72)=$Z132,INDIRECT("'SpxSp (step-d)'!$" &amp; 'SpxSp (step-d)'!$AD$16 &amp; DD$72),"")</f>
        <v/>
      </c>
      <c r="DE132" s="1317" t="str">
        <f ca="1">IF(INDIRECT("'SpxSp (step-d)'!$B" &amp; DE$72)=$Z132,INDIRECT("'SpxSp (step-d)'!$" &amp; 'SpxSp (step-d)'!$AD$16 &amp; DE$72),"")</f>
        <v/>
      </c>
      <c r="DF132" s="1317" t="str">
        <f ca="1">IF(INDIRECT("'SpxSp (step-d)'!$B" &amp; DF$72)=$Z132,INDIRECT("'SpxSp (step-d)'!$" &amp; 'SpxSp (step-d)'!$AD$16 &amp; DF$72),"")</f>
        <v/>
      </c>
      <c r="DG132" s="1317" t="str">
        <f ca="1">IF(INDIRECT("'SpxSp (step-d)'!$B" &amp; DG$72)=$Z132,INDIRECT("'SpxSp (step-d)'!$" &amp; 'SpxSp (step-d)'!$AD$16 &amp; DG$72),"")</f>
        <v/>
      </c>
      <c r="DH132" s="1317" t="str">
        <f ca="1">IF(INDIRECT("'SpxSp (step-d)'!$B" &amp; DH$72)=$Z132,INDIRECT("'SpxSp (step-d)'!$" &amp; 'SpxSp (step-d)'!$AD$16 &amp; DH$72),"")</f>
        <v/>
      </c>
      <c r="DI132" s="1317" t="str">
        <f ca="1">IF(INDIRECT("'SpxSp (step-d)'!$B" &amp; DI$72)=$Z132,INDIRECT("'SpxSp (step-d)'!$" &amp; 'SpxSp (step-d)'!$AD$16 &amp; DI$72),"")</f>
        <v/>
      </c>
      <c r="DJ132" s="1317" t="str">
        <f ca="1">IF(INDIRECT("'SpxSp (step-d)'!$B" &amp; DJ$72)=$Z132,INDIRECT("'SpxSp (step-d)'!$" &amp; 'SpxSp (step-d)'!$AD$16 &amp; DJ$72),"")</f>
        <v/>
      </c>
      <c r="DK132" s="1317" t="str">
        <f ca="1">IF(INDIRECT("'SpxSp (step-d)'!$B" &amp; DK$72)=$Z132,INDIRECT("'SpxSp (step-d)'!$" &amp; 'SpxSp (step-d)'!$AD$16 &amp; DK$72),"")</f>
        <v/>
      </c>
      <c r="DL132" s="1317" t="str">
        <f ca="1">IF(INDIRECT("'SpxSp (step-d)'!$B" &amp; DL$72)=$Z132,INDIRECT("'SpxSp (step-d)'!$" &amp; 'SpxSp (step-d)'!$AD$16 &amp; DL$72),"")</f>
        <v/>
      </c>
      <c r="DM132" s="1317" t="str">
        <f ca="1">IF(INDIRECT("'SpxSp (step-d)'!$B" &amp; DM$72)=$Z132,INDIRECT("'SpxSp (step-d)'!$" &amp; 'SpxSp (step-d)'!$AD$16 &amp; DM$72),"")</f>
        <v/>
      </c>
      <c r="DO132" s="1246" t="s">
        <v>1200</v>
      </c>
    </row>
    <row r="133" spans="26:119" ht="20" x14ac:dyDescent="0.2">
      <c r="Z133" s="1317" t="str">
        <f t="shared" ref="Z133:AA133" si="97">Z78</f>
        <v/>
      </c>
      <c r="AA133" s="1317" t="str">
        <f t="shared" si="97"/>
        <v/>
      </c>
      <c r="BM133" s="178" t="str">
        <f>IFERROR(VLOOKUP(Z133,'SpxSp (step-d)'!B$18:I$67,6,FALSE),"")</f>
        <v/>
      </c>
      <c r="BN133" s="178">
        <v>6</v>
      </c>
      <c r="BO133" s="1316" t="str">
        <f t="shared" ca="1" si="92"/>
        <v/>
      </c>
      <c r="BP133" s="1317" t="str">
        <f ca="1">IF(INDIRECT("'SpxSp (step-d)'!$B" &amp; BP$72)=$Z133,INDIRECT("'SpxSp (step-d)'!$" &amp; 'SpxSp (step-d)'!$AD$16 &amp; BP$72),"")</f>
        <v/>
      </c>
      <c r="BQ133" s="1317" t="str">
        <f ca="1">IF(INDIRECT("'SpxSp (step-d)'!$B" &amp; BQ$72)=$Z133,INDIRECT("'SpxSp (step-d)'!$" &amp; 'SpxSp (step-d)'!$AD$16 &amp; BQ$72),"")</f>
        <v/>
      </c>
      <c r="BR133" s="1317" t="str">
        <f ca="1">IF(INDIRECT("'SpxSp (step-d)'!$B" &amp; BR$72)=$Z133,INDIRECT("'SpxSp (step-d)'!$" &amp; 'SpxSp (step-d)'!$AD$16 &amp; BR$72),"")</f>
        <v/>
      </c>
      <c r="BS133" s="1317" t="str">
        <f ca="1">IF(INDIRECT("'SpxSp (step-d)'!$B" &amp; BS$72)=$Z133,INDIRECT("'SpxSp (step-d)'!$" &amp; 'SpxSp (step-d)'!$AD$16 &amp; BS$72),"")</f>
        <v/>
      </c>
      <c r="BT133" s="1317" t="str">
        <f ca="1">IF(INDIRECT("'SpxSp (step-d)'!$B" &amp; BT$72)=$Z133,INDIRECT("'SpxSp (step-d)'!$" &amp; 'SpxSp (step-d)'!$AD$16 &amp; BT$72),"")</f>
        <v/>
      </c>
      <c r="BU133" s="1317" t="str">
        <f ca="1">IF(INDIRECT("'SpxSp (step-d)'!$B" &amp; BU$72)=$Z133,INDIRECT("'SpxSp (step-d)'!$" &amp; 'SpxSp (step-d)'!$AD$16 &amp; BU$72),"")</f>
        <v/>
      </c>
      <c r="BV133" s="1317" t="str">
        <f ca="1">IF(INDIRECT("'SpxSp (step-d)'!$B" &amp; BV$72)=$Z133,INDIRECT("'SpxSp (step-d)'!$" &amp; 'SpxSp (step-d)'!$AD$16 &amp; BV$72),"")</f>
        <v/>
      </c>
      <c r="BW133" s="1317" t="str">
        <f ca="1">IF(INDIRECT("'SpxSp (step-d)'!$B" &amp; BW$72)=$Z133,INDIRECT("'SpxSp (step-d)'!$" &amp; 'SpxSp (step-d)'!$AD$16 &amp; BW$72),"")</f>
        <v/>
      </c>
      <c r="BX133" s="1317" t="str">
        <f ca="1">IF(INDIRECT("'SpxSp (step-d)'!$B" &amp; BX$72)=$Z133,INDIRECT("'SpxSp (step-d)'!$" &amp; 'SpxSp (step-d)'!$AD$16 &amp; BX$72),"")</f>
        <v/>
      </c>
      <c r="BY133" s="1317" t="str">
        <f ca="1">IF(INDIRECT("'SpxSp (step-d)'!$B" &amp; BY$72)=$Z133,INDIRECT("'SpxSp (step-d)'!$" &amp; 'SpxSp (step-d)'!$AD$16 &amp; BY$72),"")</f>
        <v/>
      </c>
      <c r="BZ133" s="1317" t="str">
        <f ca="1">IF(INDIRECT("'SpxSp (step-d)'!$B" &amp; BZ$72)=$Z133,INDIRECT("'SpxSp (step-d)'!$" &amp; 'SpxSp (step-d)'!$AD$16 &amp; BZ$72),"")</f>
        <v/>
      </c>
      <c r="CA133" s="1317" t="str">
        <f ca="1">IF(INDIRECT("'SpxSp (step-d)'!$B" &amp; CA$72)=$Z133,INDIRECT("'SpxSp (step-d)'!$" &amp; 'SpxSp (step-d)'!$AD$16 &amp; CA$72),"")</f>
        <v/>
      </c>
      <c r="CB133" s="1317" t="str">
        <f ca="1">IF(INDIRECT("'SpxSp (step-d)'!$B" &amp; CB$72)=$Z133,INDIRECT("'SpxSp (step-d)'!$" &amp; 'SpxSp (step-d)'!$AD$16 &amp; CB$72),"")</f>
        <v/>
      </c>
      <c r="CC133" s="1317" t="str">
        <f ca="1">IF(INDIRECT("'SpxSp (step-d)'!$B" &amp; CC$72)=$Z133,INDIRECT("'SpxSp (step-d)'!$" &amp; 'SpxSp (step-d)'!$AD$16 &amp; CC$72),"")</f>
        <v/>
      </c>
      <c r="CD133" s="1317" t="str">
        <f ca="1">IF(INDIRECT("'SpxSp (step-d)'!$B" &amp; CD$72)=$Z133,INDIRECT("'SpxSp (step-d)'!$" &amp; 'SpxSp (step-d)'!$AD$16 &amp; CD$72),"")</f>
        <v/>
      </c>
      <c r="CE133" s="1317" t="str">
        <f ca="1">IF(INDIRECT("'SpxSp (step-d)'!$B" &amp; CE$72)=$Z133,INDIRECT("'SpxSp (step-d)'!$" &amp; 'SpxSp (step-d)'!$AD$16 &amp; CE$72),"")</f>
        <v/>
      </c>
      <c r="CF133" s="1317" t="str">
        <f ca="1">IF(INDIRECT("'SpxSp (step-d)'!$B" &amp; CF$72)=$Z133,INDIRECT("'SpxSp (step-d)'!$" &amp; 'SpxSp (step-d)'!$AD$16 &amp; CF$72),"")</f>
        <v/>
      </c>
      <c r="CG133" s="1317" t="str">
        <f ca="1">IF(INDIRECT("'SpxSp (step-d)'!$B" &amp; CG$72)=$Z133,INDIRECT("'SpxSp (step-d)'!$" &amp; 'SpxSp (step-d)'!$AD$16 &amp; CG$72),"")</f>
        <v/>
      </c>
      <c r="CH133" s="1317" t="str">
        <f ca="1">IF(INDIRECT("'SpxSp (step-d)'!$B" &amp; CH$72)=$Z133,INDIRECT("'SpxSp (step-d)'!$" &amp; 'SpxSp (step-d)'!$AD$16 &amp; CH$72),"")</f>
        <v/>
      </c>
      <c r="CI133" s="1317" t="str">
        <f ca="1">IF(INDIRECT("'SpxSp (step-d)'!$B" &amp; CI$72)=$Z133,INDIRECT("'SpxSp (step-d)'!$" &amp; 'SpxSp (step-d)'!$AD$16 &amp; CI$72),"")</f>
        <v/>
      </c>
      <c r="CJ133" s="1317" t="str">
        <f ca="1">IF(INDIRECT("'SpxSp (step-d)'!$B" &amp; CJ$72)=$Z133,INDIRECT("'SpxSp (step-d)'!$" &amp; 'SpxSp (step-d)'!$AD$16 &amp; CJ$72),"")</f>
        <v/>
      </c>
      <c r="CK133" s="1317" t="str">
        <f ca="1">IF(INDIRECT("'SpxSp (step-d)'!$B" &amp; CK$72)=$Z133,INDIRECT("'SpxSp (step-d)'!$" &amp; 'SpxSp (step-d)'!$AD$16 &amp; CK$72),"")</f>
        <v/>
      </c>
      <c r="CL133" s="1317" t="str">
        <f ca="1">IF(INDIRECT("'SpxSp (step-d)'!$B" &amp; CL$72)=$Z133,INDIRECT("'SpxSp (step-d)'!$" &amp; 'SpxSp (step-d)'!$AD$16 &amp; CL$72),"")</f>
        <v/>
      </c>
      <c r="CM133" s="1317" t="str">
        <f ca="1">IF(INDIRECT("'SpxSp (step-d)'!$B" &amp; CM$72)=$Z133,INDIRECT("'SpxSp (step-d)'!$" &amp; 'SpxSp (step-d)'!$AD$16 &amp; CM$72),"")</f>
        <v/>
      </c>
      <c r="CN133" s="1317" t="str">
        <f ca="1">IF(INDIRECT("'SpxSp (step-d)'!$B" &amp; CN$72)=$Z133,INDIRECT("'SpxSp (step-d)'!$" &amp; 'SpxSp (step-d)'!$AD$16 &amp; CN$72),"")</f>
        <v/>
      </c>
      <c r="CO133" s="1317" t="str">
        <f ca="1">IF(INDIRECT("'SpxSp (step-d)'!$B" &amp; CO$72)=$Z133,INDIRECT("'SpxSp (step-d)'!$" &amp; 'SpxSp (step-d)'!$AD$16 &amp; CO$72),"")</f>
        <v/>
      </c>
      <c r="CP133" s="1317" t="str">
        <f ca="1">IF(INDIRECT("'SpxSp (step-d)'!$B" &amp; CP$72)=$Z133,INDIRECT("'SpxSp (step-d)'!$" &amp; 'SpxSp (step-d)'!$AD$16 &amp; CP$72),"")</f>
        <v/>
      </c>
      <c r="CQ133" s="1317" t="str">
        <f ca="1">IF(INDIRECT("'SpxSp (step-d)'!$B" &amp; CQ$72)=$Z133,INDIRECT("'SpxSp (step-d)'!$" &amp; 'SpxSp (step-d)'!$AD$16 &amp; CQ$72),"")</f>
        <v/>
      </c>
      <c r="CR133" s="1317" t="str">
        <f ca="1">IF(INDIRECT("'SpxSp (step-d)'!$B" &amp; CR$72)=$Z133,INDIRECT("'SpxSp (step-d)'!$" &amp; 'SpxSp (step-d)'!$AD$16 &amp; CR$72),"")</f>
        <v/>
      </c>
      <c r="CS133" s="1317" t="str">
        <f ca="1">IF(INDIRECT("'SpxSp (step-d)'!$B" &amp; CS$72)=$Z133,INDIRECT("'SpxSp (step-d)'!$" &amp; 'SpxSp (step-d)'!$AD$16 &amp; CS$72),"")</f>
        <v/>
      </c>
      <c r="CT133" s="1317" t="str">
        <f ca="1">IF(INDIRECT("'SpxSp (step-d)'!$B" &amp; CT$72)=$Z133,INDIRECT("'SpxSp (step-d)'!$" &amp; 'SpxSp (step-d)'!$AD$16 &amp; CT$72),"")</f>
        <v/>
      </c>
      <c r="CU133" s="1317" t="str">
        <f ca="1">IF(INDIRECT("'SpxSp (step-d)'!$B" &amp; CU$72)=$Z133,INDIRECT("'SpxSp (step-d)'!$" &amp; 'SpxSp (step-d)'!$AD$16 &amp; CU$72),"")</f>
        <v/>
      </c>
      <c r="CV133" s="1317" t="str">
        <f ca="1">IF(INDIRECT("'SpxSp (step-d)'!$B" &amp; CV$72)=$Z133,INDIRECT("'SpxSp (step-d)'!$" &amp; 'SpxSp (step-d)'!$AD$16 &amp; CV$72),"")</f>
        <v/>
      </c>
      <c r="CW133" s="1317" t="str">
        <f ca="1">IF(INDIRECT("'SpxSp (step-d)'!$B" &amp; CW$72)=$Z133,INDIRECT("'SpxSp (step-d)'!$" &amp; 'SpxSp (step-d)'!$AD$16 &amp; CW$72),"")</f>
        <v/>
      </c>
      <c r="CX133" s="1317" t="str">
        <f ca="1">IF(INDIRECT("'SpxSp (step-d)'!$B" &amp; CX$72)=$Z133,INDIRECT("'SpxSp (step-d)'!$" &amp; 'SpxSp (step-d)'!$AD$16 &amp; CX$72),"")</f>
        <v/>
      </c>
      <c r="CY133" s="1317" t="str">
        <f ca="1">IF(INDIRECT("'SpxSp (step-d)'!$B" &amp; CY$72)=$Z133,INDIRECT("'SpxSp (step-d)'!$" &amp; 'SpxSp (step-d)'!$AD$16 &amp; CY$72),"")</f>
        <v/>
      </c>
      <c r="CZ133" s="1317" t="str">
        <f ca="1">IF(INDIRECT("'SpxSp (step-d)'!$B" &amp; CZ$72)=$Z133,INDIRECT("'SpxSp (step-d)'!$" &amp; 'SpxSp (step-d)'!$AD$16 &amp; CZ$72),"")</f>
        <v/>
      </c>
      <c r="DA133" s="1317" t="str">
        <f ca="1">IF(INDIRECT("'SpxSp (step-d)'!$B" &amp; DA$72)=$Z133,INDIRECT("'SpxSp (step-d)'!$" &amp; 'SpxSp (step-d)'!$AD$16 &amp; DA$72),"")</f>
        <v/>
      </c>
      <c r="DB133" s="1317" t="str">
        <f ca="1">IF(INDIRECT("'SpxSp (step-d)'!$B" &amp; DB$72)=$Z133,INDIRECT("'SpxSp (step-d)'!$" &amp; 'SpxSp (step-d)'!$AD$16 &amp; DB$72),"")</f>
        <v/>
      </c>
      <c r="DC133" s="1317" t="str">
        <f ca="1">IF(INDIRECT("'SpxSp (step-d)'!$B" &amp; DC$72)=$Z133,INDIRECT("'SpxSp (step-d)'!$" &amp; 'SpxSp (step-d)'!$AD$16 &amp; DC$72),"")</f>
        <v/>
      </c>
      <c r="DD133" s="1317" t="str">
        <f ca="1">IF(INDIRECT("'SpxSp (step-d)'!$B" &amp; DD$72)=$Z133,INDIRECT("'SpxSp (step-d)'!$" &amp; 'SpxSp (step-d)'!$AD$16 &amp; DD$72),"")</f>
        <v/>
      </c>
      <c r="DE133" s="1317" t="str">
        <f ca="1">IF(INDIRECT("'SpxSp (step-d)'!$B" &amp; DE$72)=$Z133,INDIRECT("'SpxSp (step-d)'!$" &amp; 'SpxSp (step-d)'!$AD$16 &amp; DE$72),"")</f>
        <v/>
      </c>
      <c r="DF133" s="1317" t="str">
        <f ca="1">IF(INDIRECT("'SpxSp (step-d)'!$B" &amp; DF$72)=$Z133,INDIRECT("'SpxSp (step-d)'!$" &amp; 'SpxSp (step-d)'!$AD$16 &amp; DF$72),"")</f>
        <v/>
      </c>
      <c r="DG133" s="1317" t="str">
        <f ca="1">IF(INDIRECT("'SpxSp (step-d)'!$B" &amp; DG$72)=$Z133,INDIRECT("'SpxSp (step-d)'!$" &amp; 'SpxSp (step-d)'!$AD$16 &amp; DG$72),"")</f>
        <v/>
      </c>
      <c r="DH133" s="1317" t="str">
        <f ca="1">IF(INDIRECT("'SpxSp (step-d)'!$B" &amp; DH$72)=$Z133,INDIRECT("'SpxSp (step-d)'!$" &amp; 'SpxSp (step-d)'!$AD$16 &amp; DH$72),"")</f>
        <v/>
      </c>
      <c r="DI133" s="1317" t="str">
        <f ca="1">IF(INDIRECT("'SpxSp (step-d)'!$B" &amp; DI$72)=$Z133,INDIRECT("'SpxSp (step-d)'!$" &amp; 'SpxSp (step-d)'!$AD$16 &amp; DI$72),"")</f>
        <v/>
      </c>
      <c r="DJ133" s="1317" t="str">
        <f ca="1">IF(INDIRECT("'SpxSp (step-d)'!$B" &amp; DJ$72)=$Z133,INDIRECT("'SpxSp (step-d)'!$" &amp; 'SpxSp (step-d)'!$AD$16 &amp; DJ$72),"")</f>
        <v/>
      </c>
      <c r="DK133" s="1317" t="str">
        <f ca="1">IF(INDIRECT("'SpxSp (step-d)'!$B" &amp; DK$72)=$Z133,INDIRECT("'SpxSp (step-d)'!$" &amp; 'SpxSp (step-d)'!$AD$16 &amp; DK$72),"")</f>
        <v/>
      </c>
      <c r="DL133" s="1317" t="str">
        <f ca="1">IF(INDIRECT("'SpxSp (step-d)'!$B" &amp; DL$72)=$Z133,INDIRECT("'SpxSp (step-d)'!$" &amp; 'SpxSp (step-d)'!$AD$16 &amp; DL$72),"")</f>
        <v/>
      </c>
      <c r="DM133" s="1317" t="str">
        <f ca="1">IF(INDIRECT("'SpxSp (step-d)'!$B" &amp; DM$72)=$Z133,INDIRECT("'SpxSp (step-d)'!$" &amp; 'SpxSp (step-d)'!$AD$16 &amp; DM$72),"")</f>
        <v/>
      </c>
      <c r="DO133" s="1246" t="s">
        <v>1200</v>
      </c>
    </row>
    <row r="134" spans="26:119" ht="20" x14ac:dyDescent="0.2">
      <c r="Z134" s="1317" t="str">
        <f t="shared" ref="Z134:AA134" si="98">Z79</f>
        <v/>
      </c>
      <c r="AA134" s="1317" t="str">
        <f t="shared" si="98"/>
        <v/>
      </c>
      <c r="BM134" s="178" t="str">
        <f>IFERROR(VLOOKUP(Z134,'SpxSp (step-d)'!B$18:I$67,6,FALSE),"")</f>
        <v/>
      </c>
      <c r="BN134" s="178">
        <v>7</v>
      </c>
      <c r="BO134" s="1316" t="str">
        <f t="shared" ca="1" si="92"/>
        <v/>
      </c>
      <c r="BP134" s="1317" t="str">
        <f ca="1">IF(INDIRECT("'SpxSp (step-d)'!$B" &amp; BP$72)=$Z134,INDIRECT("'SpxSp (step-d)'!$" &amp; 'SpxSp (step-d)'!$AD$16 &amp; BP$72),"")</f>
        <v/>
      </c>
      <c r="BQ134" s="1317" t="str">
        <f ca="1">IF(INDIRECT("'SpxSp (step-d)'!$B" &amp; BQ$72)=$Z134,INDIRECT("'SpxSp (step-d)'!$" &amp; 'SpxSp (step-d)'!$AD$16 &amp; BQ$72),"")</f>
        <v/>
      </c>
      <c r="BR134" s="1317" t="str">
        <f ca="1">IF(INDIRECT("'SpxSp (step-d)'!$B" &amp; BR$72)=$Z134,INDIRECT("'SpxSp (step-d)'!$" &amp; 'SpxSp (step-d)'!$AD$16 &amp; BR$72),"")</f>
        <v/>
      </c>
      <c r="BS134" s="1317" t="str">
        <f ca="1">IF(INDIRECT("'SpxSp (step-d)'!$B" &amp; BS$72)=$Z134,INDIRECT("'SpxSp (step-d)'!$" &amp; 'SpxSp (step-d)'!$AD$16 &amp; BS$72),"")</f>
        <v/>
      </c>
      <c r="BT134" s="1317" t="str">
        <f ca="1">IF(INDIRECT("'SpxSp (step-d)'!$B" &amp; BT$72)=$Z134,INDIRECT("'SpxSp (step-d)'!$" &amp; 'SpxSp (step-d)'!$AD$16 &amp; BT$72),"")</f>
        <v/>
      </c>
      <c r="BU134" s="1317" t="str">
        <f ca="1">IF(INDIRECT("'SpxSp (step-d)'!$B" &amp; BU$72)=$Z134,INDIRECT("'SpxSp (step-d)'!$" &amp; 'SpxSp (step-d)'!$AD$16 &amp; BU$72),"")</f>
        <v/>
      </c>
      <c r="BV134" s="1317" t="str">
        <f ca="1">IF(INDIRECT("'SpxSp (step-d)'!$B" &amp; BV$72)=$Z134,INDIRECT("'SpxSp (step-d)'!$" &amp; 'SpxSp (step-d)'!$AD$16 &amp; BV$72),"")</f>
        <v/>
      </c>
      <c r="BW134" s="1317" t="str">
        <f ca="1">IF(INDIRECT("'SpxSp (step-d)'!$B" &amp; BW$72)=$Z134,INDIRECT("'SpxSp (step-d)'!$" &amp; 'SpxSp (step-d)'!$AD$16 &amp; BW$72),"")</f>
        <v/>
      </c>
      <c r="BX134" s="1317" t="str">
        <f ca="1">IF(INDIRECT("'SpxSp (step-d)'!$B" &amp; BX$72)=$Z134,INDIRECT("'SpxSp (step-d)'!$" &amp; 'SpxSp (step-d)'!$AD$16 &amp; BX$72),"")</f>
        <v/>
      </c>
      <c r="BY134" s="1317" t="str">
        <f ca="1">IF(INDIRECT("'SpxSp (step-d)'!$B" &amp; BY$72)=$Z134,INDIRECT("'SpxSp (step-d)'!$" &amp; 'SpxSp (step-d)'!$AD$16 &amp; BY$72),"")</f>
        <v/>
      </c>
      <c r="BZ134" s="1317" t="str">
        <f ca="1">IF(INDIRECT("'SpxSp (step-d)'!$B" &amp; BZ$72)=$Z134,INDIRECT("'SpxSp (step-d)'!$" &amp; 'SpxSp (step-d)'!$AD$16 &amp; BZ$72),"")</f>
        <v/>
      </c>
      <c r="CA134" s="1317" t="str">
        <f ca="1">IF(INDIRECT("'SpxSp (step-d)'!$B" &amp; CA$72)=$Z134,INDIRECT("'SpxSp (step-d)'!$" &amp; 'SpxSp (step-d)'!$AD$16 &amp; CA$72),"")</f>
        <v/>
      </c>
      <c r="CB134" s="1317" t="str">
        <f ca="1">IF(INDIRECT("'SpxSp (step-d)'!$B" &amp; CB$72)=$Z134,INDIRECT("'SpxSp (step-d)'!$" &amp; 'SpxSp (step-d)'!$AD$16 &amp; CB$72),"")</f>
        <v/>
      </c>
      <c r="CC134" s="1317" t="str">
        <f ca="1">IF(INDIRECT("'SpxSp (step-d)'!$B" &amp; CC$72)=$Z134,INDIRECT("'SpxSp (step-d)'!$" &amp; 'SpxSp (step-d)'!$AD$16 &amp; CC$72),"")</f>
        <v/>
      </c>
      <c r="CD134" s="1317" t="str">
        <f ca="1">IF(INDIRECT("'SpxSp (step-d)'!$B" &amp; CD$72)=$Z134,INDIRECT("'SpxSp (step-d)'!$" &amp; 'SpxSp (step-d)'!$AD$16 &amp; CD$72),"")</f>
        <v/>
      </c>
      <c r="CE134" s="1317" t="str">
        <f ca="1">IF(INDIRECT("'SpxSp (step-d)'!$B" &amp; CE$72)=$Z134,INDIRECT("'SpxSp (step-d)'!$" &amp; 'SpxSp (step-d)'!$AD$16 &amp; CE$72),"")</f>
        <v/>
      </c>
      <c r="CF134" s="1317" t="str">
        <f ca="1">IF(INDIRECT("'SpxSp (step-d)'!$B" &amp; CF$72)=$Z134,INDIRECT("'SpxSp (step-d)'!$" &amp; 'SpxSp (step-d)'!$AD$16 &amp; CF$72),"")</f>
        <v/>
      </c>
      <c r="CG134" s="1317" t="str">
        <f ca="1">IF(INDIRECT("'SpxSp (step-d)'!$B" &amp; CG$72)=$Z134,INDIRECT("'SpxSp (step-d)'!$" &amp; 'SpxSp (step-d)'!$AD$16 &amp; CG$72),"")</f>
        <v/>
      </c>
      <c r="CH134" s="1317" t="str">
        <f ca="1">IF(INDIRECT("'SpxSp (step-d)'!$B" &amp; CH$72)=$Z134,INDIRECT("'SpxSp (step-d)'!$" &amp; 'SpxSp (step-d)'!$AD$16 &amp; CH$72),"")</f>
        <v/>
      </c>
      <c r="CI134" s="1317" t="str">
        <f ca="1">IF(INDIRECT("'SpxSp (step-d)'!$B" &amp; CI$72)=$Z134,INDIRECT("'SpxSp (step-d)'!$" &amp; 'SpxSp (step-d)'!$AD$16 &amp; CI$72),"")</f>
        <v/>
      </c>
      <c r="CJ134" s="1317" t="str">
        <f ca="1">IF(INDIRECT("'SpxSp (step-d)'!$B" &amp; CJ$72)=$Z134,INDIRECT("'SpxSp (step-d)'!$" &amp; 'SpxSp (step-d)'!$AD$16 &amp; CJ$72),"")</f>
        <v/>
      </c>
      <c r="CK134" s="1317" t="str">
        <f ca="1">IF(INDIRECT("'SpxSp (step-d)'!$B" &amp; CK$72)=$Z134,INDIRECT("'SpxSp (step-d)'!$" &amp; 'SpxSp (step-d)'!$AD$16 &amp; CK$72),"")</f>
        <v/>
      </c>
      <c r="CL134" s="1317" t="str">
        <f ca="1">IF(INDIRECT("'SpxSp (step-d)'!$B" &amp; CL$72)=$Z134,INDIRECT("'SpxSp (step-d)'!$" &amp; 'SpxSp (step-d)'!$AD$16 &amp; CL$72),"")</f>
        <v/>
      </c>
      <c r="CM134" s="1317" t="str">
        <f ca="1">IF(INDIRECT("'SpxSp (step-d)'!$B" &amp; CM$72)=$Z134,INDIRECT("'SpxSp (step-d)'!$" &amp; 'SpxSp (step-d)'!$AD$16 &amp; CM$72),"")</f>
        <v/>
      </c>
      <c r="CN134" s="1317" t="str">
        <f ca="1">IF(INDIRECT("'SpxSp (step-d)'!$B" &amp; CN$72)=$Z134,INDIRECT("'SpxSp (step-d)'!$" &amp; 'SpxSp (step-d)'!$AD$16 &amp; CN$72),"")</f>
        <v/>
      </c>
      <c r="CO134" s="1317" t="str">
        <f ca="1">IF(INDIRECT("'SpxSp (step-d)'!$B" &amp; CO$72)=$Z134,INDIRECT("'SpxSp (step-d)'!$" &amp; 'SpxSp (step-d)'!$AD$16 &amp; CO$72),"")</f>
        <v/>
      </c>
      <c r="CP134" s="1317" t="str">
        <f ca="1">IF(INDIRECT("'SpxSp (step-d)'!$B" &amp; CP$72)=$Z134,INDIRECT("'SpxSp (step-d)'!$" &amp; 'SpxSp (step-d)'!$AD$16 &amp; CP$72),"")</f>
        <v/>
      </c>
      <c r="CQ134" s="1317" t="str">
        <f ca="1">IF(INDIRECT("'SpxSp (step-d)'!$B" &amp; CQ$72)=$Z134,INDIRECT("'SpxSp (step-d)'!$" &amp; 'SpxSp (step-d)'!$AD$16 &amp; CQ$72),"")</f>
        <v/>
      </c>
      <c r="CR134" s="1317" t="str">
        <f ca="1">IF(INDIRECT("'SpxSp (step-d)'!$B" &amp; CR$72)=$Z134,INDIRECT("'SpxSp (step-d)'!$" &amp; 'SpxSp (step-d)'!$AD$16 &amp; CR$72),"")</f>
        <v/>
      </c>
      <c r="CS134" s="1317" t="str">
        <f ca="1">IF(INDIRECT("'SpxSp (step-d)'!$B" &amp; CS$72)=$Z134,INDIRECT("'SpxSp (step-d)'!$" &amp; 'SpxSp (step-d)'!$AD$16 &amp; CS$72),"")</f>
        <v/>
      </c>
      <c r="CT134" s="1317" t="str">
        <f ca="1">IF(INDIRECT("'SpxSp (step-d)'!$B" &amp; CT$72)=$Z134,INDIRECT("'SpxSp (step-d)'!$" &amp; 'SpxSp (step-d)'!$AD$16 &amp; CT$72),"")</f>
        <v/>
      </c>
      <c r="CU134" s="1317" t="str">
        <f ca="1">IF(INDIRECT("'SpxSp (step-d)'!$B" &amp; CU$72)=$Z134,INDIRECT("'SpxSp (step-d)'!$" &amp; 'SpxSp (step-d)'!$AD$16 &amp; CU$72),"")</f>
        <v/>
      </c>
      <c r="CV134" s="1317" t="str">
        <f ca="1">IF(INDIRECT("'SpxSp (step-d)'!$B" &amp; CV$72)=$Z134,INDIRECT("'SpxSp (step-d)'!$" &amp; 'SpxSp (step-d)'!$AD$16 &amp; CV$72),"")</f>
        <v/>
      </c>
      <c r="CW134" s="1317" t="str">
        <f ca="1">IF(INDIRECT("'SpxSp (step-d)'!$B" &amp; CW$72)=$Z134,INDIRECT("'SpxSp (step-d)'!$" &amp; 'SpxSp (step-d)'!$AD$16 &amp; CW$72),"")</f>
        <v/>
      </c>
      <c r="CX134" s="1317" t="str">
        <f ca="1">IF(INDIRECT("'SpxSp (step-d)'!$B" &amp; CX$72)=$Z134,INDIRECT("'SpxSp (step-d)'!$" &amp; 'SpxSp (step-d)'!$AD$16 &amp; CX$72),"")</f>
        <v/>
      </c>
      <c r="CY134" s="1317" t="str">
        <f ca="1">IF(INDIRECT("'SpxSp (step-d)'!$B" &amp; CY$72)=$Z134,INDIRECT("'SpxSp (step-d)'!$" &amp; 'SpxSp (step-d)'!$AD$16 &amp; CY$72),"")</f>
        <v/>
      </c>
      <c r="CZ134" s="1317" t="str">
        <f ca="1">IF(INDIRECT("'SpxSp (step-d)'!$B" &amp; CZ$72)=$Z134,INDIRECT("'SpxSp (step-d)'!$" &amp; 'SpxSp (step-d)'!$AD$16 &amp; CZ$72),"")</f>
        <v/>
      </c>
      <c r="DA134" s="1317" t="str">
        <f ca="1">IF(INDIRECT("'SpxSp (step-d)'!$B" &amp; DA$72)=$Z134,INDIRECT("'SpxSp (step-d)'!$" &amp; 'SpxSp (step-d)'!$AD$16 &amp; DA$72),"")</f>
        <v/>
      </c>
      <c r="DB134" s="1317" t="str">
        <f ca="1">IF(INDIRECT("'SpxSp (step-d)'!$B" &amp; DB$72)=$Z134,INDIRECT("'SpxSp (step-d)'!$" &amp; 'SpxSp (step-d)'!$AD$16 &amp; DB$72),"")</f>
        <v/>
      </c>
      <c r="DC134" s="1317" t="str">
        <f ca="1">IF(INDIRECT("'SpxSp (step-d)'!$B" &amp; DC$72)=$Z134,INDIRECT("'SpxSp (step-d)'!$" &amp; 'SpxSp (step-d)'!$AD$16 &amp; DC$72),"")</f>
        <v/>
      </c>
      <c r="DD134" s="1317" t="str">
        <f ca="1">IF(INDIRECT("'SpxSp (step-d)'!$B" &amp; DD$72)=$Z134,INDIRECT("'SpxSp (step-d)'!$" &amp; 'SpxSp (step-d)'!$AD$16 &amp; DD$72),"")</f>
        <v/>
      </c>
      <c r="DE134" s="1317" t="str">
        <f ca="1">IF(INDIRECT("'SpxSp (step-d)'!$B" &amp; DE$72)=$Z134,INDIRECT("'SpxSp (step-d)'!$" &amp; 'SpxSp (step-d)'!$AD$16 &amp; DE$72),"")</f>
        <v/>
      </c>
      <c r="DF134" s="1317" t="str">
        <f ca="1">IF(INDIRECT("'SpxSp (step-d)'!$B" &amp; DF$72)=$Z134,INDIRECT("'SpxSp (step-d)'!$" &amp; 'SpxSp (step-d)'!$AD$16 &amp; DF$72),"")</f>
        <v/>
      </c>
      <c r="DG134" s="1317" t="str">
        <f ca="1">IF(INDIRECT("'SpxSp (step-d)'!$B" &amp; DG$72)=$Z134,INDIRECT("'SpxSp (step-d)'!$" &amp; 'SpxSp (step-d)'!$AD$16 &amp; DG$72),"")</f>
        <v/>
      </c>
      <c r="DH134" s="1317" t="str">
        <f ca="1">IF(INDIRECT("'SpxSp (step-d)'!$B" &amp; DH$72)=$Z134,INDIRECT("'SpxSp (step-d)'!$" &amp; 'SpxSp (step-d)'!$AD$16 &amp; DH$72),"")</f>
        <v/>
      </c>
      <c r="DI134" s="1317" t="str">
        <f ca="1">IF(INDIRECT("'SpxSp (step-d)'!$B" &amp; DI$72)=$Z134,INDIRECT("'SpxSp (step-d)'!$" &amp; 'SpxSp (step-d)'!$AD$16 &amp; DI$72),"")</f>
        <v/>
      </c>
      <c r="DJ134" s="1317" t="str">
        <f ca="1">IF(INDIRECT("'SpxSp (step-d)'!$B" &amp; DJ$72)=$Z134,INDIRECT("'SpxSp (step-d)'!$" &amp; 'SpxSp (step-d)'!$AD$16 &amp; DJ$72),"")</f>
        <v/>
      </c>
      <c r="DK134" s="1317" t="str">
        <f ca="1">IF(INDIRECT("'SpxSp (step-d)'!$B" &amp; DK$72)=$Z134,INDIRECT("'SpxSp (step-d)'!$" &amp; 'SpxSp (step-d)'!$AD$16 &amp; DK$72),"")</f>
        <v/>
      </c>
      <c r="DL134" s="1317" t="str">
        <f ca="1">IF(INDIRECT("'SpxSp (step-d)'!$B" &amp; DL$72)=$Z134,INDIRECT("'SpxSp (step-d)'!$" &amp; 'SpxSp (step-d)'!$AD$16 &amp; DL$72),"")</f>
        <v/>
      </c>
      <c r="DM134" s="1317" t="str">
        <f ca="1">IF(INDIRECT("'SpxSp (step-d)'!$B" &amp; DM$72)=$Z134,INDIRECT("'SpxSp (step-d)'!$" &amp; 'SpxSp (step-d)'!$AD$16 &amp; DM$72),"")</f>
        <v/>
      </c>
      <c r="DO134" s="1246" t="s">
        <v>1200</v>
      </c>
    </row>
    <row r="135" spans="26:119" ht="20" x14ac:dyDescent="0.2">
      <c r="Z135" s="1317" t="str">
        <f t="shared" ref="Z135:AA135" si="99">Z80</f>
        <v/>
      </c>
      <c r="AA135" s="1317" t="str">
        <f t="shared" si="99"/>
        <v/>
      </c>
      <c r="BM135" s="178" t="str">
        <f>IFERROR(VLOOKUP(Z135,'SpxSp (step-d)'!B$18:I$67,6,FALSE),"")</f>
        <v/>
      </c>
      <c r="BN135" s="178">
        <v>8</v>
      </c>
      <c r="BO135" s="1316" t="str">
        <f t="shared" ca="1" si="92"/>
        <v/>
      </c>
      <c r="BP135" s="1317" t="str">
        <f ca="1">IF(INDIRECT("'SpxSp (step-d)'!$B" &amp; BP$72)=$Z135,INDIRECT("'SpxSp (step-d)'!$" &amp; 'SpxSp (step-d)'!$AD$16 &amp; BP$72),"")</f>
        <v/>
      </c>
      <c r="BQ135" s="1317" t="str">
        <f ca="1">IF(INDIRECT("'SpxSp (step-d)'!$B" &amp; BQ$72)=$Z135,INDIRECT("'SpxSp (step-d)'!$" &amp; 'SpxSp (step-d)'!$AD$16 &amp; BQ$72),"")</f>
        <v/>
      </c>
      <c r="BR135" s="1317" t="str">
        <f ca="1">IF(INDIRECT("'SpxSp (step-d)'!$B" &amp; BR$72)=$Z135,INDIRECT("'SpxSp (step-d)'!$" &amp; 'SpxSp (step-d)'!$AD$16 &amp; BR$72),"")</f>
        <v/>
      </c>
      <c r="BS135" s="1317" t="str">
        <f ca="1">IF(INDIRECT("'SpxSp (step-d)'!$B" &amp; BS$72)=$Z135,INDIRECT("'SpxSp (step-d)'!$" &amp; 'SpxSp (step-d)'!$AD$16 &amp; BS$72),"")</f>
        <v/>
      </c>
      <c r="BT135" s="1317" t="str">
        <f ca="1">IF(INDIRECT("'SpxSp (step-d)'!$B" &amp; BT$72)=$Z135,INDIRECT("'SpxSp (step-d)'!$" &amp; 'SpxSp (step-d)'!$AD$16 &amp; BT$72),"")</f>
        <v/>
      </c>
      <c r="BU135" s="1317" t="str">
        <f ca="1">IF(INDIRECT("'SpxSp (step-d)'!$B" &amp; BU$72)=$Z135,INDIRECT("'SpxSp (step-d)'!$" &amp; 'SpxSp (step-d)'!$AD$16 &amp; BU$72),"")</f>
        <v/>
      </c>
      <c r="BV135" s="1317" t="str">
        <f ca="1">IF(INDIRECT("'SpxSp (step-d)'!$B" &amp; BV$72)=$Z135,INDIRECT("'SpxSp (step-d)'!$" &amp; 'SpxSp (step-d)'!$AD$16 &amp; BV$72),"")</f>
        <v/>
      </c>
      <c r="BW135" s="1317" t="str">
        <f ca="1">IF(INDIRECT("'SpxSp (step-d)'!$B" &amp; BW$72)=$Z135,INDIRECT("'SpxSp (step-d)'!$" &amp; 'SpxSp (step-d)'!$AD$16 &amp; BW$72),"")</f>
        <v/>
      </c>
      <c r="BX135" s="1317" t="str">
        <f ca="1">IF(INDIRECT("'SpxSp (step-d)'!$B" &amp; BX$72)=$Z135,INDIRECT("'SpxSp (step-d)'!$" &amp; 'SpxSp (step-d)'!$AD$16 &amp; BX$72),"")</f>
        <v/>
      </c>
      <c r="BY135" s="1317" t="str">
        <f ca="1">IF(INDIRECT("'SpxSp (step-d)'!$B" &amp; BY$72)=$Z135,INDIRECT("'SpxSp (step-d)'!$" &amp; 'SpxSp (step-d)'!$AD$16 &amp; BY$72),"")</f>
        <v/>
      </c>
      <c r="BZ135" s="1317" t="str">
        <f ca="1">IF(INDIRECT("'SpxSp (step-d)'!$B" &amp; BZ$72)=$Z135,INDIRECT("'SpxSp (step-d)'!$" &amp; 'SpxSp (step-d)'!$AD$16 &amp; BZ$72),"")</f>
        <v/>
      </c>
      <c r="CA135" s="1317" t="str">
        <f ca="1">IF(INDIRECT("'SpxSp (step-d)'!$B" &amp; CA$72)=$Z135,INDIRECT("'SpxSp (step-d)'!$" &amp; 'SpxSp (step-d)'!$AD$16 &amp; CA$72),"")</f>
        <v/>
      </c>
      <c r="CB135" s="1317" t="str">
        <f ca="1">IF(INDIRECT("'SpxSp (step-d)'!$B" &amp; CB$72)=$Z135,INDIRECT("'SpxSp (step-d)'!$" &amp; 'SpxSp (step-d)'!$AD$16 &amp; CB$72),"")</f>
        <v/>
      </c>
      <c r="CC135" s="1317" t="str">
        <f ca="1">IF(INDIRECT("'SpxSp (step-d)'!$B" &amp; CC$72)=$Z135,INDIRECT("'SpxSp (step-d)'!$" &amp; 'SpxSp (step-d)'!$AD$16 &amp; CC$72),"")</f>
        <v/>
      </c>
      <c r="CD135" s="1317" t="str">
        <f ca="1">IF(INDIRECT("'SpxSp (step-d)'!$B" &amp; CD$72)=$Z135,INDIRECT("'SpxSp (step-d)'!$" &amp; 'SpxSp (step-d)'!$AD$16 &amp; CD$72),"")</f>
        <v/>
      </c>
      <c r="CE135" s="1317" t="str">
        <f ca="1">IF(INDIRECT("'SpxSp (step-d)'!$B" &amp; CE$72)=$Z135,INDIRECT("'SpxSp (step-d)'!$" &amp; 'SpxSp (step-d)'!$AD$16 &amp; CE$72),"")</f>
        <v/>
      </c>
      <c r="CF135" s="1317" t="str">
        <f ca="1">IF(INDIRECT("'SpxSp (step-d)'!$B" &amp; CF$72)=$Z135,INDIRECT("'SpxSp (step-d)'!$" &amp; 'SpxSp (step-d)'!$AD$16 &amp; CF$72),"")</f>
        <v/>
      </c>
      <c r="CG135" s="1317" t="str">
        <f ca="1">IF(INDIRECT("'SpxSp (step-d)'!$B" &amp; CG$72)=$Z135,INDIRECT("'SpxSp (step-d)'!$" &amp; 'SpxSp (step-d)'!$AD$16 &amp; CG$72),"")</f>
        <v/>
      </c>
      <c r="CH135" s="1317" t="str">
        <f ca="1">IF(INDIRECT("'SpxSp (step-d)'!$B" &amp; CH$72)=$Z135,INDIRECT("'SpxSp (step-d)'!$" &amp; 'SpxSp (step-d)'!$AD$16 &amp; CH$72),"")</f>
        <v/>
      </c>
      <c r="CI135" s="1317" t="str">
        <f ca="1">IF(INDIRECT("'SpxSp (step-d)'!$B" &amp; CI$72)=$Z135,INDIRECT("'SpxSp (step-d)'!$" &amp; 'SpxSp (step-d)'!$AD$16 &amp; CI$72),"")</f>
        <v/>
      </c>
      <c r="CJ135" s="1317" t="str">
        <f ca="1">IF(INDIRECT("'SpxSp (step-d)'!$B" &amp; CJ$72)=$Z135,INDIRECT("'SpxSp (step-d)'!$" &amp; 'SpxSp (step-d)'!$AD$16 &amp; CJ$72),"")</f>
        <v/>
      </c>
      <c r="CK135" s="1317" t="str">
        <f ca="1">IF(INDIRECT("'SpxSp (step-d)'!$B" &amp; CK$72)=$Z135,INDIRECT("'SpxSp (step-d)'!$" &amp; 'SpxSp (step-d)'!$AD$16 &amp; CK$72),"")</f>
        <v/>
      </c>
      <c r="CL135" s="1317" t="str">
        <f ca="1">IF(INDIRECT("'SpxSp (step-d)'!$B" &amp; CL$72)=$Z135,INDIRECT("'SpxSp (step-d)'!$" &amp; 'SpxSp (step-d)'!$AD$16 &amp; CL$72),"")</f>
        <v/>
      </c>
      <c r="CM135" s="1317" t="str">
        <f ca="1">IF(INDIRECT("'SpxSp (step-d)'!$B" &amp; CM$72)=$Z135,INDIRECT("'SpxSp (step-d)'!$" &amp; 'SpxSp (step-d)'!$AD$16 &amp; CM$72),"")</f>
        <v/>
      </c>
      <c r="CN135" s="1317" t="str">
        <f ca="1">IF(INDIRECT("'SpxSp (step-d)'!$B" &amp; CN$72)=$Z135,INDIRECT("'SpxSp (step-d)'!$" &amp; 'SpxSp (step-d)'!$AD$16 &amp; CN$72),"")</f>
        <v/>
      </c>
      <c r="CO135" s="1317" t="str">
        <f ca="1">IF(INDIRECT("'SpxSp (step-d)'!$B" &amp; CO$72)=$Z135,INDIRECT("'SpxSp (step-d)'!$" &amp; 'SpxSp (step-d)'!$AD$16 &amp; CO$72),"")</f>
        <v/>
      </c>
      <c r="CP135" s="1317" t="str">
        <f ca="1">IF(INDIRECT("'SpxSp (step-d)'!$B" &amp; CP$72)=$Z135,INDIRECT("'SpxSp (step-d)'!$" &amp; 'SpxSp (step-d)'!$AD$16 &amp; CP$72),"")</f>
        <v/>
      </c>
      <c r="CQ135" s="1317" t="str">
        <f ca="1">IF(INDIRECT("'SpxSp (step-d)'!$B" &amp; CQ$72)=$Z135,INDIRECT("'SpxSp (step-d)'!$" &amp; 'SpxSp (step-d)'!$AD$16 &amp; CQ$72),"")</f>
        <v/>
      </c>
      <c r="CR135" s="1317" t="str">
        <f ca="1">IF(INDIRECT("'SpxSp (step-d)'!$B" &amp; CR$72)=$Z135,INDIRECT("'SpxSp (step-d)'!$" &amp; 'SpxSp (step-d)'!$AD$16 &amp; CR$72),"")</f>
        <v/>
      </c>
      <c r="CS135" s="1317" t="str">
        <f ca="1">IF(INDIRECT("'SpxSp (step-d)'!$B" &amp; CS$72)=$Z135,INDIRECT("'SpxSp (step-d)'!$" &amp; 'SpxSp (step-d)'!$AD$16 &amp; CS$72),"")</f>
        <v/>
      </c>
      <c r="CT135" s="1317" t="str">
        <f ca="1">IF(INDIRECT("'SpxSp (step-d)'!$B" &amp; CT$72)=$Z135,INDIRECT("'SpxSp (step-d)'!$" &amp; 'SpxSp (step-d)'!$AD$16 &amp; CT$72),"")</f>
        <v/>
      </c>
      <c r="CU135" s="1317" t="str">
        <f ca="1">IF(INDIRECT("'SpxSp (step-d)'!$B" &amp; CU$72)=$Z135,INDIRECT("'SpxSp (step-d)'!$" &amp; 'SpxSp (step-d)'!$AD$16 &amp; CU$72),"")</f>
        <v/>
      </c>
      <c r="CV135" s="1317" t="str">
        <f ca="1">IF(INDIRECT("'SpxSp (step-d)'!$B" &amp; CV$72)=$Z135,INDIRECT("'SpxSp (step-d)'!$" &amp; 'SpxSp (step-d)'!$AD$16 &amp; CV$72),"")</f>
        <v/>
      </c>
      <c r="CW135" s="1317" t="str">
        <f ca="1">IF(INDIRECT("'SpxSp (step-d)'!$B" &amp; CW$72)=$Z135,INDIRECT("'SpxSp (step-d)'!$" &amp; 'SpxSp (step-d)'!$AD$16 &amp; CW$72),"")</f>
        <v/>
      </c>
      <c r="CX135" s="1317" t="str">
        <f ca="1">IF(INDIRECT("'SpxSp (step-d)'!$B" &amp; CX$72)=$Z135,INDIRECT("'SpxSp (step-d)'!$" &amp; 'SpxSp (step-d)'!$AD$16 &amp; CX$72),"")</f>
        <v/>
      </c>
      <c r="CY135" s="1317" t="str">
        <f ca="1">IF(INDIRECT("'SpxSp (step-d)'!$B" &amp; CY$72)=$Z135,INDIRECT("'SpxSp (step-d)'!$" &amp; 'SpxSp (step-d)'!$AD$16 &amp; CY$72),"")</f>
        <v/>
      </c>
      <c r="CZ135" s="1317" t="str">
        <f ca="1">IF(INDIRECT("'SpxSp (step-d)'!$B" &amp; CZ$72)=$Z135,INDIRECT("'SpxSp (step-d)'!$" &amp; 'SpxSp (step-d)'!$AD$16 &amp; CZ$72),"")</f>
        <v/>
      </c>
      <c r="DA135" s="1317" t="str">
        <f ca="1">IF(INDIRECT("'SpxSp (step-d)'!$B" &amp; DA$72)=$Z135,INDIRECT("'SpxSp (step-d)'!$" &amp; 'SpxSp (step-d)'!$AD$16 &amp; DA$72),"")</f>
        <v/>
      </c>
      <c r="DB135" s="1317" t="str">
        <f ca="1">IF(INDIRECT("'SpxSp (step-d)'!$B" &amp; DB$72)=$Z135,INDIRECT("'SpxSp (step-d)'!$" &amp; 'SpxSp (step-d)'!$AD$16 &amp; DB$72),"")</f>
        <v/>
      </c>
      <c r="DC135" s="1317" t="str">
        <f ca="1">IF(INDIRECT("'SpxSp (step-d)'!$B" &amp; DC$72)=$Z135,INDIRECT("'SpxSp (step-d)'!$" &amp; 'SpxSp (step-d)'!$AD$16 &amp; DC$72),"")</f>
        <v/>
      </c>
      <c r="DD135" s="1317" t="str">
        <f ca="1">IF(INDIRECT("'SpxSp (step-d)'!$B" &amp; DD$72)=$Z135,INDIRECT("'SpxSp (step-d)'!$" &amp; 'SpxSp (step-d)'!$AD$16 &amp; DD$72),"")</f>
        <v/>
      </c>
      <c r="DE135" s="1317" t="str">
        <f ca="1">IF(INDIRECT("'SpxSp (step-d)'!$B" &amp; DE$72)=$Z135,INDIRECT("'SpxSp (step-d)'!$" &amp; 'SpxSp (step-d)'!$AD$16 &amp; DE$72),"")</f>
        <v/>
      </c>
      <c r="DF135" s="1317" t="str">
        <f ca="1">IF(INDIRECT("'SpxSp (step-d)'!$B" &amp; DF$72)=$Z135,INDIRECT("'SpxSp (step-d)'!$" &amp; 'SpxSp (step-d)'!$AD$16 &amp; DF$72),"")</f>
        <v/>
      </c>
      <c r="DG135" s="1317" t="str">
        <f ca="1">IF(INDIRECT("'SpxSp (step-d)'!$B" &amp; DG$72)=$Z135,INDIRECT("'SpxSp (step-d)'!$" &amp; 'SpxSp (step-d)'!$AD$16 &amp; DG$72),"")</f>
        <v/>
      </c>
      <c r="DH135" s="1317" t="str">
        <f ca="1">IF(INDIRECT("'SpxSp (step-d)'!$B" &amp; DH$72)=$Z135,INDIRECT("'SpxSp (step-d)'!$" &amp; 'SpxSp (step-d)'!$AD$16 &amp; DH$72),"")</f>
        <v/>
      </c>
      <c r="DI135" s="1317" t="str">
        <f ca="1">IF(INDIRECT("'SpxSp (step-d)'!$B" &amp; DI$72)=$Z135,INDIRECT("'SpxSp (step-d)'!$" &amp; 'SpxSp (step-d)'!$AD$16 &amp; DI$72),"")</f>
        <v/>
      </c>
      <c r="DJ135" s="1317" t="str">
        <f ca="1">IF(INDIRECT("'SpxSp (step-d)'!$B" &amp; DJ$72)=$Z135,INDIRECT("'SpxSp (step-d)'!$" &amp; 'SpxSp (step-d)'!$AD$16 &amp; DJ$72),"")</f>
        <v/>
      </c>
      <c r="DK135" s="1317" t="str">
        <f ca="1">IF(INDIRECT("'SpxSp (step-d)'!$B" &amp; DK$72)=$Z135,INDIRECT("'SpxSp (step-d)'!$" &amp; 'SpxSp (step-d)'!$AD$16 &amp; DK$72),"")</f>
        <v/>
      </c>
      <c r="DL135" s="1317" t="str">
        <f ca="1">IF(INDIRECT("'SpxSp (step-d)'!$B" &amp; DL$72)=$Z135,INDIRECT("'SpxSp (step-d)'!$" &amp; 'SpxSp (step-d)'!$AD$16 &amp; DL$72),"")</f>
        <v/>
      </c>
      <c r="DM135" s="1317" t="str">
        <f ca="1">IF(INDIRECT("'SpxSp (step-d)'!$B" &amp; DM$72)=$Z135,INDIRECT("'SpxSp (step-d)'!$" &amp; 'SpxSp (step-d)'!$AD$16 &amp; DM$72),"")</f>
        <v/>
      </c>
      <c r="DO135" s="1246" t="s">
        <v>1200</v>
      </c>
    </row>
    <row r="136" spans="26:119" ht="20" x14ac:dyDescent="0.2">
      <c r="Z136" s="1317" t="str">
        <f t="shared" ref="Z136:AA136" si="100">Z81</f>
        <v/>
      </c>
      <c r="AA136" s="1317" t="str">
        <f t="shared" si="100"/>
        <v/>
      </c>
      <c r="BM136" s="178" t="str">
        <f>IFERROR(VLOOKUP(Z136,'SpxSp (step-d)'!B$18:I$67,6,FALSE),"")</f>
        <v/>
      </c>
      <c r="BN136" s="178">
        <v>9</v>
      </c>
      <c r="BO136" s="1316" t="str">
        <f t="shared" ca="1" si="92"/>
        <v/>
      </c>
      <c r="BP136" s="1317" t="str">
        <f ca="1">IF(INDIRECT("'SpxSp (step-d)'!$B" &amp; BP$72)=$Z136,INDIRECT("'SpxSp (step-d)'!$" &amp; 'SpxSp (step-d)'!$AD$16 &amp; BP$72),"")</f>
        <v/>
      </c>
      <c r="BQ136" s="1317" t="str">
        <f ca="1">IF(INDIRECT("'SpxSp (step-d)'!$B" &amp; BQ$72)=$Z136,INDIRECT("'SpxSp (step-d)'!$" &amp; 'SpxSp (step-d)'!$AD$16 &amp; BQ$72),"")</f>
        <v/>
      </c>
      <c r="BR136" s="1317" t="str">
        <f ca="1">IF(INDIRECT("'SpxSp (step-d)'!$B" &amp; BR$72)=$Z136,INDIRECT("'SpxSp (step-d)'!$" &amp; 'SpxSp (step-d)'!$AD$16 &amp; BR$72),"")</f>
        <v/>
      </c>
      <c r="BS136" s="1317" t="str">
        <f ca="1">IF(INDIRECT("'SpxSp (step-d)'!$B" &amp; BS$72)=$Z136,INDIRECT("'SpxSp (step-d)'!$" &amp; 'SpxSp (step-d)'!$AD$16 &amp; BS$72),"")</f>
        <v/>
      </c>
      <c r="BT136" s="1317" t="str">
        <f ca="1">IF(INDIRECT("'SpxSp (step-d)'!$B" &amp; BT$72)=$Z136,INDIRECT("'SpxSp (step-d)'!$" &amp; 'SpxSp (step-d)'!$AD$16 &amp; BT$72),"")</f>
        <v/>
      </c>
      <c r="BU136" s="1317" t="str">
        <f ca="1">IF(INDIRECT("'SpxSp (step-d)'!$B" &amp; BU$72)=$Z136,INDIRECT("'SpxSp (step-d)'!$" &amp; 'SpxSp (step-d)'!$AD$16 &amp; BU$72),"")</f>
        <v/>
      </c>
      <c r="BV136" s="1317" t="str">
        <f ca="1">IF(INDIRECT("'SpxSp (step-d)'!$B" &amp; BV$72)=$Z136,INDIRECT("'SpxSp (step-d)'!$" &amp; 'SpxSp (step-d)'!$AD$16 &amp; BV$72),"")</f>
        <v/>
      </c>
      <c r="BW136" s="1317" t="str">
        <f ca="1">IF(INDIRECT("'SpxSp (step-d)'!$B" &amp; BW$72)=$Z136,INDIRECT("'SpxSp (step-d)'!$" &amp; 'SpxSp (step-d)'!$AD$16 &amp; BW$72),"")</f>
        <v/>
      </c>
      <c r="BX136" s="1317" t="str">
        <f ca="1">IF(INDIRECT("'SpxSp (step-d)'!$B" &amp; BX$72)=$Z136,INDIRECT("'SpxSp (step-d)'!$" &amp; 'SpxSp (step-d)'!$AD$16 &amp; BX$72),"")</f>
        <v/>
      </c>
      <c r="BY136" s="1317" t="str">
        <f ca="1">IF(INDIRECT("'SpxSp (step-d)'!$B" &amp; BY$72)=$Z136,INDIRECT("'SpxSp (step-d)'!$" &amp; 'SpxSp (step-d)'!$AD$16 &amp; BY$72),"")</f>
        <v/>
      </c>
      <c r="BZ136" s="1317" t="str">
        <f ca="1">IF(INDIRECT("'SpxSp (step-d)'!$B" &amp; BZ$72)=$Z136,INDIRECT("'SpxSp (step-d)'!$" &amp; 'SpxSp (step-d)'!$AD$16 &amp; BZ$72),"")</f>
        <v/>
      </c>
      <c r="CA136" s="1317" t="str">
        <f ca="1">IF(INDIRECT("'SpxSp (step-d)'!$B" &amp; CA$72)=$Z136,INDIRECT("'SpxSp (step-d)'!$" &amp; 'SpxSp (step-d)'!$AD$16 &amp; CA$72),"")</f>
        <v/>
      </c>
      <c r="CB136" s="1317" t="str">
        <f ca="1">IF(INDIRECT("'SpxSp (step-d)'!$B" &amp; CB$72)=$Z136,INDIRECT("'SpxSp (step-d)'!$" &amp; 'SpxSp (step-d)'!$AD$16 &amp; CB$72),"")</f>
        <v/>
      </c>
      <c r="CC136" s="1317" t="str">
        <f ca="1">IF(INDIRECT("'SpxSp (step-d)'!$B" &amp; CC$72)=$Z136,INDIRECT("'SpxSp (step-d)'!$" &amp; 'SpxSp (step-d)'!$AD$16 &amp; CC$72),"")</f>
        <v/>
      </c>
      <c r="CD136" s="1317" t="str">
        <f ca="1">IF(INDIRECT("'SpxSp (step-d)'!$B" &amp; CD$72)=$Z136,INDIRECT("'SpxSp (step-d)'!$" &amp; 'SpxSp (step-d)'!$AD$16 &amp; CD$72),"")</f>
        <v/>
      </c>
      <c r="CE136" s="1317" t="str">
        <f ca="1">IF(INDIRECT("'SpxSp (step-d)'!$B" &amp; CE$72)=$Z136,INDIRECT("'SpxSp (step-d)'!$" &amp; 'SpxSp (step-d)'!$AD$16 &amp; CE$72),"")</f>
        <v/>
      </c>
      <c r="CF136" s="1317" t="str">
        <f ca="1">IF(INDIRECT("'SpxSp (step-d)'!$B" &amp; CF$72)=$Z136,INDIRECT("'SpxSp (step-d)'!$" &amp; 'SpxSp (step-d)'!$AD$16 &amp; CF$72),"")</f>
        <v/>
      </c>
      <c r="CG136" s="1317" t="str">
        <f ca="1">IF(INDIRECT("'SpxSp (step-d)'!$B" &amp; CG$72)=$Z136,INDIRECT("'SpxSp (step-d)'!$" &amp; 'SpxSp (step-d)'!$AD$16 &amp; CG$72),"")</f>
        <v/>
      </c>
      <c r="CH136" s="1317" t="str">
        <f ca="1">IF(INDIRECT("'SpxSp (step-d)'!$B" &amp; CH$72)=$Z136,INDIRECT("'SpxSp (step-d)'!$" &amp; 'SpxSp (step-d)'!$AD$16 &amp; CH$72),"")</f>
        <v/>
      </c>
      <c r="CI136" s="1317" t="str">
        <f ca="1">IF(INDIRECT("'SpxSp (step-d)'!$B" &amp; CI$72)=$Z136,INDIRECT("'SpxSp (step-d)'!$" &amp; 'SpxSp (step-d)'!$AD$16 &amp; CI$72),"")</f>
        <v/>
      </c>
      <c r="CJ136" s="1317" t="str">
        <f ca="1">IF(INDIRECT("'SpxSp (step-d)'!$B" &amp; CJ$72)=$Z136,INDIRECT("'SpxSp (step-d)'!$" &amp; 'SpxSp (step-d)'!$AD$16 &amp; CJ$72),"")</f>
        <v/>
      </c>
      <c r="CK136" s="1317" t="str">
        <f ca="1">IF(INDIRECT("'SpxSp (step-d)'!$B" &amp; CK$72)=$Z136,INDIRECT("'SpxSp (step-d)'!$" &amp; 'SpxSp (step-d)'!$AD$16 &amp; CK$72),"")</f>
        <v/>
      </c>
      <c r="CL136" s="1317" t="str">
        <f ca="1">IF(INDIRECT("'SpxSp (step-d)'!$B" &amp; CL$72)=$Z136,INDIRECT("'SpxSp (step-d)'!$" &amp; 'SpxSp (step-d)'!$AD$16 &amp; CL$72),"")</f>
        <v/>
      </c>
      <c r="CM136" s="1317" t="str">
        <f ca="1">IF(INDIRECT("'SpxSp (step-d)'!$B" &amp; CM$72)=$Z136,INDIRECT("'SpxSp (step-d)'!$" &amp; 'SpxSp (step-d)'!$AD$16 &amp; CM$72),"")</f>
        <v/>
      </c>
      <c r="CN136" s="1317" t="str">
        <f ca="1">IF(INDIRECT("'SpxSp (step-d)'!$B" &amp; CN$72)=$Z136,INDIRECT("'SpxSp (step-d)'!$" &amp; 'SpxSp (step-d)'!$AD$16 &amp; CN$72),"")</f>
        <v/>
      </c>
      <c r="CO136" s="1317" t="str">
        <f ca="1">IF(INDIRECT("'SpxSp (step-d)'!$B" &amp; CO$72)=$Z136,INDIRECT("'SpxSp (step-d)'!$" &amp; 'SpxSp (step-d)'!$AD$16 &amp; CO$72),"")</f>
        <v/>
      </c>
      <c r="CP136" s="1317" t="str">
        <f ca="1">IF(INDIRECT("'SpxSp (step-d)'!$B" &amp; CP$72)=$Z136,INDIRECT("'SpxSp (step-d)'!$" &amp; 'SpxSp (step-d)'!$AD$16 &amp; CP$72),"")</f>
        <v/>
      </c>
      <c r="CQ136" s="1317" t="str">
        <f ca="1">IF(INDIRECT("'SpxSp (step-d)'!$B" &amp; CQ$72)=$Z136,INDIRECT("'SpxSp (step-d)'!$" &amp; 'SpxSp (step-d)'!$AD$16 &amp; CQ$72),"")</f>
        <v/>
      </c>
      <c r="CR136" s="1317" t="str">
        <f ca="1">IF(INDIRECT("'SpxSp (step-d)'!$B" &amp; CR$72)=$Z136,INDIRECT("'SpxSp (step-d)'!$" &amp; 'SpxSp (step-d)'!$AD$16 &amp; CR$72),"")</f>
        <v/>
      </c>
      <c r="CS136" s="1317" t="str">
        <f ca="1">IF(INDIRECT("'SpxSp (step-d)'!$B" &amp; CS$72)=$Z136,INDIRECT("'SpxSp (step-d)'!$" &amp; 'SpxSp (step-d)'!$AD$16 &amp; CS$72),"")</f>
        <v/>
      </c>
      <c r="CT136" s="1317" t="str">
        <f ca="1">IF(INDIRECT("'SpxSp (step-d)'!$B" &amp; CT$72)=$Z136,INDIRECT("'SpxSp (step-d)'!$" &amp; 'SpxSp (step-d)'!$AD$16 &amp; CT$72),"")</f>
        <v/>
      </c>
      <c r="CU136" s="1317" t="str">
        <f ca="1">IF(INDIRECT("'SpxSp (step-d)'!$B" &amp; CU$72)=$Z136,INDIRECT("'SpxSp (step-d)'!$" &amp; 'SpxSp (step-d)'!$AD$16 &amp; CU$72),"")</f>
        <v/>
      </c>
      <c r="CV136" s="1317" t="str">
        <f ca="1">IF(INDIRECT("'SpxSp (step-d)'!$B" &amp; CV$72)=$Z136,INDIRECT("'SpxSp (step-d)'!$" &amp; 'SpxSp (step-d)'!$AD$16 &amp; CV$72),"")</f>
        <v/>
      </c>
      <c r="CW136" s="1317" t="str">
        <f ca="1">IF(INDIRECT("'SpxSp (step-d)'!$B" &amp; CW$72)=$Z136,INDIRECT("'SpxSp (step-d)'!$" &amp; 'SpxSp (step-d)'!$AD$16 &amp; CW$72),"")</f>
        <v/>
      </c>
      <c r="CX136" s="1317" t="str">
        <f ca="1">IF(INDIRECT("'SpxSp (step-d)'!$B" &amp; CX$72)=$Z136,INDIRECT("'SpxSp (step-d)'!$" &amp; 'SpxSp (step-d)'!$AD$16 &amp; CX$72),"")</f>
        <v/>
      </c>
      <c r="CY136" s="1317" t="str">
        <f ca="1">IF(INDIRECT("'SpxSp (step-d)'!$B" &amp; CY$72)=$Z136,INDIRECT("'SpxSp (step-d)'!$" &amp; 'SpxSp (step-d)'!$AD$16 &amp; CY$72),"")</f>
        <v/>
      </c>
      <c r="CZ136" s="1317" t="str">
        <f ca="1">IF(INDIRECT("'SpxSp (step-d)'!$B" &amp; CZ$72)=$Z136,INDIRECT("'SpxSp (step-d)'!$" &amp; 'SpxSp (step-d)'!$AD$16 &amp; CZ$72),"")</f>
        <v/>
      </c>
      <c r="DA136" s="1317" t="str">
        <f ca="1">IF(INDIRECT("'SpxSp (step-d)'!$B" &amp; DA$72)=$Z136,INDIRECT("'SpxSp (step-d)'!$" &amp; 'SpxSp (step-d)'!$AD$16 &amp; DA$72),"")</f>
        <v/>
      </c>
      <c r="DB136" s="1317" t="str">
        <f ca="1">IF(INDIRECT("'SpxSp (step-d)'!$B" &amp; DB$72)=$Z136,INDIRECT("'SpxSp (step-d)'!$" &amp; 'SpxSp (step-d)'!$AD$16 &amp; DB$72),"")</f>
        <v/>
      </c>
      <c r="DC136" s="1317" t="str">
        <f ca="1">IF(INDIRECT("'SpxSp (step-d)'!$B" &amp; DC$72)=$Z136,INDIRECT("'SpxSp (step-d)'!$" &amp; 'SpxSp (step-d)'!$AD$16 &amp; DC$72),"")</f>
        <v/>
      </c>
      <c r="DD136" s="1317" t="str">
        <f ca="1">IF(INDIRECT("'SpxSp (step-d)'!$B" &amp; DD$72)=$Z136,INDIRECT("'SpxSp (step-d)'!$" &amp; 'SpxSp (step-d)'!$AD$16 &amp; DD$72),"")</f>
        <v/>
      </c>
      <c r="DE136" s="1317" t="str">
        <f ca="1">IF(INDIRECT("'SpxSp (step-d)'!$B" &amp; DE$72)=$Z136,INDIRECT("'SpxSp (step-d)'!$" &amp; 'SpxSp (step-d)'!$AD$16 &amp; DE$72),"")</f>
        <v/>
      </c>
      <c r="DF136" s="1317" t="str">
        <f ca="1">IF(INDIRECT("'SpxSp (step-d)'!$B" &amp; DF$72)=$Z136,INDIRECT("'SpxSp (step-d)'!$" &amp; 'SpxSp (step-d)'!$AD$16 &amp; DF$72),"")</f>
        <v/>
      </c>
      <c r="DG136" s="1317" t="str">
        <f ca="1">IF(INDIRECT("'SpxSp (step-d)'!$B" &amp; DG$72)=$Z136,INDIRECT("'SpxSp (step-d)'!$" &amp; 'SpxSp (step-d)'!$AD$16 &amp; DG$72),"")</f>
        <v/>
      </c>
      <c r="DH136" s="1317" t="str">
        <f ca="1">IF(INDIRECT("'SpxSp (step-d)'!$B" &amp; DH$72)=$Z136,INDIRECT("'SpxSp (step-d)'!$" &amp; 'SpxSp (step-d)'!$AD$16 &amp; DH$72),"")</f>
        <v/>
      </c>
      <c r="DI136" s="1317" t="str">
        <f ca="1">IF(INDIRECT("'SpxSp (step-d)'!$B" &amp; DI$72)=$Z136,INDIRECT("'SpxSp (step-d)'!$" &amp; 'SpxSp (step-d)'!$AD$16 &amp; DI$72),"")</f>
        <v/>
      </c>
      <c r="DJ136" s="1317" t="str">
        <f ca="1">IF(INDIRECT("'SpxSp (step-d)'!$B" &amp; DJ$72)=$Z136,INDIRECT("'SpxSp (step-d)'!$" &amp; 'SpxSp (step-d)'!$AD$16 &amp; DJ$72),"")</f>
        <v/>
      </c>
      <c r="DK136" s="1317" t="str">
        <f ca="1">IF(INDIRECT("'SpxSp (step-d)'!$B" &amp; DK$72)=$Z136,INDIRECT("'SpxSp (step-d)'!$" &amp; 'SpxSp (step-d)'!$AD$16 &amp; DK$72),"")</f>
        <v/>
      </c>
      <c r="DL136" s="1317" t="str">
        <f ca="1">IF(INDIRECT("'SpxSp (step-d)'!$B" &amp; DL$72)=$Z136,INDIRECT("'SpxSp (step-d)'!$" &amp; 'SpxSp (step-d)'!$AD$16 &amp; DL$72),"")</f>
        <v/>
      </c>
      <c r="DM136" s="1317" t="str">
        <f ca="1">IF(INDIRECT("'SpxSp (step-d)'!$B" &amp; DM$72)=$Z136,INDIRECT("'SpxSp (step-d)'!$" &amp; 'SpxSp (step-d)'!$AD$16 &amp; DM$72),"")</f>
        <v/>
      </c>
      <c r="DO136" s="1246" t="s">
        <v>1200</v>
      </c>
    </row>
    <row r="137" spans="26:119" ht="20" x14ac:dyDescent="0.2">
      <c r="Z137" s="1317" t="str">
        <f t="shared" ref="Z137:AA137" si="101">Z82</f>
        <v/>
      </c>
      <c r="AA137" s="1317" t="str">
        <f t="shared" si="101"/>
        <v/>
      </c>
      <c r="BM137" s="178" t="str">
        <f>IFERROR(VLOOKUP(Z137,'SpxSp (step-d)'!B$18:I$67,6,FALSE),"")</f>
        <v/>
      </c>
      <c r="BN137" s="178">
        <v>10</v>
      </c>
      <c r="BO137" s="1316" t="str">
        <f t="shared" ca="1" si="92"/>
        <v/>
      </c>
      <c r="BP137" s="1317" t="str">
        <f ca="1">IF(INDIRECT("'SpxSp (step-d)'!$B" &amp; BP$72)=$Z137,INDIRECT("'SpxSp (step-d)'!$" &amp; 'SpxSp (step-d)'!$AD$16 &amp; BP$72),"")</f>
        <v/>
      </c>
      <c r="BQ137" s="1317" t="str">
        <f ca="1">IF(INDIRECT("'SpxSp (step-d)'!$B" &amp; BQ$72)=$Z137,INDIRECT("'SpxSp (step-d)'!$" &amp; 'SpxSp (step-d)'!$AD$16 &amp; BQ$72),"")</f>
        <v/>
      </c>
      <c r="BR137" s="1317" t="str">
        <f ca="1">IF(INDIRECT("'SpxSp (step-d)'!$B" &amp; BR$72)=$Z137,INDIRECT("'SpxSp (step-d)'!$" &amp; 'SpxSp (step-d)'!$AD$16 &amp; BR$72),"")</f>
        <v/>
      </c>
      <c r="BS137" s="1317" t="str">
        <f ca="1">IF(INDIRECT("'SpxSp (step-d)'!$B" &amp; BS$72)=$Z137,INDIRECT("'SpxSp (step-d)'!$" &amp; 'SpxSp (step-d)'!$AD$16 &amp; BS$72),"")</f>
        <v/>
      </c>
      <c r="BT137" s="1317" t="str">
        <f ca="1">IF(INDIRECT("'SpxSp (step-d)'!$B" &amp; BT$72)=$Z137,INDIRECT("'SpxSp (step-d)'!$" &amp; 'SpxSp (step-d)'!$AD$16 &amp; BT$72),"")</f>
        <v/>
      </c>
      <c r="BU137" s="1317" t="str">
        <f ca="1">IF(INDIRECT("'SpxSp (step-d)'!$B" &amp; BU$72)=$Z137,INDIRECT("'SpxSp (step-d)'!$" &amp; 'SpxSp (step-d)'!$AD$16 &amp; BU$72),"")</f>
        <v/>
      </c>
      <c r="BV137" s="1317" t="str">
        <f ca="1">IF(INDIRECT("'SpxSp (step-d)'!$B" &amp; BV$72)=$Z137,INDIRECT("'SpxSp (step-d)'!$" &amp; 'SpxSp (step-d)'!$AD$16 &amp; BV$72),"")</f>
        <v/>
      </c>
      <c r="BW137" s="1317" t="str">
        <f ca="1">IF(INDIRECT("'SpxSp (step-d)'!$B" &amp; BW$72)=$Z137,INDIRECT("'SpxSp (step-d)'!$" &amp; 'SpxSp (step-d)'!$AD$16 &amp; BW$72),"")</f>
        <v/>
      </c>
      <c r="BX137" s="1317" t="str">
        <f ca="1">IF(INDIRECT("'SpxSp (step-d)'!$B" &amp; BX$72)=$Z137,INDIRECT("'SpxSp (step-d)'!$" &amp; 'SpxSp (step-d)'!$AD$16 &amp; BX$72),"")</f>
        <v/>
      </c>
      <c r="BY137" s="1317" t="str">
        <f ca="1">IF(INDIRECT("'SpxSp (step-d)'!$B" &amp; BY$72)=$Z137,INDIRECT("'SpxSp (step-d)'!$" &amp; 'SpxSp (step-d)'!$AD$16 &amp; BY$72),"")</f>
        <v/>
      </c>
      <c r="BZ137" s="1317" t="str">
        <f ca="1">IF(INDIRECT("'SpxSp (step-d)'!$B" &amp; BZ$72)=$Z137,INDIRECT("'SpxSp (step-d)'!$" &amp; 'SpxSp (step-d)'!$AD$16 &amp; BZ$72),"")</f>
        <v/>
      </c>
      <c r="CA137" s="1317" t="str">
        <f ca="1">IF(INDIRECT("'SpxSp (step-d)'!$B" &amp; CA$72)=$Z137,INDIRECT("'SpxSp (step-d)'!$" &amp; 'SpxSp (step-d)'!$AD$16 &amp; CA$72),"")</f>
        <v/>
      </c>
      <c r="CB137" s="1317" t="str">
        <f ca="1">IF(INDIRECT("'SpxSp (step-d)'!$B" &amp; CB$72)=$Z137,INDIRECT("'SpxSp (step-d)'!$" &amp; 'SpxSp (step-d)'!$AD$16 &amp; CB$72),"")</f>
        <v/>
      </c>
      <c r="CC137" s="1317" t="str">
        <f ca="1">IF(INDIRECT("'SpxSp (step-d)'!$B" &amp; CC$72)=$Z137,INDIRECT("'SpxSp (step-d)'!$" &amp; 'SpxSp (step-d)'!$AD$16 &amp; CC$72),"")</f>
        <v/>
      </c>
      <c r="CD137" s="1317" t="str">
        <f ca="1">IF(INDIRECT("'SpxSp (step-d)'!$B" &amp; CD$72)=$Z137,INDIRECT("'SpxSp (step-d)'!$" &amp; 'SpxSp (step-d)'!$AD$16 &amp; CD$72),"")</f>
        <v/>
      </c>
      <c r="CE137" s="1317" t="str">
        <f ca="1">IF(INDIRECT("'SpxSp (step-d)'!$B" &amp; CE$72)=$Z137,INDIRECT("'SpxSp (step-d)'!$" &amp; 'SpxSp (step-d)'!$AD$16 &amp; CE$72),"")</f>
        <v/>
      </c>
      <c r="CF137" s="1317" t="str">
        <f ca="1">IF(INDIRECT("'SpxSp (step-d)'!$B" &amp; CF$72)=$Z137,INDIRECT("'SpxSp (step-d)'!$" &amp; 'SpxSp (step-d)'!$AD$16 &amp; CF$72),"")</f>
        <v/>
      </c>
      <c r="CG137" s="1317" t="str">
        <f ca="1">IF(INDIRECT("'SpxSp (step-d)'!$B" &amp; CG$72)=$Z137,INDIRECT("'SpxSp (step-d)'!$" &amp; 'SpxSp (step-d)'!$AD$16 &amp; CG$72),"")</f>
        <v/>
      </c>
      <c r="CH137" s="1317" t="str">
        <f ca="1">IF(INDIRECT("'SpxSp (step-d)'!$B" &amp; CH$72)=$Z137,INDIRECT("'SpxSp (step-d)'!$" &amp; 'SpxSp (step-d)'!$AD$16 &amp; CH$72),"")</f>
        <v/>
      </c>
      <c r="CI137" s="1317" t="str">
        <f ca="1">IF(INDIRECT("'SpxSp (step-d)'!$B" &amp; CI$72)=$Z137,INDIRECT("'SpxSp (step-d)'!$" &amp; 'SpxSp (step-d)'!$AD$16 &amp; CI$72),"")</f>
        <v/>
      </c>
      <c r="CJ137" s="1317" t="str">
        <f ca="1">IF(INDIRECT("'SpxSp (step-d)'!$B" &amp; CJ$72)=$Z137,INDIRECT("'SpxSp (step-d)'!$" &amp; 'SpxSp (step-d)'!$AD$16 &amp; CJ$72),"")</f>
        <v/>
      </c>
      <c r="CK137" s="1317" t="str">
        <f ca="1">IF(INDIRECT("'SpxSp (step-d)'!$B" &amp; CK$72)=$Z137,INDIRECT("'SpxSp (step-d)'!$" &amp; 'SpxSp (step-d)'!$AD$16 &amp; CK$72),"")</f>
        <v/>
      </c>
      <c r="CL137" s="1317" t="str">
        <f ca="1">IF(INDIRECT("'SpxSp (step-d)'!$B" &amp; CL$72)=$Z137,INDIRECT("'SpxSp (step-d)'!$" &amp; 'SpxSp (step-d)'!$AD$16 &amp; CL$72),"")</f>
        <v/>
      </c>
      <c r="CM137" s="1317" t="str">
        <f ca="1">IF(INDIRECT("'SpxSp (step-d)'!$B" &amp; CM$72)=$Z137,INDIRECT("'SpxSp (step-d)'!$" &amp; 'SpxSp (step-d)'!$AD$16 &amp; CM$72),"")</f>
        <v/>
      </c>
      <c r="CN137" s="1317" t="str">
        <f ca="1">IF(INDIRECT("'SpxSp (step-d)'!$B" &amp; CN$72)=$Z137,INDIRECT("'SpxSp (step-d)'!$" &amp; 'SpxSp (step-d)'!$AD$16 &amp; CN$72),"")</f>
        <v/>
      </c>
      <c r="CO137" s="1317" t="str">
        <f ca="1">IF(INDIRECT("'SpxSp (step-d)'!$B" &amp; CO$72)=$Z137,INDIRECT("'SpxSp (step-d)'!$" &amp; 'SpxSp (step-d)'!$AD$16 &amp; CO$72),"")</f>
        <v/>
      </c>
      <c r="CP137" s="1317" t="str">
        <f ca="1">IF(INDIRECT("'SpxSp (step-d)'!$B" &amp; CP$72)=$Z137,INDIRECT("'SpxSp (step-d)'!$" &amp; 'SpxSp (step-d)'!$AD$16 &amp; CP$72),"")</f>
        <v/>
      </c>
      <c r="CQ137" s="1317" t="str">
        <f ca="1">IF(INDIRECT("'SpxSp (step-d)'!$B" &amp; CQ$72)=$Z137,INDIRECT("'SpxSp (step-d)'!$" &amp; 'SpxSp (step-d)'!$AD$16 &amp; CQ$72),"")</f>
        <v/>
      </c>
      <c r="CR137" s="1317" t="str">
        <f ca="1">IF(INDIRECT("'SpxSp (step-d)'!$B" &amp; CR$72)=$Z137,INDIRECT("'SpxSp (step-d)'!$" &amp; 'SpxSp (step-d)'!$AD$16 &amp; CR$72),"")</f>
        <v/>
      </c>
      <c r="CS137" s="1317" t="str">
        <f ca="1">IF(INDIRECT("'SpxSp (step-d)'!$B" &amp; CS$72)=$Z137,INDIRECT("'SpxSp (step-d)'!$" &amp; 'SpxSp (step-d)'!$AD$16 &amp; CS$72),"")</f>
        <v/>
      </c>
      <c r="CT137" s="1317" t="str">
        <f ca="1">IF(INDIRECT("'SpxSp (step-d)'!$B" &amp; CT$72)=$Z137,INDIRECT("'SpxSp (step-d)'!$" &amp; 'SpxSp (step-d)'!$AD$16 &amp; CT$72),"")</f>
        <v/>
      </c>
      <c r="CU137" s="1317" t="str">
        <f ca="1">IF(INDIRECT("'SpxSp (step-d)'!$B" &amp; CU$72)=$Z137,INDIRECT("'SpxSp (step-d)'!$" &amp; 'SpxSp (step-d)'!$AD$16 &amp; CU$72),"")</f>
        <v/>
      </c>
      <c r="CV137" s="1317" t="str">
        <f ca="1">IF(INDIRECT("'SpxSp (step-d)'!$B" &amp; CV$72)=$Z137,INDIRECT("'SpxSp (step-d)'!$" &amp; 'SpxSp (step-d)'!$AD$16 &amp; CV$72),"")</f>
        <v/>
      </c>
      <c r="CW137" s="1317" t="str">
        <f ca="1">IF(INDIRECT("'SpxSp (step-d)'!$B" &amp; CW$72)=$Z137,INDIRECT("'SpxSp (step-d)'!$" &amp; 'SpxSp (step-d)'!$AD$16 &amp; CW$72),"")</f>
        <v/>
      </c>
      <c r="CX137" s="1317" t="str">
        <f ca="1">IF(INDIRECT("'SpxSp (step-d)'!$B" &amp; CX$72)=$Z137,INDIRECT("'SpxSp (step-d)'!$" &amp; 'SpxSp (step-d)'!$AD$16 &amp; CX$72),"")</f>
        <v/>
      </c>
      <c r="CY137" s="1317" t="str">
        <f ca="1">IF(INDIRECT("'SpxSp (step-d)'!$B" &amp; CY$72)=$Z137,INDIRECT("'SpxSp (step-d)'!$" &amp; 'SpxSp (step-d)'!$AD$16 &amp; CY$72),"")</f>
        <v/>
      </c>
      <c r="CZ137" s="1317" t="str">
        <f ca="1">IF(INDIRECT("'SpxSp (step-d)'!$B" &amp; CZ$72)=$Z137,INDIRECT("'SpxSp (step-d)'!$" &amp; 'SpxSp (step-d)'!$AD$16 &amp; CZ$72),"")</f>
        <v/>
      </c>
      <c r="DA137" s="1317" t="str">
        <f ca="1">IF(INDIRECT("'SpxSp (step-d)'!$B" &amp; DA$72)=$Z137,INDIRECT("'SpxSp (step-d)'!$" &amp; 'SpxSp (step-d)'!$AD$16 &amp; DA$72),"")</f>
        <v/>
      </c>
      <c r="DB137" s="1317" t="str">
        <f ca="1">IF(INDIRECT("'SpxSp (step-d)'!$B" &amp; DB$72)=$Z137,INDIRECT("'SpxSp (step-d)'!$" &amp; 'SpxSp (step-d)'!$AD$16 &amp; DB$72),"")</f>
        <v/>
      </c>
      <c r="DC137" s="1317" t="str">
        <f ca="1">IF(INDIRECT("'SpxSp (step-d)'!$B" &amp; DC$72)=$Z137,INDIRECT("'SpxSp (step-d)'!$" &amp; 'SpxSp (step-d)'!$AD$16 &amp; DC$72),"")</f>
        <v/>
      </c>
      <c r="DD137" s="1317" t="str">
        <f ca="1">IF(INDIRECT("'SpxSp (step-d)'!$B" &amp; DD$72)=$Z137,INDIRECT("'SpxSp (step-d)'!$" &amp; 'SpxSp (step-d)'!$AD$16 &amp; DD$72),"")</f>
        <v/>
      </c>
      <c r="DE137" s="1317" t="str">
        <f ca="1">IF(INDIRECT("'SpxSp (step-d)'!$B" &amp; DE$72)=$Z137,INDIRECT("'SpxSp (step-d)'!$" &amp; 'SpxSp (step-d)'!$AD$16 &amp; DE$72),"")</f>
        <v/>
      </c>
      <c r="DF137" s="1317" t="str">
        <f ca="1">IF(INDIRECT("'SpxSp (step-d)'!$B" &amp; DF$72)=$Z137,INDIRECT("'SpxSp (step-d)'!$" &amp; 'SpxSp (step-d)'!$AD$16 &amp; DF$72),"")</f>
        <v/>
      </c>
      <c r="DG137" s="1317" t="str">
        <f ca="1">IF(INDIRECT("'SpxSp (step-d)'!$B" &amp; DG$72)=$Z137,INDIRECT("'SpxSp (step-d)'!$" &amp; 'SpxSp (step-d)'!$AD$16 &amp; DG$72),"")</f>
        <v/>
      </c>
      <c r="DH137" s="1317" t="str">
        <f ca="1">IF(INDIRECT("'SpxSp (step-d)'!$B" &amp; DH$72)=$Z137,INDIRECT("'SpxSp (step-d)'!$" &amp; 'SpxSp (step-d)'!$AD$16 &amp; DH$72),"")</f>
        <v/>
      </c>
      <c r="DI137" s="1317" t="str">
        <f ca="1">IF(INDIRECT("'SpxSp (step-d)'!$B" &amp; DI$72)=$Z137,INDIRECT("'SpxSp (step-d)'!$" &amp; 'SpxSp (step-d)'!$AD$16 &amp; DI$72),"")</f>
        <v/>
      </c>
      <c r="DJ137" s="1317" t="str">
        <f ca="1">IF(INDIRECT("'SpxSp (step-d)'!$B" &amp; DJ$72)=$Z137,INDIRECT("'SpxSp (step-d)'!$" &amp; 'SpxSp (step-d)'!$AD$16 &amp; DJ$72),"")</f>
        <v/>
      </c>
      <c r="DK137" s="1317" t="str">
        <f ca="1">IF(INDIRECT("'SpxSp (step-d)'!$B" &amp; DK$72)=$Z137,INDIRECT("'SpxSp (step-d)'!$" &amp; 'SpxSp (step-d)'!$AD$16 &amp; DK$72),"")</f>
        <v/>
      </c>
      <c r="DL137" s="1317" t="str">
        <f ca="1">IF(INDIRECT("'SpxSp (step-d)'!$B" &amp; DL$72)=$Z137,INDIRECT("'SpxSp (step-d)'!$" &amp; 'SpxSp (step-d)'!$AD$16 &amp; DL$72),"")</f>
        <v/>
      </c>
      <c r="DM137" s="1317" t="str">
        <f ca="1">IF(INDIRECT("'SpxSp (step-d)'!$B" &amp; DM$72)=$Z137,INDIRECT("'SpxSp (step-d)'!$" &amp; 'SpxSp (step-d)'!$AD$16 &amp; DM$72),"")</f>
        <v/>
      </c>
      <c r="DO137" s="1246" t="s">
        <v>1200</v>
      </c>
    </row>
    <row r="138" spans="26:119" ht="20" x14ac:dyDescent="0.2">
      <c r="Z138" s="1317" t="str">
        <f t="shared" ref="Z138:AA138" si="102">Z83</f>
        <v/>
      </c>
      <c r="AA138" s="1317" t="str">
        <f t="shared" si="102"/>
        <v/>
      </c>
      <c r="BM138" s="178" t="str">
        <f>IFERROR(VLOOKUP(Z138,'SpxSp (step-d)'!B$18:I$67,6,FALSE),"")</f>
        <v/>
      </c>
      <c r="BN138" s="178">
        <v>11</v>
      </c>
      <c r="BO138" s="1316" t="str">
        <f t="shared" ca="1" si="92"/>
        <v/>
      </c>
      <c r="BP138" s="1317" t="str">
        <f ca="1">IF(INDIRECT("'SpxSp (step-d)'!$B" &amp; BP$72)=$Z138,INDIRECT("'SpxSp (step-d)'!$" &amp; 'SpxSp (step-d)'!$AD$16 &amp; BP$72),"")</f>
        <v/>
      </c>
      <c r="BQ138" s="1317" t="str">
        <f ca="1">IF(INDIRECT("'SpxSp (step-d)'!$B" &amp; BQ$72)=$Z138,INDIRECT("'SpxSp (step-d)'!$" &amp; 'SpxSp (step-d)'!$AD$16 &amp; BQ$72),"")</f>
        <v/>
      </c>
      <c r="BR138" s="1317" t="str">
        <f ca="1">IF(INDIRECT("'SpxSp (step-d)'!$B" &amp; BR$72)=$Z138,INDIRECT("'SpxSp (step-d)'!$" &amp; 'SpxSp (step-d)'!$AD$16 &amp; BR$72),"")</f>
        <v/>
      </c>
      <c r="BS138" s="1317" t="str">
        <f ca="1">IF(INDIRECT("'SpxSp (step-d)'!$B" &amp; BS$72)=$Z138,INDIRECT("'SpxSp (step-d)'!$" &amp; 'SpxSp (step-d)'!$AD$16 &amp; BS$72),"")</f>
        <v/>
      </c>
      <c r="BT138" s="1317" t="str">
        <f ca="1">IF(INDIRECT("'SpxSp (step-d)'!$B" &amp; BT$72)=$Z138,INDIRECT("'SpxSp (step-d)'!$" &amp; 'SpxSp (step-d)'!$AD$16 &amp; BT$72),"")</f>
        <v/>
      </c>
      <c r="BU138" s="1317" t="str">
        <f ca="1">IF(INDIRECT("'SpxSp (step-d)'!$B" &amp; BU$72)=$Z138,INDIRECT("'SpxSp (step-d)'!$" &amp; 'SpxSp (step-d)'!$AD$16 &amp; BU$72),"")</f>
        <v/>
      </c>
      <c r="BV138" s="1317" t="str">
        <f ca="1">IF(INDIRECT("'SpxSp (step-d)'!$B" &amp; BV$72)=$Z138,INDIRECT("'SpxSp (step-d)'!$" &amp; 'SpxSp (step-d)'!$AD$16 &amp; BV$72),"")</f>
        <v/>
      </c>
      <c r="BW138" s="1317" t="str">
        <f ca="1">IF(INDIRECT("'SpxSp (step-d)'!$B" &amp; BW$72)=$Z138,INDIRECT("'SpxSp (step-d)'!$" &amp; 'SpxSp (step-d)'!$AD$16 &amp; BW$72),"")</f>
        <v/>
      </c>
      <c r="BX138" s="1317" t="str">
        <f ca="1">IF(INDIRECT("'SpxSp (step-d)'!$B" &amp; BX$72)=$Z138,INDIRECT("'SpxSp (step-d)'!$" &amp; 'SpxSp (step-d)'!$AD$16 &amp; BX$72),"")</f>
        <v/>
      </c>
      <c r="BY138" s="1317" t="str">
        <f ca="1">IF(INDIRECT("'SpxSp (step-d)'!$B" &amp; BY$72)=$Z138,INDIRECT("'SpxSp (step-d)'!$" &amp; 'SpxSp (step-d)'!$AD$16 &amp; BY$72),"")</f>
        <v/>
      </c>
      <c r="BZ138" s="1317" t="str">
        <f ca="1">IF(INDIRECT("'SpxSp (step-d)'!$B" &amp; BZ$72)=$Z138,INDIRECT("'SpxSp (step-d)'!$" &amp; 'SpxSp (step-d)'!$AD$16 &amp; BZ$72),"")</f>
        <v/>
      </c>
      <c r="CA138" s="1317" t="str">
        <f ca="1">IF(INDIRECT("'SpxSp (step-d)'!$B" &amp; CA$72)=$Z138,INDIRECT("'SpxSp (step-d)'!$" &amp; 'SpxSp (step-d)'!$AD$16 &amp; CA$72),"")</f>
        <v/>
      </c>
      <c r="CB138" s="1317" t="str">
        <f ca="1">IF(INDIRECT("'SpxSp (step-d)'!$B" &amp; CB$72)=$Z138,INDIRECT("'SpxSp (step-d)'!$" &amp; 'SpxSp (step-d)'!$AD$16 &amp; CB$72),"")</f>
        <v/>
      </c>
      <c r="CC138" s="1317" t="str">
        <f ca="1">IF(INDIRECT("'SpxSp (step-d)'!$B" &amp; CC$72)=$Z138,INDIRECT("'SpxSp (step-d)'!$" &amp; 'SpxSp (step-d)'!$AD$16 &amp; CC$72),"")</f>
        <v/>
      </c>
      <c r="CD138" s="1317" t="str">
        <f ca="1">IF(INDIRECT("'SpxSp (step-d)'!$B" &amp; CD$72)=$Z138,INDIRECT("'SpxSp (step-d)'!$" &amp; 'SpxSp (step-d)'!$AD$16 &amp; CD$72),"")</f>
        <v/>
      </c>
      <c r="CE138" s="1317" t="str">
        <f ca="1">IF(INDIRECT("'SpxSp (step-d)'!$B" &amp; CE$72)=$Z138,INDIRECT("'SpxSp (step-d)'!$" &amp; 'SpxSp (step-d)'!$AD$16 &amp; CE$72),"")</f>
        <v/>
      </c>
      <c r="CF138" s="1317" t="str">
        <f ca="1">IF(INDIRECT("'SpxSp (step-d)'!$B" &amp; CF$72)=$Z138,INDIRECT("'SpxSp (step-d)'!$" &amp; 'SpxSp (step-d)'!$AD$16 &amp; CF$72),"")</f>
        <v/>
      </c>
      <c r="CG138" s="1317" t="str">
        <f ca="1">IF(INDIRECT("'SpxSp (step-d)'!$B" &amp; CG$72)=$Z138,INDIRECT("'SpxSp (step-d)'!$" &amp; 'SpxSp (step-d)'!$AD$16 &amp; CG$72),"")</f>
        <v/>
      </c>
      <c r="CH138" s="1317" t="str">
        <f ca="1">IF(INDIRECT("'SpxSp (step-d)'!$B" &amp; CH$72)=$Z138,INDIRECT("'SpxSp (step-d)'!$" &amp; 'SpxSp (step-d)'!$AD$16 &amp; CH$72),"")</f>
        <v/>
      </c>
      <c r="CI138" s="1317" t="str">
        <f ca="1">IF(INDIRECT("'SpxSp (step-d)'!$B" &amp; CI$72)=$Z138,INDIRECT("'SpxSp (step-d)'!$" &amp; 'SpxSp (step-d)'!$AD$16 &amp; CI$72),"")</f>
        <v/>
      </c>
      <c r="CJ138" s="1317" t="str">
        <f ca="1">IF(INDIRECT("'SpxSp (step-d)'!$B" &amp; CJ$72)=$Z138,INDIRECT("'SpxSp (step-d)'!$" &amp; 'SpxSp (step-d)'!$AD$16 &amp; CJ$72),"")</f>
        <v/>
      </c>
      <c r="CK138" s="1317" t="str">
        <f ca="1">IF(INDIRECT("'SpxSp (step-d)'!$B" &amp; CK$72)=$Z138,INDIRECT("'SpxSp (step-d)'!$" &amp; 'SpxSp (step-d)'!$AD$16 &amp; CK$72),"")</f>
        <v/>
      </c>
      <c r="CL138" s="1317" t="str">
        <f ca="1">IF(INDIRECT("'SpxSp (step-d)'!$B" &amp; CL$72)=$Z138,INDIRECT("'SpxSp (step-d)'!$" &amp; 'SpxSp (step-d)'!$AD$16 &amp; CL$72),"")</f>
        <v/>
      </c>
      <c r="CM138" s="1317" t="str">
        <f ca="1">IF(INDIRECT("'SpxSp (step-d)'!$B" &amp; CM$72)=$Z138,INDIRECT("'SpxSp (step-d)'!$" &amp; 'SpxSp (step-d)'!$AD$16 &amp; CM$72),"")</f>
        <v/>
      </c>
      <c r="CN138" s="1317" t="str">
        <f ca="1">IF(INDIRECT("'SpxSp (step-d)'!$B" &amp; CN$72)=$Z138,INDIRECT("'SpxSp (step-d)'!$" &amp; 'SpxSp (step-d)'!$AD$16 &amp; CN$72),"")</f>
        <v/>
      </c>
      <c r="CO138" s="1317" t="str">
        <f ca="1">IF(INDIRECT("'SpxSp (step-d)'!$B" &amp; CO$72)=$Z138,INDIRECT("'SpxSp (step-d)'!$" &amp; 'SpxSp (step-d)'!$AD$16 &amp; CO$72),"")</f>
        <v/>
      </c>
      <c r="CP138" s="1317" t="str">
        <f ca="1">IF(INDIRECT("'SpxSp (step-d)'!$B" &amp; CP$72)=$Z138,INDIRECT("'SpxSp (step-d)'!$" &amp; 'SpxSp (step-d)'!$AD$16 &amp; CP$72),"")</f>
        <v/>
      </c>
      <c r="CQ138" s="1317" t="str">
        <f ca="1">IF(INDIRECT("'SpxSp (step-d)'!$B" &amp; CQ$72)=$Z138,INDIRECT("'SpxSp (step-d)'!$" &amp; 'SpxSp (step-d)'!$AD$16 &amp; CQ$72),"")</f>
        <v/>
      </c>
      <c r="CR138" s="1317" t="str">
        <f ca="1">IF(INDIRECT("'SpxSp (step-d)'!$B" &amp; CR$72)=$Z138,INDIRECT("'SpxSp (step-d)'!$" &amp; 'SpxSp (step-d)'!$AD$16 &amp; CR$72),"")</f>
        <v/>
      </c>
      <c r="CS138" s="1317" t="str">
        <f ca="1">IF(INDIRECT("'SpxSp (step-d)'!$B" &amp; CS$72)=$Z138,INDIRECT("'SpxSp (step-d)'!$" &amp; 'SpxSp (step-d)'!$AD$16 &amp; CS$72),"")</f>
        <v/>
      </c>
      <c r="CT138" s="1317" t="str">
        <f ca="1">IF(INDIRECT("'SpxSp (step-d)'!$B" &amp; CT$72)=$Z138,INDIRECT("'SpxSp (step-d)'!$" &amp; 'SpxSp (step-d)'!$AD$16 &amp; CT$72),"")</f>
        <v/>
      </c>
      <c r="CU138" s="1317" t="str">
        <f ca="1">IF(INDIRECT("'SpxSp (step-d)'!$B" &amp; CU$72)=$Z138,INDIRECT("'SpxSp (step-d)'!$" &amp; 'SpxSp (step-d)'!$AD$16 &amp; CU$72),"")</f>
        <v/>
      </c>
      <c r="CV138" s="1317" t="str">
        <f ca="1">IF(INDIRECT("'SpxSp (step-d)'!$B" &amp; CV$72)=$Z138,INDIRECT("'SpxSp (step-d)'!$" &amp; 'SpxSp (step-d)'!$AD$16 &amp; CV$72),"")</f>
        <v/>
      </c>
      <c r="CW138" s="1317" t="str">
        <f ca="1">IF(INDIRECT("'SpxSp (step-d)'!$B" &amp; CW$72)=$Z138,INDIRECT("'SpxSp (step-d)'!$" &amp; 'SpxSp (step-d)'!$AD$16 &amp; CW$72),"")</f>
        <v/>
      </c>
      <c r="CX138" s="1317" t="str">
        <f ca="1">IF(INDIRECT("'SpxSp (step-d)'!$B" &amp; CX$72)=$Z138,INDIRECT("'SpxSp (step-d)'!$" &amp; 'SpxSp (step-d)'!$AD$16 &amp; CX$72),"")</f>
        <v/>
      </c>
      <c r="CY138" s="1317" t="str">
        <f ca="1">IF(INDIRECT("'SpxSp (step-d)'!$B" &amp; CY$72)=$Z138,INDIRECT("'SpxSp (step-d)'!$" &amp; 'SpxSp (step-d)'!$AD$16 &amp; CY$72),"")</f>
        <v/>
      </c>
      <c r="CZ138" s="1317" t="str">
        <f ca="1">IF(INDIRECT("'SpxSp (step-d)'!$B" &amp; CZ$72)=$Z138,INDIRECT("'SpxSp (step-d)'!$" &amp; 'SpxSp (step-d)'!$AD$16 &amp; CZ$72),"")</f>
        <v/>
      </c>
      <c r="DA138" s="1317" t="str">
        <f ca="1">IF(INDIRECT("'SpxSp (step-d)'!$B" &amp; DA$72)=$Z138,INDIRECT("'SpxSp (step-d)'!$" &amp; 'SpxSp (step-d)'!$AD$16 &amp; DA$72),"")</f>
        <v/>
      </c>
      <c r="DB138" s="1317" t="str">
        <f ca="1">IF(INDIRECT("'SpxSp (step-d)'!$B" &amp; DB$72)=$Z138,INDIRECT("'SpxSp (step-d)'!$" &amp; 'SpxSp (step-d)'!$AD$16 &amp; DB$72),"")</f>
        <v/>
      </c>
      <c r="DC138" s="1317" t="str">
        <f ca="1">IF(INDIRECT("'SpxSp (step-d)'!$B" &amp; DC$72)=$Z138,INDIRECT("'SpxSp (step-d)'!$" &amp; 'SpxSp (step-d)'!$AD$16 &amp; DC$72),"")</f>
        <v/>
      </c>
      <c r="DD138" s="1317" t="str">
        <f ca="1">IF(INDIRECT("'SpxSp (step-d)'!$B" &amp; DD$72)=$Z138,INDIRECT("'SpxSp (step-d)'!$" &amp; 'SpxSp (step-d)'!$AD$16 &amp; DD$72),"")</f>
        <v/>
      </c>
      <c r="DE138" s="1317" t="str">
        <f ca="1">IF(INDIRECT("'SpxSp (step-d)'!$B" &amp; DE$72)=$Z138,INDIRECT("'SpxSp (step-d)'!$" &amp; 'SpxSp (step-d)'!$AD$16 &amp; DE$72),"")</f>
        <v/>
      </c>
      <c r="DF138" s="1317" t="str">
        <f ca="1">IF(INDIRECT("'SpxSp (step-d)'!$B" &amp; DF$72)=$Z138,INDIRECT("'SpxSp (step-d)'!$" &amp; 'SpxSp (step-d)'!$AD$16 &amp; DF$72),"")</f>
        <v/>
      </c>
      <c r="DG138" s="1317" t="str">
        <f ca="1">IF(INDIRECT("'SpxSp (step-d)'!$B" &amp; DG$72)=$Z138,INDIRECT("'SpxSp (step-d)'!$" &amp; 'SpxSp (step-d)'!$AD$16 &amp; DG$72),"")</f>
        <v/>
      </c>
      <c r="DH138" s="1317" t="str">
        <f ca="1">IF(INDIRECT("'SpxSp (step-d)'!$B" &amp; DH$72)=$Z138,INDIRECT("'SpxSp (step-d)'!$" &amp; 'SpxSp (step-d)'!$AD$16 &amp; DH$72),"")</f>
        <v/>
      </c>
      <c r="DI138" s="1317" t="str">
        <f ca="1">IF(INDIRECT("'SpxSp (step-d)'!$B" &amp; DI$72)=$Z138,INDIRECT("'SpxSp (step-d)'!$" &amp; 'SpxSp (step-d)'!$AD$16 &amp; DI$72),"")</f>
        <v/>
      </c>
      <c r="DJ138" s="1317" t="str">
        <f ca="1">IF(INDIRECT("'SpxSp (step-d)'!$B" &amp; DJ$72)=$Z138,INDIRECT("'SpxSp (step-d)'!$" &amp; 'SpxSp (step-d)'!$AD$16 &amp; DJ$72),"")</f>
        <v/>
      </c>
      <c r="DK138" s="1317" t="str">
        <f ca="1">IF(INDIRECT("'SpxSp (step-d)'!$B" &amp; DK$72)=$Z138,INDIRECT("'SpxSp (step-d)'!$" &amp; 'SpxSp (step-d)'!$AD$16 &amp; DK$72),"")</f>
        <v/>
      </c>
      <c r="DL138" s="1317" t="str">
        <f ca="1">IF(INDIRECT("'SpxSp (step-d)'!$B" &amp; DL$72)=$Z138,INDIRECT("'SpxSp (step-d)'!$" &amp; 'SpxSp (step-d)'!$AD$16 &amp; DL$72),"")</f>
        <v/>
      </c>
      <c r="DM138" s="1317" t="str">
        <f ca="1">IF(INDIRECT("'SpxSp (step-d)'!$B" &amp; DM$72)=$Z138,INDIRECT("'SpxSp (step-d)'!$" &amp; 'SpxSp (step-d)'!$AD$16 &amp; DM$72),"")</f>
        <v/>
      </c>
      <c r="DO138" s="1246" t="s">
        <v>1200</v>
      </c>
    </row>
    <row r="139" spans="26:119" ht="20" x14ac:dyDescent="0.2">
      <c r="Z139" s="1317" t="str">
        <f t="shared" ref="Z139:AA139" si="103">Z84</f>
        <v/>
      </c>
      <c r="AA139" s="1317" t="str">
        <f t="shared" si="103"/>
        <v/>
      </c>
      <c r="BM139" s="178" t="str">
        <f>IFERROR(VLOOKUP(Z139,'SpxSp (step-d)'!B$18:I$67,6,FALSE),"")</f>
        <v/>
      </c>
      <c r="BN139" s="178">
        <v>12</v>
      </c>
      <c r="BO139" s="1316" t="str">
        <f t="shared" ca="1" si="92"/>
        <v/>
      </c>
      <c r="BP139" s="1317" t="str">
        <f ca="1">IF(INDIRECT("'SpxSp (step-d)'!$B" &amp; BP$72)=$Z139,INDIRECT("'SpxSp (step-d)'!$" &amp; 'SpxSp (step-d)'!$AD$16 &amp; BP$72),"")</f>
        <v/>
      </c>
      <c r="BQ139" s="1317" t="str">
        <f ca="1">IF(INDIRECT("'SpxSp (step-d)'!$B" &amp; BQ$72)=$Z139,INDIRECT("'SpxSp (step-d)'!$" &amp; 'SpxSp (step-d)'!$AD$16 &amp; BQ$72),"")</f>
        <v/>
      </c>
      <c r="BR139" s="1317" t="str">
        <f ca="1">IF(INDIRECT("'SpxSp (step-d)'!$B" &amp; BR$72)=$Z139,INDIRECT("'SpxSp (step-d)'!$" &amp; 'SpxSp (step-d)'!$AD$16 &amp; BR$72),"")</f>
        <v/>
      </c>
      <c r="BS139" s="1317" t="str">
        <f ca="1">IF(INDIRECT("'SpxSp (step-d)'!$B" &amp; BS$72)=$Z139,INDIRECT("'SpxSp (step-d)'!$" &amp; 'SpxSp (step-d)'!$AD$16 &amp; BS$72),"")</f>
        <v/>
      </c>
      <c r="BT139" s="1317" t="str">
        <f ca="1">IF(INDIRECT("'SpxSp (step-d)'!$B" &amp; BT$72)=$Z139,INDIRECT("'SpxSp (step-d)'!$" &amp; 'SpxSp (step-d)'!$AD$16 &amp; BT$72),"")</f>
        <v/>
      </c>
      <c r="BU139" s="1317" t="str">
        <f ca="1">IF(INDIRECT("'SpxSp (step-d)'!$B" &amp; BU$72)=$Z139,INDIRECT("'SpxSp (step-d)'!$" &amp; 'SpxSp (step-d)'!$AD$16 &amp; BU$72),"")</f>
        <v/>
      </c>
      <c r="BV139" s="1317" t="str">
        <f ca="1">IF(INDIRECT("'SpxSp (step-d)'!$B" &amp; BV$72)=$Z139,INDIRECT("'SpxSp (step-d)'!$" &amp; 'SpxSp (step-d)'!$AD$16 &amp; BV$72),"")</f>
        <v/>
      </c>
      <c r="BW139" s="1317" t="str">
        <f ca="1">IF(INDIRECT("'SpxSp (step-d)'!$B" &amp; BW$72)=$Z139,INDIRECT("'SpxSp (step-d)'!$" &amp; 'SpxSp (step-d)'!$AD$16 &amp; BW$72),"")</f>
        <v/>
      </c>
      <c r="BX139" s="1317" t="str">
        <f ca="1">IF(INDIRECT("'SpxSp (step-d)'!$B" &amp; BX$72)=$Z139,INDIRECT("'SpxSp (step-d)'!$" &amp; 'SpxSp (step-d)'!$AD$16 &amp; BX$72),"")</f>
        <v/>
      </c>
      <c r="BY139" s="1317" t="str">
        <f ca="1">IF(INDIRECT("'SpxSp (step-d)'!$B" &amp; BY$72)=$Z139,INDIRECT("'SpxSp (step-d)'!$" &amp; 'SpxSp (step-d)'!$AD$16 &amp; BY$72),"")</f>
        <v/>
      </c>
      <c r="BZ139" s="1317" t="str">
        <f ca="1">IF(INDIRECT("'SpxSp (step-d)'!$B" &amp; BZ$72)=$Z139,INDIRECT("'SpxSp (step-d)'!$" &amp; 'SpxSp (step-d)'!$AD$16 &amp; BZ$72),"")</f>
        <v/>
      </c>
      <c r="CA139" s="1317" t="str">
        <f ca="1">IF(INDIRECT("'SpxSp (step-d)'!$B" &amp; CA$72)=$Z139,INDIRECT("'SpxSp (step-d)'!$" &amp; 'SpxSp (step-d)'!$AD$16 &amp; CA$72),"")</f>
        <v/>
      </c>
      <c r="CB139" s="1317" t="str">
        <f ca="1">IF(INDIRECT("'SpxSp (step-d)'!$B" &amp; CB$72)=$Z139,INDIRECT("'SpxSp (step-d)'!$" &amp; 'SpxSp (step-d)'!$AD$16 &amp; CB$72),"")</f>
        <v/>
      </c>
      <c r="CC139" s="1317" t="str">
        <f ca="1">IF(INDIRECT("'SpxSp (step-d)'!$B" &amp; CC$72)=$Z139,INDIRECT("'SpxSp (step-d)'!$" &amp; 'SpxSp (step-d)'!$AD$16 &amp; CC$72),"")</f>
        <v/>
      </c>
      <c r="CD139" s="1317" t="str">
        <f ca="1">IF(INDIRECT("'SpxSp (step-d)'!$B" &amp; CD$72)=$Z139,INDIRECT("'SpxSp (step-d)'!$" &amp; 'SpxSp (step-d)'!$AD$16 &amp; CD$72),"")</f>
        <v/>
      </c>
      <c r="CE139" s="1317" t="str">
        <f ca="1">IF(INDIRECT("'SpxSp (step-d)'!$B" &amp; CE$72)=$Z139,INDIRECT("'SpxSp (step-d)'!$" &amp; 'SpxSp (step-d)'!$AD$16 &amp; CE$72),"")</f>
        <v/>
      </c>
      <c r="CF139" s="1317" t="str">
        <f ca="1">IF(INDIRECT("'SpxSp (step-d)'!$B" &amp; CF$72)=$Z139,INDIRECT("'SpxSp (step-d)'!$" &amp; 'SpxSp (step-d)'!$AD$16 &amp; CF$72),"")</f>
        <v/>
      </c>
      <c r="CG139" s="1317" t="str">
        <f ca="1">IF(INDIRECT("'SpxSp (step-d)'!$B" &amp; CG$72)=$Z139,INDIRECT("'SpxSp (step-d)'!$" &amp; 'SpxSp (step-d)'!$AD$16 &amp; CG$72),"")</f>
        <v/>
      </c>
      <c r="CH139" s="1317" t="str">
        <f ca="1">IF(INDIRECT("'SpxSp (step-d)'!$B" &amp; CH$72)=$Z139,INDIRECT("'SpxSp (step-d)'!$" &amp; 'SpxSp (step-d)'!$AD$16 &amp; CH$72),"")</f>
        <v/>
      </c>
      <c r="CI139" s="1317" t="str">
        <f ca="1">IF(INDIRECT("'SpxSp (step-d)'!$B" &amp; CI$72)=$Z139,INDIRECT("'SpxSp (step-d)'!$" &amp; 'SpxSp (step-d)'!$AD$16 &amp; CI$72),"")</f>
        <v/>
      </c>
      <c r="CJ139" s="1317" t="str">
        <f ca="1">IF(INDIRECT("'SpxSp (step-d)'!$B" &amp; CJ$72)=$Z139,INDIRECT("'SpxSp (step-d)'!$" &amp; 'SpxSp (step-d)'!$AD$16 &amp; CJ$72),"")</f>
        <v/>
      </c>
      <c r="CK139" s="1317" t="str">
        <f ca="1">IF(INDIRECT("'SpxSp (step-d)'!$B" &amp; CK$72)=$Z139,INDIRECT("'SpxSp (step-d)'!$" &amp; 'SpxSp (step-d)'!$AD$16 &amp; CK$72),"")</f>
        <v/>
      </c>
      <c r="CL139" s="1317" t="str">
        <f ca="1">IF(INDIRECT("'SpxSp (step-d)'!$B" &amp; CL$72)=$Z139,INDIRECT("'SpxSp (step-d)'!$" &amp; 'SpxSp (step-d)'!$AD$16 &amp; CL$72),"")</f>
        <v/>
      </c>
      <c r="CM139" s="1317" t="str">
        <f ca="1">IF(INDIRECT("'SpxSp (step-d)'!$B" &amp; CM$72)=$Z139,INDIRECT("'SpxSp (step-d)'!$" &amp; 'SpxSp (step-d)'!$AD$16 &amp; CM$72),"")</f>
        <v/>
      </c>
      <c r="CN139" s="1317" t="str">
        <f ca="1">IF(INDIRECT("'SpxSp (step-d)'!$B" &amp; CN$72)=$Z139,INDIRECT("'SpxSp (step-d)'!$" &amp; 'SpxSp (step-d)'!$AD$16 &amp; CN$72),"")</f>
        <v/>
      </c>
      <c r="CO139" s="1317" t="str">
        <f ca="1">IF(INDIRECT("'SpxSp (step-d)'!$B" &amp; CO$72)=$Z139,INDIRECT("'SpxSp (step-d)'!$" &amp; 'SpxSp (step-d)'!$AD$16 &amp; CO$72),"")</f>
        <v/>
      </c>
      <c r="CP139" s="1317" t="str">
        <f ca="1">IF(INDIRECT("'SpxSp (step-d)'!$B" &amp; CP$72)=$Z139,INDIRECT("'SpxSp (step-d)'!$" &amp; 'SpxSp (step-d)'!$AD$16 &amp; CP$72),"")</f>
        <v/>
      </c>
      <c r="CQ139" s="1317" t="str">
        <f ca="1">IF(INDIRECT("'SpxSp (step-d)'!$B" &amp; CQ$72)=$Z139,INDIRECT("'SpxSp (step-d)'!$" &amp; 'SpxSp (step-d)'!$AD$16 &amp; CQ$72),"")</f>
        <v/>
      </c>
      <c r="CR139" s="1317" t="str">
        <f ca="1">IF(INDIRECT("'SpxSp (step-d)'!$B" &amp; CR$72)=$Z139,INDIRECT("'SpxSp (step-d)'!$" &amp; 'SpxSp (step-d)'!$AD$16 &amp; CR$72),"")</f>
        <v/>
      </c>
      <c r="CS139" s="1317" t="str">
        <f ca="1">IF(INDIRECT("'SpxSp (step-d)'!$B" &amp; CS$72)=$Z139,INDIRECT("'SpxSp (step-d)'!$" &amp; 'SpxSp (step-d)'!$AD$16 &amp; CS$72),"")</f>
        <v/>
      </c>
      <c r="CT139" s="1317" t="str">
        <f ca="1">IF(INDIRECT("'SpxSp (step-d)'!$B" &amp; CT$72)=$Z139,INDIRECT("'SpxSp (step-d)'!$" &amp; 'SpxSp (step-d)'!$AD$16 &amp; CT$72),"")</f>
        <v/>
      </c>
      <c r="CU139" s="1317" t="str">
        <f ca="1">IF(INDIRECT("'SpxSp (step-d)'!$B" &amp; CU$72)=$Z139,INDIRECT("'SpxSp (step-d)'!$" &amp; 'SpxSp (step-d)'!$AD$16 &amp; CU$72),"")</f>
        <v/>
      </c>
      <c r="CV139" s="1317" t="str">
        <f ca="1">IF(INDIRECT("'SpxSp (step-d)'!$B" &amp; CV$72)=$Z139,INDIRECT("'SpxSp (step-d)'!$" &amp; 'SpxSp (step-d)'!$AD$16 &amp; CV$72),"")</f>
        <v/>
      </c>
      <c r="CW139" s="1317" t="str">
        <f ca="1">IF(INDIRECT("'SpxSp (step-d)'!$B" &amp; CW$72)=$Z139,INDIRECT("'SpxSp (step-d)'!$" &amp; 'SpxSp (step-d)'!$AD$16 &amp; CW$72),"")</f>
        <v/>
      </c>
      <c r="CX139" s="1317" t="str">
        <f ca="1">IF(INDIRECT("'SpxSp (step-d)'!$B" &amp; CX$72)=$Z139,INDIRECT("'SpxSp (step-d)'!$" &amp; 'SpxSp (step-d)'!$AD$16 &amp; CX$72),"")</f>
        <v/>
      </c>
      <c r="CY139" s="1317" t="str">
        <f ca="1">IF(INDIRECT("'SpxSp (step-d)'!$B" &amp; CY$72)=$Z139,INDIRECT("'SpxSp (step-d)'!$" &amp; 'SpxSp (step-d)'!$AD$16 &amp; CY$72),"")</f>
        <v/>
      </c>
      <c r="CZ139" s="1317" t="str">
        <f ca="1">IF(INDIRECT("'SpxSp (step-d)'!$B" &amp; CZ$72)=$Z139,INDIRECT("'SpxSp (step-d)'!$" &amp; 'SpxSp (step-d)'!$AD$16 &amp; CZ$72),"")</f>
        <v/>
      </c>
      <c r="DA139" s="1317" t="str">
        <f ca="1">IF(INDIRECT("'SpxSp (step-d)'!$B" &amp; DA$72)=$Z139,INDIRECT("'SpxSp (step-d)'!$" &amp; 'SpxSp (step-d)'!$AD$16 &amp; DA$72),"")</f>
        <v/>
      </c>
      <c r="DB139" s="1317" t="str">
        <f ca="1">IF(INDIRECT("'SpxSp (step-d)'!$B" &amp; DB$72)=$Z139,INDIRECT("'SpxSp (step-d)'!$" &amp; 'SpxSp (step-d)'!$AD$16 &amp; DB$72),"")</f>
        <v/>
      </c>
      <c r="DC139" s="1317" t="str">
        <f ca="1">IF(INDIRECT("'SpxSp (step-d)'!$B" &amp; DC$72)=$Z139,INDIRECT("'SpxSp (step-d)'!$" &amp; 'SpxSp (step-d)'!$AD$16 &amp; DC$72),"")</f>
        <v/>
      </c>
      <c r="DD139" s="1317" t="str">
        <f ca="1">IF(INDIRECT("'SpxSp (step-d)'!$B" &amp; DD$72)=$Z139,INDIRECT("'SpxSp (step-d)'!$" &amp; 'SpxSp (step-d)'!$AD$16 &amp; DD$72),"")</f>
        <v/>
      </c>
      <c r="DE139" s="1317" t="str">
        <f ca="1">IF(INDIRECT("'SpxSp (step-d)'!$B" &amp; DE$72)=$Z139,INDIRECT("'SpxSp (step-d)'!$" &amp; 'SpxSp (step-d)'!$AD$16 &amp; DE$72),"")</f>
        <v/>
      </c>
      <c r="DF139" s="1317" t="str">
        <f ca="1">IF(INDIRECT("'SpxSp (step-d)'!$B" &amp; DF$72)=$Z139,INDIRECT("'SpxSp (step-d)'!$" &amp; 'SpxSp (step-d)'!$AD$16 &amp; DF$72),"")</f>
        <v/>
      </c>
      <c r="DG139" s="1317" t="str">
        <f ca="1">IF(INDIRECT("'SpxSp (step-d)'!$B" &amp; DG$72)=$Z139,INDIRECT("'SpxSp (step-d)'!$" &amp; 'SpxSp (step-d)'!$AD$16 &amp; DG$72),"")</f>
        <v/>
      </c>
      <c r="DH139" s="1317" t="str">
        <f ca="1">IF(INDIRECT("'SpxSp (step-d)'!$B" &amp; DH$72)=$Z139,INDIRECT("'SpxSp (step-d)'!$" &amp; 'SpxSp (step-d)'!$AD$16 &amp; DH$72),"")</f>
        <v/>
      </c>
      <c r="DI139" s="1317" t="str">
        <f ca="1">IF(INDIRECT("'SpxSp (step-d)'!$B" &amp; DI$72)=$Z139,INDIRECT("'SpxSp (step-d)'!$" &amp; 'SpxSp (step-d)'!$AD$16 &amp; DI$72),"")</f>
        <v/>
      </c>
      <c r="DJ139" s="1317" t="str">
        <f ca="1">IF(INDIRECT("'SpxSp (step-d)'!$B" &amp; DJ$72)=$Z139,INDIRECT("'SpxSp (step-d)'!$" &amp; 'SpxSp (step-d)'!$AD$16 &amp; DJ$72),"")</f>
        <v/>
      </c>
      <c r="DK139" s="1317" t="str">
        <f ca="1">IF(INDIRECT("'SpxSp (step-d)'!$B" &amp; DK$72)=$Z139,INDIRECT("'SpxSp (step-d)'!$" &amp; 'SpxSp (step-d)'!$AD$16 &amp; DK$72),"")</f>
        <v/>
      </c>
      <c r="DL139" s="1317" t="str">
        <f ca="1">IF(INDIRECT("'SpxSp (step-d)'!$B" &amp; DL$72)=$Z139,INDIRECT("'SpxSp (step-d)'!$" &amp; 'SpxSp (step-d)'!$AD$16 &amp; DL$72),"")</f>
        <v/>
      </c>
      <c r="DM139" s="1317" t="str">
        <f ca="1">IF(INDIRECT("'SpxSp (step-d)'!$B" &amp; DM$72)=$Z139,INDIRECT("'SpxSp (step-d)'!$" &amp; 'SpxSp (step-d)'!$AD$16 &amp; DM$72),"")</f>
        <v/>
      </c>
      <c r="DO139" s="1246" t="s">
        <v>1200</v>
      </c>
    </row>
    <row r="140" spans="26:119" ht="20" x14ac:dyDescent="0.2">
      <c r="Z140" s="1317" t="str">
        <f t="shared" ref="Z140:AA140" si="104">Z85</f>
        <v/>
      </c>
      <c r="AA140" s="1317" t="str">
        <f t="shared" si="104"/>
        <v/>
      </c>
      <c r="BM140" s="178" t="str">
        <f>IFERROR(VLOOKUP(Z140,'SpxSp (step-d)'!B$18:I$67,6,FALSE),"")</f>
        <v/>
      </c>
      <c r="BN140" s="178">
        <v>13</v>
      </c>
      <c r="BO140" s="1316" t="str">
        <f t="shared" ca="1" si="92"/>
        <v/>
      </c>
      <c r="BP140" s="1317" t="str">
        <f ca="1">IF(INDIRECT("'SpxSp (step-d)'!$B" &amp; BP$72)=$Z140,INDIRECT("'SpxSp (step-d)'!$" &amp; 'SpxSp (step-d)'!$AD$16 &amp; BP$72),"")</f>
        <v/>
      </c>
      <c r="BQ140" s="1317" t="str">
        <f ca="1">IF(INDIRECT("'SpxSp (step-d)'!$B" &amp; BQ$72)=$Z140,INDIRECT("'SpxSp (step-d)'!$" &amp; 'SpxSp (step-d)'!$AD$16 &amp; BQ$72),"")</f>
        <v/>
      </c>
      <c r="BR140" s="1317" t="str">
        <f ca="1">IF(INDIRECT("'SpxSp (step-d)'!$B" &amp; BR$72)=$Z140,INDIRECT("'SpxSp (step-d)'!$" &amp; 'SpxSp (step-d)'!$AD$16 &amp; BR$72),"")</f>
        <v/>
      </c>
      <c r="BS140" s="1317" t="str">
        <f ca="1">IF(INDIRECT("'SpxSp (step-d)'!$B" &amp; BS$72)=$Z140,INDIRECT("'SpxSp (step-d)'!$" &amp; 'SpxSp (step-d)'!$AD$16 &amp; BS$72),"")</f>
        <v/>
      </c>
      <c r="BT140" s="1317" t="str">
        <f ca="1">IF(INDIRECT("'SpxSp (step-d)'!$B" &amp; BT$72)=$Z140,INDIRECT("'SpxSp (step-d)'!$" &amp; 'SpxSp (step-d)'!$AD$16 &amp; BT$72),"")</f>
        <v/>
      </c>
      <c r="BU140" s="1317" t="str">
        <f ca="1">IF(INDIRECT("'SpxSp (step-d)'!$B" &amp; BU$72)=$Z140,INDIRECT("'SpxSp (step-d)'!$" &amp; 'SpxSp (step-d)'!$AD$16 &amp; BU$72),"")</f>
        <v/>
      </c>
      <c r="BV140" s="1317" t="str">
        <f ca="1">IF(INDIRECT("'SpxSp (step-d)'!$B" &amp; BV$72)=$Z140,INDIRECT("'SpxSp (step-d)'!$" &amp; 'SpxSp (step-d)'!$AD$16 &amp; BV$72),"")</f>
        <v/>
      </c>
      <c r="BW140" s="1317" t="str">
        <f ca="1">IF(INDIRECT("'SpxSp (step-d)'!$B" &amp; BW$72)=$Z140,INDIRECT("'SpxSp (step-d)'!$" &amp; 'SpxSp (step-d)'!$AD$16 &amp; BW$72),"")</f>
        <v/>
      </c>
      <c r="BX140" s="1317" t="str">
        <f ca="1">IF(INDIRECT("'SpxSp (step-d)'!$B" &amp; BX$72)=$Z140,INDIRECT("'SpxSp (step-d)'!$" &amp; 'SpxSp (step-d)'!$AD$16 &amp; BX$72),"")</f>
        <v/>
      </c>
      <c r="BY140" s="1317" t="str">
        <f ca="1">IF(INDIRECT("'SpxSp (step-d)'!$B" &amp; BY$72)=$Z140,INDIRECT("'SpxSp (step-d)'!$" &amp; 'SpxSp (step-d)'!$AD$16 &amp; BY$72),"")</f>
        <v/>
      </c>
      <c r="BZ140" s="1317" t="str">
        <f ca="1">IF(INDIRECT("'SpxSp (step-d)'!$B" &amp; BZ$72)=$Z140,INDIRECT("'SpxSp (step-d)'!$" &amp; 'SpxSp (step-d)'!$AD$16 &amp; BZ$72),"")</f>
        <v/>
      </c>
      <c r="CA140" s="1317" t="str">
        <f ca="1">IF(INDIRECT("'SpxSp (step-d)'!$B" &amp; CA$72)=$Z140,INDIRECT("'SpxSp (step-d)'!$" &amp; 'SpxSp (step-d)'!$AD$16 &amp; CA$72),"")</f>
        <v/>
      </c>
      <c r="CB140" s="1317" t="str">
        <f ca="1">IF(INDIRECT("'SpxSp (step-d)'!$B" &amp; CB$72)=$Z140,INDIRECT("'SpxSp (step-d)'!$" &amp; 'SpxSp (step-d)'!$AD$16 &amp; CB$72),"")</f>
        <v/>
      </c>
      <c r="CC140" s="1317" t="str">
        <f ca="1">IF(INDIRECT("'SpxSp (step-d)'!$B" &amp; CC$72)=$Z140,INDIRECT("'SpxSp (step-d)'!$" &amp; 'SpxSp (step-d)'!$AD$16 &amp; CC$72),"")</f>
        <v/>
      </c>
      <c r="CD140" s="1317" t="str">
        <f ca="1">IF(INDIRECT("'SpxSp (step-d)'!$B" &amp; CD$72)=$Z140,INDIRECT("'SpxSp (step-d)'!$" &amp; 'SpxSp (step-d)'!$AD$16 &amp; CD$72),"")</f>
        <v/>
      </c>
      <c r="CE140" s="1317" t="str">
        <f ca="1">IF(INDIRECT("'SpxSp (step-d)'!$B" &amp; CE$72)=$Z140,INDIRECT("'SpxSp (step-d)'!$" &amp; 'SpxSp (step-d)'!$AD$16 &amp; CE$72),"")</f>
        <v/>
      </c>
      <c r="CF140" s="1317" t="str">
        <f ca="1">IF(INDIRECT("'SpxSp (step-d)'!$B" &amp; CF$72)=$Z140,INDIRECT("'SpxSp (step-d)'!$" &amp; 'SpxSp (step-d)'!$AD$16 &amp; CF$72),"")</f>
        <v/>
      </c>
      <c r="CG140" s="1317" t="str">
        <f ca="1">IF(INDIRECT("'SpxSp (step-d)'!$B" &amp; CG$72)=$Z140,INDIRECT("'SpxSp (step-d)'!$" &amp; 'SpxSp (step-d)'!$AD$16 &amp; CG$72),"")</f>
        <v/>
      </c>
      <c r="CH140" s="1317" t="str">
        <f ca="1">IF(INDIRECT("'SpxSp (step-d)'!$B" &amp; CH$72)=$Z140,INDIRECT("'SpxSp (step-d)'!$" &amp; 'SpxSp (step-d)'!$AD$16 &amp; CH$72),"")</f>
        <v/>
      </c>
      <c r="CI140" s="1317" t="str">
        <f ca="1">IF(INDIRECT("'SpxSp (step-d)'!$B" &amp; CI$72)=$Z140,INDIRECT("'SpxSp (step-d)'!$" &amp; 'SpxSp (step-d)'!$AD$16 &amp; CI$72),"")</f>
        <v/>
      </c>
      <c r="CJ140" s="1317" t="str">
        <f ca="1">IF(INDIRECT("'SpxSp (step-d)'!$B" &amp; CJ$72)=$Z140,INDIRECT("'SpxSp (step-d)'!$" &amp; 'SpxSp (step-d)'!$AD$16 &amp; CJ$72),"")</f>
        <v/>
      </c>
      <c r="CK140" s="1317" t="str">
        <f ca="1">IF(INDIRECT("'SpxSp (step-d)'!$B" &amp; CK$72)=$Z140,INDIRECT("'SpxSp (step-d)'!$" &amp; 'SpxSp (step-d)'!$AD$16 &amp; CK$72),"")</f>
        <v/>
      </c>
      <c r="CL140" s="1317" t="str">
        <f ca="1">IF(INDIRECT("'SpxSp (step-d)'!$B" &amp; CL$72)=$Z140,INDIRECT("'SpxSp (step-d)'!$" &amp; 'SpxSp (step-d)'!$AD$16 &amp; CL$72),"")</f>
        <v/>
      </c>
      <c r="CM140" s="1317" t="str">
        <f ca="1">IF(INDIRECT("'SpxSp (step-d)'!$B" &amp; CM$72)=$Z140,INDIRECT("'SpxSp (step-d)'!$" &amp; 'SpxSp (step-d)'!$AD$16 &amp; CM$72),"")</f>
        <v/>
      </c>
      <c r="CN140" s="1317" t="str">
        <f ca="1">IF(INDIRECT("'SpxSp (step-d)'!$B" &amp; CN$72)=$Z140,INDIRECT("'SpxSp (step-d)'!$" &amp; 'SpxSp (step-d)'!$AD$16 &amp; CN$72),"")</f>
        <v/>
      </c>
      <c r="CO140" s="1317" t="str">
        <f ca="1">IF(INDIRECT("'SpxSp (step-d)'!$B" &amp; CO$72)=$Z140,INDIRECT("'SpxSp (step-d)'!$" &amp; 'SpxSp (step-d)'!$AD$16 &amp; CO$72),"")</f>
        <v/>
      </c>
      <c r="CP140" s="1317" t="str">
        <f ca="1">IF(INDIRECT("'SpxSp (step-d)'!$B" &amp; CP$72)=$Z140,INDIRECT("'SpxSp (step-d)'!$" &amp; 'SpxSp (step-d)'!$AD$16 &amp; CP$72),"")</f>
        <v/>
      </c>
      <c r="CQ140" s="1317" t="str">
        <f ca="1">IF(INDIRECT("'SpxSp (step-d)'!$B" &amp; CQ$72)=$Z140,INDIRECT("'SpxSp (step-d)'!$" &amp; 'SpxSp (step-d)'!$AD$16 &amp; CQ$72),"")</f>
        <v/>
      </c>
      <c r="CR140" s="1317" t="str">
        <f ca="1">IF(INDIRECT("'SpxSp (step-d)'!$B" &amp; CR$72)=$Z140,INDIRECT("'SpxSp (step-d)'!$" &amp; 'SpxSp (step-d)'!$AD$16 &amp; CR$72),"")</f>
        <v/>
      </c>
      <c r="CS140" s="1317" t="str">
        <f ca="1">IF(INDIRECT("'SpxSp (step-d)'!$B" &amp; CS$72)=$Z140,INDIRECT("'SpxSp (step-d)'!$" &amp; 'SpxSp (step-d)'!$AD$16 &amp; CS$72),"")</f>
        <v/>
      </c>
      <c r="CT140" s="1317" t="str">
        <f ca="1">IF(INDIRECT("'SpxSp (step-d)'!$B" &amp; CT$72)=$Z140,INDIRECT("'SpxSp (step-d)'!$" &amp; 'SpxSp (step-d)'!$AD$16 &amp; CT$72),"")</f>
        <v/>
      </c>
      <c r="CU140" s="1317" t="str">
        <f ca="1">IF(INDIRECT("'SpxSp (step-d)'!$B" &amp; CU$72)=$Z140,INDIRECT("'SpxSp (step-d)'!$" &amp; 'SpxSp (step-d)'!$AD$16 &amp; CU$72),"")</f>
        <v/>
      </c>
      <c r="CV140" s="1317" t="str">
        <f ca="1">IF(INDIRECT("'SpxSp (step-d)'!$B" &amp; CV$72)=$Z140,INDIRECT("'SpxSp (step-d)'!$" &amp; 'SpxSp (step-d)'!$AD$16 &amp; CV$72),"")</f>
        <v/>
      </c>
      <c r="CW140" s="1317" t="str">
        <f ca="1">IF(INDIRECT("'SpxSp (step-d)'!$B" &amp; CW$72)=$Z140,INDIRECT("'SpxSp (step-d)'!$" &amp; 'SpxSp (step-d)'!$AD$16 &amp; CW$72),"")</f>
        <v/>
      </c>
      <c r="CX140" s="1317" t="str">
        <f ca="1">IF(INDIRECT("'SpxSp (step-d)'!$B" &amp; CX$72)=$Z140,INDIRECT("'SpxSp (step-d)'!$" &amp; 'SpxSp (step-d)'!$AD$16 &amp; CX$72),"")</f>
        <v/>
      </c>
      <c r="CY140" s="1317" t="str">
        <f ca="1">IF(INDIRECT("'SpxSp (step-d)'!$B" &amp; CY$72)=$Z140,INDIRECT("'SpxSp (step-d)'!$" &amp; 'SpxSp (step-d)'!$AD$16 &amp; CY$72),"")</f>
        <v/>
      </c>
      <c r="CZ140" s="1317" t="str">
        <f ca="1">IF(INDIRECT("'SpxSp (step-d)'!$B" &amp; CZ$72)=$Z140,INDIRECT("'SpxSp (step-d)'!$" &amp; 'SpxSp (step-d)'!$AD$16 &amp; CZ$72),"")</f>
        <v/>
      </c>
      <c r="DA140" s="1317" t="str">
        <f ca="1">IF(INDIRECT("'SpxSp (step-d)'!$B" &amp; DA$72)=$Z140,INDIRECT("'SpxSp (step-d)'!$" &amp; 'SpxSp (step-d)'!$AD$16 &amp; DA$72),"")</f>
        <v/>
      </c>
      <c r="DB140" s="1317" t="str">
        <f ca="1">IF(INDIRECT("'SpxSp (step-d)'!$B" &amp; DB$72)=$Z140,INDIRECT("'SpxSp (step-d)'!$" &amp; 'SpxSp (step-d)'!$AD$16 &amp; DB$72),"")</f>
        <v/>
      </c>
      <c r="DC140" s="1317" t="str">
        <f ca="1">IF(INDIRECT("'SpxSp (step-d)'!$B" &amp; DC$72)=$Z140,INDIRECT("'SpxSp (step-d)'!$" &amp; 'SpxSp (step-d)'!$AD$16 &amp; DC$72),"")</f>
        <v/>
      </c>
      <c r="DD140" s="1317" t="str">
        <f ca="1">IF(INDIRECT("'SpxSp (step-d)'!$B" &amp; DD$72)=$Z140,INDIRECT("'SpxSp (step-d)'!$" &amp; 'SpxSp (step-d)'!$AD$16 &amp; DD$72),"")</f>
        <v/>
      </c>
      <c r="DE140" s="1317" t="str">
        <f ca="1">IF(INDIRECT("'SpxSp (step-d)'!$B" &amp; DE$72)=$Z140,INDIRECT("'SpxSp (step-d)'!$" &amp; 'SpxSp (step-d)'!$AD$16 &amp; DE$72),"")</f>
        <v/>
      </c>
      <c r="DF140" s="1317" t="str">
        <f ca="1">IF(INDIRECT("'SpxSp (step-d)'!$B" &amp; DF$72)=$Z140,INDIRECT("'SpxSp (step-d)'!$" &amp; 'SpxSp (step-d)'!$AD$16 &amp; DF$72),"")</f>
        <v/>
      </c>
      <c r="DG140" s="1317" t="str">
        <f ca="1">IF(INDIRECT("'SpxSp (step-d)'!$B" &amp; DG$72)=$Z140,INDIRECT("'SpxSp (step-d)'!$" &amp; 'SpxSp (step-d)'!$AD$16 &amp; DG$72),"")</f>
        <v/>
      </c>
      <c r="DH140" s="1317" t="str">
        <f ca="1">IF(INDIRECT("'SpxSp (step-d)'!$B" &amp; DH$72)=$Z140,INDIRECT("'SpxSp (step-d)'!$" &amp; 'SpxSp (step-d)'!$AD$16 &amp; DH$72),"")</f>
        <v/>
      </c>
      <c r="DI140" s="1317" t="str">
        <f ca="1">IF(INDIRECT("'SpxSp (step-d)'!$B" &amp; DI$72)=$Z140,INDIRECT("'SpxSp (step-d)'!$" &amp; 'SpxSp (step-d)'!$AD$16 &amp; DI$72),"")</f>
        <v/>
      </c>
      <c r="DJ140" s="1317" t="str">
        <f ca="1">IF(INDIRECT("'SpxSp (step-d)'!$B" &amp; DJ$72)=$Z140,INDIRECT("'SpxSp (step-d)'!$" &amp; 'SpxSp (step-d)'!$AD$16 &amp; DJ$72),"")</f>
        <v/>
      </c>
      <c r="DK140" s="1317" t="str">
        <f ca="1">IF(INDIRECT("'SpxSp (step-d)'!$B" &amp; DK$72)=$Z140,INDIRECT("'SpxSp (step-d)'!$" &amp; 'SpxSp (step-d)'!$AD$16 &amp; DK$72),"")</f>
        <v/>
      </c>
      <c r="DL140" s="1317" t="str">
        <f ca="1">IF(INDIRECT("'SpxSp (step-d)'!$B" &amp; DL$72)=$Z140,INDIRECT("'SpxSp (step-d)'!$" &amp; 'SpxSp (step-d)'!$AD$16 &amp; DL$72),"")</f>
        <v/>
      </c>
      <c r="DM140" s="1317" t="str">
        <f ca="1">IF(INDIRECT("'SpxSp (step-d)'!$B" &amp; DM$72)=$Z140,INDIRECT("'SpxSp (step-d)'!$" &amp; 'SpxSp (step-d)'!$AD$16 &amp; DM$72),"")</f>
        <v/>
      </c>
      <c r="DO140" s="1246" t="s">
        <v>1200</v>
      </c>
    </row>
    <row r="141" spans="26:119" ht="20" x14ac:dyDescent="0.2">
      <c r="Z141" s="1317" t="str">
        <f t="shared" ref="Z141:AA141" si="105">Z86</f>
        <v/>
      </c>
      <c r="AA141" s="1317" t="str">
        <f t="shared" si="105"/>
        <v/>
      </c>
      <c r="BM141" s="178" t="str">
        <f>IFERROR(VLOOKUP(Z141,'SpxSp (step-d)'!B$18:I$67,6,FALSE),"")</f>
        <v/>
      </c>
      <c r="BN141" s="178">
        <v>14</v>
      </c>
      <c r="BO141" s="1316" t="str">
        <f t="shared" ca="1" si="92"/>
        <v/>
      </c>
      <c r="BP141" s="1317" t="str">
        <f ca="1">IF(INDIRECT("'SpxSp (step-d)'!$B" &amp; BP$72)=$Z141,INDIRECT("'SpxSp (step-d)'!$" &amp; 'SpxSp (step-d)'!$AD$16 &amp; BP$72),"")</f>
        <v/>
      </c>
      <c r="BQ141" s="1317" t="str">
        <f ca="1">IF(INDIRECT("'SpxSp (step-d)'!$B" &amp; BQ$72)=$Z141,INDIRECT("'SpxSp (step-d)'!$" &amp; 'SpxSp (step-d)'!$AD$16 &amp; BQ$72),"")</f>
        <v/>
      </c>
      <c r="BR141" s="1317" t="str">
        <f ca="1">IF(INDIRECT("'SpxSp (step-d)'!$B" &amp; BR$72)=$Z141,INDIRECT("'SpxSp (step-d)'!$" &amp; 'SpxSp (step-d)'!$AD$16 &amp; BR$72),"")</f>
        <v/>
      </c>
      <c r="BS141" s="1317" t="str">
        <f ca="1">IF(INDIRECT("'SpxSp (step-d)'!$B" &amp; BS$72)=$Z141,INDIRECT("'SpxSp (step-d)'!$" &amp; 'SpxSp (step-d)'!$AD$16 &amp; BS$72),"")</f>
        <v/>
      </c>
      <c r="BT141" s="1317" t="str">
        <f ca="1">IF(INDIRECT("'SpxSp (step-d)'!$B" &amp; BT$72)=$Z141,INDIRECT("'SpxSp (step-d)'!$" &amp; 'SpxSp (step-d)'!$AD$16 &amp; BT$72),"")</f>
        <v/>
      </c>
      <c r="BU141" s="1317" t="str">
        <f ca="1">IF(INDIRECT("'SpxSp (step-d)'!$B" &amp; BU$72)=$Z141,INDIRECT("'SpxSp (step-d)'!$" &amp; 'SpxSp (step-d)'!$AD$16 &amp; BU$72),"")</f>
        <v/>
      </c>
      <c r="BV141" s="1317" t="str">
        <f ca="1">IF(INDIRECT("'SpxSp (step-d)'!$B" &amp; BV$72)=$Z141,INDIRECT("'SpxSp (step-d)'!$" &amp; 'SpxSp (step-d)'!$AD$16 &amp; BV$72),"")</f>
        <v/>
      </c>
      <c r="BW141" s="1317" t="str">
        <f ca="1">IF(INDIRECT("'SpxSp (step-d)'!$B" &amp; BW$72)=$Z141,INDIRECT("'SpxSp (step-d)'!$" &amp; 'SpxSp (step-d)'!$AD$16 &amp; BW$72),"")</f>
        <v/>
      </c>
      <c r="BX141" s="1317" t="str">
        <f ca="1">IF(INDIRECT("'SpxSp (step-d)'!$B" &amp; BX$72)=$Z141,INDIRECT("'SpxSp (step-d)'!$" &amp; 'SpxSp (step-d)'!$AD$16 &amp; BX$72),"")</f>
        <v/>
      </c>
      <c r="BY141" s="1317" t="str">
        <f ca="1">IF(INDIRECT("'SpxSp (step-d)'!$B" &amp; BY$72)=$Z141,INDIRECT("'SpxSp (step-d)'!$" &amp; 'SpxSp (step-d)'!$AD$16 &amp; BY$72),"")</f>
        <v/>
      </c>
      <c r="BZ141" s="1317" t="str">
        <f ca="1">IF(INDIRECT("'SpxSp (step-d)'!$B" &amp; BZ$72)=$Z141,INDIRECT("'SpxSp (step-d)'!$" &amp; 'SpxSp (step-d)'!$AD$16 &amp; BZ$72),"")</f>
        <v/>
      </c>
      <c r="CA141" s="1317" t="str">
        <f ca="1">IF(INDIRECT("'SpxSp (step-d)'!$B" &amp; CA$72)=$Z141,INDIRECT("'SpxSp (step-d)'!$" &amp; 'SpxSp (step-d)'!$AD$16 &amp; CA$72),"")</f>
        <v/>
      </c>
      <c r="CB141" s="1317" t="str">
        <f ca="1">IF(INDIRECT("'SpxSp (step-d)'!$B" &amp; CB$72)=$Z141,INDIRECT("'SpxSp (step-d)'!$" &amp; 'SpxSp (step-d)'!$AD$16 &amp; CB$72),"")</f>
        <v/>
      </c>
      <c r="CC141" s="1317" t="str">
        <f ca="1">IF(INDIRECT("'SpxSp (step-d)'!$B" &amp; CC$72)=$Z141,INDIRECT("'SpxSp (step-d)'!$" &amp; 'SpxSp (step-d)'!$AD$16 &amp; CC$72),"")</f>
        <v/>
      </c>
      <c r="CD141" s="1317" t="str">
        <f ca="1">IF(INDIRECT("'SpxSp (step-d)'!$B" &amp; CD$72)=$Z141,INDIRECT("'SpxSp (step-d)'!$" &amp; 'SpxSp (step-d)'!$AD$16 &amp; CD$72),"")</f>
        <v/>
      </c>
      <c r="CE141" s="1317" t="str">
        <f ca="1">IF(INDIRECT("'SpxSp (step-d)'!$B" &amp; CE$72)=$Z141,INDIRECT("'SpxSp (step-d)'!$" &amp; 'SpxSp (step-d)'!$AD$16 &amp; CE$72),"")</f>
        <v/>
      </c>
      <c r="CF141" s="1317" t="str">
        <f ca="1">IF(INDIRECT("'SpxSp (step-d)'!$B" &amp; CF$72)=$Z141,INDIRECT("'SpxSp (step-d)'!$" &amp; 'SpxSp (step-d)'!$AD$16 &amp; CF$72),"")</f>
        <v/>
      </c>
      <c r="CG141" s="1317" t="str">
        <f ca="1">IF(INDIRECT("'SpxSp (step-d)'!$B" &amp; CG$72)=$Z141,INDIRECT("'SpxSp (step-d)'!$" &amp; 'SpxSp (step-d)'!$AD$16 &amp; CG$72),"")</f>
        <v/>
      </c>
      <c r="CH141" s="1317" t="str">
        <f ca="1">IF(INDIRECT("'SpxSp (step-d)'!$B" &amp; CH$72)=$Z141,INDIRECT("'SpxSp (step-d)'!$" &amp; 'SpxSp (step-d)'!$AD$16 &amp; CH$72),"")</f>
        <v/>
      </c>
      <c r="CI141" s="1317" t="str">
        <f ca="1">IF(INDIRECT("'SpxSp (step-d)'!$B" &amp; CI$72)=$Z141,INDIRECT("'SpxSp (step-d)'!$" &amp; 'SpxSp (step-d)'!$AD$16 &amp; CI$72),"")</f>
        <v/>
      </c>
      <c r="CJ141" s="1317" t="str">
        <f ca="1">IF(INDIRECT("'SpxSp (step-d)'!$B" &amp; CJ$72)=$Z141,INDIRECT("'SpxSp (step-d)'!$" &amp; 'SpxSp (step-d)'!$AD$16 &amp; CJ$72),"")</f>
        <v/>
      </c>
      <c r="CK141" s="1317" t="str">
        <f ca="1">IF(INDIRECT("'SpxSp (step-d)'!$B" &amp; CK$72)=$Z141,INDIRECT("'SpxSp (step-d)'!$" &amp; 'SpxSp (step-d)'!$AD$16 &amp; CK$72),"")</f>
        <v/>
      </c>
      <c r="CL141" s="1317" t="str">
        <f ca="1">IF(INDIRECT("'SpxSp (step-d)'!$B" &amp; CL$72)=$Z141,INDIRECT("'SpxSp (step-d)'!$" &amp; 'SpxSp (step-d)'!$AD$16 &amp; CL$72),"")</f>
        <v/>
      </c>
      <c r="CM141" s="1317" t="str">
        <f ca="1">IF(INDIRECT("'SpxSp (step-d)'!$B" &amp; CM$72)=$Z141,INDIRECT("'SpxSp (step-d)'!$" &amp; 'SpxSp (step-d)'!$AD$16 &amp; CM$72),"")</f>
        <v/>
      </c>
      <c r="CN141" s="1317" t="str">
        <f ca="1">IF(INDIRECT("'SpxSp (step-d)'!$B" &amp; CN$72)=$Z141,INDIRECT("'SpxSp (step-d)'!$" &amp; 'SpxSp (step-d)'!$AD$16 &amp; CN$72),"")</f>
        <v/>
      </c>
      <c r="CO141" s="1317" t="str">
        <f ca="1">IF(INDIRECT("'SpxSp (step-d)'!$B" &amp; CO$72)=$Z141,INDIRECT("'SpxSp (step-d)'!$" &amp; 'SpxSp (step-d)'!$AD$16 &amp; CO$72),"")</f>
        <v/>
      </c>
      <c r="CP141" s="1317" t="str">
        <f ca="1">IF(INDIRECT("'SpxSp (step-d)'!$B" &amp; CP$72)=$Z141,INDIRECT("'SpxSp (step-d)'!$" &amp; 'SpxSp (step-d)'!$AD$16 &amp; CP$72),"")</f>
        <v/>
      </c>
      <c r="CQ141" s="1317" t="str">
        <f ca="1">IF(INDIRECT("'SpxSp (step-d)'!$B" &amp; CQ$72)=$Z141,INDIRECT("'SpxSp (step-d)'!$" &amp; 'SpxSp (step-d)'!$AD$16 &amp; CQ$72),"")</f>
        <v/>
      </c>
      <c r="CR141" s="1317" t="str">
        <f ca="1">IF(INDIRECT("'SpxSp (step-d)'!$B" &amp; CR$72)=$Z141,INDIRECT("'SpxSp (step-d)'!$" &amp; 'SpxSp (step-d)'!$AD$16 &amp; CR$72),"")</f>
        <v/>
      </c>
      <c r="CS141" s="1317" t="str">
        <f ca="1">IF(INDIRECT("'SpxSp (step-d)'!$B" &amp; CS$72)=$Z141,INDIRECT("'SpxSp (step-d)'!$" &amp; 'SpxSp (step-d)'!$AD$16 &amp; CS$72),"")</f>
        <v/>
      </c>
      <c r="CT141" s="1317" t="str">
        <f ca="1">IF(INDIRECT("'SpxSp (step-d)'!$B" &amp; CT$72)=$Z141,INDIRECT("'SpxSp (step-d)'!$" &amp; 'SpxSp (step-d)'!$AD$16 &amp; CT$72),"")</f>
        <v/>
      </c>
      <c r="CU141" s="1317" t="str">
        <f ca="1">IF(INDIRECT("'SpxSp (step-d)'!$B" &amp; CU$72)=$Z141,INDIRECT("'SpxSp (step-d)'!$" &amp; 'SpxSp (step-d)'!$AD$16 &amp; CU$72),"")</f>
        <v/>
      </c>
      <c r="CV141" s="1317" t="str">
        <f ca="1">IF(INDIRECT("'SpxSp (step-d)'!$B" &amp; CV$72)=$Z141,INDIRECT("'SpxSp (step-d)'!$" &amp; 'SpxSp (step-d)'!$AD$16 &amp; CV$72),"")</f>
        <v/>
      </c>
      <c r="CW141" s="1317" t="str">
        <f ca="1">IF(INDIRECT("'SpxSp (step-d)'!$B" &amp; CW$72)=$Z141,INDIRECT("'SpxSp (step-d)'!$" &amp; 'SpxSp (step-d)'!$AD$16 &amp; CW$72),"")</f>
        <v/>
      </c>
      <c r="CX141" s="1317" t="str">
        <f ca="1">IF(INDIRECT("'SpxSp (step-d)'!$B" &amp; CX$72)=$Z141,INDIRECT("'SpxSp (step-d)'!$" &amp; 'SpxSp (step-d)'!$AD$16 &amp; CX$72),"")</f>
        <v/>
      </c>
      <c r="CY141" s="1317" t="str">
        <f ca="1">IF(INDIRECT("'SpxSp (step-d)'!$B" &amp; CY$72)=$Z141,INDIRECT("'SpxSp (step-d)'!$" &amp; 'SpxSp (step-d)'!$AD$16 &amp; CY$72),"")</f>
        <v/>
      </c>
      <c r="CZ141" s="1317" t="str">
        <f ca="1">IF(INDIRECT("'SpxSp (step-d)'!$B" &amp; CZ$72)=$Z141,INDIRECT("'SpxSp (step-d)'!$" &amp; 'SpxSp (step-d)'!$AD$16 &amp; CZ$72),"")</f>
        <v/>
      </c>
      <c r="DA141" s="1317" t="str">
        <f ca="1">IF(INDIRECT("'SpxSp (step-d)'!$B" &amp; DA$72)=$Z141,INDIRECT("'SpxSp (step-d)'!$" &amp; 'SpxSp (step-d)'!$AD$16 &amp; DA$72),"")</f>
        <v/>
      </c>
      <c r="DB141" s="1317" t="str">
        <f ca="1">IF(INDIRECT("'SpxSp (step-d)'!$B" &amp; DB$72)=$Z141,INDIRECT("'SpxSp (step-d)'!$" &amp; 'SpxSp (step-d)'!$AD$16 &amp; DB$72),"")</f>
        <v/>
      </c>
      <c r="DC141" s="1317" t="str">
        <f ca="1">IF(INDIRECT("'SpxSp (step-d)'!$B" &amp; DC$72)=$Z141,INDIRECT("'SpxSp (step-d)'!$" &amp; 'SpxSp (step-d)'!$AD$16 &amp; DC$72),"")</f>
        <v/>
      </c>
      <c r="DD141" s="1317" t="str">
        <f ca="1">IF(INDIRECT("'SpxSp (step-d)'!$B" &amp; DD$72)=$Z141,INDIRECT("'SpxSp (step-d)'!$" &amp; 'SpxSp (step-d)'!$AD$16 &amp; DD$72),"")</f>
        <v/>
      </c>
      <c r="DE141" s="1317" t="str">
        <f ca="1">IF(INDIRECT("'SpxSp (step-d)'!$B" &amp; DE$72)=$Z141,INDIRECT("'SpxSp (step-d)'!$" &amp; 'SpxSp (step-d)'!$AD$16 &amp; DE$72),"")</f>
        <v/>
      </c>
      <c r="DF141" s="1317" t="str">
        <f ca="1">IF(INDIRECT("'SpxSp (step-d)'!$B" &amp; DF$72)=$Z141,INDIRECT("'SpxSp (step-d)'!$" &amp; 'SpxSp (step-d)'!$AD$16 &amp; DF$72),"")</f>
        <v/>
      </c>
      <c r="DG141" s="1317" t="str">
        <f ca="1">IF(INDIRECT("'SpxSp (step-d)'!$B" &amp; DG$72)=$Z141,INDIRECT("'SpxSp (step-d)'!$" &amp; 'SpxSp (step-d)'!$AD$16 &amp; DG$72),"")</f>
        <v/>
      </c>
      <c r="DH141" s="1317" t="str">
        <f ca="1">IF(INDIRECT("'SpxSp (step-d)'!$B" &amp; DH$72)=$Z141,INDIRECT("'SpxSp (step-d)'!$" &amp; 'SpxSp (step-d)'!$AD$16 &amp; DH$72),"")</f>
        <v/>
      </c>
      <c r="DI141" s="1317" t="str">
        <f ca="1">IF(INDIRECT("'SpxSp (step-d)'!$B" &amp; DI$72)=$Z141,INDIRECT("'SpxSp (step-d)'!$" &amp; 'SpxSp (step-d)'!$AD$16 &amp; DI$72),"")</f>
        <v/>
      </c>
      <c r="DJ141" s="1317" t="str">
        <f ca="1">IF(INDIRECT("'SpxSp (step-d)'!$B" &amp; DJ$72)=$Z141,INDIRECT("'SpxSp (step-d)'!$" &amp; 'SpxSp (step-d)'!$AD$16 &amp; DJ$72),"")</f>
        <v/>
      </c>
      <c r="DK141" s="1317" t="str">
        <f ca="1">IF(INDIRECT("'SpxSp (step-d)'!$B" &amp; DK$72)=$Z141,INDIRECT("'SpxSp (step-d)'!$" &amp; 'SpxSp (step-d)'!$AD$16 &amp; DK$72),"")</f>
        <v/>
      </c>
      <c r="DL141" s="1317" t="str">
        <f ca="1">IF(INDIRECT("'SpxSp (step-d)'!$B" &amp; DL$72)=$Z141,INDIRECT("'SpxSp (step-d)'!$" &amp; 'SpxSp (step-d)'!$AD$16 &amp; DL$72),"")</f>
        <v/>
      </c>
      <c r="DM141" s="1317" t="str">
        <f ca="1">IF(INDIRECT("'SpxSp (step-d)'!$B" &amp; DM$72)=$Z141,INDIRECT("'SpxSp (step-d)'!$" &amp; 'SpxSp (step-d)'!$AD$16 &amp; DM$72),"")</f>
        <v/>
      </c>
      <c r="DO141" s="1246" t="s">
        <v>1200</v>
      </c>
    </row>
    <row r="142" spans="26:119" ht="20" x14ac:dyDescent="0.2">
      <c r="Z142" s="1317" t="str">
        <f t="shared" ref="Z142:AA142" si="106">Z87</f>
        <v/>
      </c>
      <c r="AA142" s="1317" t="str">
        <f t="shared" si="106"/>
        <v/>
      </c>
      <c r="BM142" s="178" t="str">
        <f>IFERROR(VLOOKUP(Z142,'SpxSp (step-d)'!B$18:I$67,6,FALSE),"")</f>
        <v/>
      </c>
      <c r="BN142" s="178">
        <v>15</v>
      </c>
      <c r="BO142" s="1316" t="str">
        <f t="shared" ca="1" si="92"/>
        <v/>
      </c>
      <c r="BP142" s="1317" t="str">
        <f ca="1">IF(INDIRECT("'SpxSp (step-d)'!$B" &amp; BP$72)=$Z142,INDIRECT("'SpxSp (step-d)'!$" &amp; 'SpxSp (step-d)'!$AD$16 &amp; BP$72),"")</f>
        <v/>
      </c>
      <c r="BQ142" s="1317" t="str">
        <f ca="1">IF(INDIRECT("'SpxSp (step-d)'!$B" &amp; BQ$72)=$Z142,INDIRECT("'SpxSp (step-d)'!$" &amp; 'SpxSp (step-d)'!$AD$16 &amp; BQ$72),"")</f>
        <v/>
      </c>
      <c r="BR142" s="1317" t="str">
        <f ca="1">IF(INDIRECT("'SpxSp (step-d)'!$B" &amp; BR$72)=$Z142,INDIRECT("'SpxSp (step-d)'!$" &amp; 'SpxSp (step-d)'!$AD$16 &amp; BR$72),"")</f>
        <v/>
      </c>
      <c r="BS142" s="1317" t="str">
        <f ca="1">IF(INDIRECT("'SpxSp (step-d)'!$B" &amp; BS$72)=$Z142,INDIRECT("'SpxSp (step-d)'!$" &amp; 'SpxSp (step-d)'!$AD$16 &amp; BS$72),"")</f>
        <v/>
      </c>
      <c r="BT142" s="1317" t="str">
        <f ca="1">IF(INDIRECT("'SpxSp (step-d)'!$B" &amp; BT$72)=$Z142,INDIRECT("'SpxSp (step-d)'!$" &amp; 'SpxSp (step-d)'!$AD$16 &amp; BT$72),"")</f>
        <v/>
      </c>
      <c r="BU142" s="1317" t="str">
        <f ca="1">IF(INDIRECT("'SpxSp (step-d)'!$B" &amp; BU$72)=$Z142,INDIRECT("'SpxSp (step-d)'!$" &amp; 'SpxSp (step-d)'!$AD$16 &amp; BU$72),"")</f>
        <v/>
      </c>
      <c r="BV142" s="1317" t="str">
        <f ca="1">IF(INDIRECT("'SpxSp (step-d)'!$B" &amp; BV$72)=$Z142,INDIRECT("'SpxSp (step-d)'!$" &amp; 'SpxSp (step-d)'!$AD$16 &amp; BV$72),"")</f>
        <v/>
      </c>
      <c r="BW142" s="1317" t="str">
        <f ca="1">IF(INDIRECT("'SpxSp (step-d)'!$B" &amp; BW$72)=$Z142,INDIRECT("'SpxSp (step-d)'!$" &amp; 'SpxSp (step-d)'!$AD$16 &amp; BW$72),"")</f>
        <v/>
      </c>
      <c r="BX142" s="1317" t="str">
        <f ca="1">IF(INDIRECT("'SpxSp (step-d)'!$B" &amp; BX$72)=$Z142,INDIRECT("'SpxSp (step-d)'!$" &amp; 'SpxSp (step-d)'!$AD$16 &amp; BX$72),"")</f>
        <v/>
      </c>
      <c r="BY142" s="1317" t="str">
        <f ca="1">IF(INDIRECT("'SpxSp (step-d)'!$B" &amp; BY$72)=$Z142,INDIRECT("'SpxSp (step-d)'!$" &amp; 'SpxSp (step-d)'!$AD$16 &amp; BY$72),"")</f>
        <v/>
      </c>
      <c r="BZ142" s="1317" t="str">
        <f ca="1">IF(INDIRECT("'SpxSp (step-d)'!$B" &amp; BZ$72)=$Z142,INDIRECT("'SpxSp (step-d)'!$" &amp; 'SpxSp (step-d)'!$AD$16 &amp; BZ$72),"")</f>
        <v/>
      </c>
      <c r="CA142" s="1317" t="str">
        <f ca="1">IF(INDIRECT("'SpxSp (step-d)'!$B" &amp; CA$72)=$Z142,INDIRECT("'SpxSp (step-d)'!$" &amp; 'SpxSp (step-d)'!$AD$16 &amp; CA$72),"")</f>
        <v/>
      </c>
      <c r="CB142" s="1317" t="str">
        <f ca="1">IF(INDIRECT("'SpxSp (step-d)'!$B" &amp; CB$72)=$Z142,INDIRECT("'SpxSp (step-d)'!$" &amp; 'SpxSp (step-d)'!$AD$16 &amp; CB$72),"")</f>
        <v/>
      </c>
      <c r="CC142" s="1317" t="str">
        <f ca="1">IF(INDIRECT("'SpxSp (step-d)'!$B" &amp; CC$72)=$Z142,INDIRECT("'SpxSp (step-d)'!$" &amp; 'SpxSp (step-d)'!$AD$16 &amp; CC$72),"")</f>
        <v/>
      </c>
      <c r="CD142" s="1317" t="str">
        <f ca="1">IF(INDIRECT("'SpxSp (step-d)'!$B" &amp; CD$72)=$Z142,INDIRECT("'SpxSp (step-d)'!$" &amp; 'SpxSp (step-d)'!$AD$16 &amp; CD$72),"")</f>
        <v/>
      </c>
      <c r="CE142" s="1317" t="str">
        <f ca="1">IF(INDIRECT("'SpxSp (step-d)'!$B" &amp; CE$72)=$Z142,INDIRECT("'SpxSp (step-d)'!$" &amp; 'SpxSp (step-d)'!$AD$16 &amp; CE$72),"")</f>
        <v/>
      </c>
      <c r="CF142" s="1317" t="str">
        <f ca="1">IF(INDIRECT("'SpxSp (step-d)'!$B" &amp; CF$72)=$Z142,INDIRECT("'SpxSp (step-d)'!$" &amp; 'SpxSp (step-d)'!$AD$16 &amp; CF$72),"")</f>
        <v/>
      </c>
      <c r="CG142" s="1317" t="str">
        <f ca="1">IF(INDIRECT("'SpxSp (step-d)'!$B" &amp; CG$72)=$Z142,INDIRECT("'SpxSp (step-d)'!$" &amp; 'SpxSp (step-d)'!$AD$16 &amp; CG$72),"")</f>
        <v/>
      </c>
      <c r="CH142" s="1317" t="str">
        <f ca="1">IF(INDIRECT("'SpxSp (step-d)'!$B" &amp; CH$72)=$Z142,INDIRECT("'SpxSp (step-d)'!$" &amp; 'SpxSp (step-d)'!$AD$16 &amp; CH$72),"")</f>
        <v/>
      </c>
      <c r="CI142" s="1317" t="str">
        <f ca="1">IF(INDIRECT("'SpxSp (step-d)'!$B" &amp; CI$72)=$Z142,INDIRECT("'SpxSp (step-d)'!$" &amp; 'SpxSp (step-d)'!$AD$16 &amp; CI$72),"")</f>
        <v/>
      </c>
      <c r="CJ142" s="1317" t="str">
        <f ca="1">IF(INDIRECT("'SpxSp (step-d)'!$B" &amp; CJ$72)=$Z142,INDIRECT("'SpxSp (step-d)'!$" &amp; 'SpxSp (step-d)'!$AD$16 &amp; CJ$72),"")</f>
        <v/>
      </c>
      <c r="CK142" s="1317" t="str">
        <f ca="1">IF(INDIRECT("'SpxSp (step-d)'!$B" &amp; CK$72)=$Z142,INDIRECT("'SpxSp (step-d)'!$" &amp; 'SpxSp (step-d)'!$AD$16 &amp; CK$72),"")</f>
        <v/>
      </c>
      <c r="CL142" s="1317" t="str">
        <f ca="1">IF(INDIRECT("'SpxSp (step-d)'!$B" &amp; CL$72)=$Z142,INDIRECT("'SpxSp (step-d)'!$" &amp; 'SpxSp (step-d)'!$AD$16 &amp; CL$72),"")</f>
        <v/>
      </c>
      <c r="CM142" s="1317" t="str">
        <f ca="1">IF(INDIRECT("'SpxSp (step-d)'!$B" &amp; CM$72)=$Z142,INDIRECT("'SpxSp (step-d)'!$" &amp; 'SpxSp (step-d)'!$AD$16 &amp; CM$72),"")</f>
        <v/>
      </c>
      <c r="CN142" s="1317" t="str">
        <f ca="1">IF(INDIRECT("'SpxSp (step-d)'!$B" &amp; CN$72)=$Z142,INDIRECT("'SpxSp (step-d)'!$" &amp; 'SpxSp (step-d)'!$AD$16 &amp; CN$72),"")</f>
        <v/>
      </c>
      <c r="CO142" s="1317" t="str">
        <f ca="1">IF(INDIRECT("'SpxSp (step-d)'!$B" &amp; CO$72)=$Z142,INDIRECT("'SpxSp (step-d)'!$" &amp; 'SpxSp (step-d)'!$AD$16 &amp; CO$72),"")</f>
        <v/>
      </c>
      <c r="CP142" s="1317" t="str">
        <f ca="1">IF(INDIRECT("'SpxSp (step-d)'!$B" &amp; CP$72)=$Z142,INDIRECT("'SpxSp (step-d)'!$" &amp; 'SpxSp (step-d)'!$AD$16 &amp; CP$72),"")</f>
        <v/>
      </c>
      <c r="CQ142" s="1317" t="str">
        <f ca="1">IF(INDIRECT("'SpxSp (step-d)'!$B" &amp; CQ$72)=$Z142,INDIRECT("'SpxSp (step-d)'!$" &amp; 'SpxSp (step-d)'!$AD$16 &amp; CQ$72),"")</f>
        <v/>
      </c>
      <c r="CR142" s="1317" t="str">
        <f ca="1">IF(INDIRECT("'SpxSp (step-d)'!$B" &amp; CR$72)=$Z142,INDIRECT("'SpxSp (step-d)'!$" &amp; 'SpxSp (step-d)'!$AD$16 &amp; CR$72),"")</f>
        <v/>
      </c>
      <c r="CS142" s="1317" t="str">
        <f ca="1">IF(INDIRECT("'SpxSp (step-d)'!$B" &amp; CS$72)=$Z142,INDIRECT("'SpxSp (step-d)'!$" &amp; 'SpxSp (step-d)'!$AD$16 &amp; CS$72),"")</f>
        <v/>
      </c>
      <c r="CT142" s="1317" t="str">
        <f ca="1">IF(INDIRECT("'SpxSp (step-d)'!$B" &amp; CT$72)=$Z142,INDIRECT("'SpxSp (step-d)'!$" &amp; 'SpxSp (step-d)'!$AD$16 &amp; CT$72),"")</f>
        <v/>
      </c>
      <c r="CU142" s="1317" t="str">
        <f ca="1">IF(INDIRECT("'SpxSp (step-d)'!$B" &amp; CU$72)=$Z142,INDIRECT("'SpxSp (step-d)'!$" &amp; 'SpxSp (step-d)'!$AD$16 &amp; CU$72),"")</f>
        <v/>
      </c>
      <c r="CV142" s="1317" t="str">
        <f ca="1">IF(INDIRECT("'SpxSp (step-d)'!$B" &amp; CV$72)=$Z142,INDIRECT("'SpxSp (step-d)'!$" &amp; 'SpxSp (step-d)'!$AD$16 &amp; CV$72),"")</f>
        <v/>
      </c>
      <c r="CW142" s="1317" t="str">
        <f ca="1">IF(INDIRECT("'SpxSp (step-d)'!$B" &amp; CW$72)=$Z142,INDIRECT("'SpxSp (step-d)'!$" &amp; 'SpxSp (step-d)'!$AD$16 &amp; CW$72),"")</f>
        <v/>
      </c>
      <c r="CX142" s="1317" t="str">
        <f ca="1">IF(INDIRECT("'SpxSp (step-d)'!$B" &amp; CX$72)=$Z142,INDIRECT("'SpxSp (step-d)'!$" &amp; 'SpxSp (step-d)'!$AD$16 &amp; CX$72),"")</f>
        <v/>
      </c>
      <c r="CY142" s="1317" t="str">
        <f ca="1">IF(INDIRECT("'SpxSp (step-d)'!$B" &amp; CY$72)=$Z142,INDIRECT("'SpxSp (step-d)'!$" &amp; 'SpxSp (step-d)'!$AD$16 &amp; CY$72),"")</f>
        <v/>
      </c>
      <c r="CZ142" s="1317" t="str">
        <f ca="1">IF(INDIRECT("'SpxSp (step-d)'!$B" &amp; CZ$72)=$Z142,INDIRECT("'SpxSp (step-d)'!$" &amp; 'SpxSp (step-d)'!$AD$16 &amp; CZ$72),"")</f>
        <v/>
      </c>
      <c r="DA142" s="1317" t="str">
        <f ca="1">IF(INDIRECT("'SpxSp (step-d)'!$B" &amp; DA$72)=$Z142,INDIRECT("'SpxSp (step-d)'!$" &amp; 'SpxSp (step-d)'!$AD$16 &amp; DA$72),"")</f>
        <v/>
      </c>
      <c r="DB142" s="1317" t="str">
        <f ca="1">IF(INDIRECT("'SpxSp (step-d)'!$B" &amp; DB$72)=$Z142,INDIRECT("'SpxSp (step-d)'!$" &amp; 'SpxSp (step-d)'!$AD$16 &amp; DB$72),"")</f>
        <v/>
      </c>
      <c r="DC142" s="1317" t="str">
        <f ca="1">IF(INDIRECT("'SpxSp (step-d)'!$B" &amp; DC$72)=$Z142,INDIRECT("'SpxSp (step-d)'!$" &amp; 'SpxSp (step-d)'!$AD$16 &amp; DC$72),"")</f>
        <v/>
      </c>
      <c r="DD142" s="1317" t="str">
        <f ca="1">IF(INDIRECT("'SpxSp (step-d)'!$B" &amp; DD$72)=$Z142,INDIRECT("'SpxSp (step-d)'!$" &amp; 'SpxSp (step-d)'!$AD$16 &amp; DD$72),"")</f>
        <v/>
      </c>
      <c r="DE142" s="1317" t="str">
        <f ca="1">IF(INDIRECT("'SpxSp (step-d)'!$B" &amp; DE$72)=$Z142,INDIRECT("'SpxSp (step-d)'!$" &amp; 'SpxSp (step-d)'!$AD$16 &amp; DE$72),"")</f>
        <v/>
      </c>
      <c r="DF142" s="1317" t="str">
        <f ca="1">IF(INDIRECT("'SpxSp (step-d)'!$B" &amp; DF$72)=$Z142,INDIRECT("'SpxSp (step-d)'!$" &amp; 'SpxSp (step-d)'!$AD$16 &amp; DF$72),"")</f>
        <v/>
      </c>
      <c r="DG142" s="1317" t="str">
        <f ca="1">IF(INDIRECT("'SpxSp (step-d)'!$B" &amp; DG$72)=$Z142,INDIRECT("'SpxSp (step-d)'!$" &amp; 'SpxSp (step-d)'!$AD$16 &amp; DG$72),"")</f>
        <v/>
      </c>
      <c r="DH142" s="1317" t="str">
        <f ca="1">IF(INDIRECT("'SpxSp (step-d)'!$B" &amp; DH$72)=$Z142,INDIRECT("'SpxSp (step-d)'!$" &amp; 'SpxSp (step-d)'!$AD$16 &amp; DH$72),"")</f>
        <v/>
      </c>
      <c r="DI142" s="1317" t="str">
        <f ca="1">IF(INDIRECT("'SpxSp (step-d)'!$B" &amp; DI$72)=$Z142,INDIRECT("'SpxSp (step-d)'!$" &amp; 'SpxSp (step-d)'!$AD$16 &amp; DI$72),"")</f>
        <v/>
      </c>
      <c r="DJ142" s="1317" t="str">
        <f ca="1">IF(INDIRECT("'SpxSp (step-d)'!$B" &amp; DJ$72)=$Z142,INDIRECT("'SpxSp (step-d)'!$" &amp; 'SpxSp (step-d)'!$AD$16 &amp; DJ$72),"")</f>
        <v/>
      </c>
      <c r="DK142" s="1317" t="str">
        <f ca="1">IF(INDIRECT("'SpxSp (step-d)'!$B" &amp; DK$72)=$Z142,INDIRECT("'SpxSp (step-d)'!$" &amp; 'SpxSp (step-d)'!$AD$16 &amp; DK$72),"")</f>
        <v/>
      </c>
      <c r="DL142" s="1317" t="str">
        <f ca="1">IF(INDIRECT("'SpxSp (step-d)'!$B" &amp; DL$72)=$Z142,INDIRECT("'SpxSp (step-d)'!$" &amp; 'SpxSp (step-d)'!$AD$16 &amp; DL$72),"")</f>
        <v/>
      </c>
      <c r="DM142" s="1317" t="str">
        <f ca="1">IF(INDIRECT("'SpxSp (step-d)'!$B" &amp; DM$72)=$Z142,INDIRECT("'SpxSp (step-d)'!$" &amp; 'SpxSp (step-d)'!$AD$16 &amp; DM$72),"")</f>
        <v/>
      </c>
      <c r="DO142" s="1246" t="s">
        <v>1200</v>
      </c>
    </row>
    <row r="143" spans="26:119" ht="20" x14ac:dyDescent="0.2">
      <c r="Z143" s="1317" t="str">
        <f t="shared" ref="Z143:AA143" si="107">Z88</f>
        <v/>
      </c>
      <c r="AA143" s="1317" t="str">
        <f t="shared" si="107"/>
        <v/>
      </c>
      <c r="BM143" s="178" t="str">
        <f>IFERROR(VLOOKUP(Z143,'SpxSp (step-d)'!B$18:I$67,6,FALSE),"")</f>
        <v/>
      </c>
      <c r="BN143" s="178">
        <v>16</v>
      </c>
      <c r="BO143" s="1316" t="str">
        <f t="shared" ca="1" si="92"/>
        <v/>
      </c>
      <c r="BP143" s="1317" t="str">
        <f ca="1">IF(INDIRECT("'SpxSp (step-d)'!$B" &amp; BP$72)=$Z143,INDIRECT("'SpxSp (step-d)'!$" &amp; 'SpxSp (step-d)'!$AD$16 &amp; BP$72),"")</f>
        <v/>
      </c>
      <c r="BQ143" s="1317" t="str">
        <f ca="1">IF(INDIRECT("'SpxSp (step-d)'!$B" &amp; BQ$72)=$Z143,INDIRECT("'SpxSp (step-d)'!$" &amp; 'SpxSp (step-d)'!$AD$16 &amp; BQ$72),"")</f>
        <v/>
      </c>
      <c r="BR143" s="1317" t="str">
        <f ca="1">IF(INDIRECT("'SpxSp (step-d)'!$B" &amp; BR$72)=$Z143,INDIRECT("'SpxSp (step-d)'!$" &amp; 'SpxSp (step-d)'!$AD$16 &amp; BR$72),"")</f>
        <v/>
      </c>
      <c r="BS143" s="1317" t="str">
        <f ca="1">IF(INDIRECT("'SpxSp (step-d)'!$B" &amp; BS$72)=$Z143,INDIRECT("'SpxSp (step-d)'!$" &amp; 'SpxSp (step-d)'!$AD$16 &amp; BS$72),"")</f>
        <v/>
      </c>
      <c r="BT143" s="1317" t="str">
        <f ca="1">IF(INDIRECT("'SpxSp (step-d)'!$B" &amp; BT$72)=$Z143,INDIRECT("'SpxSp (step-d)'!$" &amp; 'SpxSp (step-d)'!$AD$16 &amp; BT$72),"")</f>
        <v/>
      </c>
      <c r="BU143" s="1317" t="str">
        <f ca="1">IF(INDIRECT("'SpxSp (step-d)'!$B" &amp; BU$72)=$Z143,INDIRECT("'SpxSp (step-d)'!$" &amp; 'SpxSp (step-d)'!$AD$16 &amp; BU$72),"")</f>
        <v/>
      </c>
      <c r="BV143" s="1317" t="str">
        <f ca="1">IF(INDIRECT("'SpxSp (step-d)'!$B" &amp; BV$72)=$Z143,INDIRECT("'SpxSp (step-d)'!$" &amp; 'SpxSp (step-d)'!$AD$16 &amp; BV$72),"")</f>
        <v/>
      </c>
      <c r="BW143" s="1317" t="str">
        <f ca="1">IF(INDIRECT("'SpxSp (step-d)'!$B" &amp; BW$72)=$Z143,INDIRECT("'SpxSp (step-d)'!$" &amp; 'SpxSp (step-d)'!$AD$16 &amp; BW$72),"")</f>
        <v/>
      </c>
      <c r="BX143" s="1317" t="str">
        <f ca="1">IF(INDIRECT("'SpxSp (step-d)'!$B" &amp; BX$72)=$Z143,INDIRECT("'SpxSp (step-d)'!$" &amp; 'SpxSp (step-d)'!$AD$16 &amp; BX$72),"")</f>
        <v/>
      </c>
      <c r="BY143" s="1317" t="str">
        <f ca="1">IF(INDIRECT("'SpxSp (step-d)'!$B" &amp; BY$72)=$Z143,INDIRECT("'SpxSp (step-d)'!$" &amp; 'SpxSp (step-d)'!$AD$16 &amp; BY$72),"")</f>
        <v/>
      </c>
      <c r="BZ143" s="1317" t="str">
        <f ca="1">IF(INDIRECT("'SpxSp (step-d)'!$B" &amp; BZ$72)=$Z143,INDIRECT("'SpxSp (step-d)'!$" &amp; 'SpxSp (step-d)'!$AD$16 &amp; BZ$72),"")</f>
        <v/>
      </c>
      <c r="CA143" s="1317" t="str">
        <f ca="1">IF(INDIRECT("'SpxSp (step-d)'!$B" &amp; CA$72)=$Z143,INDIRECT("'SpxSp (step-d)'!$" &amp; 'SpxSp (step-d)'!$AD$16 &amp; CA$72),"")</f>
        <v/>
      </c>
      <c r="CB143" s="1317" t="str">
        <f ca="1">IF(INDIRECT("'SpxSp (step-d)'!$B" &amp; CB$72)=$Z143,INDIRECT("'SpxSp (step-d)'!$" &amp; 'SpxSp (step-d)'!$AD$16 &amp; CB$72),"")</f>
        <v/>
      </c>
      <c r="CC143" s="1317" t="str">
        <f ca="1">IF(INDIRECT("'SpxSp (step-d)'!$B" &amp; CC$72)=$Z143,INDIRECT("'SpxSp (step-d)'!$" &amp; 'SpxSp (step-d)'!$AD$16 &amp; CC$72),"")</f>
        <v/>
      </c>
      <c r="CD143" s="1317" t="str">
        <f ca="1">IF(INDIRECT("'SpxSp (step-d)'!$B" &amp; CD$72)=$Z143,INDIRECT("'SpxSp (step-d)'!$" &amp; 'SpxSp (step-d)'!$AD$16 &amp; CD$72),"")</f>
        <v/>
      </c>
      <c r="CE143" s="1317" t="str">
        <f ca="1">IF(INDIRECT("'SpxSp (step-d)'!$B" &amp; CE$72)=$Z143,INDIRECT("'SpxSp (step-d)'!$" &amp; 'SpxSp (step-d)'!$AD$16 &amp; CE$72),"")</f>
        <v/>
      </c>
      <c r="CF143" s="1317" t="str">
        <f ca="1">IF(INDIRECT("'SpxSp (step-d)'!$B" &amp; CF$72)=$Z143,INDIRECT("'SpxSp (step-d)'!$" &amp; 'SpxSp (step-d)'!$AD$16 &amp; CF$72),"")</f>
        <v/>
      </c>
      <c r="CG143" s="1317" t="str">
        <f ca="1">IF(INDIRECT("'SpxSp (step-d)'!$B" &amp; CG$72)=$Z143,INDIRECT("'SpxSp (step-d)'!$" &amp; 'SpxSp (step-d)'!$AD$16 &amp; CG$72),"")</f>
        <v/>
      </c>
      <c r="CH143" s="1317" t="str">
        <f ca="1">IF(INDIRECT("'SpxSp (step-d)'!$B" &amp; CH$72)=$Z143,INDIRECT("'SpxSp (step-d)'!$" &amp; 'SpxSp (step-d)'!$AD$16 &amp; CH$72),"")</f>
        <v/>
      </c>
      <c r="CI143" s="1317" t="str">
        <f ca="1">IF(INDIRECT("'SpxSp (step-d)'!$B" &amp; CI$72)=$Z143,INDIRECT("'SpxSp (step-d)'!$" &amp; 'SpxSp (step-d)'!$AD$16 &amp; CI$72),"")</f>
        <v/>
      </c>
      <c r="CJ143" s="1317" t="str">
        <f ca="1">IF(INDIRECT("'SpxSp (step-d)'!$B" &amp; CJ$72)=$Z143,INDIRECT("'SpxSp (step-d)'!$" &amp; 'SpxSp (step-d)'!$AD$16 &amp; CJ$72),"")</f>
        <v/>
      </c>
      <c r="CK143" s="1317" t="str">
        <f ca="1">IF(INDIRECT("'SpxSp (step-d)'!$B" &amp; CK$72)=$Z143,INDIRECT("'SpxSp (step-d)'!$" &amp; 'SpxSp (step-d)'!$AD$16 &amp; CK$72),"")</f>
        <v/>
      </c>
      <c r="CL143" s="1317" t="str">
        <f ca="1">IF(INDIRECT("'SpxSp (step-d)'!$B" &amp; CL$72)=$Z143,INDIRECT("'SpxSp (step-d)'!$" &amp; 'SpxSp (step-d)'!$AD$16 &amp; CL$72),"")</f>
        <v/>
      </c>
      <c r="CM143" s="1317" t="str">
        <f ca="1">IF(INDIRECT("'SpxSp (step-d)'!$B" &amp; CM$72)=$Z143,INDIRECT("'SpxSp (step-d)'!$" &amp; 'SpxSp (step-d)'!$AD$16 &amp; CM$72),"")</f>
        <v/>
      </c>
      <c r="CN143" s="1317" t="str">
        <f ca="1">IF(INDIRECT("'SpxSp (step-d)'!$B" &amp; CN$72)=$Z143,INDIRECT("'SpxSp (step-d)'!$" &amp; 'SpxSp (step-d)'!$AD$16 &amp; CN$72),"")</f>
        <v/>
      </c>
      <c r="CO143" s="1317" t="str">
        <f ca="1">IF(INDIRECT("'SpxSp (step-d)'!$B" &amp; CO$72)=$Z143,INDIRECT("'SpxSp (step-d)'!$" &amp; 'SpxSp (step-d)'!$AD$16 &amp; CO$72),"")</f>
        <v/>
      </c>
      <c r="CP143" s="1317" t="str">
        <f ca="1">IF(INDIRECT("'SpxSp (step-d)'!$B" &amp; CP$72)=$Z143,INDIRECT("'SpxSp (step-d)'!$" &amp; 'SpxSp (step-d)'!$AD$16 &amp; CP$72),"")</f>
        <v/>
      </c>
      <c r="CQ143" s="1317" t="str">
        <f ca="1">IF(INDIRECT("'SpxSp (step-d)'!$B" &amp; CQ$72)=$Z143,INDIRECT("'SpxSp (step-d)'!$" &amp; 'SpxSp (step-d)'!$AD$16 &amp; CQ$72),"")</f>
        <v/>
      </c>
      <c r="CR143" s="1317" t="str">
        <f ca="1">IF(INDIRECT("'SpxSp (step-d)'!$B" &amp; CR$72)=$Z143,INDIRECT("'SpxSp (step-d)'!$" &amp; 'SpxSp (step-d)'!$AD$16 &amp; CR$72),"")</f>
        <v/>
      </c>
      <c r="CS143" s="1317" t="str">
        <f ca="1">IF(INDIRECT("'SpxSp (step-d)'!$B" &amp; CS$72)=$Z143,INDIRECT("'SpxSp (step-d)'!$" &amp; 'SpxSp (step-d)'!$AD$16 &amp; CS$72),"")</f>
        <v/>
      </c>
      <c r="CT143" s="1317" t="str">
        <f ca="1">IF(INDIRECT("'SpxSp (step-d)'!$B" &amp; CT$72)=$Z143,INDIRECT("'SpxSp (step-d)'!$" &amp; 'SpxSp (step-d)'!$AD$16 &amp; CT$72),"")</f>
        <v/>
      </c>
      <c r="CU143" s="1317" t="str">
        <f ca="1">IF(INDIRECT("'SpxSp (step-d)'!$B" &amp; CU$72)=$Z143,INDIRECT("'SpxSp (step-d)'!$" &amp; 'SpxSp (step-d)'!$AD$16 &amp; CU$72),"")</f>
        <v/>
      </c>
      <c r="CV143" s="1317" t="str">
        <f ca="1">IF(INDIRECT("'SpxSp (step-d)'!$B" &amp; CV$72)=$Z143,INDIRECT("'SpxSp (step-d)'!$" &amp; 'SpxSp (step-d)'!$AD$16 &amp; CV$72),"")</f>
        <v/>
      </c>
      <c r="CW143" s="1317" t="str">
        <f ca="1">IF(INDIRECT("'SpxSp (step-d)'!$B" &amp; CW$72)=$Z143,INDIRECT("'SpxSp (step-d)'!$" &amp; 'SpxSp (step-d)'!$AD$16 &amp; CW$72),"")</f>
        <v/>
      </c>
      <c r="CX143" s="1317" t="str">
        <f ca="1">IF(INDIRECT("'SpxSp (step-d)'!$B" &amp; CX$72)=$Z143,INDIRECT("'SpxSp (step-d)'!$" &amp; 'SpxSp (step-d)'!$AD$16 &amp; CX$72),"")</f>
        <v/>
      </c>
      <c r="CY143" s="1317" t="str">
        <f ca="1">IF(INDIRECT("'SpxSp (step-d)'!$B" &amp; CY$72)=$Z143,INDIRECT("'SpxSp (step-d)'!$" &amp; 'SpxSp (step-d)'!$AD$16 &amp; CY$72),"")</f>
        <v/>
      </c>
      <c r="CZ143" s="1317" t="str">
        <f ca="1">IF(INDIRECT("'SpxSp (step-d)'!$B" &amp; CZ$72)=$Z143,INDIRECT("'SpxSp (step-d)'!$" &amp; 'SpxSp (step-d)'!$AD$16 &amp; CZ$72),"")</f>
        <v/>
      </c>
      <c r="DA143" s="1317" t="str">
        <f ca="1">IF(INDIRECT("'SpxSp (step-d)'!$B" &amp; DA$72)=$Z143,INDIRECT("'SpxSp (step-d)'!$" &amp; 'SpxSp (step-d)'!$AD$16 &amp; DA$72),"")</f>
        <v/>
      </c>
      <c r="DB143" s="1317" t="str">
        <f ca="1">IF(INDIRECT("'SpxSp (step-d)'!$B" &amp; DB$72)=$Z143,INDIRECT("'SpxSp (step-d)'!$" &amp; 'SpxSp (step-d)'!$AD$16 &amp; DB$72),"")</f>
        <v/>
      </c>
      <c r="DC143" s="1317" t="str">
        <f ca="1">IF(INDIRECT("'SpxSp (step-d)'!$B" &amp; DC$72)=$Z143,INDIRECT("'SpxSp (step-d)'!$" &amp; 'SpxSp (step-d)'!$AD$16 &amp; DC$72),"")</f>
        <v/>
      </c>
      <c r="DD143" s="1317" t="str">
        <f ca="1">IF(INDIRECT("'SpxSp (step-d)'!$B" &amp; DD$72)=$Z143,INDIRECT("'SpxSp (step-d)'!$" &amp; 'SpxSp (step-d)'!$AD$16 &amp; DD$72),"")</f>
        <v/>
      </c>
      <c r="DE143" s="1317" t="str">
        <f ca="1">IF(INDIRECT("'SpxSp (step-d)'!$B" &amp; DE$72)=$Z143,INDIRECT("'SpxSp (step-d)'!$" &amp; 'SpxSp (step-d)'!$AD$16 &amp; DE$72),"")</f>
        <v/>
      </c>
      <c r="DF143" s="1317" t="str">
        <f ca="1">IF(INDIRECT("'SpxSp (step-d)'!$B" &amp; DF$72)=$Z143,INDIRECT("'SpxSp (step-d)'!$" &amp; 'SpxSp (step-d)'!$AD$16 &amp; DF$72),"")</f>
        <v/>
      </c>
      <c r="DG143" s="1317" t="str">
        <f ca="1">IF(INDIRECT("'SpxSp (step-d)'!$B" &amp; DG$72)=$Z143,INDIRECT("'SpxSp (step-d)'!$" &amp; 'SpxSp (step-d)'!$AD$16 &amp; DG$72),"")</f>
        <v/>
      </c>
      <c r="DH143" s="1317" t="str">
        <f ca="1">IF(INDIRECT("'SpxSp (step-d)'!$B" &amp; DH$72)=$Z143,INDIRECT("'SpxSp (step-d)'!$" &amp; 'SpxSp (step-d)'!$AD$16 &amp; DH$72),"")</f>
        <v/>
      </c>
      <c r="DI143" s="1317" t="str">
        <f ca="1">IF(INDIRECT("'SpxSp (step-d)'!$B" &amp; DI$72)=$Z143,INDIRECT("'SpxSp (step-d)'!$" &amp; 'SpxSp (step-d)'!$AD$16 &amp; DI$72),"")</f>
        <v/>
      </c>
      <c r="DJ143" s="1317" t="str">
        <f ca="1">IF(INDIRECT("'SpxSp (step-d)'!$B" &amp; DJ$72)=$Z143,INDIRECT("'SpxSp (step-d)'!$" &amp; 'SpxSp (step-d)'!$AD$16 &amp; DJ$72),"")</f>
        <v/>
      </c>
      <c r="DK143" s="1317" t="str">
        <f ca="1">IF(INDIRECT("'SpxSp (step-d)'!$B" &amp; DK$72)=$Z143,INDIRECT("'SpxSp (step-d)'!$" &amp; 'SpxSp (step-d)'!$AD$16 &amp; DK$72),"")</f>
        <v/>
      </c>
      <c r="DL143" s="1317" t="str">
        <f ca="1">IF(INDIRECT("'SpxSp (step-d)'!$B" &amp; DL$72)=$Z143,INDIRECT("'SpxSp (step-d)'!$" &amp; 'SpxSp (step-d)'!$AD$16 &amp; DL$72),"")</f>
        <v/>
      </c>
      <c r="DM143" s="1317" t="str">
        <f ca="1">IF(INDIRECT("'SpxSp (step-d)'!$B" &amp; DM$72)=$Z143,INDIRECT("'SpxSp (step-d)'!$" &amp; 'SpxSp (step-d)'!$AD$16 &amp; DM$72),"")</f>
        <v/>
      </c>
      <c r="DO143" s="1246" t="s">
        <v>1200</v>
      </c>
    </row>
    <row r="144" spans="26:119" ht="20" x14ac:dyDescent="0.2">
      <c r="Z144" s="1317" t="str">
        <f t="shared" ref="Z144:AA144" si="108">Z89</f>
        <v/>
      </c>
      <c r="AA144" s="1317" t="str">
        <f t="shared" si="108"/>
        <v/>
      </c>
      <c r="BM144" s="178" t="str">
        <f>IFERROR(VLOOKUP(Z144,'SpxSp (step-d)'!B$18:I$67,6,FALSE),"")</f>
        <v/>
      </c>
      <c r="BN144" s="178">
        <v>17</v>
      </c>
      <c r="BO144" s="1316" t="str">
        <f t="shared" ca="1" si="92"/>
        <v/>
      </c>
      <c r="BP144" s="1317" t="str">
        <f ca="1">IF(INDIRECT("'SpxSp (step-d)'!$B" &amp; BP$72)=$Z144,INDIRECT("'SpxSp (step-d)'!$" &amp; 'SpxSp (step-d)'!$AD$16 &amp; BP$72),"")</f>
        <v/>
      </c>
      <c r="BQ144" s="1317" t="str">
        <f ca="1">IF(INDIRECT("'SpxSp (step-d)'!$B" &amp; BQ$72)=$Z144,INDIRECT("'SpxSp (step-d)'!$" &amp; 'SpxSp (step-d)'!$AD$16 &amp; BQ$72),"")</f>
        <v/>
      </c>
      <c r="BR144" s="1317" t="str">
        <f ca="1">IF(INDIRECT("'SpxSp (step-d)'!$B" &amp; BR$72)=$Z144,INDIRECT("'SpxSp (step-d)'!$" &amp; 'SpxSp (step-d)'!$AD$16 &amp; BR$72),"")</f>
        <v/>
      </c>
      <c r="BS144" s="1317" t="str">
        <f ca="1">IF(INDIRECT("'SpxSp (step-d)'!$B" &amp; BS$72)=$Z144,INDIRECT("'SpxSp (step-d)'!$" &amp; 'SpxSp (step-d)'!$AD$16 &amp; BS$72),"")</f>
        <v/>
      </c>
      <c r="BT144" s="1317" t="str">
        <f ca="1">IF(INDIRECT("'SpxSp (step-d)'!$B" &amp; BT$72)=$Z144,INDIRECT("'SpxSp (step-d)'!$" &amp; 'SpxSp (step-d)'!$AD$16 &amp; BT$72),"")</f>
        <v/>
      </c>
      <c r="BU144" s="1317" t="str">
        <f ca="1">IF(INDIRECT("'SpxSp (step-d)'!$B" &amp; BU$72)=$Z144,INDIRECT("'SpxSp (step-d)'!$" &amp; 'SpxSp (step-d)'!$AD$16 &amp; BU$72),"")</f>
        <v/>
      </c>
      <c r="BV144" s="1317" t="str">
        <f ca="1">IF(INDIRECT("'SpxSp (step-d)'!$B" &amp; BV$72)=$Z144,INDIRECT("'SpxSp (step-d)'!$" &amp; 'SpxSp (step-d)'!$AD$16 &amp; BV$72),"")</f>
        <v/>
      </c>
      <c r="BW144" s="1317" t="str">
        <f ca="1">IF(INDIRECT("'SpxSp (step-d)'!$B" &amp; BW$72)=$Z144,INDIRECT("'SpxSp (step-d)'!$" &amp; 'SpxSp (step-d)'!$AD$16 &amp; BW$72),"")</f>
        <v/>
      </c>
      <c r="BX144" s="1317" t="str">
        <f ca="1">IF(INDIRECT("'SpxSp (step-d)'!$B" &amp; BX$72)=$Z144,INDIRECT("'SpxSp (step-d)'!$" &amp; 'SpxSp (step-d)'!$AD$16 &amp; BX$72),"")</f>
        <v/>
      </c>
      <c r="BY144" s="1317" t="str">
        <f ca="1">IF(INDIRECT("'SpxSp (step-d)'!$B" &amp; BY$72)=$Z144,INDIRECT("'SpxSp (step-d)'!$" &amp; 'SpxSp (step-d)'!$AD$16 &amp; BY$72),"")</f>
        <v/>
      </c>
      <c r="BZ144" s="1317" t="str">
        <f ca="1">IF(INDIRECT("'SpxSp (step-d)'!$B" &amp; BZ$72)=$Z144,INDIRECT("'SpxSp (step-d)'!$" &amp; 'SpxSp (step-d)'!$AD$16 &amp; BZ$72),"")</f>
        <v/>
      </c>
      <c r="CA144" s="1317" t="str">
        <f ca="1">IF(INDIRECT("'SpxSp (step-d)'!$B" &amp; CA$72)=$Z144,INDIRECT("'SpxSp (step-d)'!$" &amp; 'SpxSp (step-d)'!$AD$16 &amp; CA$72),"")</f>
        <v/>
      </c>
      <c r="CB144" s="1317" t="str">
        <f ca="1">IF(INDIRECT("'SpxSp (step-d)'!$B" &amp; CB$72)=$Z144,INDIRECT("'SpxSp (step-d)'!$" &amp; 'SpxSp (step-d)'!$AD$16 &amp; CB$72),"")</f>
        <v/>
      </c>
      <c r="CC144" s="1317" t="str">
        <f ca="1">IF(INDIRECT("'SpxSp (step-d)'!$B" &amp; CC$72)=$Z144,INDIRECT("'SpxSp (step-d)'!$" &amp; 'SpxSp (step-d)'!$AD$16 &amp; CC$72),"")</f>
        <v/>
      </c>
      <c r="CD144" s="1317" t="str">
        <f ca="1">IF(INDIRECT("'SpxSp (step-d)'!$B" &amp; CD$72)=$Z144,INDIRECT("'SpxSp (step-d)'!$" &amp; 'SpxSp (step-d)'!$AD$16 &amp; CD$72),"")</f>
        <v/>
      </c>
      <c r="CE144" s="1317" t="str">
        <f ca="1">IF(INDIRECT("'SpxSp (step-d)'!$B" &amp; CE$72)=$Z144,INDIRECT("'SpxSp (step-d)'!$" &amp; 'SpxSp (step-d)'!$AD$16 &amp; CE$72),"")</f>
        <v/>
      </c>
      <c r="CF144" s="1317" t="str">
        <f ca="1">IF(INDIRECT("'SpxSp (step-d)'!$B" &amp; CF$72)=$Z144,INDIRECT("'SpxSp (step-d)'!$" &amp; 'SpxSp (step-d)'!$AD$16 &amp; CF$72),"")</f>
        <v/>
      </c>
      <c r="CG144" s="1317" t="str">
        <f ca="1">IF(INDIRECT("'SpxSp (step-d)'!$B" &amp; CG$72)=$Z144,INDIRECT("'SpxSp (step-d)'!$" &amp; 'SpxSp (step-d)'!$AD$16 &amp; CG$72),"")</f>
        <v/>
      </c>
      <c r="CH144" s="1317" t="str">
        <f ca="1">IF(INDIRECT("'SpxSp (step-d)'!$B" &amp; CH$72)=$Z144,INDIRECT("'SpxSp (step-d)'!$" &amp; 'SpxSp (step-d)'!$AD$16 &amp; CH$72),"")</f>
        <v/>
      </c>
      <c r="CI144" s="1317" t="str">
        <f ca="1">IF(INDIRECT("'SpxSp (step-d)'!$B" &amp; CI$72)=$Z144,INDIRECT("'SpxSp (step-d)'!$" &amp; 'SpxSp (step-d)'!$AD$16 &amp; CI$72),"")</f>
        <v/>
      </c>
      <c r="CJ144" s="1317" t="str">
        <f ca="1">IF(INDIRECT("'SpxSp (step-d)'!$B" &amp; CJ$72)=$Z144,INDIRECT("'SpxSp (step-d)'!$" &amp; 'SpxSp (step-d)'!$AD$16 &amp; CJ$72),"")</f>
        <v/>
      </c>
      <c r="CK144" s="1317" t="str">
        <f ca="1">IF(INDIRECT("'SpxSp (step-d)'!$B" &amp; CK$72)=$Z144,INDIRECT("'SpxSp (step-d)'!$" &amp; 'SpxSp (step-d)'!$AD$16 &amp; CK$72),"")</f>
        <v/>
      </c>
      <c r="CL144" s="1317" t="str">
        <f ca="1">IF(INDIRECT("'SpxSp (step-d)'!$B" &amp; CL$72)=$Z144,INDIRECT("'SpxSp (step-d)'!$" &amp; 'SpxSp (step-d)'!$AD$16 &amp; CL$72),"")</f>
        <v/>
      </c>
      <c r="CM144" s="1317" t="str">
        <f ca="1">IF(INDIRECT("'SpxSp (step-d)'!$B" &amp; CM$72)=$Z144,INDIRECT("'SpxSp (step-d)'!$" &amp; 'SpxSp (step-d)'!$AD$16 &amp; CM$72),"")</f>
        <v/>
      </c>
      <c r="CN144" s="1317" t="str">
        <f ca="1">IF(INDIRECT("'SpxSp (step-d)'!$B" &amp; CN$72)=$Z144,INDIRECT("'SpxSp (step-d)'!$" &amp; 'SpxSp (step-d)'!$AD$16 &amp; CN$72),"")</f>
        <v/>
      </c>
      <c r="CO144" s="1317" t="str">
        <f ca="1">IF(INDIRECT("'SpxSp (step-d)'!$B" &amp; CO$72)=$Z144,INDIRECT("'SpxSp (step-d)'!$" &amp; 'SpxSp (step-d)'!$AD$16 &amp; CO$72),"")</f>
        <v/>
      </c>
      <c r="CP144" s="1317" t="str">
        <f ca="1">IF(INDIRECT("'SpxSp (step-d)'!$B" &amp; CP$72)=$Z144,INDIRECT("'SpxSp (step-d)'!$" &amp; 'SpxSp (step-d)'!$AD$16 &amp; CP$72),"")</f>
        <v/>
      </c>
      <c r="CQ144" s="1317" t="str">
        <f ca="1">IF(INDIRECT("'SpxSp (step-d)'!$B" &amp; CQ$72)=$Z144,INDIRECT("'SpxSp (step-d)'!$" &amp; 'SpxSp (step-d)'!$AD$16 &amp; CQ$72),"")</f>
        <v/>
      </c>
      <c r="CR144" s="1317" t="str">
        <f ca="1">IF(INDIRECT("'SpxSp (step-d)'!$B" &amp; CR$72)=$Z144,INDIRECT("'SpxSp (step-d)'!$" &amp; 'SpxSp (step-d)'!$AD$16 &amp; CR$72),"")</f>
        <v/>
      </c>
      <c r="CS144" s="1317" t="str">
        <f ca="1">IF(INDIRECT("'SpxSp (step-d)'!$B" &amp; CS$72)=$Z144,INDIRECT("'SpxSp (step-d)'!$" &amp; 'SpxSp (step-d)'!$AD$16 &amp; CS$72),"")</f>
        <v/>
      </c>
      <c r="CT144" s="1317" t="str">
        <f ca="1">IF(INDIRECT("'SpxSp (step-d)'!$B" &amp; CT$72)=$Z144,INDIRECT("'SpxSp (step-d)'!$" &amp; 'SpxSp (step-d)'!$AD$16 &amp; CT$72),"")</f>
        <v/>
      </c>
      <c r="CU144" s="1317" t="str">
        <f ca="1">IF(INDIRECT("'SpxSp (step-d)'!$B" &amp; CU$72)=$Z144,INDIRECT("'SpxSp (step-d)'!$" &amp; 'SpxSp (step-d)'!$AD$16 &amp; CU$72),"")</f>
        <v/>
      </c>
      <c r="CV144" s="1317" t="str">
        <f ca="1">IF(INDIRECT("'SpxSp (step-d)'!$B" &amp; CV$72)=$Z144,INDIRECT("'SpxSp (step-d)'!$" &amp; 'SpxSp (step-d)'!$AD$16 &amp; CV$72),"")</f>
        <v/>
      </c>
      <c r="CW144" s="1317" t="str">
        <f ca="1">IF(INDIRECT("'SpxSp (step-d)'!$B" &amp; CW$72)=$Z144,INDIRECT("'SpxSp (step-d)'!$" &amp; 'SpxSp (step-d)'!$AD$16 &amp; CW$72),"")</f>
        <v/>
      </c>
      <c r="CX144" s="1317" t="str">
        <f ca="1">IF(INDIRECT("'SpxSp (step-d)'!$B" &amp; CX$72)=$Z144,INDIRECT("'SpxSp (step-d)'!$" &amp; 'SpxSp (step-d)'!$AD$16 &amp; CX$72),"")</f>
        <v/>
      </c>
      <c r="CY144" s="1317" t="str">
        <f ca="1">IF(INDIRECT("'SpxSp (step-d)'!$B" &amp; CY$72)=$Z144,INDIRECT("'SpxSp (step-d)'!$" &amp; 'SpxSp (step-d)'!$AD$16 &amp; CY$72),"")</f>
        <v/>
      </c>
      <c r="CZ144" s="1317" t="str">
        <f ca="1">IF(INDIRECT("'SpxSp (step-d)'!$B" &amp; CZ$72)=$Z144,INDIRECT("'SpxSp (step-d)'!$" &amp; 'SpxSp (step-d)'!$AD$16 &amp; CZ$72),"")</f>
        <v/>
      </c>
      <c r="DA144" s="1317" t="str">
        <f ca="1">IF(INDIRECT("'SpxSp (step-d)'!$B" &amp; DA$72)=$Z144,INDIRECT("'SpxSp (step-d)'!$" &amp; 'SpxSp (step-d)'!$AD$16 &amp; DA$72),"")</f>
        <v/>
      </c>
      <c r="DB144" s="1317" t="str">
        <f ca="1">IF(INDIRECT("'SpxSp (step-d)'!$B" &amp; DB$72)=$Z144,INDIRECT("'SpxSp (step-d)'!$" &amp; 'SpxSp (step-d)'!$AD$16 &amp; DB$72),"")</f>
        <v/>
      </c>
      <c r="DC144" s="1317" t="str">
        <f ca="1">IF(INDIRECT("'SpxSp (step-d)'!$B" &amp; DC$72)=$Z144,INDIRECT("'SpxSp (step-d)'!$" &amp; 'SpxSp (step-d)'!$AD$16 &amp; DC$72),"")</f>
        <v/>
      </c>
      <c r="DD144" s="1317" t="str">
        <f ca="1">IF(INDIRECT("'SpxSp (step-d)'!$B" &amp; DD$72)=$Z144,INDIRECT("'SpxSp (step-d)'!$" &amp; 'SpxSp (step-d)'!$AD$16 &amp; DD$72),"")</f>
        <v/>
      </c>
      <c r="DE144" s="1317" t="str">
        <f ca="1">IF(INDIRECT("'SpxSp (step-d)'!$B" &amp; DE$72)=$Z144,INDIRECT("'SpxSp (step-d)'!$" &amp; 'SpxSp (step-d)'!$AD$16 &amp; DE$72),"")</f>
        <v/>
      </c>
      <c r="DF144" s="1317" t="str">
        <f ca="1">IF(INDIRECT("'SpxSp (step-d)'!$B" &amp; DF$72)=$Z144,INDIRECT("'SpxSp (step-d)'!$" &amp; 'SpxSp (step-d)'!$AD$16 &amp; DF$72),"")</f>
        <v/>
      </c>
      <c r="DG144" s="1317" t="str">
        <f ca="1">IF(INDIRECT("'SpxSp (step-d)'!$B" &amp; DG$72)=$Z144,INDIRECT("'SpxSp (step-d)'!$" &amp; 'SpxSp (step-d)'!$AD$16 &amp; DG$72),"")</f>
        <v/>
      </c>
      <c r="DH144" s="1317" t="str">
        <f ca="1">IF(INDIRECT("'SpxSp (step-d)'!$B" &amp; DH$72)=$Z144,INDIRECT("'SpxSp (step-d)'!$" &amp; 'SpxSp (step-d)'!$AD$16 &amp; DH$72),"")</f>
        <v/>
      </c>
      <c r="DI144" s="1317" t="str">
        <f ca="1">IF(INDIRECT("'SpxSp (step-d)'!$B" &amp; DI$72)=$Z144,INDIRECT("'SpxSp (step-d)'!$" &amp; 'SpxSp (step-d)'!$AD$16 &amp; DI$72),"")</f>
        <v/>
      </c>
      <c r="DJ144" s="1317" t="str">
        <f ca="1">IF(INDIRECT("'SpxSp (step-d)'!$B" &amp; DJ$72)=$Z144,INDIRECT("'SpxSp (step-d)'!$" &amp; 'SpxSp (step-d)'!$AD$16 &amp; DJ$72),"")</f>
        <v/>
      </c>
      <c r="DK144" s="1317" t="str">
        <f ca="1">IF(INDIRECT("'SpxSp (step-d)'!$B" &amp; DK$72)=$Z144,INDIRECT("'SpxSp (step-d)'!$" &amp; 'SpxSp (step-d)'!$AD$16 &amp; DK$72),"")</f>
        <v/>
      </c>
      <c r="DL144" s="1317" t="str">
        <f ca="1">IF(INDIRECT("'SpxSp (step-d)'!$B" &amp; DL$72)=$Z144,INDIRECT("'SpxSp (step-d)'!$" &amp; 'SpxSp (step-d)'!$AD$16 &amp; DL$72),"")</f>
        <v/>
      </c>
      <c r="DM144" s="1317" t="str">
        <f ca="1">IF(INDIRECT("'SpxSp (step-d)'!$B" &amp; DM$72)=$Z144,INDIRECT("'SpxSp (step-d)'!$" &amp; 'SpxSp (step-d)'!$AD$16 &amp; DM$72),"")</f>
        <v/>
      </c>
      <c r="DO144" s="1246" t="s">
        <v>1200</v>
      </c>
    </row>
    <row r="145" spans="26:119" ht="20" x14ac:dyDescent="0.2">
      <c r="Z145" s="1317" t="str">
        <f t="shared" ref="Z145:AA145" si="109">Z90</f>
        <v/>
      </c>
      <c r="AA145" s="1317" t="str">
        <f t="shared" si="109"/>
        <v/>
      </c>
      <c r="BM145" s="178" t="str">
        <f>IFERROR(VLOOKUP(Z145,'SpxSp (step-d)'!B$18:I$67,6,FALSE),"")</f>
        <v/>
      </c>
      <c r="BN145" s="178">
        <v>18</v>
      </c>
      <c r="BO145" s="1316" t="str">
        <f t="shared" ca="1" si="92"/>
        <v/>
      </c>
      <c r="BP145" s="1317" t="str">
        <f ca="1">IF(INDIRECT("'SpxSp (step-d)'!$B" &amp; BP$72)=$Z145,INDIRECT("'SpxSp (step-d)'!$" &amp; 'SpxSp (step-d)'!$AD$16 &amp; BP$72),"")</f>
        <v/>
      </c>
      <c r="BQ145" s="1317" t="str">
        <f ca="1">IF(INDIRECT("'SpxSp (step-d)'!$B" &amp; BQ$72)=$Z145,INDIRECT("'SpxSp (step-d)'!$" &amp; 'SpxSp (step-d)'!$AD$16 &amp; BQ$72),"")</f>
        <v/>
      </c>
      <c r="BR145" s="1317" t="str">
        <f ca="1">IF(INDIRECT("'SpxSp (step-d)'!$B" &amp; BR$72)=$Z145,INDIRECT("'SpxSp (step-d)'!$" &amp; 'SpxSp (step-d)'!$AD$16 &amp; BR$72),"")</f>
        <v/>
      </c>
      <c r="BS145" s="1317" t="str">
        <f ca="1">IF(INDIRECT("'SpxSp (step-d)'!$B" &amp; BS$72)=$Z145,INDIRECT("'SpxSp (step-d)'!$" &amp; 'SpxSp (step-d)'!$AD$16 &amp; BS$72),"")</f>
        <v/>
      </c>
      <c r="BT145" s="1317" t="str">
        <f ca="1">IF(INDIRECT("'SpxSp (step-d)'!$B" &amp; BT$72)=$Z145,INDIRECT("'SpxSp (step-d)'!$" &amp; 'SpxSp (step-d)'!$AD$16 &amp; BT$72),"")</f>
        <v/>
      </c>
      <c r="BU145" s="1317" t="str">
        <f ca="1">IF(INDIRECT("'SpxSp (step-d)'!$B" &amp; BU$72)=$Z145,INDIRECT("'SpxSp (step-d)'!$" &amp; 'SpxSp (step-d)'!$AD$16 &amp; BU$72),"")</f>
        <v/>
      </c>
      <c r="BV145" s="1317" t="str">
        <f ca="1">IF(INDIRECT("'SpxSp (step-d)'!$B" &amp; BV$72)=$Z145,INDIRECT("'SpxSp (step-d)'!$" &amp; 'SpxSp (step-d)'!$AD$16 &amp; BV$72),"")</f>
        <v/>
      </c>
      <c r="BW145" s="1317" t="str">
        <f ca="1">IF(INDIRECT("'SpxSp (step-d)'!$B" &amp; BW$72)=$Z145,INDIRECT("'SpxSp (step-d)'!$" &amp; 'SpxSp (step-d)'!$AD$16 &amp; BW$72),"")</f>
        <v/>
      </c>
      <c r="BX145" s="1317" t="str">
        <f ca="1">IF(INDIRECT("'SpxSp (step-d)'!$B" &amp; BX$72)=$Z145,INDIRECT("'SpxSp (step-d)'!$" &amp; 'SpxSp (step-d)'!$AD$16 &amp; BX$72),"")</f>
        <v/>
      </c>
      <c r="BY145" s="1317" t="str">
        <f ca="1">IF(INDIRECT("'SpxSp (step-d)'!$B" &amp; BY$72)=$Z145,INDIRECT("'SpxSp (step-d)'!$" &amp; 'SpxSp (step-d)'!$AD$16 &amp; BY$72),"")</f>
        <v/>
      </c>
      <c r="BZ145" s="1317" t="str">
        <f ca="1">IF(INDIRECT("'SpxSp (step-d)'!$B" &amp; BZ$72)=$Z145,INDIRECT("'SpxSp (step-d)'!$" &amp; 'SpxSp (step-d)'!$AD$16 &amp; BZ$72),"")</f>
        <v/>
      </c>
      <c r="CA145" s="1317" t="str">
        <f ca="1">IF(INDIRECT("'SpxSp (step-d)'!$B" &amp; CA$72)=$Z145,INDIRECT("'SpxSp (step-d)'!$" &amp; 'SpxSp (step-d)'!$AD$16 &amp; CA$72),"")</f>
        <v/>
      </c>
      <c r="CB145" s="1317" t="str">
        <f ca="1">IF(INDIRECT("'SpxSp (step-d)'!$B" &amp; CB$72)=$Z145,INDIRECT("'SpxSp (step-d)'!$" &amp; 'SpxSp (step-d)'!$AD$16 &amp; CB$72),"")</f>
        <v/>
      </c>
      <c r="CC145" s="1317" t="str">
        <f ca="1">IF(INDIRECT("'SpxSp (step-d)'!$B" &amp; CC$72)=$Z145,INDIRECT("'SpxSp (step-d)'!$" &amp; 'SpxSp (step-d)'!$AD$16 &amp; CC$72),"")</f>
        <v/>
      </c>
      <c r="CD145" s="1317" t="str">
        <f ca="1">IF(INDIRECT("'SpxSp (step-d)'!$B" &amp; CD$72)=$Z145,INDIRECT("'SpxSp (step-d)'!$" &amp; 'SpxSp (step-d)'!$AD$16 &amp; CD$72),"")</f>
        <v/>
      </c>
      <c r="CE145" s="1317" t="str">
        <f ca="1">IF(INDIRECT("'SpxSp (step-d)'!$B" &amp; CE$72)=$Z145,INDIRECT("'SpxSp (step-d)'!$" &amp; 'SpxSp (step-d)'!$AD$16 &amp; CE$72),"")</f>
        <v/>
      </c>
      <c r="CF145" s="1317" t="str">
        <f ca="1">IF(INDIRECT("'SpxSp (step-d)'!$B" &amp; CF$72)=$Z145,INDIRECT("'SpxSp (step-d)'!$" &amp; 'SpxSp (step-d)'!$AD$16 &amp; CF$72),"")</f>
        <v/>
      </c>
      <c r="CG145" s="1317" t="str">
        <f ca="1">IF(INDIRECT("'SpxSp (step-d)'!$B" &amp; CG$72)=$Z145,INDIRECT("'SpxSp (step-d)'!$" &amp; 'SpxSp (step-d)'!$AD$16 &amp; CG$72),"")</f>
        <v/>
      </c>
      <c r="CH145" s="1317" t="str">
        <f ca="1">IF(INDIRECT("'SpxSp (step-d)'!$B" &amp; CH$72)=$Z145,INDIRECT("'SpxSp (step-d)'!$" &amp; 'SpxSp (step-d)'!$AD$16 &amp; CH$72),"")</f>
        <v/>
      </c>
      <c r="CI145" s="1317" t="str">
        <f ca="1">IF(INDIRECT("'SpxSp (step-d)'!$B" &amp; CI$72)=$Z145,INDIRECT("'SpxSp (step-d)'!$" &amp; 'SpxSp (step-d)'!$AD$16 &amp; CI$72),"")</f>
        <v/>
      </c>
      <c r="CJ145" s="1317" t="str">
        <f ca="1">IF(INDIRECT("'SpxSp (step-d)'!$B" &amp; CJ$72)=$Z145,INDIRECT("'SpxSp (step-d)'!$" &amp; 'SpxSp (step-d)'!$AD$16 &amp; CJ$72),"")</f>
        <v/>
      </c>
      <c r="CK145" s="1317" t="str">
        <f ca="1">IF(INDIRECT("'SpxSp (step-d)'!$B" &amp; CK$72)=$Z145,INDIRECT("'SpxSp (step-d)'!$" &amp; 'SpxSp (step-d)'!$AD$16 &amp; CK$72),"")</f>
        <v/>
      </c>
      <c r="CL145" s="1317" t="str">
        <f ca="1">IF(INDIRECT("'SpxSp (step-d)'!$B" &amp; CL$72)=$Z145,INDIRECT("'SpxSp (step-d)'!$" &amp; 'SpxSp (step-d)'!$AD$16 &amp; CL$72),"")</f>
        <v/>
      </c>
      <c r="CM145" s="1317" t="str">
        <f ca="1">IF(INDIRECT("'SpxSp (step-d)'!$B" &amp; CM$72)=$Z145,INDIRECT("'SpxSp (step-d)'!$" &amp; 'SpxSp (step-d)'!$AD$16 &amp; CM$72),"")</f>
        <v/>
      </c>
      <c r="CN145" s="1317" t="str">
        <f ca="1">IF(INDIRECT("'SpxSp (step-d)'!$B" &amp; CN$72)=$Z145,INDIRECT("'SpxSp (step-d)'!$" &amp; 'SpxSp (step-d)'!$AD$16 &amp; CN$72),"")</f>
        <v/>
      </c>
      <c r="CO145" s="1317" t="str">
        <f ca="1">IF(INDIRECT("'SpxSp (step-d)'!$B" &amp; CO$72)=$Z145,INDIRECT("'SpxSp (step-d)'!$" &amp; 'SpxSp (step-d)'!$AD$16 &amp; CO$72),"")</f>
        <v/>
      </c>
      <c r="CP145" s="1317" t="str">
        <f ca="1">IF(INDIRECT("'SpxSp (step-d)'!$B" &amp; CP$72)=$Z145,INDIRECT("'SpxSp (step-d)'!$" &amp; 'SpxSp (step-d)'!$AD$16 &amp; CP$72),"")</f>
        <v/>
      </c>
      <c r="CQ145" s="1317" t="str">
        <f ca="1">IF(INDIRECT("'SpxSp (step-d)'!$B" &amp; CQ$72)=$Z145,INDIRECT("'SpxSp (step-d)'!$" &amp; 'SpxSp (step-d)'!$AD$16 &amp; CQ$72),"")</f>
        <v/>
      </c>
      <c r="CR145" s="1317" t="str">
        <f ca="1">IF(INDIRECT("'SpxSp (step-d)'!$B" &amp; CR$72)=$Z145,INDIRECT("'SpxSp (step-d)'!$" &amp; 'SpxSp (step-d)'!$AD$16 &amp; CR$72),"")</f>
        <v/>
      </c>
      <c r="CS145" s="1317" t="str">
        <f ca="1">IF(INDIRECT("'SpxSp (step-d)'!$B" &amp; CS$72)=$Z145,INDIRECT("'SpxSp (step-d)'!$" &amp; 'SpxSp (step-d)'!$AD$16 &amp; CS$72),"")</f>
        <v/>
      </c>
      <c r="CT145" s="1317" t="str">
        <f ca="1">IF(INDIRECT("'SpxSp (step-d)'!$B" &amp; CT$72)=$Z145,INDIRECT("'SpxSp (step-d)'!$" &amp; 'SpxSp (step-d)'!$AD$16 &amp; CT$72),"")</f>
        <v/>
      </c>
      <c r="CU145" s="1317" t="str">
        <f ca="1">IF(INDIRECT("'SpxSp (step-d)'!$B" &amp; CU$72)=$Z145,INDIRECT("'SpxSp (step-d)'!$" &amp; 'SpxSp (step-d)'!$AD$16 &amp; CU$72),"")</f>
        <v/>
      </c>
      <c r="CV145" s="1317" t="str">
        <f ca="1">IF(INDIRECT("'SpxSp (step-d)'!$B" &amp; CV$72)=$Z145,INDIRECT("'SpxSp (step-d)'!$" &amp; 'SpxSp (step-d)'!$AD$16 &amp; CV$72),"")</f>
        <v/>
      </c>
      <c r="CW145" s="1317" t="str">
        <f ca="1">IF(INDIRECT("'SpxSp (step-d)'!$B" &amp; CW$72)=$Z145,INDIRECT("'SpxSp (step-d)'!$" &amp; 'SpxSp (step-d)'!$AD$16 &amp; CW$72),"")</f>
        <v/>
      </c>
      <c r="CX145" s="1317" t="str">
        <f ca="1">IF(INDIRECT("'SpxSp (step-d)'!$B" &amp; CX$72)=$Z145,INDIRECT("'SpxSp (step-d)'!$" &amp; 'SpxSp (step-d)'!$AD$16 &amp; CX$72),"")</f>
        <v/>
      </c>
      <c r="CY145" s="1317" t="str">
        <f ca="1">IF(INDIRECT("'SpxSp (step-d)'!$B" &amp; CY$72)=$Z145,INDIRECT("'SpxSp (step-d)'!$" &amp; 'SpxSp (step-d)'!$AD$16 &amp; CY$72),"")</f>
        <v/>
      </c>
      <c r="CZ145" s="1317" t="str">
        <f ca="1">IF(INDIRECT("'SpxSp (step-d)'!$B" &amp; CZ$72)=$Z145,INDIRECT("'SpxSp (step-d)'!$" &amp; 'SpxSp (step-d)'!$AD$16 &amp; CZ$72),"")</f>
        <v/>
      </c>
      <c r="DA145" s="1317" t="str">
        <f ca="1">IF(INDIRECT("'SpxSp (step-d)'!$B" &amp; DA$72)=$Z145,INDIRECT("'SpxSp (step-d)'!$" &amp; 'SpxSp (step-d)'!$AD$16 &amp; DA$72),"")</f>
        <v/>
      </c>
      <c r="DB145" s="1317" t="str">
        <f ca="1">IF(INDIRECT("'SpxSp (step-d)'!$B" &amp; DB$72)=$Z145,INDIRECT("'SpxSp (step-d)'!$" &amp; 'SpxSp (step-d)'!$AD$16 &amp; DB$72),"")</f>
        <v/>
      </c>
      <c r="DC145" s="1317" t="str">
        <f ca="1">IF(INDIRECT("'SpxSp (step-d)'!$B" &amp; DC$72)=$Z145,INDIRECT("'SpxSp (step-d)'!$" &amp; 'SpxSp (step-d)'!$AD$16 &amp; DC$72),"")</f>
        <v/>
      </c>
      <c r="DD145" s="1317" t="str">
        <f ca="1">IF(INDIRECT("'SpxSp (step-d)'!$B" &amp; DD$72)=$Z145,INDIRECT("'SpxSp (step-d)'!$" &amp; 'SpxSp (step-d)'!$AD$16 &amp; DD$72),"")</f>
        <v/>
      </c>
      <c r="DE145" s="1317" t="str">
        <f ca="1">IF(INDIRECT("'SpxSp (step-d)'!$B" &amp; DE$72)=$Z145,INDIRECT("'SpxSp (step-d)'!$" &amp; 'SpxSp (step-d)'!$AD$16 &amp; DE$72),"")</f>
        <v/>
      </c>
      <c r="DF145" s="1317" t="str">
        <f ca="1">IF(INDIRECT("'SpxSp (step-d)'!$B" &amp; DF$72)=$Z145,INDIRECT("'SpxSp (step-d)'!$" &amp; 'SpxSp (step-d)'!$AD$16 &amp; DF$72),"")</f>
        <v/>
      </c>
      <c r="DG145" s="1317" t="str">
        <f ca="1">IF(INDIRECT("'SpxSp (step-d)'!$B" &amp; DG$72)=$Z145,INDIRECT("'SpxSp (step-d)'!$" &amp; 'SpxSp (step-d)'!$AD$16 &amp; DG$72),"")</f>
        <v/>
      </c>
      <c r="DH145" s="1317" t="str">
        <f ca="1">IF(INDIRECT("'SpxSp (step-d)'!$B" &amp; DH$72)=$Z145,INDIRECT("'SpxSp (step-d)'!$" &amp; 'SpxSp (step-d)'!$AD$16 &amp; DH$72),"")</f>
        <v/>
      </c>
      <c r="DI145" s="1317" t="str">
        <f ca="1">IF(INDIRECT("'SpxSp (step-d)'!$B" &amp; DI$72)=$Z145,INDIRECT("'SpxSp (step-d)'!$" &amp; 'SpxSp (step-d)'!$AD$16 &amp; DI$72),"")</f>
        <v/>
      </c>
      <c r="DJ145" s="1317" t="str">
        <f ca="1">IF(INDIRECT("'SpxSp (step-d)'!$B" &amp; DJ$72)=$Z145,INDIRECT("'SpxSp (step-d)'!$" &amp; 'SpxSp (step-d)'!$AD$16 &amp; DJ$72),"")</f>
        <v/>
      </c>
      <c r="DK145" s="1317" t="str">
        <f ca="1">IF(INDIRECT("'SpxSp (step-d)'!$B" &amp; DK$72)=$Z145,INDIRECT("'SpxSp (step-d)'!$" &amp; 'SpxSp (step-d)'!$AD$16 &amp; DK$72),"")</f>
        <v/>
      </c>
      <c r="DL145" s="1317" t="str">
        <f ca="1">IF(INDIRECT("'SpxSp (step-d)'!$B" &amp; DL$72)=$Z145,INDIRECT("'SpxSp (step-d)'!$" &amp; 'SpxSp (step-d)'!$AD$16 &amp; DL$72),"")</f>
        <v/>
      </c>
      <c r="DM145" s="1317" t="str">
        <f ca="1">IF(INDIRECT("'SpxSp (step-d)'!$B" &amp; DM$72)=$Z145,INDIRECT("'SpxSp (step-d)'!$" &amp; 'SpxSp (step-d)'!$AD$16 &amp; DM$72),"")</f>
        <v/>
      </c>
      <c r="DO145" s="1246" t="s">
        <v>1200</v>
      </c>
    </row>
    <row r="146" spans="26:119" ht="20" x14ac:dyDescent="0.2">
      <c r="Z146" s="1317" t="str">
        <f t="shared" ref="Z146:AA146" si="110">Z91</f>
        <v/>
      </c>
      <c r="AA146" s="1317" t="str">
        <f t="shared" si="110"/>
        <v/>
      </c>
      <c r="BM146" s="178" t="str">
        <f>IFERROR(VLOOKUP(Z146,'SpxSp (step-d)'!B$18:I$67,6,FALSE),"")</f>
        <v/>
      </c>
      <c r="BN146" s="178">
        <v>19</v>
      </c>
      <c r="BO146" s="1316" t="str">
        <f t="shared" ca="1" si="92"/>
        <v/>
      </c>
      <c r="BP146" s="1317" t="str">
        <f ca="1">IF(INDIRECT("'SpxSp (step-d)'!$B" &amp; BP$72)=$Z146,INDIRECT("'SpxSp (step-d)'!$" &amp; 'SpxSp (step-d)'!$AD$16 &amp; BP$72),"")</f>
        <v/>
      </c>
      <c r="BQ146" s="1317" t="str">
        <f ca="1">IF(INDIRECT("'SpxSp (step-d)'!$B" &amp; BQ$72)=$Z146,INDIRECT("'SpxSp (step-d)'!$" &amp; 'SpxSp (step-d)'!$AD$16 &amp; BQ$72),"")</f>
        <v/>
      </c>
      <c r="BR146" s="1317" t="str">
        <f ca="1">IF(INDIRECT("'SpxSp (step-d)'!$B" &amp; BR$72)=$Z146,INDIRECT("'SpxSp (step-d)'!$" &amp; 'SpxSp (step-d)'!$AD$16 &amp; BR$72),"")</f>
        <v/>
      </c>
      <c r="BS146" s="1317" t="str">
        <f ca="1">IF(INDIRECT("'SpxSp (step-d)'!$B" &amp; BS$72)=$Z146,INDIRECT("'SpxSp (step-d)'!$" &amp; 'SpxSp (step-d)'!$AD$16 &amp; BS$72),"")</f>
        <v/>
      </c>
      <c r="BT146" s="1317" t="str">
        <f ca="1">IF(INDIRECT("'SpxSp (step-d)'!$B" &amp; BT$72)=$Z146,INDIRECT("'SpxSp (step-d)'!$" &amp; 'SpxSp (step-d)'!$AD$16 &amp; BT$72),"")</f>
        <v/>
      </c>
      <c r="BU146" s="1317" t="str">
        <f ca="1">IF(INDIRECT("'SpxSp (step-d)'!$B" &amp; BU$72)=$Z146,INDIRECT("'SpxSp (step-d)'!$" &amp; 'SpxSp (step-d)'!$AD$16 &amp; BU$72),"")</f>
        <v/>
      </c>
      <c r="BV146" s="1317" t="str">
        <f ca="1">IF(INDIRECT("'SpxSp (step-d)'!$B" &amp; BV$72)=$Z146,INDIRECT("'SpxSp (step-d)'!$" &amp; 'SpxSp (step-d)'!$AD$16 &amp; BV$72),"")</f>
        <v/>
      </c>
      <c r="BW146" s="1317" t="str">
        <f ca="1">IF(INDIRECT("'SpxSp (step-d)'!$B" &amp; BW$72)=$Z146,INDIRECT("'SpxSp (step-d)'!$" &amp; 'SpxSp (step-d)'!$AD$16 &amp; BW$72),"")</f>
        <v/>
      </c>
      <c r="BX146" s="1317" t="str">
        <f ca="1">IF(INDIRECT("'SpxSp (step-d)'!$B" &amp; BX$72)=$Z146,INDIRECT("'SpxSp (step-d)'!$" &amp; 'SpxSp (step-d)'!$AD$16 &amp; BX$72),"")</f>
        <v/>
      </c>
      <c r="BY146" s="1317" t="str">
        <f ca="1">IF(INDIRECT("'SpxSp (step-d)'!$B" &amp; BY$72)=$Z146,INDIRECT("'SpxSp (step-d)'!$" &amp; 'SpxSp (step-d)'!$AD$16 &amp; BY$72),"")</f>
        <v/>
      </c>
      <c r="BZ146" s="1317" t="str">
        <f ca="1">IF(INDIRECT("'SpxSp (step-d)'!$B" &amp; BZ$72)=$Z146,INDIRECT("'SpxSp (step-d)'!$" &amp; 'SpxSp (step-d)'!$AD$16 &amp; BZ$72),"")</f>
        <v/>
      </c>
      <c r="CA146" s="1317" t="str">
        <f ca="1">IF(INDIRECT("'SpxSp (step-d)'!$B" &amp; CA$72)=$Z146,INDIRECT("'SpxSp (step-d)'!$" &amp; 'SpxSp (step-d)'!$AD$16 &amp; CA$72),"")</f>
        <v/>
      </c>
      <c r="CB146" s="1317" t="str">
        <f ca="1">IF(INDIRECT("'SpxSp (step-d)'!$B" &amp; CB$72)=$Z146,INDIRECT("'SpxSp (step-d)'!$" &amp; 'SpxSp (step-d)'!$AD$16 &amp; CB$72),"")</f>
        <v/>
      </c>
      <c r="CC146" s="1317" t="str">
        <f ca="1">IF(INDIRECT("'SpxSp (step-d)'!$B" &amp; CC$72)=$Z146,INDIRECT("'SpxSp (step-d)'!$" &amp; 'SpxSp (step-d)'!$AD$16 &amp; CC$72),"")</f>
        <v/>
      </c>
      <c r="CD146" s="1317" t="str">
        <f ca="1">IF(INDIRECT("'SpxSp (step-d)'!$B" &amp; CD$72)=$Z146,INDIRECT("'SpxSp (step-d)'!$" &amp; 'SpxSp (step-d)'!$AD$16 &amp; CD$72),"")</f>
        <v/>
      </c>
      <c r="CE146" s="1317" t="str">
        <f ca="1">IF(INDIRECT("'SpxSp (step-d)'!$B" &amp; CE$72)=$Z146,INDIRECT("'SpxSp (step-d)'!$" &amp; 'SpxSp (step-d)'!$AD$16 &amp; CE$72),"")</f>
        <v/>
      </c>
      <c r="CF146" s="1317" t="str">
        <f ca="1">IF(INDIRECT("'SpxSp (step-d)'!$B" &amp; CF$72)=$Z146,INDIRECT("'SpxSp (step-d)'!$" &amp; 'SpxSp (step-d)'!$AD$16 &amp; CF$72),"")</f>
        <v/>
      </c>
      <c r="CG146" s="1317" t="str">
        <f ca="1">IF(INDIRECT("'SpxSp (step-d)'!$B" &amp; CG$72)=$Z146,INDIRECT("'SpxSp (step-d)'!$" &amp; 'SpxSp (step-d)'!$AD$16 &amp; CG$72),"")</f>
        <v/>
      </c>
      <c r="CH146" s="1317" t="str">
        <f ca="1">IF(INDIRECT("'SpxSp (step-d)'!$B" &amp; CH$72)=$Z146,INDIRECT("'SpxSp (step-d)'!$" &amp; 'SpxSp (step-d)'!$AD$16 &amp; CH$72),"")</f>
        <v/>
      </c>
      <c r="CI146" s="1317" t="str">
        <f ca="1">IF(INDIRECT("'SpxSp (step-d)'!$B" &amp; CI$72)=$Z146,INDIRECT("'SpxSp (step-d)'!$" &amp; 'SpxSp (step-d)'!$AD$16 &amp; CI$72),"")</f>
        <v/>
      </c>
      <c r="CJ146" s="1317" t="str">
        <f ca="1">IF(INDIRECT("'SpxSp (step-d)'!$B" &amp; CJ$72)=$Z146,INDIRECT("'SpxSp (step-d)'!$" &amp; 'SpxSp (step-d)'!$AD$16 &amp; CJ$72),"")</f>
        <v/>
      </c>
      <c r="CK146" s="1317" t="str">
        <f ca="1">IF(INDIRECT("'SpxSp (step-d)'!$B" &amp; CK$72)=$Z146,INDIRECT("'SpxSp (step-d)'!$" &amp; 'SpxSp (step-d)'!$AD$16 &amp; CK$72),"")</f>
        <v/>
      </c>
      <c r="CL146" s="1317" t="str">
        <f ca="1">IF(INDIRECT("'SpxSp (step-d)'!$B" &amp; CL$72)=$Z146,INDIRECT("'SpxSp (step-d)'!$" &amp; 'SpxSp (step-d)'!$AD$16 &amp; CL$72),"")</f>
        <v/>
      </c>
      <c r="CM146" s="1317" t="str">
        <f ca="1">IF(INDIRECT("'SpxSp (step-d)'!$B" &amp; CM$72)=$Z146,INDIRECT("'SpxSp (step-d)'!$" &amp; 'SpxSp (step-d)'!$AD$16 &amp; CM$72),"")</f>
        <v/>
      </c>
      <c r="CN146" s="1317" t="str">
        <f ca="1">IF(INDIRECT("'SpxSp (step-d)'!$B" &amp; CN$72)=$Z146,INDIRECT("'SpxSp (step-d)'!$" &amp; 'SpxSp (step-d)'!$AD$16 &amp; CN$72),"")</f>
        <v/>
      </c>
      <c r="CO146" s="1317" t="str">
        <f ca="1">IF(INDIRECT("'SpxSp (step-d)'!$B" &amp; CO$72)=$Z146,INDIRECT("'SpxSp (step-d)'!$" &amp; 'SpxSp (step-d)'!$AD$16 &amp; CO$72),"")</f>
        <v/>
      </c>
      <c r="CP146" s="1317" t="str">
        <f ca="1">IF(INDIRECT("'SpxSp (step-d)'!$B" &amp; CP$72)=$Z146,INDIRECT("'SpxSp (step-d)'!$" &amp; 'SpxSp (step-d)'!$AD$16 &amp; CP$72),"")</f>
        <v/>
      </c>
      <c r="CQ146" s="1317" t="str">
        <f ca="1">IF(INDIRECT("'SpxSp (step-d)'!$B" &amp; CQ$72)=$Z146,INDIRECT("'SpxSp (step-d)'!$" &amp; 'SpxSp (step-d)'!$AD$16 &amp; CQ$72),"")</f>
        <v/>
      </c>
      <c r="CR146" s="1317" t="str">
        <f ca="1">IF(INDIRECT("'SpxSp (step-d)'!$B" &amp; CR$72)=$Z146,INDIRECT("'SpxSp (step-d)'!$" &amp; 'SpxSp (step-d)'!$AD$16 &amp; CR$72),"")</f>
        <v/>
      </c>
      <c r="CS146" s="1317" t="str">
        <f ca="1">IF(INDIRECT("'SpxSp (step-d)'!$B" &amp; CS$72)=$Z146,INDIRECT("'SpxSp (step-d)'!$" &amp; 'SpxSp (step-d)'!$AD$16 &amp; CS$72),"")</f>
        <v/>
      </c>
      <c r="CT146" s="1317" t="str">
        <f ca="1">IF(INDIRECT("'SpxSp (step-d)'!$B" &amp; CT$72)=$Z146,INDIRECT("'SpxSp (step-d)'!$" &amp; 'SpxSp (step-d)'!$AD$16 &amp; CT$72),"")</f>
        <v/>
      </c>
      <c r="CU146" s="1317" t="str">
        <f ca="1">IF(INDIRECT("'SpxSp (step-d)'!$B" &amp; CU$72)=$Z146,INDIRECT("'SpxSp (step-d)'!$" &amp; 'SpxSp (step-d)'!$AD$16 &amp; CU$72),"")</f>
        <v/>
      </c>
      <c r="CV146" s="1317" t="str">
        <f ca="1">IF(INDIRECT("'SpxSp (step-d)'!$B" &amp; CV$72)=$Z146,INDIRECT("'SpxSp (step-d)'!$" &amp; 'SpxSp (step-d)'!$AD$16 &amp; CV$72),"")</f>
        <v/>
      </c>
      <c r="CW146" s="1317" t="str">
        <f ca="1">IF(INDIRECT("'SpxSp (step-d)'!$B" &amp; CW$72)=$Z146,INDIRECT("'SpxSp (step-d)'!$" &amp; 'SpxSp (step-d)'!$AD$16 &amp; CW$72),"")</f>
        <v/>
      </c>
      <c r="CX146" s="1317" t="str">
        <f ca="1">IF(INDIRECT("'SpxSp (step-d)'!$B" &amp; CX$72)=$Z146,INDIRECT("'SpxSp (step-d)'!$" &amp; 'SpxSp (step-d)'!$AD$16 &amp; CX$72),"")</f>
        <v/>
      </c>
      <c r="CY146" s="1317" t="str">
        <f ca="1">IF(INDIRECT("'SpxSp (step-d)'!$B" &amp; CY$72)=$Z146,INDIRECT("'SpxSp (step-d)'!$" &amp; 'SpxSp (step-d)'!$AD$16 &amp; CY$72),"")</f>
        <v/>
      </c>
      <c r="CZ146" s="1317" t="str">
        <f ca="1">IF(INDIRECT("'SpxSp (step-d)'!$B" &amp; CZ$72)=$Z146,INDIRECT("'SpxSp (step-d)'!$" &amp; 'SpxSp (step-d)'!$AD$16 &amp; CZ$72),"")</f>
        <v/>
      </c>
      <c r="DA146" s="1317" t="str">
        <f ca="1">IF(INDIRECT("'SpxSp (step-d)'!$B" &amp; DA$72)=$Z146,INDIRECT("'SpxSp (step-d)'!$" &amp; 'SpxSp (step-d)'!$AD$16 &amp; DA$72),"")</f>
        <v/>
      </c>
      <c r="DB146" s="1317" t="str">
        <f ca="1">IF(INDIRECT("'SpxSp (step-d)'!$B" &amp; DB$72)=$Z146,INDIRECT("'SpxSp (step-d)'!$" &amp; 'SpxSp (step-d)'!$AD$16 &amp; DB$72),"")</f>
        <v/>
      </c>
      <c r="DC146" s="1317" t="str">
        <f ca="1">IF(INDIRECT("'SpxSp (step-d)'!$B" &amp; DC$72)=$Z146,INDIRECT("'SpxSp (step-d)'!$" &amp; 'SpxSp (step-d)'!$AD$16 &amp; DC$72),"")</f>
        <v/>
      </c>
      <c r="DD146" s="1317" t="str">
        <f ca="1">IF(INDIRECT("'SpxSp (step-d)'!$B" &amp; DD$72)=$Z146,INDIRECT("'SpxSp (step-d)'!$" &amp; 'SpxSp (step-d)'!$AD$16 &amp; DD$72),"")</f>
        <v/>
      </c>
      <c r="DE146" s="1317" t="str">
        <f ca="1">IF(INDIRECT("'SpxSp (step-d)'!$B" &amp; DE$72)=$Z146,INDIRECT("'SpxSp (step-d)'!$" &amp; 'SpxSp (step-d)'!$AD$16 &amp; DE$72),"")</f>
        <v/>
      </c>
      <c r="DF146" s="1317" t="str">
        <f ca="1">IF(INDIRECT("'SpxSp (step-d)'!$B" &amp; DF$72)=$Z146,INDIRECT("'SpxSp (step-d)'!$" &amp; 'SpxSp (step-d)'!$AD$16 &amp; DF$72),"")</f>
        <v/>
      </c>
      <c r="DG146" s="1317" t="str">
        <f ca="1">IF(INDIRECT("'SpxSp (step-d)'!$B" &amp; DG$72)=$Z146,INDIRECT("'SpxSp (step-d)'!$" &amp; 'SpxSp (step-d)'!$AD$16 &amp; DG$72),"")</f>
        <v/>
      </c>
      <c r="DH146" s="1317" t="str">
        <f ca="1">IF(INDIRECT("'SpxSp (step-d)'!$B" &amp; DH$72)=$Z146,INDIRECT("'SpxSp (step-d)'!$" &amp; 'SpxSp (step-d)'!$AD$16 &amp; DH$72),"")</f>
        <v/>
      </c>
      <c r="DI146" s="1317" t="str">
        <f ca="1">IF(INDIRECT("'SpxSp (step-d)'!$B" &amp; DI$72)=$Z146,INDIRECT("'SpxSp (step-d)'!$" &amp; 'SpxSp (step-d)'!$AD$16 &amp; DI$72),"")</f>
        <v/>
      </c>
      <c r="DJ146" s="1317" t="str">
        <f ca="1">IF(INDIRECT("'SpxSp (step-d)'!$B" &amp; DJ$72)=$Z146,INDIRECT("'SpxSp (step-d)'!$" &amp; 'SpxSp (step-d)'!$AD$16 &amp; DJ$72),"")</f>
        <v/>
      </c>
      <c r="DK146" s="1317" t="str">
        <f ca="1">IF(INDIRECT("'SpxSp (step-d)'!$B" &amp; DK$72)=$Z146,INDIRECT("'SpxSp (step-d)'!$" &amp; 'SpxSp (step-d)'!$AD$16 &amp; DK$72),"")</f>
        <v/>
      </c>
      <c r="DL146" s="1317" t="str">
        <f ca="1">IF(INDIRECT("'SpxSp (step-d)'!$B" &amp; DL$72)=$Z146,INDIRECT("'SpxSp (step-d)'!$" &amp; 'SpxSp (step-d)'!$AD$16 &amp; DL$72),"")</f>
        <v/>
      </c>
      <c r="DM146" s="1317" t="str">
        <f ca="1">IF(INDIRECT("'SpxSp (step-d)'!$B" &amp; DM$72)=$Z146,INDIRECT("'SpxSp (step-d)'!$" &amp; 'SpxSp (step-d)'!$AD$16 &amp; DM$72),"")</f>
        <v/>
      </c>
      <c r="DO146" s="1246" t="s">
        <v>1200</v>
      </c>
    </row>
    <row r="147" spans="26:119" ht="20" x14ac:dyDescent="0.2">
      <c r="Z147" s="1317" t="str">
        <f t="shared" ref="Z147:AA147" si="111">Z92</f>
        <v/>
      </c>
      <c r="AA147" s="1317" t="str">
        <f t="shared" si="111"/>
        <v/>
      </c>
      <c r="BM147" s="178" t="str">
        <f>IFERROR(VLOOKUP(Z147,'SpxSp (step-d)'!B$18:I$67,6,FALSE),"")</f>
        <v/>
      </c>
      <c r="BN147" s="178">
        <v>20</v>
      </c>
      <c r="BO147" s="1316" t="str">
        <f t="shared" ca="1" si="92"/>
        <v/>
      </c>
      <c r="BP147" s="1317" t="str">
        <f ca="1">IF(INDIRECT("'SpxSp (step-d)'!$B" &amp; BP$72)=$Z147,INDIRECT("'SpxSp (step-d)'!$" &amp; 'SpxSp (step-d)'!$AD$16 &amp; BP$72),"")</f>
        <v/>
      </c>
      <c r="BQ147" s="1317" t="str">
        <f ca="1">IF(INDIRECT("'SpxSp (step-d)'!$B" &amp; BQ$72)=$Z147,INDIRECT("'SpxSp (step-d)'!$" &amp; 'SpxSp (step-d)'!$AD$16 &amp; BQ$72),"")</f>
        <v/>
      </c>
      <c r="BR147" s="1317" t="str">
        <f ca="1">IF(INDIRECT("'SpxSp (step-d)'!$B" &amp; BR$72)=$Z147,INDIRECT("'SpxSp (step-d)'!$" &amp; 'SpxSp (step-d)'!$AD$16 &amp; BR$72),"")</f>
        <v/>
      </c>
      <c r="BS147" s="1317" t="str">
        <f ca="1">IF(INDIRECT("'SpxSp (step-d)'!$B" &amp; BS$72)=$Z147,INDIRECT("'SpxSp (step-d)'!$" &amp; 'SpxSp (step-d)'!$AD$16 &amp; BS$72),"")</f>
        <v/>
      </c>
      <c r="BT147" s="1317" t="str">
        <f ca="1">IF(INDIRECT("'SpxSp (step-d)'!$B" &amp; BT$72)=$Z147,INDIRECT("'SpxSp (step-d)'!$" &amp; 'SpxSp (step-d)'!$AD$16 &amp; BT$72),"")</f>
        <v/>
      </c>
      <c r="BU147" s="1317" t="str">
        <f ca="1">IF(INDIRECT("'SpxSp (step-d)'!$B" &amp; BU$72)=$Z147,INDIRECT("'SpxSp (step-d)'!$" &amp; 'SpxSp (step-d)'!$AD$16 &amp; BU$72),"")</f>
        <v/>
      </c>
      <c r="BV147" s="1317" t="str">
        <f ca="1">IF(INDIRECT("'SpxSp (step-d)'!$B" &amp; BV$72)=$Z147,INDIRECT("'SpxSp (step-d)'!$" &amp; 'SpxSp (step-d)'!$AD$16 &amp; BV$72),"")</f>
        <v/>
      </c>
      <c r="BW147" s="1317" t="str">
        <f ca="1">IF(INDIRECT("'SpxSp (step-d)'!$B" &amp; BW$72)=$Z147,INDIRECT("'SpxSp (step-d)'!$" &amp; 'SpxSp (step-d)'!$AD$16 &amp; BW$72),"")</f>
        <v/>
      </c>
      <c r="BX147" s="1317" t="str">
        <f ca="1">IF(INDIRECT("'SpxSp (step-d)'!$B" &amp; BX$72)=$Z147,INDIRECT("'SpxSp (step-d)'!$" &amp; 'SpxSp (step-d)'!$AD$16 &amp; BX$72),"")</f>
        <v/>
      </c>
      <c r="BY147" s="1317" t="str">
        <f ca="1">IF(INDIRECT("'SpxSp (step-d)'!$B" &amp; BY$72)=$Z147,INDIRECT("'SpxSp (step-d)'!$" &amp; 'SpxSp (step-d)'!$AD$16 &amp; BY$72),"")</f>
        <v/>
      </c>
      <c r="BZ147" s="1317" t="str">
        <f ca="1">IF(INDIRECT("'SpxSp (step-d)'!$B" &amp; BZ$72)=$Z147,INDIRECT("'SpxSp (step-d)'!$" &amp; 'SpxSp (step-d)'!$AD$16 &amp; BZ$72),"")</f>
        <v/>
      </c>
      <c r="CA147" s="1317" t="str">
        <f ca="1">IF(INDIRECT("'SpxSp (step-d)'!$B" &amp; CA$72)=$Z147,INDIRECT("'SpxSp (step-d)'!$" &amp; 'SpxSp (step-d)'!$AD$16 &amp; CA$72),"")</f>
        <v/>
      </c>
      <c r="CB147" s="1317" t="str">
        <f ca="1">IF(INDIRECT("'SpxSp (step-d)'!$B" &amp; CB$72)=$Z147,INDIRECT("'SpxSp (step-d)'!$" &amp; 'SpxSp (step-d)'!$AD$16 &amp; CB$72),"")</f>
        <v/>
      </c>
      <c r="CC147" s="1317" t="str">
        <f ca="1">IF(INDIRECT("'SpxSp (step-d)'!$B" &amp; CC$72)=$Z147,INDIRECT("'SpxSp (step-d)'!$" &amp; 'SpxSp (step-d)'!$AD$16 &amp; CC$72),"")</f>
        <v/>
      </c>
      <c r="CD147" s="1317" t="str">
        <f ca="1">IF(INDIRECT("'SpxSp (step-d)'!$B" &amp; CD$72)=$Z147,INDIRECT("'SpxSp (step-d)'!$" &amp; 'SpxSp (step-d)'!$AD$16 &amp; CD$72),"")</f>
        <v/>
      </c>
      <c r="CE147" s="1317" t="str">
        <f ca="1">IF(INDIRECT("'SpxSp (step-d)'!$B" &amp; CE$72)=$Z147,INDIRECT("'SpxSp (step-d)'!$" &amp; 'SpxSp (step-d)'!$AD$16 &amp; CE$72),"")</f>
        <v/>
      </c>
      <c r="CF147" s="1317" t="str">
        <f ca="1">IF(INDIRECT("'SpxSp (step-d)'!$B" &amp; CF$72)=$Z147,INDIRECT("'SpxSp (step-d)'!$" &amp; 'SpxSp (step-d)'!$AD$16 &amp; CF$72),"")</f>
        <v/>
      </c>
      <c r="CG147" s="1317" t="str">
        <f ca="1">IF(INDIRECT("'SpxSp (step-d)'!$B" &amp; CG$72)=$Z147,INDIRECT("'SpxSp (step-d)'!$" &amp; 'SpxSp (step-d)'!$AD$16 &amp; CG$72),"")</f>
        <v/>
      </c>
      <c r="CH147" s="1317" t="str">
        <f ca="1">IF(INDIRECT("'SpxSp (step-d)'!$B" &amp; CH$72)=$Z147,INDIRECT("'SpxSp (step-d)'!$" &amp; 'SpxSp (step-d)'!$AD$16 &amp; CH$72),"")</f>
        <v/>
      </c>
      <c r="CI147" s="1317" t="str">
        <f ca="1">IF(INDIRECT("'SpxSp (step-d)'!$B" &amp; CI$72)=$Z147,INDIRECT("'SpxSp (step-d)'!$" &amp; 'SpxSp (step-d)'!$AD$16 &amp; CI$72),"")</f>
        <v/>
      </c>
      <c r="CJ147" s="1317" t="str">
        <f ca="1">IF(INDIRECT("'SpxSp (step-d)'!$B" &amp; CJ$72)=$Z147,INDIRECT("'SpxSp (step-d)'!$" &amp; 'SpxSp (step-d)'!$AD$16 &amp; CJ$72),"")</f>
        <v/>
      </c>
      <c r="CK147" s="1317" t="str">
        <f ca="1">IF(INDIRECT("'SpxSp (step-d)'!$B" &amp; CK$72)=$Z147,INDIRECT("'SpxSp (step-d)'!$" &amp; 'SpxSp (step-d)'!$AD$16 &amp; CK$72),"")</f>
        <v/>
      </c>
      <c r="CL147" s="1317" t="str">
        <f ca="1">IF(INDIRECT("'SpxSp (step-d)'!$B" &amp; CL$72)=$Z147,INDIRECT("'SpxSp (step-d)'!$" &amp; 'SpxSp (step-d)'!$AD$16 &amp; CL$72),"")</f>
        <v/>
      </c>
      <c r="CM147" s="1317" t="str">
        <f ca="1">IF(INDIRECT("'SpxSp (step-d)'!$B" &amp; CM$72)=$Z147,INDIRECT("'SpxSp (step-d)'!$" &amp; 'SpxSp (step-d)'!$AD$16 &amp; CM$72),"")</f>
        <v/>
      </c>
      <c r="CN147" s="1317" t="str">
        <f ca="1">IF(INDIRECT("'SpxSp (step-d)'!$B" &amp; CN$72)=$Z147,INDIRECT("'SpxSp (step-d)'!$" &amp; 'SpxSp (step-d)'!$AD$16 &amp; CN$72),"")</f>
        <v/>
      </c>
      <c r="CO147" s="1317" t="str">
        <f ca="1">IF(INDIRECT("'SpxSp (step-d)'!$B" &amp; CO$72)=$Z147,INDIRECT("'SpxSp (step-d)'!$" &amp; 'SpxSp (step-d)'!$AD$16 &amp; CO$72),"")</f>
        <v/>
      </c>
      <c r="CP147" s="1317" t="str">
        <f ca="1">IF(INDIRECT("'SpxSp (step-d)'!$B" &amp; CP$72)=$Z147,INDIRECT("'SpxSp (step-d)'!$" &amp; 'SpxSp (step-d)'!$AD$16 &amp; CP$72),"")</f>
        <v/>
      </c>
      <c r="CQ147" s="1317" t="str">
        <f ca="1">IF(INDIRECT("'SpxSp (step-d)'!$B" &amp; CQ$72)=$Z147,INDIRECT("'SpxSp (step-d)'!$" &amp; 'SpxSp (step-d)'!$AD$16 &amp; CQ$72),"")</f>
        <v/>
      </c>
      <c r="CR147" s="1317" t="str">
        <f ca="1">IF(INDIRECT("'SpxSp (step-d)'!$B" &amp; CR$72)=$Z147,INDIRECT("'SpxSp (step-d)'!$" &amp; 'SpxSp (step-d)'!$AD$16 &amp; CR$72),"")</f>
        <v/>
      </c>
      <c r="CS147" s="1317" t="str">
        <f ca="1">IF(INDIRECT("'SpxSp (step-d)'!$B" &amp; CS$72)=$Z147,INDIRECT("'SpxSp (step-d)'!$" &amp; 'SpxSp (step-d)'!$AD$16 &amp; CS$72),"")</f>
        <v/>
      </c>
      <c r="CT147" s="1317" t="str">
        <f ca="1">IF(INDIRECT("'SpxSp (step-d)'!$B" &amp; CT$72)=$Z147,INDIRECT("'SpxSp (step-d)'!$" &amp; 'SpxSp (step-d)'!$AD$16 &amp; CT$72),"")</f>
        <v/>
      </c>
      <c r="CU147" s="1317" t="str">
        <f ca="1">IF(INDIRECT("'SpxSp (step-d)'!$B" &amp; CU$72)=$Z147,INDIRECT("'SpxSp (step-d)'!$" &amp; 'SpxSp (step-d)'!$AD$16 &amp; CU$72),"")</f>
        <v/>
      </c>
      <c r="CV147" s="1317" t="str">
        <f ca="1">IF(INDIRECT("'SpxSp (step-d)'!$B" &amp; CV$72)=$Z147,INDIRECT("'SpxSp (step-d)'!$" &amp; 'SpxSp (step-d)'!$AD$16 &amp; CV$72),"")</f>
        <v/>
      </c>
      <c r="CW147" s="1317" t="str">
        <f ca="1">IF(INDIRECT("'SpxSp (step-d)'!$B" &amp; CW$72)=$Z147,INDIRECT("'SpxSp (step-d)'!$" &amp; 'SpxSp (step-d)'!$AD$16 &amp; CW$72),"")</f>
        <v/>
      </c>
      <c r="CX147" s="1317" t="str">
        <f ca="1">IF(INDIRECT("'SpxSp (step-d)'!$B" &amp; CX$72)=$Z147,INDIRECT("'SpxSp (step-d)'!$" &amp; 'SpxSp (step-d)'!$AD$16 &amp; CX$72),"")</f>
        <v/>
      </c>
      <c r="CY147" s="1317" t="str">
        <f ca="1">IF(INDIRECT("'SpxSp (step-d)'!$B" &amp; CY$72)=$Z147,INDIRECT("'SpxSp (step-d)'!$" &amp; 'SpxSp (step-d)'!$AD$16 &amp; CY$72),"")</f>
        <v/>
      </c>
      <c r="CZ147" s="1317" t="str">
        <f ca="1">IF(INDIRECT("'SpxSp (step-d)'!$B" &amp; CZ$72)=$Z147,INDIRECT("'SpxSp (step-d)'!$" &amp; 'SpxSp (step-d)'!$AD$16 &amp; CZ$72),"")</f>
        <v/>
      </c>
      <c r="DA147" s="1317" t="str">
        <f ca="1">IF(INDIRECT("'SpxSp (step-d)'!$B" &amp; DA$72)=$Z147,INDIRECT("'SpxSp (step-d)'!$" &amp; 'SpxSp (step-d)'!$AD$16 &amp; DA$72),"")</f>
        <v/>
      </c>
      <c r="DB147" s="1317" t="str">
        <f ca="1">IF(INDIRECT("'SpxSp (step-d)'!$B" &amp; DB$72)=$Z147,INDIRECT("'SpxSp (step-d)'!$" &amp; 'SpxSp (step-d)'!$AD$16 &amp; DB$72),"")</f>
        <v/>
      </c>
      <c r="DC147" s="1317" t="str">
        <f ca="1">IF(INDIRECT("'SpxSp (step-d)'!$B" &amp; DC$72)=$Z147,INDIRECT("'SpxSp (step-d)'!$" &amp; 'SpxSp (step-d)'!$AD$16 &amp; DC$72),"")</f>
        <v/>
      </c>
      <c r="DD147" s="1317" t="str">
        <f ca="1">IF(INDIRECT("'SpxSp (step-d)'!$B" &amp; DD$72)=$Z147,INDIRECT("'SpxSp (step-d)'!$" &amp; 'SpxSp (step-d)'!$AD$16 &amp; DD$72),"")</f>
        <v/>
      </c>
      <c r="DE147" s="1317" t="str">
        <f ca="1">IF(INDIRECT("'SpxSp (step-d)'!$B" &amp; DE$72)=$Z147,INDIRECT("'SpxSp (step-d)'!$" &amp; 'SpxSp (step-d)'!$AD$16 &amp; DE$72),"")</f>
        <v/>
      </c>
      <c r="DF147" s="1317" t="str">
        <f ca="1">IF(INDIRECT("'SpxSp (step-d)'!$B" &amp; DF$72)=$Z147,INDIRECT("'SpxSp (step-d)'!$" &amp; 'SpxSp (step-d)'!$AD$16 &amp; DF$72),"")</f>
        <v/>
      </c>
      <c r="DG147" s="1317" t="str">
        <f ca="1">IF(INDIRECT("'SpxSp (step-d)'!$B" &amp; DG$72)=$Z147,INDIRECT("'SpxSp (step-d)'!$" &amp; 'SpxSp (step-d)'!$AD$16 &amp; DG$72),"")</f>
        <v/>
      </c>
      <c r="DH147" s="1317" t="str">
        <f ca="1">IF(INDIRECT("'SpxSp (step-d)'!$B" &amp; DH$72)=$Z147,INDIRECT("'SpxSp (step-d)'!$" &amp; 'SpxSp (step-d)'!$AD$16 &amp; DH$72),"")</f>
        <v/>
      </c>
      <c r="DI147" s="1317" t="str">
        <f ca="1">IF(INDIRECT("'SpxSp (step-d)'!$B" &amp; DI$72)=$Z147,INDIRECT("'SpxSp (step-d)'!$" &amp; 'SpxSp (step-d)'!$AD$16 &amp; DI$72),"")</f>
        <v/>
      </c>
      <c r="DJ147" s="1317" t="str">
        <f ca="1">IF(INDIRECT("'SpxSp (step-d)'!$B" &amp; DJ$72)=$Z147,INDIRECT("'SpxSp (step-d)'!$" &amp; 'SpxSp (step-d)'!$AD$16 &amp; DJ$72),"")</f>
        <v/>
      </c>
      <c r="DK147" s="1317" t="str">
        <f ca="1">IF(INDIRECT("'SpxSp (step-d)'!$B" &amp; DK$72)=$Z147,INDIRECT("'SpxSp (step-d)'!$" &amp; 'SpxSp (step-d)'!$AD$16 &amp; DK$72),"")</f>
        <v/>
      </c>
      <c r="DL147" s="1317" t="str">
        <f ca="1">IF(INDIRECT("'SpxSp (step-d)'!$B" &amp; DL$72)=$Z147,INDIRECT("'SpxSp (step-d)'!$" &amp; 'SpxSp (step-d)'!$AD$16 &amp; DL$72),"")</f>
        <v/>
      </c>
      <c r="DM147" s="1317" t="str">
        <f ca="1">IF(INDIRECT("'SpxSp (step-d)'!$B" &amp; DM$72)=$Z147,INDIRECT("'SpxSp (step-d)'!$" &amp; 'SpxSp (step-d)'!$AD$16 &amp; DM$72),"")</f>
        <v/>
      </c>
      <c r="DO147" s="1246" t="s">
        <v>1200</v>
      </c>
    </row>
    <row r="148" spans="26:119" ht="20" x14ac:dyDescent="0.2">
      <c r="Z148" s="1317" t="str">
        <f t="shared" ref="Z148:AA148" si="112">Z93</f>
        <v/>
      </c>
      <c r="AA148" s="1317" t="str">
        <f t="shared" si="112"/>
        <v/>
      </c>
      <c r="BM148" s="178" t="str">
        <f>IFERROR(VLOOKUP(Z148,'SpxSp (step-d)'!B$18:I$67,6,FALSE),"")</f>
        <v/>
      </c>
      <c r="BN148" s="178">
        <v>21</v>
      </c>
      <c r="BO148" s="1316" t="str">
        <f t="shared" ca="1" si="92"/>
        <v/>
      </c>
      <c r="BP148" s="1317" t="str">
        <f ca="1">IF(INDIRECT("'SpxSp (step-d)'!$B" &amp; BP$72)=$Z148,INDIRECT("'SpxSp (step-d)'!$" &amp; 'SpxSp (step-d)'!$AD$16 &amp; BP$72),"")</f>
        <v/>
      </c>
      <c r="BQ148" s="1317" t="str">
        <f ca="1">IF(INDIRECT("'SpxSp (step-d)'!$B" &amp; BQ$72)=$Z148,INDIRECT("'SpxSp (step-d)'!$" &amp; 'SpxSp (step-d)'!$AD$16 &amp; BQ$72),"")</f>
        <v/>
      </c>
      <c r="BR148" s="1317" t="str">
        <f ca="1">IF(INDIRECT("'SpxSp (step-d)'!$B" &amp; BR$72)=$Z148,INDIRECT("'SpxSp (step-d)'!$" &amp; 'SpxSp (step-d)'!$AD$16 &amp; BR$72),"")</f>
        <v/>
      </c>
      <c r="BS148" s="1317" t="str">
        <f ca="1">IF(INDIRECT("'SpxSp (step-d)'!$B" &amp; BS$72)=$Z148,INDIRECT("'SpxSp (step-d)'!$" &amp; 'SpxSp (step-d)'!$AD$16 &amp; BS$72),"")</f>
        <v/>
      </c>
      <c r="BT148" s="1317" t="str">
        <f ca="1">IF(INDIRECT("'SpxSp (step-d)'!$B" &amp; BT$72)=$Z148,INDIRECT("'SpxSp (step-d)'!$" &amp; 'SpxSp (step-d)'!$AD$16 &amp; BT$72),"")</f>
        <v/>
      </c>
      <c r="BU148" s="1317" t="str">
        <f ca="1">IF(INDIRECT("'SpxSp (step-d)'!$B" &amp; BU$72)=$Z148,INDIRECT("'SpxSp (step-d)'!$" &amp; 'SpxSp (step-d)'!$AD$16 &amp; BU$72),"")</f>
        <v/>
      </c>
      <c r="BV148" s="1317" t="str">
        <f ca="1">IF(INDIRECT("'SpxSp (step-d)'!$B" &amp; BV$72)=$Z148,INDIRECT("'SpxSp (step-d)'!$" &amp; 'SpxSp (step-d)'!$AD$16 &amp; BV$72),"")</f>
        <v/>
      </c>
      <c r="BW148" s="1317" t="str">
        <f ca="1">IF(INDIRECT("'SpxSp (step-d)'!$B" &amp; BW$72)=$Z148,INDIRECT("'SpxSp (step-d)'!$" &amp; 'SpxSp (step-d)'!$AD$16 &amp; BW$72),"")</f>
        <v/>
      </c>
      <c r="BX148" s="1317" t="str">
        <f ca="1">IF(INDIRECT("'SpxSp (step-d)'!$B" &amp; BX$72)=$Z148,INDIRECT("'SpxSp (step-d)'!$" &amp; 'SpxSp (step-d)'!$AD$16 &amp; BX$72),"")</f>
        <v/>
      </c>
      <c r="BY148" s="1317" t="str">
        <f ca="1">IF(INDIRECT("'SpxSp (step-d)'!$B" &amp; BY$72)=$Z148,INDIRECT("'SpxSp (step-d)'!$" &amp; 'SpxSp (step-d)'!$AD$16 &amp; BY$72),"")</f>
        <v/>
      </c>
      <c r="BZ148" s="1317" t="str">
        <f ca="1">IF(INDIRECT("'SpxSp (step-d)'!$B" &amp; BZ$72)=$Z148,INDIRECT("'SpxSp (step-d)'!$" &amp; 'SpxSp (step-d)'!$AD$16 &amp; BZ$72),"")</f>
        <v/>
      </c>
      <c r="CA148" s="1317" t="str">
        <f ca="1">IF(INDIRECT("'SpxSp (step-d)'!$B" &amp; CA$72)=$Z148,INDIRECT("'SpxSp (step-d)'!$" &amp; 'SpxSp (step-d)'!$AD$16 &amp; CA$72),"")</f>
        <v/>
      </c>
      <c r="CB148" s="1317" t="str">
        <f ca="1">IF(INDIRECT("'SpxSp (step-d)'!$B" &amp; CB$72)=$Z148,INDIRECT("'SpxSp (step-d)'!$" &amp; 'SpxSp (step-d)'!$AD$16 &amp; CB$72),"")</f>
        <v/>
      </c>
      <c r="CC148" s="1317" t="str">
        <f ca="1">IF(INDIRECT("'SpxSp (step-d)'!$B" &amp; CC$72)=$Z148,INDIRECT("'SpxSp (step-d)'!$" &amp; 'SpxSp (step-d)'!$AD$16 &amp; CC$72),"")</f>
        <v/>
      </c>
      <c r="CD148" s="1317" t="str">
        <f ca="1">IF(INDIRECT("'SpxSp (step-d)'!$B" &amp; CD$72)=$Z148,INDIRECT("'SpxSp (step-d)'!$" &amp; 'SpxSp (step-d)'!$AD$16 &amp; CD$72),"")</f>
        <v/>
      </c>
      <c r="CE148" s="1317" t="str">
        <f ca="1">IF(INDIRECT("'SpxSp (step-d)'!$B" &amp; CE$72)=$Z148,INDIRECT("'SpxSp (step-d)'!$" &amp; 'SpxSp (step-d)'!$AD$16 &amp; CE$72),"")</f>
        <v/>
      </c>
      <c r="CF148" s="1317" t="str">
        <f ca="1">IF(INDIRECT("'SpxSp (step-d)'!$B" &amp; CF$72)=$Z148,INDIRECT("'SpxSp (step-d)'!$" &amp; 'SpxSp (step-d)'!$AD$16 &amp; CF$72),"")</f>
        <v/>
      </c>
      <c r="CG148" s="1317" t="str">
        <f ca="1">IF(INDIRECT("'SpxSp (step-d)'!$B" &amp; CG$72)=$Z148,INDIRECT("'SpxSp (step-d)'!$" &amp; 'SpxSp (step-d)'!$AD$16 &amp; CG$72),"")</f>
        <v/>
      </c>
      <c r="CH148" s="1317" t="str">
        <f ca="1">IF(INDIRECT("'SpxSp (step-d)'!$B" &amp; CH$72)=$Z148,INDIRECT("'SpxSp (step-d)'!$" &amp; 'SpxSp (step-d)'!$AD$16 &amp; CH$72),"")</f>
        <v/>
      </c>
      <c r="CI148" s="1317" t="str">
        <f ca="1">IF(INDIRECT("'SpxSp (step-d)'!$B" &amp; CI$72)=$Z148,INDIRECT("'SpxSp (step-d)'!$" &amp; 'SpxSp (step-d)'!$AD$16 &amp; CI$72),"")</f>
        <v/>
      </c>
      <c r="CJ148" s="1317" t="str">
        <f ca="1">IF(INDIRECT("'SpxSp (step-d)'!$B" &amp; CJ$72)=$Z148,INDIRECT("'SpxSp (step-d)'!$" &amp; 'SpxSp (step-d)'!$AD$16 &amp; CJ$72),"")</f>
        <v/>
      </c>
      <c r="CK148" s="1317" t="str">
        <f ca="1">IF(INDIRECT("'SpxSp (step-d)'!$B" &amp; CK$72)=$Z148,INDIRECT("'SpxSp (step-d)'!$" &amp; 'SpxSp (step-d)'!$AD$16 &amp; CK$72),"")</f>
        <v/>
      </c>
      <c r="CL148" s="1317" t="str">
        <f ca="1">IF(INDIRECT("'SpxSp (step-d)'!$B" &amp; CL$72)=$Z148,INDIRECT("'SpxSp (step-d)'!$" &amp; 'SpxSp (step-d)'!$AD$16 &amp; CL$72),"")</f>
        <v/>
      </c>
      <c r="CM148" s="1317" t="str">
        <f ca="1">IF(INDIRECT("'SpxSp (step-d)'!$B" &amp; CM$72)=$Z148,INDIRECT("'SpxSp (step-d)'!$" &amp; 'SpxSp (step-d)'!$AD$16 &amp; CM$72),"")</f>
        <v/>
      </c>
      <c r="CN148" s="1317" t="str">
        <f ca="1">IF(INDIRECT("'SpxSp (step-d)'!$B" &amp; CN$72)=$Z148,INDIRECT("'SpxSp (step-d)'!$" &amp; 'SpxSp (step-d)'!$AD$16 &amp; CN$72),"")</f>
        <v/>
      </c>
      <c r="CO148" s="1317" t="str">
        <f ca="1">IF(INDIRECT("'SpxSp (step-d)'!$B" &amp; CO$72)=$Z148,INDIRECT("'SpxSp (step-d)'!$" &amp; 'SpxSp (step-d)'!$AD$16 &amp; CO$72),"")</f>
        <v/>
      </c>
      <c r="CP148" s="1317" t="str">
        <f ca="1">IF(INDIRECT("'SpxSp (step-d)'!$B" &amp; CP$72)=$Z148,INDIRECT("'SpxSp (step-d)'!$" &amp; 'SpxSp (step-d)'!$AD$16 &amp; CP$72),"")</f>
        <v/>
      </c>
      <c r="CQ148" s="1317" t="str">
        <f ca="1">IF(INDIRECT("'SpxSp (step-d)'!$B" &amp; CQ$72)=$Z148,INDIRECT("'SpxSp (step-d)'!$" &amp; 'SpxSp (step-d)'!$AD$16 &amp; CQ$72),"")</f>
        <v/>
      </c>
      <c r="CR148" s="1317" t="str">
        <f ca="1">IF(INDIRECT("'SpxSp (step-d)'!$B" &amp; CR$72)=$Z148,INDIRECT("'SpxSp (step-d)'!$" &amp; 'SpxSp (step-d)'!$AD$16 &amp; CR$72),"")</f>
        <v/>
      </c>
      <c r="CS148" s="1317" t="str">
        <f ca="1">IF(INDIRECT("'SpxSp (step-d)'!$B" &amp; CS$72)=$Z148,INDIRECT("'SpxSp (step-d)'!$" &amp; 'SpxSp (step-d)'!$AD$16 &amp; CS$72),"")</f>
        <v/>
      </c>
      <c r="CT148" s="1317" t="str">
        <f ca="1">IF(INDIRECT("'SpxSp (step-d)'!$B" &amp; CT$72)=$Z148,INDIRECT("'SpxSp (step-d)'!$" &amp; 'SpxSp (step-d)'!$AD$16 &amp; CT$72),"")</f>
        <v/>
      </c>
      <c r="CU148" s="1317" t="str">
        <f ca="1">IF(INDIRECT("'SpxSp (step-d)'!$B" &amp; CU$72)=$Z148,INDIRECT("'SpxSp (step-d)'!$" &amp; 'SpxSp (step-d)'!$AD$16 &amp; CU$72),"")</f>
        <v/>
      </c>
      <c r="CV148" s="1317" t="str">
        <f ca="1">IF(INDIRECT("'SpxSp (step-d)'!$B" &amp; CV$72)=$Z148,INDIRECT("'SpxSp (step-d)'!$" &amp; 'SpxSp (step-d)'!$AD$16 &amp; CV$72),"")</f>
        <v/>
      </c>
      <c r="CW148" s="1317" t="str">
        <f ca="1">IF(INDIRECT("'SpxSp (step-d)'!$B" &amp; CW$72)=$Z148,INDIRECT("'SpxSp (step-d)'!$" &amp; 'SpxSp (step-d)'!$AD$16 &amp; CW$72),"")</f>
        <v/>
      </c>
      <c r="CX148" s="1317" t="str">
        <f ca="1">IF(INDIRECT("'SpxSp (step-d)'!$B" &amp; CX$72)=$Z148,INDIRECT("'SpxSp (step-d)'!$" &amp; 'SpxSp (step-d)'!$AD$16 &amp; CX$72),"")</f>
        <v/>
      </c>
      <c r="CY148" s="1317" t="str">
        <f ca="1">IF(INDIRECT("'SpxSp (step-d)'!$B" &amp; CY$72)=$Z148,INDIRECT("'SpxSp (step-d)'!$" &amp; 'SpxSp (step-d)'!$AD$16 &amp; CY$72),"")</f>
        <v/>
      </c>
      <c r="CZ148" s="1317" t="str">
        <f ca="1">IF(INDIRECT("'SpxSp (step-d)'!$B" &amp; CZ$72)=$Z148,INDIRECT("'SpxSp (step-d)'!$" &amp; 'SpxSp (step-d)'!$AD$16 &amp; CZ$72),"")</f>
        <v/>
      </c>
      <c r="DA148" s="1317" t="str">
        <f ca="1">IF(INDIRECT("'SpxSp (step-d)'!$B" &amp; DA$72)=$Z148,INDIRECT("'SpxSp (step-d)'!$" &amp; 'SpxSp (step-d)'!$AD$16 &amp; DA$72),"")</f>
        <v/>
      </c>
      <c r="DB148" s="1317" t="str">
        <f ca="1">IF(INDIRECT("'SpxSp (step-d)'!$B" &amp; DB$72)=$Z148,INDIRECT("'SpxSp (step-d)'!$" &amp; 'SpxSp (step-d)'!$AD$16 &amp; DB$72),"")</f>
        <v/>
      </c>
      <c r="DC148" s="1317" t="str">
        <f ca="1">IF(INDIRECT("'SpxSp (step-d)'!$B" &amp; DC$72)=$Z148,INDIRECT("'SpxSp (step-d)'!$" &amp; 'SpxSp (step-d)'!$AD$16 &amp; DC$72),"")</f>
        <v/>
      </c>
      <c r="DD148" s="1317" t="str">
        <f ca="1">IF(INDIRECT("'SpxSp (step-d)'!$B" &amp; DD$72)=$Z148,INDIRECT("'SpxSp (step-d)'!$" &amp; 'SpxSp (step-d)'!$AD$16 &amp; DD$72),"")</f>
        <v/>
      </c>
      <c r="DE148" s="1317" t="str">
        <f ca="1">IF(INDIRECT("'SpxSp (step-d)'!$B" &amp; DE$72)=$Z148,INDIRECT("'SpxSp (step-d)'!$" &amp; 'SpxSp (step-d)'!$AD$16 &amp; DE$72),"")</f>
        <v/>
      </c>
      <c r="DF148" s="1317" t="str">
        <f ca="1">IF(INDIRECT("'SpxSp (step-d)'!$B" &amp; DF$72)=$Z148,INDIRECT("'SpxSp (step-d)'!$" &amp; 'SpxSp (step-d)'!$AD$16 &amp; DF$72),"")</f>
        <v/>
      </c>
      <c r="DG148" s="1317" t="str">
        <f ca="1">IF(INDIRECT("'SpxSp (step-d)'!$B" &amp; DG$72)=$Z148,INDIRECT("'SpxSp (step-d)'!$" &amp; 'SpxSp (step-d)'!$AD$16 &amp; DG$72),"")</f>
        <v/>
      </c>
      <c r="DH148" s="1317" t="str">
        <f ca="1">IF(INDIRECT("'SpxSp (step-d)'!$B" &amp; DH$72)=$Z148,INDIRECT("'SpxSp (step-d)'!$" &amp; 'SpxSp (step-d)'!$AD$16 &amp; DH$72),"")</f>
        <v/>
      </c>
      <c r="DI148" s="1317" t="str">
        <f ca="1">IF(INDIRECT("'SpxSp (step-d)'!$B" &amp; DI$72)=$Z148,INDIRECT("'SpxSp (step-d)'!$" &amp; 'SpxSp (step-d)'!$AD$16 &amp; DI$72),"")</f>
        <v/>
      </c>
      <c r="DJ148" s="1317" t="str">
        <f ca="1">IF(INDIRECT("'SpxSp (step-d)'!$B" &amp; DJ$72)=$Z148,INDIRECT("'SpxSp (step-d)'!$" &amp; 'SpxSp (step-d)'!$AD$16 &amp; DJ$72),"")</f>
        <v/>
      </c>
      <c r="DK148" s="1317" t="str">
        <f ca="1">IF(INDIRECT("'SpxSp (step-d)'!$B" &amp; DK$72)=$Z148,INDIRECT("'SpxSp (step-d)'!$" &amp; 'SpxSp (step-d)'!$AD$16 &amp; DK$72),"")</f>
        <v/>
      </c>
      <c r="DL148" s="1317" t="str">
        <f ca="1">IF(INDIRECT("'SpxSp (step-d)'!$B" &amp; DL$72)=$Z148,INDIRECT("'SpxSp (step-d)'!$" &amp; 'SpxSp (step-d)'!$AD$16 &amp; DL$72),"")</f>
        <v/>
      </c>
      <c r="DM148" s="1317" t="str">
        <f ca="1">IF(INDIRECT("'SpxSp (step-d)'!$B" &amp; DM$72)=$Z148,INDIRECT("'SpxSp (step-d)'!$" &amp; 'SpxSp (step-d)'!$AD$16 &amp; DM$72),"")</f>
        <v/>
      </c>
      <c r="DO148" s="1246" t="s">
        <v>1200</v>
      </c>
    </row>
    <row r="149" spans="26:119" ht="20" x14ac:dyDescent="0.2">
      <c r="Z149" s="1317" t="str">
        <f t="shared" ref="Z149:AA149" si="113">Z94</f>
        <v/>
      </c>
      <c r="AA149" s="1317" t="str">
        <f t="shared" si="113"/>
        <v/>
      </c>
      <c r="BM149" s="178" t="str">
        <f>IFERROR(VLOOKUP(Z149,'SpxSp (step-d)'!B$18:I$67,6,FALSE),"")</f>
        <v/>
      </c>
      <c r="BN149" s="178">
        <v>22</v>
      </c>
      <c r="BO149" s="1316" t="str">
        <f t="shared" ca="1" si="92"/>
        <v/>
      </c>
      <c r="BP149" s="1317" t="str">
        <f ca="1">IF(INDIRECT("'SpxSp (step-d)'!$B" &amp; BP$72)=$Z149,INDIRECT("'SpxSp (step-d)'!$" &amp; 'SpxSp (step-d)'!$AD$16 &amp; BP$72),"")</f>
        <v/>
      </c>
      <c r="BQ149" s="1317" t="str">
        <f ca="1">IF(INDIRECT("'SpxSp (step-d)'!$B" &amp; BQ$72)=$Z149,INDIRECT("'SpxSp (step-d)'!$" &amp; 'SpxSp (step-d)'!$AD$16 &amp; BQ$72),"")</f>
        <v/>
      </c>
      <c r="BR149" s="1317" t="str">
        <f ca="1">IF(INDIRECT("'SpxSp (step-d)'!$B" &amp; BR$72)=$Z149,INDIRECT("'SpxSp (step-d)'!$" &amp; 'SpxSp (step-d)'!$AD$16 &amp; BR$72),"")</f>
        <v/>
      </c>
      <c r="BS149" s="1317" t="str">
        <f ca="1">IF(INDIRECT("'SpxSp (step-d)'!$B" &amp; BS$72)=$Z149,INDIRECT("'SpxSp (step-d)'!$" &amp; 'SpxSp (step-d)'!$AD$16 &amp; BS$72),"")</f>
        <v/>
      </c>
      <c r="BT149" s="1317" t="str">
        <f ca="1">IF(INDIRECT("'SpxSp (step-d)'!$B" &amp; BT$72)=$Z149,INDIRECT("'SpxSp (step-d)'!$" &amp; 'SpxSp (step-d)'!$AD$16 &amp; BT$72),"")</f>
        <v/>
      </c>
      <c r="BU149" s="1317" t="str">
        <f ca="1">IF(INDIRECT("'SpxSp (step-d)'!$B" &amp; BU$72)=$Z149,INDIRECT("'SpxSp (step-d)'!$" &amp; 'SpxSp (step-d)'!$AD$16 &amp; BU$72),"")</f>
        <v/>
      </c>
      <c r="BV149" s="1317" t="str">
        <f ca="1">IF(INDIRECT("'SpxSp (step-d)'!$B" &amp; BV$72)=$Z149,INDIRECT("'SpxSp (step-d)'!$" &amp; 'SpxSp (step-d)'!$AD$16 &amp; BV$72),"")</f>
        <v/>
      </c>
      <c r="BW149" s="1317" t="str">
        <f ca="1">IF(INDIRECT("'SpxSp (step-d)'!$B" &amp; BW$72)=$Z149,INDIRECT("'SpxSp (step-d)'!$" &amp; 'SpxSp (step-d)'!$AD$16 &amp; BW$72),"")</f>
        <v/>
      </c>
      <c r="BX149" s="1317" t="str">
        <f ca="1">IF(INDIRECT("'SpxSp (step-d)'!$B" &amp; BX$72)=$Z149,INDIRECT("'SpxSp (step-d)'!$" &amp; 'SpxSp (step-d)'!$AD$16 &amp; BX$72),"")</f>
        <v/>
      </c>
      <c r="BY149" s="1317" t="str">
        <f ca="1">IF(INDIRECT("'SpxSp (step-d)'!$B" &amp; BY$72)=$Z149,INDIRECT("'SpxSp (step-d)'!$" &amp; 'SpxSp (step-d)'!$AD$16 &amp; BY$72),"")</f>
        <v/>
      </c>
      <c r="BZ149" s="1317" t="str">
        <f ca="1">IF(INDIRECT("'SpxSp (step-d)'!$B" &amp; BZ$72)=$Z149,INDIRECT("'SpxSp (step-d)'!$" &amp; 'SpxSp (step-d)'!$AD$16 &amp; BZ$72),"")</f>
        <v/>
      </c>
      <c r="CA149" s="1317" t="str">
        <f ca="1">IF(INDIRECT("'SpxSp (step-d)'!$B" &amp; CA$72)=$Z149,INDIRECT("'SpxSp (step-d)'!$" &amp; 'SpxSp (step-d)'!$AD$16 &amp; CA$72),"")</f>
        <v/>
      </c>
      <c r="CB149" s="1317" t="str">
        <f ca="1">IF(INDIRECT("'SpxSp (step-d)'!$B" &amp; CB$72)=$Z149,INDIRECT("'SpxSp (step-d)'!$" &amp; 'SpxSp (step-d)'!$AD$16 &amp; CB$72),"")</f>
        <v/>
      </c>
      <c r="CC149" s="1317" t="str">
        <f ca="1">IF(INDIRECT("'SpxSp (step-d)'!$B" &amp; CC$72)=$Z149,INDIRECT("'SpxSp (step-d)'!$" &amp; 'SpxSp (step-d)'!$AD$16 &amp; CC$72),"")</f>
        <v/>
      </c>
      <c r="CD149" s="1317" t="str">
        <f ca="1">IF(INDIRECT("'SpxSp (step-d)'!$B" &amp; CD$72)=$Z149,INDIRECT("'SpxSp (step-d)'!$" &amp; 'SpxSp (step-d)'!$AD$16 &amp; CD$72),"")</f>
        <v/>
      </c>
      <c r="CE149" s="1317" t="str">
        <f ca="1">IF(INDIRECT("'SpxSp (step-d)'!$B" &amp; CE$72)=$Z149,INDIRECT("'SpxSp (step-d)'!$" &amp; 'SpxSp (step-d)'!$AD$16 &amp; CE$72),"")</f>
        <v/>
      </c>
      <c r="CF149" s="1317" t="str">
        <f ca="1">IF(INDIRECT("'SpxSp (step-d)'!$B" &amp; CF$72)=$Z149,INDIRECT("'SpxSp (step-d)'!$" &amp; 'SpxSp (step-d)'!$AD$16 &amp; CF$72),"")</f>
        <v/>
      </c>
      <c r="CG149" s="1317" t="str">
        <f ca="1">IF(INDIRECT("'SpxSp (step-d)'!$B" &amp; CG$72)=$Z149,INDIRECT("'SpxSp (step-d)'!$" &amp; 'SpxSp (step-d)'!$AD$16 &amp; CG$72),"")</f>
        <v/>
      </c>
      <c r="CH149" s="1317" t="str">
        <f ca="1">IF(INDIRECT("'SpxSp (step-d)'!$B" &amp; CH$72)=$Z149,INDIRECT("'SpxSp (step-d)'!$" &amp; 'SpxSp (step-d)'!$AD$16 &amp; CH$72),"")</f>
        <v/>
      </c>
      <c r="CI149" s="1317" t="str">
        <f ca="1">IF(INDIRECT("'SpxSp (step-d)'!$B" &amp; CI$72)=$Z149,INDIRECT("'SpxSp (step-d)'!$" &amp; 'SpxSp (step-d)'!$AD$16 &amp; CI$72),"")</f>
        <v/>
      </c>
      <c r="CJ149" s="1317" t="str">
        <f ca="1">IF(INDIRECT("'SpxSp (step-d)'!$B" &amp; CJ$72)=$Z149,INDIRECT("'SpxSp (step-d)'!$" &amp; 'SpxSp (step-d)'!$AD$16 &amp; CJ$72),"")</f>
        <v/>
      </c>
      <c r="CK149" s="1317" t="str">
        <f ca="1">IF(INDIRECT("'SpxSp (step-d)'!$B" &amp; CK$72)=$Z149,INDIRECT("'SpxSp (step-d)'!$" &amp; 'SpxSp (step-d)'!$AD$16 &amp; CK$72),"")</f>
        <v/>
      </c>
      <c r="CL149" s="1317" t="str">
        <f ca="1">IF(INDIRECT("'SpxSp (step-d)'!$B" &amp; CL$72)=$Z149,INDIRECT("'SpxSp (step-d)'!$" &amp; 'SpxSp (step-d)'!$AD$16 &amp; CL$72),"")</f>
        <v/>
      </c>
      <c r="CM149" s="1317" t="str">
        <f ca="1">IF(INDIRECT("'SpxSp (step-d)'!$B" &amp; CM$72)=$Z149,INDIRECT("'SpxSp (step-d)'!$" &amp; 'SpxSp (step-d)'!$AD$16 &amp; CM$72),"")</f>
        <v/>
      </c>
      <c r="CN149" s="1317" t="str">
        <f ca="1">IF(INDIRECT("'SpxSp (step-d)'!$B" &amp; CN$72)=$Z149,INDIRECT("'SpxSp (step-d)'!$" &amp; 'SpxSp (step-d)'!$AD$16 &amp; CN$72),"")</f>
        <v/>
      </c>
      <c r="CO149" s="1317" t="str">
        <f ca="1">IF(INDIRECT("'SpxSp (step-d)'!$B" &amp; CO$72)=$Z149,INDIRECT("'SpxSp (step-d)'!$" &amp; 'SpxSp (step-d)'!$AD$16 &amp; CO$72),"")</f>
        <v/>
      </c>
      <c r="CP149" s="1317" t="str">
        <f ca="1">IF(INDIRECT("'SpxSp (step-d)'!$B" &amp; CP$72)=$Z149,INDIRECT("'SpxSp (step-d)'!$" &amp; 'SpxSp (step-d)'!$AD$16 &amp; CP$72),"")</f>
        <v/>
      </c>
      <c r="CQ149" s="1317" t="str">
        <f ca="1">IF(INDIRECT("'SpxSp (step-d)'!$B" &amp; CQ$72)=$Z149,INDIRECT("'SpxSp (step-d)'!$" &amp; 'SpxSp (step-d)'!$AD$16 &amp; CQ$72),"")</f>
        <v/>
      </c>
      <c r="CR149" s="1317" t="str">
        <f ca="1">IF(INDIRECT("'SpxSp (step-d)'!$B" &amp; CR$72)=$Z149,INDIRECT("'SpxSp (step-d)'!$" &amp; 'SpxSp (step-d)'!$AD$16 &amp; CR$72),"")</f>
        <v/>
      </c>
      <c r="CS149" s="1317" t="str">
        <f ca="1">IF(INDIRECT("'SpxSp (step-d)'!$B" &amp; CS$72)=$Z149,INDIRECT("'SpxSp (step-d)'!$" &amp; 'SpxSp (step-d)'!$AD$16 &amp; CS$72),"")</f>
        <v/>
      </c>
      <c r="CT149" s="1317" t="str">
        <f ca="1">IF(INDIRECT("'SpxSp (step-d)'!$B" &amp; CT$72)=$Z149,INDIRECT("'SpxSp (step-d)'!$" &amp; 'SpxSp (step-d)'!$AD$16 &amp; CT$72),"")</f>
        <v/>
      </c>
      <c r="CU149" s="1317" t="str">
        <f ca="1">IF(INDIRECT("'SpxSp (step-d)'!$B" &amp; CU$72)=$Z149,INDIRECT("'SpxSp (step-d)'!$" &amp; 'SpxSp (step-d)'!$AD$16 &amp; CU$72),"")</f>
        <v/>
      </c>
      <c r="CV149" s="1317" t="str">
        <f ca="1">IF(INDIRECT("'SpxSp (step-d)'!$B" &amp; CV$72)=$Z149,INDIRECT("'SpxSp (step-d)'!$" &amp; 'SpxSp (step-d)'!$AD$16 &amp; CV$72),"")</f>
        <v/>
      </c>
      <c r="CW149" s="1317" t="str">
        <f ca="1">IF(INDIRECT("'SpxSp (step-d)'!$B" &amp; CW$72)=$Z149,INDIRECT("'SpxSp (step-d)'!$" &amp; 'SpxSp (step-d)'!$AD$16 &amp; CW$72),"")</f>
        <v/>
      </c>
      <c r="CX149" s="1317" t="str">
        <f ca="1">IF(INDIRECT("'SpxSp (step-d)'!$B" &amp; CX$72)=$Z149,INDIRECT("'SpxSp (step-d)'!$" &amp; 'SpxSp (step-d)'!$AD$16 &amp; CX$72),"")</f>
        <v/>
      </c>
      <c r="CY149" s="1317" t="str">
        <f ca="1">IF(INDIRECT("'SpxSp (step-d)'!$B" &amp; CY$72)=$Z149,INDIRECT("'SpxSp (step-d)'!$" &amp; 'SpxSp (step-d)'!$AD$16 &amp; CY$72),"")</f>
        <v/>
      </c>
      <c r="CZ149" s="1317" t="str">
        <f ca="1">IF(INDIRECT("'SpxSp (step-d)'!$B" &amp; CZ$72)=$Z149,INDIRECT("'SpxSp (step-d)'!$" &amp; 'SpxSp (step-d)'!$AD$16 &amp; CZ$72),"")</f>
        <v/>
      </c>
      <c r="DA149" s="1317" t="str">
        <f ca="1">IF(INDIRECT("'SpxSp (step-d)'!$B" &amp; DA$72)=$Z149,INDIRECT("'SpxSp (step-d)'!$" &amp; 'SpxSp (step-d)'!$AD$16 &amp; DA$72),"")</f>
        <v/>
      </c>
      <c r="DB149" s="1317" t="str">
        <f ca="1">IF(INDIRECT("'SpxSp (step-d)'!$B" &amp; DB$72)=$Z149,INDIRECT("'SpxSp (step-d)'!$" &amp; 'SpxSp (step-d)'!$AD$16 &amp; DB$72),"")</f>
        <v/>
      </c>
      <c r="DC149" s="1317" t="str">
        <f ca="1">IF(INDIRECT("'SpxSp (step-d)'!$B" &amp; DC$72)=$Z149,INDIRECT("'SpxSp (step-d)'!$" &amp; 'SpxSp (step-d)'!$AD$16 &amp; DC$72),"")</f>
        <v/>
      </c>
      <c r="DD149" s="1317" t="str">
        <f ca="1">IF(INDIRECT("'SpxSp (step-d)'!$B" &amp; DD$72)=$Z149,INDIRECT("'SpxSp (step-d)'!$" &amp; 'SpxSp (step-d)'!$AD$16 &amp; DD$72),"")</f>
        <v/>
      </c>
      <c r="DE149" s="1317" t="str">
        <f ca="1">IF(INDIRECT("'SpxSp (step-d)'!$B" &amp; DE$72)=$Z149,INDIRECT("'SpxSp (step-d)'!$" &amp; 'SpxSp (step-d)'!$AD$16 &amp; DE$72),"")</f>
        <v/>
      </c>
      <c r="DF149" s="1317" t="str">
        <f ca="1">IF(INDIRECT("'SpxSp (step-d)'!$B" &amp; DF$72)=$Z149,INDIRECT("'SpxSp (step-d)'!$" &amp; 'SpxSp (step-d)'!$AD$16 &amp; DF$72),"")</f>
        <v/>
      </c>
      <c r="DG149" s="1317" t="str">
        <f ca="1">IF(INDIRECT("'SpxSp (step-d)'!$B" &amp; DG$72)=$Z149,INDIRECT("'SpxSp (step-d)'!$" &amp; 'SpxSp (step-d)'!$AD$16 &amp; DG$72),"")</f>
        <v/>
      </c>
      <c r="DH149" s="1317" t="str">
        <f ca="1">IF(INDIRECT("'SpxSp (step-d)'!$B" &amp; DH$72)=$Z149,INDIRECT("'SpxSp (step-d)'!$" &amp; 'SpxSp (step-d)'!$AD$16 &amp; DH$72),"")</f>
        <v/>
      </c>
      <c r="DI149" s="1317" t="str">
        <f ca="1">IF(INDIRECT("'SpxSp (step-d)'!$B" &amp; DI$72)=$Z149,INDIRECT("'SpxSp (step-d)'!$" &amp; 'SpxSp (step-d)'!$AD$16 &amp; DI$72),"")</f>
        <v/>
      </c>
      <c r="DJ149" s="1317" t="str">
        <f ca="1">IF(INDIRECT("'SpxSp (step-d)'!$B" &amp; DJ$72)=$Z149,INDIRECT("'SpxSp (step-d)'!$" &amp; 'SpxSp (step-d)'!$AD$16 &amp; DJ$72),"")</f>
        <v/>
      </c>
      <c r="DK149" s="1317" t="str">
        <f ca="1">IF(INDIRECT("'SpxSp (step-d)'!$B" &amp; DK$72)=$Z149,INDIRECT("'SpxSp (step-d)'!$" &amp; 'SpxSp (step-d)'!$AD$16 &amp; DK$72),"")</f>
        <v/>
      </c>
      <c r="DL149" s="1317" t="str">
        <f ca="1">IF(INDIRECT("'SpxSp (step-d)'!$B" &amp; DL$72)=$Z149,INDIRECT("'SpxSp (step-d)'!$" &amp; 'SpxSp (step-d)'!$AD$16 &amp; DL$72),"")</f>
        <v/>
      </c>
      <c r="DM149" s="1317" t="str">
        <f ca="1">IF(INDIRECT("'SpxSp (step-d)'!$B" &amp; DM$72)=$Z149,INDIRECT("'SpxSp (step-d)'!$" &amp; 'SpxSp (step-d)'!$AD$16 &amp; DM$72),"")</f>
        <v/>
      </c>
      <c r="DO149" s="1246" t="s">
        <v>1200</v>
      </c>
    </row>
    <row r="150" spans="26:119" ht="20" x14ac:dyDescent="0.2">
      <c r="Z150" s="1317" t="str">
        <f t="shared" ref="Z150:AA150" si="114">Z95</f>
        <v/>
      </c>
      <c r="AA150" s="1317" t="str">
        <f t="shared" si="114"/>
        <v/>
      </c>
      <c r="BM150" s="178" t="str">
        <f>IFERROR(VLOOKUP(Z150,'SpxSp (step-d)'!B$18:I$67,6,FALSE),"")</f>
        <v/>
      </c>
      <c r="BN150" s="178">
        <v>23</v>
      </c>
      <c r="BO150" s="1316" t="str">
        <f t="shared" ca="1" si="92"/>
        <v/>
      </c>
      <c r="BP150" s="1317" t="str">
        <f ca="1">IF(INDIRECT("'SpxSp (step-d)'!$B" &amp; BP$72)=$Z150,INDIRECT("'SpxSp (step-d)'!$" &amp; 'SpxSp (step-d)'!$AD$16 &amp; BP$72),"")</f>
        <v/>
      </c>
      <c r="BQ150" s="1317" t="str">
        <f ca="1">IF(INDIRECT("'SpxSp (step-d)'!$B" &amp; BQ$72)=$Z150,INDIRECT("'SpxSp (step-d)'!$" &amp; 'SpxSp (step-d)'!$AD$16 &amp; BQ$72),"")</f>
        <v/>
      </c>
      <c r="BR150" s="1317" t="str">
        <f ca="1">IF(INDIRECT("'SpxSp (step-d)'!$B" &amp; BR$72)=$Z150,INDIRECT("'SpxSp (step-d)'!$" &amp; 'SpxSp (step-d)'!$AD$16 &amp; BR$72),"")</f>
        <v/>
      </c>
      <c r="BS150" s="1317" t="str">
        <f ca="1">IF(INDIRECT("'SpxSp (step-d)'!$B" &amp; BS$72)=$Z150,INDIRECT("'SpxSp (step-d)'!$" &amp; 'SpxSp (step-d)'!$AD$16 &amp; BS$72),"")</f>
        <v/>
      </c>
      <c r="BT150" s="1317" t="str">
        <f ca="1">IF(INDIRECT("'SpxSp (step-d)'!$B" &amp; BT$72)=$Z150,INDIRECT("'SpxSp (step-d)'!$" &amp; 'SpxSp (step-d)'!$AD$16 &amp; BT$72),"")</f>
        <v/>
      </c>
      <c r="BU150" s="1317" t="str">
        <f ca="1">IF(INDIRECT("'SpxSp (step-d)'!$B" &amp; BU$72)=$Z150,INDIRECT("'SpxSp (step-d)'!$" &amp; 'SpxSp (step-d)'!$AD$16 &amp; BU$72),"")</f>
        <v/>
      </c>
      <c r="BV150" s="1317" t="str">
        <f ca="1">IF(INDIRECT("'SpxSp (step-d)'!$B" &amp; BV$72)=$Z150,INDIRECT("'SpxSp (step-d)'!$" &amp; 'SpxSp (step-d)'!$AD$16 &amp; BV$72),"")</f>
        <v/>
      </c>
      <c r="BW150" s="1317" t="str">
        <f ca="1">IF(INDIRECT("'SpxSp (step-d)'!$B" &amp; BW$72)=$Z150,INDIRECT("'SpxSp (step-d)'!$" &amp; 'SpxSp (step-d)'!$AD$16 &amp; BW$72),"")</f>
        <v/>
      </c>
      <c r="BX150" s="1317" t="str">
        <f ca="1">IF(INDIRECT("'SpxSp (step-d)'!$B" &amp; BX$72)=$Z150,INDIRECT("'SpxSp (step-d)'!$" &amp; 'SpxSp (step-d)'!$AD$16 &amp; BX$72),"")</f>
        <v/>
      </c>
      <c r="BY150" s="1317" t="str">
        <f ca="1">IF(INDIRECT("'SpxSp (step-d)'!$B" &amp; BY$72)=$Z150,INDIRECT("'SpxSp (step-d)'!$" &amp; 'SpxSp (step-d)'!$AD$16 &amp; BY$72),"")</f>
        <v/>
      </c>
      <c r="BZ150" s="1317" t="str">
        <f ca="1">IF(INDIRECT("'SpxSp (step-d)'!$B" &amp; BZ$72)=$Z150,INDIRECT("'SpxSp (step-d)'!$" &amp; 'SpxSp (step-d)'!$AD$16 &amp; BZ$72),"")</f>
        <v/>
      </c>
      <c r="CA150" s="1317" t="str">
        <f ca="1">IF(INDIRECT("'SpxSp (step-d)'!$B" &amp; CA$72)=$Z150,INDIRECT("'SpxSp (step-d)'!$" &amp; 'SpxSp (step-d)'!$AD$16 &amp; CA$72),"")</f>
        <v/>
      </c>
      <c r="CB150" s="1317" t="str">
        <f ca="1">IF(INDIRECT("'SpxSp (step-d)'!$B" &amp; CB$72)=$Z150,INDIRECT("'SpxSp (step-d)'!$" &amp; 'SpxSp (step-d)'!$AD$16 &amp; CB$72),"")</f>
        <v/>
      </c>
      <c r="CC150" s="1317" t="str">
        <f ca="1">IF(INDIRECT("'SpxSp (step-d)'!$B" &amp; CC$72)=$Z150,INDIRECT("'SpxSp (step-d)'!$" &amp; 'SpxSp (step-d)'!$AD$16 &amp; CC$72),"")</f>
        <v/>
      </c>
      <c r="CD150" s="1317" t="str">
        <f ca="1">IF(INDIRECT("'SpxSp (step-d)'!$B" &amp; CD$72)=$Z150,INDIRECT("'SpxSp (step-d)'!$" &amp; 'SpxSp (step-d)'!$AD$16 &amp; CD$72),"")</f>
        <v/>
      </c>
      <c r="CE150" s="1317" t="str">
        <f ca="1">IF(INDIRECT("'SpxSp (step-d)'!$B" &amp; CE$72)=$Z150,INDIRECT("'SpxSp (step-d)'!$" &amp; 'SpxSp (step-d)'!$AD$16 &amp; CE$72),"")</f>
        <v/>
      </c>
      <c r="CF150" s="1317" t="str">
        <f ca="1">IF(INDIRECT("'SpxSp (step-d)'!$B" &amp; CF$72)=$Z150,INDIRECT("'SpxSp (step-d)'!$" &amp; 'SpxSp (step-d)'!$AD$16 &amp; CF$72),"")</f>
        <v/>
      </c>
      <c r="CG150" s="1317" t="str">
        <f ca="1">IF(INDIRECT("'SpxSp (step-d)'!$B" &amp; CG$72)=$Z150,INDIRECT("'SpxSp (step-d)'!$" &amp; 'SpxSp (step-d)'!$AD$16 &amp; CG$72),"")</f>
        <v/>
      </c>
      <c r="CH150" s="1317" t="str">
        <f ca="1">IF(INDIRECT("'SpxSp (step-d)'!$B" &amp; CH$72)=$Z150,INDIRECT("'SpxSp (step-d)'!$" &amp; 'SpxSp (step-d)'!$AD$16 &amp; CH$72),"")</f>
        <v/>
      </c>
      <c r="CI150" s="1317" t="str">
        <f ca="1">IF(INDIRECT("'SpxSp (step-d)'!$B" &amp; CI$72)=$Z150,INDIRECT("'SpxSp (step-d)'!$" &amp; 'SpxSp (step-d)'!$AD$16 &amp; CI$72),"")</f>
        <v/>
      </c>
      <c r="CJ150" s="1317" t="str">
        <f ca="1">IF(INDIRECT("'SpxSp (step-d)'!$B" &amp; CJ$72)=$Z150,INDIRECT("'SpxSp (step-d)'!$" &amp; 'SpxSp (step-d)'!$AD$16 &amp; CJ$72),"")</f>
        <v/>
      </c>
      <c r="CK150" s="1317" t="str">
        <f ca="1">IF(INDIRECT("'SpxSp (step-d)'!$B" &amp; CK$72)=$Z150,INDIRECT("'SpxSp (step-d)'!$" &amp; 'SpxSp (step-d)'!$AD$16 &amp; CK$72),"")</f>
        <v/>
      </c>
      <c r="CL150" s="1317" t="str">
        <f ca="1">IF(INDIRECT("'SpxSp (step-d)'!$B" &amp; CL$72)=$Z150,INDIRECT("'SpxSp (step-d)'!$" &amp; 'SpxSp (step-d)'!$AD$16 &amp; CL$72),"")</f>
        <v/>
      </c>
      <c r="CM150" s="1317" t="str">
        <f ca="1">IF(INDIRECT("'SpxSp (step-d)'!$B" &amp; CM$72)=$Z150,INDIRECT("'SpxSp (step-d)'!$" &amp; 'SpxSp (step-d)'!$AD$16 &amp; CM$72),"")</f>
        <v/>
      </c>
      <c r="CN150" s="1317" t="str">
        <f ca="1">IF(INDIRECT("'SpxSp (step-d)'!$B" &amp; CN$72)=$Z150,INDIRECT("'SpxSp (step-d)'!$" &amp; 'SpxSp (step-d)'!$AD$16 &amp; CN$72),"")</f>
        <v/>
      </c>
      <c r="CO150" s="1317" t="str">
        <f ca="1">IF(INDIRECT("'SpxSp (step-d)'!$B" &amp; CO$72)=$Z150,INDIRECT("'SpxSp (step-d)'!$" &amp; 'SpxSp (step-d)'!$AD$16 &amp; CO$72),"")</f>
        <v/>
      </c>
      <c r="CP150" s="1317" t="str">
        <f ca="1">IF(INDIRECT("'SpxSp (step-d)'!$B" &amp; CP$72)=$Z150,INDIRECT("'SpxSp (step-d)'!$" &amp; 'SpxSp (step-d)'!$AD$16 &amp; CP$72),"")</f>
        <v/>
      </c>
      <c r="CQ150" s="1317" t="str">
        <f ca="1">IF(INDIRECT("'SpxSp (step-d)'!$B" &amp; CQ$72)=$Z150,INDIRECT("'SpxSp (step-d)'!$" &amp; 'SpxSp (step-d)'!$AD$16 &amp; CQ$72),"")</f>
        <v/>
      </c>
      <c r="CR150" s="1317" t="str">
        <f ca="1">IF(INDIRECT("'SpxSp (step-d)'!$B" &amp; CR$72)=$Z150,INDIRECT("'SpxSp (step-d)'!$" &amp; 'SpxSp (step-d)'!$AD$16 &amp; CR$72),"")</f>
        <v/>
      </c>
      <c r="CS150" s="1317" t="str">
        <f ca="1">IF(INDIRECT("'SpxSp (step-d)'!$B" &amp; CS$72)=$Z150,INDIRECT("'SpxSp (step-d)'!$" &amp; 'SpxSp (step-d)'!$AD$16 &amp; CS$72),"")</f>
        <v/>
      </c>
      <c r="CT150" s="1317" t="str">
        <f ca="1">IF(INDIRECT("'SpxSp (step-d)'!$B" &amp; CT$72)=$Z150,INDIRECT("'SpxSp (step-d)'!$" &amp; 'SpxSp (step-d)'!$AD$16 &amp; CT$72),"")</f>
        <v/>
      </c>
      <c r="CU150" s="1317" t="str">
        <f ca="1">IF(INDIRECT("'SpxSp (step-d)'!$B" &amp; CU$72)=$Z150,INDIRECT("'SpxSp (step-d)'!$" &amp; 'SpxSp (step-d)'!$AD$16 &amp; CU$72),"")</f>
        <v/>
      </c>
      <c r="CV150" s="1317" t="str">
        <f ca="1">IF(INDIRECT("'SpxSp (step-d)'!$B" &amp; CV$72)=$Z150,INDIRECT("'SpxSp (step-d)'!$" &amp; 'SpxSp (step-d)'!$AD$16 &amp; CV$72),"")</f>
        <v/>
      </c>
      <c r="CW150" s="1317" t="str">
        <f ca="1">IF(INDIRECT("'SpxSp (step-d)'!$B" &amp; CW$72)=$Z150,INDIRECT("'SpxSp (step-d)'!$" &amp; 'SpxSp (step-d)'!$AD$16 &amp; CW$72),"")</f>
        <v/>
      </c>
      <c r="CX150" s="1317" t="str">
        <f ca="1">IF(INDIRECT("'SpxSp (step-d)'!$B" &amp; CX$72)=$Z150,INDIRECT("'SpxSp (step-d)'!$" &amp; 'SpxSp (step-d)'!$AD$16 &amp; CX$72),"")</f>
        <v/>
      </c>
      <c r="CY150" s="1317" t="str">
        <f ca="1">IF(INDIRECT("'SpxSp (step-d)'!$B" &amp; CY$72)=$Z150,INDIRECT("'SpxSp (step-d)'!$" &amp; 'SpxSp (step-d)'!$AD$16 &amp; CY$72),"")</f>
        <v/>
      </c>
      <c r="CZ150" s="1317" t="str">
        <f ca="1">IF(INDIRECT("'SpxSp (step-d)'!$B" &amp; CZ$72)=$Z150,INDIRECT("'SpxSp (step-d)'!$" &amp; 'SpxSp (step-d)'!$AD$16 &amp; CZ$72),"")</f>
        <v/>
      </c>
      <c r="DA150" s="1317" t="str">
        <f ca="1">IF(INDIRECT("'SpxSp (step-d)'!$B" &amp; DA$72)=$Z150,INDIRECT("'SpxSp (step-d)'!$" &amp; 'SpxSp (step-d)'!$AD$16 &amp; DA$72),"")</f>
        <v/>
      </c>
      <c r="DB150" s="1317" t="str">
        <f ca="1">IF(INDIRECT("'SpxSp (step-d)'!$B" &amp; DB$72)=$Z150,INDIRECT("'SpxSp (step-d)'!$" &amp; 'SpxSp (step-d)'!$AD$16 &amp; DB$72),"")</f>
        <v/>
      </c>
      <c r="DC150" s="1317" t="str">
        <f ca="1">IF(INDIRECT("'SpxSp (step-d)'!$B" &amp; DC$72)=$Z150,INDIRECT("'SpxSp (step-d)'!$" &amp; 'SpxSp (step-d)'!$AD$16 &amp; DC$72),"")</f>
        <v/>
      </c>
      <c r="DD150" s="1317" t="str">
        <f ca="1">IF(INDIRECT("'SpxSp (step-d)'!$B" &amp; DD$72)=$Z150,INDIRECT("'SpxSp (step-d)'!$" &amp; 'SpxSp (step-d)'!$AD$16 &amp; DD$72),"")</f>
        <v/>
      </c>
      <c r="DE150" s="1317" t="str">
        <f ca="1">IF(INDIRECT("'SpxSp (step-d)'!$B" &amp; DE$72)=$Z150,INDIRECT("'SpxSp (step-d)'!$" &amp; 'SpxSp (step-d)'!$AD$16 &amp; DE$72),"")</f>
        <v/>
      </c>
      <c r="DF150" s="1317" t="str">
        <f ca="1">IF(INDIRECT("'SpxSp (step-d)'!$B" &amp; DF$72)=$Z150,INDIRECT("'SpxSp (step-d)'!$" &amp; 'SpxSp (step-d)'!$AD$16 &amp; DF$72),"")</f>
        <v/>
      </c>
      <c r="DG150" s="1317" t="str">
        <f ca="1">IF(INDIRECT("'SpxSp (step-d)'!$B" &amp; DG$72)=$Z150,INDIRECT("'SpxSp (step-d)'!$" &amp; 'SpxSp (step-d)'!$AD$16 &amp; DG$72),"")</f>
        <v/>
      </c>
      <c r="DH150" s="1317" t="str">
        <f ca="1">IF(INDIRECT("'SpxSp (step-d)'!$B" &amp; DH$72)=$Z150,INDIRECT("'SpxSp (step-d)'!$" &amp; 'SpxSp (step-d)'!$AD$16 &amp; DH$72),"")</f>
        <v/>
      </c>
      <c r="DI150" s="1317" t="str">
        <f ca="1">IF(INDIRECT("'SpxSp (step-d)'!$B" &amp; DI$72)=$Z150,INDIRECT("'SpxSp (step-d)'!$" &amp; 'SpxSp (step-d)'!$AD$16 &amp; DI$72),"")</f>
        <v/>
      </c>
      <c r="DJ150" s="1317" t="str">
        <f ca="1">IF(INDIRECT("'SpxSp (step-d)'!$B" &amp; DJ$72)=$Z150,INDIRECT("'SpxSp (step-d)'!$" &amp; 'SpxSp (step-d)'!$AD$16 &amp; DJ$72),"")</f>
        <v/>
      </c>
      <c r="DK150" s="1317" t="str">
        <f ca="1">IF(INDIRECT("'SpxSp (step-d)'!$B" &amp; DK$72)=$Z150,INDIRECT("'SpxSp (step-d)'!$" &amp; 'SpxSp (step-d)'!$AD$16 &amp; DK$72),"")</f>
        <v/>
      </c>
      <c r="DL150" s="1317" t="str">
        <f ca="1">IF(INDIRECT("'SpxSp (step-d)'!$B" &amp; DL$72)=$Z150,INDIRECT("'SpxSp (step-d)'!$" &amp; 'SpxSp (step-d)'!$AD$16 &amp; DL$72),"")</f>
        <v/>
      </c>
      <c r="DM150" s="1317" t="str">
        <f ca="1">IF(INDIRECT("'SpxSp (step-d)'!$B" &amp; DM$72)=$Z150,INDIRECT("'SpxSp (step-d)'!$" &amp; 'SpxSp (step-d)'!$AD$16 &amp; DM$72),"")</f>
        <v/>
      </c>
      <c r="DO150" s="1246" t="s">
        <v>1200</v>
      </c>
    </row>
    <row r="151" spans="26:119" ht="20" x14ac:dyDescent="0.2">
      <c r="Z151" s="1317" t="str">
        <f t="shared" ref="Z151:AA151" si="115">Z96</f>
        <v/>
      </c>
      <c r="AA151" s="1317" t="str">
        <f t="shared" si="115"/>
        <v/>
      </c>
      <c r="BM151" s="178" t="str">
        <f>IFERROR(VLOOKUP(Z151,'SpxSp (step-d)'!B$18:I$67,6,FALSE),"")</f>
        <v/>
      </c>
      <c r="BN151" s="178">
        <v>24</v>
      </c>
      <c r="BO151" s="1316" t="str">
        <f t="shared" ca="1" si="92"/>
        <v/>
      </c>
      <c r="BP151" s="1317" t="str">
        <f ca="1">IF(INDIRECT("'SpxSp (step-d)'!$B" &amp; BP$72)=$Z151,INDIRECT("'SpxSp (step-d)'!$" &amp; 'SpxSp (step-d)'!$AD$16 &amp; BP$72),"")</f>
        <v/>
      </c>
      <c r="BQ151" s="1317" t="str">
        <f ca="1">IF(INDIRECT("'SpxSp (step-d)'!$B" &amp; BQ$72)=$Z151,INDIRECT("'SpxSp (step-d)'!$" &amp; 'SpxSp (step-d)'!$AD$16 &amp; BQ$72),"")</f>
        <v/>
      </c>
      <c r="BR151" s="1317" t="str">
        <f ca="1">IF(INDIRECT("'SpxSp (step-d)'!$B" &amp; BR$72)=$Z151,INDIRECT("'SpxSp (step-d)'!$" &amp; 'SpxSp (step-d)'!$AD$16 &amp; BR$72),"")</f>
        <v/>
      </c>
      <c r="BS151" s="1317" t="str">
        <f ca="1">IF(INDIRECT("'SpxSp (step-d)'!$B" &amp; BS$72)=$Z151,INDIRECT("'SpxSp (step-d)'!$" &amp; 'SpxSp (step-d)'!$AD$16 &amp; BS$72),"")</f>
        <v/>
      </c>
      <c r="BT151" s="1317" t="str">
        <f ca="1">IF(INDIRECT("'SpxSp (step-d)'!$B" &amp; BT$72)=$Z151,INDIRECT("'SpxSp (step-d)'!$" &amp; 'SpxSp (step-d)'!$AD$16 &amp; BT$72),"")</f>
        <v/>
      </c>
      <c r="BU151" s="1317" t="str">
        <f ca="1">IF(INDIRECT("'SpxSp (step-d)'!$B" &amp; BU$72)=$Z151,INDIRECT("'SpxSp (step-d)'!$" &amp; 'SpxSp (step-d)'!$AD$16 &amp; BU$72),"")</f>
        <v/>
      </c>
      <c r="BV151" s="1317" t="str">
        <f ca="1">IF(INDIRECT("'SpxSp (step-d)'!$B" &amp; BV$72)=$Z151,INDIRECT("'SpxSp (step-d)'!$" &amp; 'SpxSp (step-d)'!$AD$16 &amp; BV$72),"")</f>
        <v/>
      </c>
      <c r="BW151" s="1317" t="str">
        <f ca="1">IF(INDIRECT("'SpxSp (step-d)'!$B" &amp; BW$72)=$Z151,INDIRECT("'SpxSp (step-d)'!$" &amp; 'SpxSp (step-d)'!$AD$16 &amp; BW$72),"")</f>
        <v/>
      </c>
      <c r="BX151" s="1317" t="str">
        <f ca="1">IF(INDIRECT("'SpxSp (step-d)'!$B" &amp; BX$72)=$Z151,INDIRECT("'SpxSp (step-d)'!$" &amp; 'SpxSp (step-d)'!$AD$16 &amp; BX$72),"")</f>
        <v/>
      </c>
      <c r="BY151" s="1317" t="str">
        <f ca="1">IF(INDIRECT("'SpxSp (step-d)'!$B" &amp; BY$72)=$Z151,INDIRECT("'SpxSp (step-d)'!$" &amp; 'SpxSp (step-d)'!$AD$16 &amp; BY$72),"")</f>
        <v/>
      </c>
      <c r="BZ151" s="1317" t="str">
        <f ca="1">IF(INDIRECT("'SpxSp (step-d)'!$B" &amp; BZ$72)=$Z151,INDIRECT("'SpxSp (step-d)'!$" &amp; 'SpxSp (step-d)'!$AD$16 &amp; BZ$72),"")</f>
        <v/>
      </c>
      <c r="CA151" s="1317" t="str">
        <f ca="1">IF(INDIRECT("'SpxSp (step-d)'!$B" &amp; CA$72)=$Z151,INDIRECT("'SpxSp (step-d)'!$" &amp; 'SpxSp (step-d)'!$AD$16 &amp; CA$72),"")</f>
        <v/>
      </c>
      <c r="CB151" s="1317" t="str">
        <f ca="1">IF(INDIRECT("'SpxSp (step-d)'!$B" &amp; CB$72)=$Z151,INDIRECT("'SpxSp (step-d)'!$" &amp; 'SpxSp (step-d)'!$AD$16 &amp; CB$72),"")</f>
        <v/>
      </c>
      <c r="CC151" s="1317" t="str">
        <f ca="1">IF(INDIRECT("'SpxSp (step-d)'!$B" &amp; CC$72)=$Z151,INDIRECT("'SpxSp (step-d)'!$" &amp; 'SpxSp (step-d)'!$AD$16 &amp; CC$72),"")</f>
        <v/>
      </c>
      <c r="CD151" s="1317" t="str">
        <f ca="1">IF(INDIRECT("'SpxSp (step-d)'!$B" &amp; CD$72)=$Z151,INDIRECT("'SpxSp (step-d)'!$" &amp; 'SpxSp (step-d)'!$AD$16 &amp; CD$72),"")</f>
        <v/>
      </c>
      <c r="CE151" s="1317" t="str">
        <f ca="1">IF(INDIRECT("'SpxSp (step-d)'!$B" &amp; CE$72)=$Z151,INDIRECT("'SpxSp (step-d)'!$" &amp; 'SpxSp (step-d)'!$AD$16 &amp; CE$72),"")</f>
        <v/>
      </c>
      <c r="CF151" s="1317" t="str">
        <f ca="1">IF(INDIRECT("'SpxSp (step-d)'!$B" &amp; CF$72)=$Z151,INDIRECT("'SpxSp (step-d)'!$" &amp; 'SpxSp (step-d)'!$AD$16 &amp; CF$72),"")</f>
        <v/>
      </c>
      <c r="CG151" s="1317" t="str">
        <f ca="1">IF(INDIRECT("'SpxSp (step-d)'!$B" &amp; CG$72)=$Z151,INDIRECT("'SpxSp (step-d)'!$" &amp; 'SpxSp (step-d)'!$AD$16 &amp; CG$72),"")</f>
        <v/>
      </c>
      <c r="CH151" s="1317" t="str">
        <f ca="1">IF(INDIRECT("'SpxSp (step-d)'!$B" &amp; CH$72)=$Z151,INDIRECT("'SpxSp (step-d)'!$" &amp; 'SpxSp (step-d)'!$AD$16 &amp; CH$72),"")</f>
        <v/>
      </c>
      <c r="CI151" s="1317" t="str">
        <f ca="1">IF(INDIRECT("'SpxSp (step-d)'!$B" &amp; CI$72)=$Z151,INDIRECT("'SpxSp (step-d)'!$" &amp; 'SpxSp (step-d)'!$AD$16 &amp; CI$72),"")</f>
        <v/>
      </c>
      <c r="CJ151" s="1317" t="str">
        <f ca="1">IF(INDIRECT("'SpxSp (step-d)'!$B" &amp; CJ$72)=$Z151,INDIRECT("'SpxSp (step-d)'!$" &amp; 'SpxSp (step-d)'!$AD$16 &amp; CJ$72),"")</f>
        <v/>
      </c>
      <c r="CK151" s="1317" t="str">
        <f ca="1">IF(INDIRECT("'SpxSp (step-d)'!$B" &amp; CK$72)=$Z151,INDIRECT("'SpxSp (step-d)'!$" &amp; 'SpxSp (step-d)'!$AD$16 &amp; CK$72),"")</f>
        <v/>
      </c>
      <c r="CL151" s="1317" t="str">
        <f ca="1">IF(INDIRECT("'SpxSp (step-d)'!$B" &amp; CL$72)=$Z151,INDIRECT("'SpxSp (step-d)'!$" &amp; 'SpxSp (step-d)'!$AD$16 &amp; CL$72),"")</f>
        <v/>
      </c>
      <c r="CM151" s="1317" t="str">
        <f ca="1">IF(INDIRECT("'SpxSp (step-d)'!$B" &amp; CM$72)=$Z151,INDIRECT("'SpxSp (step-d)'!$" &amp; 'SpxSp (step-d)'!$AD$16 &amp; CM$72),"")</f>
        <v/>
      </c>
      <c r="CN151" s="1317" t="str">
        <f ca="1">IF(INDIRECT("'SpxSp (step-d)'!$B" &amp; CN$72)=$Z151,INDIRECT("'SpxSp (step-d)'!$" &amp; 'SpxSp (step-d)'!$AD$16 &amp; CN$72),"")</f>
        <v/>
      </c>
      <c r="CO151" s="1317" t="str">
        <f ca="1">IF(INDIRECT("'SpxSp (step-d)'!$B" &amp; CO$72)=$Z151,INDIRECT("'SpxSp (step-d)'!$" &amp; 'SpxSp (step-d)'!$AD$16 &amp; CO$72),"")</f>
        <v/>
      </c>
      <c r="CP151" s="1317" t="str">
        <f ca="1">IF(INDIRECT("'SpxSp (step-d)'!$B" &amp; CP$72)=$Z151,INDIRECT("'SpxSp (step-d)'!$" &amp; 'SpxSp (step-d)'!$AD$16 &amp; CP$72),"")</f>
        <v/>
      </c>
      <c r="CQ151" s="1317" t="str">
        <f ca="1">IF(INDIRECT("'SpxSp (step-d)'!$B" &amp; CQ$72)=$Z151,INDIRECT("'SpxSp (step-d)'!$" &amp; 'SpxSp (step-d)'!$AD$16 &amp; CQ$72),"")</f>
        <v/>
      </c>
      <c r="CR151" s="1317" t="str">
        <f ca="1">IF(INDIRECT("'SpxSp (step-d)'!$B" &amp; CR$72)=$Z151,INDIRECT("'SpxSp (step-d)'!$" &amp; 'SpxSp (step-d)'!$AD$16 &amp; CR$72),"")</f>
        <v/>
      </c>
      <c r="CS151" s="1317" t="str">
        <f ca="1">IF(INDIRECT("'SpxSp (step-d)'!$B" &amp; CS$72)=$Z151,INDIRECT("'SpxSp (step-d)'!$" &amp; 'SpxSp (step-d)'!$AD$16 &amp; CS$72),"")</f>
        <v/>
      </c>
      <c r="CT151" s="1317" t="str">
        <f ca="1">IF(INDIRECT("'SpxSp (step-d)'!$B" &amp; CT$72)=$Z151,INDIRECT("'SpxSp (step-d)'!$" &amp; 'SpxSp (step-d)'!$AD$16 &amp; CT$72),"")</f>
        <v/>
      </c>
      <c r="CU151" s="1317" t="str">
        <f ca="1">IF(INDIRECT("'SpxSp (step-d)'!$B" &amp; CU$72)=$Z151,INDIRECT("'SpxSp (step-d)'!$" &amp; 'SpxSp (step-d)'!$AD$16 &amp; CU$72),"")</f>
        <v/>
      </c>
      <c r="CV151" s="1317" t="str">
        <f ca="1">IF(INDIRECT("'SpxSp (step-d)'!$B" &amp; CV$72)=$Z151,INDIRECT("'SpxSp (step-d)'!$" &amp; 'SpxSp (step-d)'!$AD$16 &amp; CV$72),"")</f>
        <v/>
      </c>
      <c r="CW151" s="1317" t="str">
        <f ca="1">IF(INDIRECT("'SpxSp (step-d)'!$B" &amp; CW$72)=$Z151,INDIRECT("'SpxSp (step-d)'!$" &amp; 'SpxSp (step-d)'!$AD$16 &amp; CW$72),"")</f>
        <v/>
      </c>
      <c r="CX151" s="1317" t="str">
        <f ca="1">IF(INDIRECT("'SpxSp (step-d)'!$B" &amp; CX$72)=$Z151,INDIRECT("'SpxSp (step-d)'!$" &amp; 'SpxSp (step-d)'!$AD$16 &amp; CX$72),"")</f>
        <v/>
      </c>
      <c r="CY151" s="1317" t="str">
        <f ca="1">IF(INDIRECT("'SpxSp (step-d)'!$B" &amp; CY$72)=$Z151,INDIRECT("'SpxSp (step-d)'!$" &amp; 'SpxSp (step-d)'!$AD$16 &amp; CY$72),"")</f>
        <v/>
      </c>
      <c r="CZ151" s="1317" t="str">
        <f ca="1">IF(INDIRECT("'SpxSp (step-d)'!$B" &amp; CZ$72)=$Z151,INDIRECT("'SpxSp (step-d)'!$" &amp; 'SpxSp (step-d)'!$AD$16 &amp; CZ$72),"")</f>
        <v/>
      </c>
      <c r="DA151" s="1317" t="str">
        <f ca="1">IF(INDIRECT("'SpxSp (step-d)'!$B" &amp; DA$72)=$Z151,INDIRECT("'SpxSp (step-d)'!$" &amp; 'SpxSp (step-d)'!$AD$16 &amp; DA$72),"")</f>
        <v/>
      </c>
      <c r="DB151" s="1317" t="str">
        <f ca="1">IF(INDIRECT("'SpxSp (step-d)'!$B" &amp; DB$72)=$Z151,INDIRECT("'SpxSp (step-d)'!$" &amp; 'SpxSp (step-d)'!$AD$16 &amp; DB$72),"")</f>
        <v/>
      </c>
      <c r="DC151" s="1317" t="str">
        <f ca="1">IF(INDIRECT("'SpxSp (step-d)'!$B" &amp; DC$72)=$Z151,INDIRECT("'SpxSp (step-d)'!$" &amp; 'SpxSp (step-d)'!$AD$16 &amp; DC$72),"")</f>
        <v/>
      </c>
      <c r="DD151" s="1317" t="str">
        <f ca="1">IF(INDIRECT("'SpxSp (step-d)'!$B" &amp; DD$72)=$Z151,INDIRECT("'SpxSp (step-d)'!$" &amp; 'SpxSp (step-d)'!$AD$16 &amp; DD$72),"")</f>
        <v/>
      </c>
      <c r="DE151" s="1317" t="str">
        <f ca="1">IF(INDIRECT("'SpxSp (step-d)'!$B" &amp; DE$72)=$Z151,INDIRECT("'SpxSp (step-d)'!$" &amp; 'SpxSp (step-d)'!$AD$16 &amp; DE$72),"")</f>
        <v/>
      </c>
      <c r="DF151" s="1317" t="str">
        <f ca="1">IF(INDIRECT("'SpxSp (step-d)'!$B" &amp; DF$72)=$Z151,INDIRECT("'SpxSp (step-d)'!$" &amp; 'SpxSp (step-d)'!$AD$16 &amp; DF$72),"")</f>
        <v/>
      </c>
      <c r="DG151" s="1317" t="str">
        <f ca="1">IF(INDIRECT("'SpxSp (step-d)'!$B" &amp; DG$72)=$Z151,INDIRECT("'SpxSp (step-d)'!$" &amp; 'SpxSp (step-d)'!$AD$16 &amp; DG$72),"")</f>
        <v/>
      </c>
      <c r="DH151" s="1317" t="str">
        <f ca="1">IF(INDIRECT("'SpxSp (step-d)'!$B" &amp; DH$72)=$Z151,INDIRECT("'SpxSp (step-d)'!$" &amp; 'SpxSp (step-d)'!$AD$16 &amp; DH$72),"")</f>
        <v/>
      </c>
      <c r="DI151" s="1317" t="str">
        <f ca="1">IF(INDIRECT("'SpxSp (step-d)'!$B" &amp; DI$72)=$Z151,INDIRECT("'SpxSp (step-d)'!$" &amp; 'SpxSp (step-d)'!$AD$16 &amp; DI$72),"")</f>
        <v/>
      </c>
      <c r="DJ151" s="1317" t="str">
        <f ca="1">IF(INDIRECT("'SpxSp (step-d)'!$B" &amp; DJ$72)=$Z151,INDIRECT("'SpxSp (step-d)'!$" &amp; 'SpxSp (step-d)'!$AD$16 &amp; DJ$72),"")</f>
        <v/>
      </c>
      <c r="DK151" s="1317" t="str">
        <f ca="1">IF(INDIRECT("'SpxSp (step-d)'!$B" &amp; DK$72)=$Z151,INDIRECT("'SpxSp (step-d)'!$" &amp; 'SpxSp (step-d)'!$AD$16 &amp; DK$72),"")</f>
        <v/>
      </c>
      <c r="DL151" s="1317" t="str">
        <f ca="1">IF(INDIRECT("'SpxSp (step-d)'!$B" &amp; DL$72)=$Z151,INDIRECT("'SpxSp (step-d)'!$" &amp; 'SpxSp (step-d)'!$AD$16 &amp; DL$72),"")</f>
        <v/>
      </c>
      <c r="DM151" s="1317" t="str">
        <f ca="1">IF(INDIRECT("'SpxSp (step-d)'!$B" &amp; DM$72)=$Z151,INDIRECT("'SpxSp (step-d)'!$" &amp; 'SpxSp (step-d)'!$AD$16 &amp; DM$72),"")</f>
        <v/>
      </c>
      <c r="DO151" s="1246" t="s">
        <v>1200</v>
      </c>
    </row>
    <row r="152" spans="26:119" ht="20" x14ac:dyDescent="0.2">
      <c r="Z152" s="1317" t="str">
        <f t="shared" ref="Z152:AA152" si="116">Z97</f>
        <v/>
      </c>
      <c r="AA152" s="1317" t="str">
        <f t="shared" si="116"/>
        <v/>
      </c>
      <c r="BM152" s="178" t="str">
        <f>IFERROR(VLOOKUP(Z152,'SpxSp (step-d)'!B$18:I$67,6,FALSE),"")</f>
        <v/>
      </c>
      <c r="BN152" s="178">
        <v>25</v>
      </c>
      <c r="BO152" s="1316" t="str">
        <f t="shared" ca="1" si="92"/>
        <v/>
      </c>
      <c r="BP152" s="1317" t="str">
        <f ca="1">IF(INDIRECT("'SpxSp (step-d)'!$B" &amp; BP$72)=$Z152,INDIRECT("'SpxSp (step-d)'!$" &amp; 'SpxSp (step-d)'!$AD$16 &amp; BP$72),"")</f>
        <v/>
      </c>
      <c r="BQ152" s="1317" t="str">
        <f ca="1">IF(INDIRECT("'SpxSp (step-d)'!$B" &amp; BQ$72)=$Z152,INDIRECT("'SpxSp (step-d)'!$" &amp; 'SpxSp (step-d)'!$AD$16 &amp; BQ$72),"")</f>
        <v/>
      </c>
      <c r="BR152" s="1317" t="str">
        <f ca="1">IF(INDIRECT("'SpxSp (step-d)'!$B" &amp; BR$72)=$Z152,INDIRECT("'SpxSp (step-d)'!$" &amp; 'SpxSp (step-d)'!$AD$16 &amp; BR$72),"")</f>
        <v/>
      </c>
      <c r="BS152" s="1317" t="str">
        <f ca="1">IF(INDIRECT("'SpxSp (step-d)'!$B" &amp; BS$72)=$Z152,INDIRECT("'SpxSp (step-d)'!$" &amp; 'SpxSp (step-d)'!$AD$16 &amp; BS$72),"")</f>
        <v/>
      </c>
      <c r="BT152" s="1317" t="str">
        <f ca="1">IF(INDIRECT("'SpxSp (step-d)'!$B" &amp; BT$72)=$Z152,INDIRECT("'SpxSp (step-d)'!$" &amp; 'SpxSp (step-d)'!$AD$16 &amp; BT$72),"")</f>
        <v/>
      </c>
      <c r="BU152" s="1317" t="str">
        <f ca="1">IF(INDIRECT("'SpxSp (step-d)'!$B" &amp; BU$72)=$Z152,INDIRECT("'SpxSp (step-d)'!$" &amp; 'SpxSp (step-d)'!$AD$16 &amp; BU$72),"")</f>
        <v/>
      </c>
      <c r="BV152" s="1317" t="str">
        <f ca="1">IF(INDIRECT("'SpxSp (step-d)'!$B" &amp; BV$72)=$Z152,INDIRECT("'SpxSp (step-d)'!$" &amp; 'SpxSp (step-d)'!$AD$16 &amp; BV$72),"")</f>
        <v/>
      </c>
      <c r="BW152" s="1317" t="str">
        <f ca="1">IF(INDIRECT("'SpxSp (step-d)'!$B" &amp; BW$72)=$Z152,INDIRECT("'SpxSp (step-d)'!$" &amp; 'SpxSp (step-d)'!$AD$16 &amp; BW$72),"")</f>
        <v/>
      </c>
      <c r="BX152" s="1317" t="str">
        <f ca="1">IF(INDIRECT("'SpxSp (step-d)'!$B" &amp; BX$72)=$Z152,INDIRECT("'SpxSp (step-d)'!$" &amp; 'SpxSp (step-d)'!$AD$16 &amp; BX$72),"")</f>
        <v/>
      </c>
      <c r="BY152" s="1317" t="str">
        <f ca="1">IF(INDIRECT("'SpxSp (step-d)'!$B" &amp; BY$72)=$Z152,INDIRECT("'SpxSp (step-d)'!$" &amp; 'SpxSp (step-d)'!$AD$16 &amp; BY$72),"")</f>
        <v/>
      </c>
      <c r="BZ152" s="1317" t="str">
        <f ca="1">IF(INDIRECT("'SpxSp (step-d)'!$B" &amp; BZ$72)=$Z152,INDIRECT("'SpxSp (step-d)'!$" &amp; 'SpxSp (step-d)'!$AD$16 &amp; BZ$72),"")</f>
        <v/>
      </c>
      <c r="CA152" s="1317" t="str">
        <f ca="1">IF(INDIRECT("'SpxSp (step-d)'!$B" &amp; CA$72)=$Z152,INDIRECT("'SpxSp (step-d)'!$" &amp; 'SpxSp (step-d)'!$AD$16 &amp; CA$72),"")</f>
        <v/>
      </c>
      <c r="CB152" s="1317" t="str">
        <f ca="1">IF(INDIRECT("'SpxSp (step-d)'!$B" &amp; CB$72)=$Z152,INDIRECT("'SpxSp (step-d)'!$" &amp; 'SpxSp (step-d)'!$AD$16 &amp; CB$72),"")</f>
        <v/>
      </c>
      <c r="CC152" s="1317" t="str">
        <f ca="1">IF(INDIRECT("'SpxSp (step-d)'!$B" &amp; CC$72)=$Z152,INDIRECT("'SpxSp (step-d)'!$" &amp; 'SpxSp (step-d)'!$AD$16 &amp; CC$72),"")</f>
        <v/>
      </c>
      <c r="CD152" s="1317" t="str">
        <f ca="1">IF(INDIRECT("'SpxSp (step-d)'!$B" &amp; CD$72)=$Z152,INDIRECT("'SpxSp (step-d)'!$" &amp; 'SpxSp (step-d)'!$AD$16 &amp; CD$72),"")</f>
        <v/>
      </c>
      <c r="CE152" s="1317" t="str">
        <f ca="1">IF(INDIRECT("'SpxSp (step-d)'!$B" &amp; CE$72)=$Z152,INDIRECT("'SpxSp (step-d)'!$" &amp; 'SpxSp (step-d)'!$AD$16 &amp; CE$72),"")</f>
        <v/>
      </c>
      <c r="CF152" s="1317" t="str">
        <f ca="1">IF(INDIRECT("'SpxSp (step-d)'!$B" &amp; CF$72)=$Z152,INDIRECT("'SpxSp (step-d)'!$" &amp; 'SpxSp (step-d)'!$AD$16 &amp; CF$72),"")</f>
        <v/>
      </c>
      <c r="CG152" s="1317" t="str">
        <f ca="1">IF(INDIRECT("'SpxSp (step-d)'!$B" &amp; CG$72)=$Z152,INDIRECT("'SpxSp (step-d)'!$" &amp; 'SpxSp (step-d)'!$AD$16 &amp; CG$72),"")</f>
        <v/>
      </c>
      <c r="CH152" s="1317" t="str">
        <f ca="1">IF(INDIRECT("'SpxSp (step-d)'!$B" &amp; CH$72)=$Z152,INDIRECT("'SpxSp (step-d)'!$" &amp; 'SpxSp (step-d)'!$AD$16 &amp; CH$72),"")</f>
        <v/>
      </c>
      <c r="CI152" s="1317" t="str">
        <f ca="1">IF(INDIRECT("'SpxSp (step-d)'!$B" &amp; CI$72)=$Z152,INDIRECT("'SpxSp (step-d)'!$" &amp; 'SpxSp (step-d)'!$AD$16 &amp; CI$72),"")</f>
        <v/>
      </c>
      <c r="CJ152" s="1317" t="str">
        <f ca="1">IF(INDIRECT("'SpxSp (step-d)'!$B" &amp; CJ$72)=$Z152,INDIRECT("'SpxSp (step-d)'!$" &amp; 'SpxSp (step-d)'!$AD$16 &amp; CJ$72),"")</f>
        <v/>
      </c>
      <c r="CK152" s="1317" t="str">
        <f ca="1">IF(INDIRECT("'SpxSp (step-d)'!$B" &amp; CK$72)=$Z152,INDIRECT("'SpxSp (step-d)'!$" &amp; 'SpxSp (step-d)'!$AD$16 &amp; CK$72),"")</f>
        <v/>
      </c>
      <c r="CL152" s="1317" t="str">
        <f ca="1">IF(INDIRECT("'SpxSp (step-d)'!$B" &amp; CL$72)=$Z152,INDIRECT("'SpxSp (step-d)'!$" &amp; 'SpxSp (step-d)'!$AD$16 &amp; CL$72),"")</f>
        <v/>
      </c>
      <c r="CM152" s="1317" t="str">
        <f ca="1">IF(INDIRECT("'SpxSp (step-d)'!$B" &amp; CM$72)=$Z152,INDIRECT("'SpxSp (step-d)'!$" &amp; 'SpxSp (step-d)'!$AD$16 &amp; CM$72),"")</f>
        <v/>
      </c>
      <c r="CN152" s="1317" t="str">
        <f ca="1">IF(INDIRECT("'SpxSp (step-d)'!$B" &amp; CN$72)=$Z152,INDIRECT("'SpxSp (step-d)'!$" &amp; 'SpxSp (step-d)'!$AD$16 &amp; CN$72),"")</f>
        <v/>
      </c>
      <c r="CO152" s="1317" t="str">
        <f ca="1">IF(INDIRECT("'SpxSp (step-d)'!$B" &amp; CO$72)=$Z152,INDIRECT("'SpxSp (step-d)'!$" &amp; 'SpxSp (step-d)'!$AD$16 &amp; CO$72),"")</f>
        <v/>
      </c>
      <c r="CP152" s="1317" t="str">
        <f ca="1">IF(INDIRECT("'SpxSp (step-d)'!$B" &amp; CP$72)=$Z152,INDIRECT("'SpxSp (step-d)'!$" &amp; 'SpxSp (step-d)'!$AD$16 &amp; CP$72),"")</f>
        <v/>
      </c>
      <c r="CQ152" s="1317" t="str">
        <f ca="1">IF(INDIRECT("'SpxSp (step-d)'!$B" &amp; CQ$72)=$Z152,INDIRECT("'SpxSp (step-d)'!$" &amp; 'SpxSp (step-d)'!$AD$16 &amp; CQ$72),"")</f>
        <v/>
      </c>
      <c r="CR152" s="1317" t="str">
        <f ca="1">IF(INDIRECT("'SpxSp (step-d)'!$B" &amp; CR$72)=$Z152,INDIRECT("'SpxSp (step-d)'!$" &amp; 'SpxSp (step-d)'!$AD$16 &amp; CR$72),"")</f>
        <v/>
      </c>
      <c r="CS152" s="1317" t="str">
        <f ca="1">IF(INDIRECT("'SpxSp (step-d)'!$B" &amp; CS$72)=$Z152,INDIRECT("'SpxSp (step-d)'!$" &amp; 'SpxSp (step-d)'!$AD$16 &amp; CS$72),"")</f>
        <v/>
      </c>
      <c r="CT152" s="1317" t="str">
        <f ca="1">IF(INDIRECT("'SpxSp (step-d)'!$B" &amp; CT$72)=$Z152,INDIRECT("'SpxSp (step-d)'!$" &amp; 'SpxSp (step-d)'!$AD$16 &amp; CT$72),"")</f>
        <v/>
      </c>
      <c r="CU152" s="1317" t="str">
        <f ca="1">IF(INDIRECT("'SpxSp (step-d)'!$B" &amp; CU$72)=$Z152,INDIRECT("'SpxSp (step-d)'!$" &amp; 'SpxSp (step-d)'!$AD$16 &amp; CU$72),"")</f>
        <v/>
      </c>
      <c r="CV152" s="1317" t="str">
        <f ca="1">IF(INDIRECT("'SpxSp (step-d)'!$B" &amp; CV$72)=$Z152,INDIRECT("'SpxSp (step-d)'!$" &amp; 'SpxSp (step-d)'!$AD$16 &amp; CV$72),"")</f>
        <v/>
      </c>
      <c r="CW152" s="1317" t="str">
        <f ca="1">IF(INDIRECT("'SpxSp (step-d)'!$B" &amp; CW$72)=$Z152,INDIRECT("'SpxSp (step-d)'!$" &amp; 'SpxSp (step-d)'!$AD$16 &amp; CW$72),"")</f>
        <v/>
      </c>
      <c r="CX152" s="1317" t="str">
        <f ca="1">IF(INDIRECT("'SpxSp (step-d)'!$B" &amp; CX$72)=$Z152,INDIRECT("'SpxSp (step-d)'!$" &amp; 'SpxSp (step-d)'!$AD$16 &amp; CX$72),"")</f>
        <v/>
      </c>
      <c r="CY152" s="1317" t="str">
        <f ca="1">IF(INDIRECT("'SpxSp (step-d)'!$B" &amp; CY$72)=$Z152,INDIRECT("'SpxSp (step-d)'!$" &amp; 'SpxSp (step-d)'!$AD$16 &amp; CY$72),"")</f>
        <v/>
      </c>
      <c r="CZ152" s="1317" t="str">
        <f ca="1">IF(INDIRECT("'SpxSp (step-d)'!$B" &amp; CZ$72)=$Z152,INDIRECT("'SpxSp (step-d)'!$" &amp; 'SpxSp (step-d)'!$AD$16 &amp; CZ$72),"")</f>
        <v/>
      </c>
      <c r="DA152" s="1317" t="str">
        <f ca="1">IF(INDIRECT("'SpxSp (step-d)'!$B" &amp; DA$72)=$Z152,INDIRECT("'SpxSp (step-d)'!$" &amp; 'SpxSp (step-d)'!$AD$16 &amp; DA$72),"")</f>
        <v/>
      </c>
      <c r="DB152" s="1317" t="str">
        <f ca="1">IF(INDIRECT("'SpxSp (step-d)'!$B" &amp; DB$72)=$Z152,INDIRECT("'SpxSp (step-d)'!$" &amp; 'SpxSp (step-d)'!$AD$16 &amp; DB$72),"")</f>
        <v/>
      </c>
      <c r="DC152" s="1317" t="str">
        <f ca="1">IF(INDIRECT("'SpxSp (step-d)'!$B" &amp; DC$72)=$Z152,INDIRECT("'SpxSp (step-d)'!$" &amp; 'SpxSp (step-d)'!$AD$16 &amp; DC$72),"")</f>
        <v/>
      </c>
      <c r="DD152" s="1317" t="str">
        <f ca="1">IF(INDIRECT("'SpxSp (step-d)'!$B" &amp; DD$72)=$Z152,INDIRECT("'SpxSp (step-d)'!$" &amp; 'SpxSp (step-d)'!$AD$16 &amp; DD$72),"")</f>
        <v/>
      </c>
      <c r="DE152" s="1317" t="str">
        <f ca="1">IF(INDIRECT("'SpxSp (step-d)'!$B" &amp; DE$72)=$Z152,INDIRECT("'SpxSp (step-d)'!$" &amp; 'SpxSp (step-d)'!$AD$16 &amp; DE$72),"")</f>
        <v/>
      </c>
      <c r="DF152" s="1317" t="str">
        <f ca="1">IF(INDIRECT("'SpxSp (step-d)'!$B" &amp; DF$72)=$Z152,INDIRECT("'SpxSp (step-d)'!$" &amp; 'SpxSp (step-d)'!$AD$16 &amp; DF$72),"")</f>
        <v/>
      </c>
      <c r="DG152" s="1317" t="str">
        <f ca="1">IF(INDIRECT("'SpxSp (step-d)'!$B" &amp; DG$72)=$Z152,INDIRECT("'SpxSp (step-d)'!$" &amp; 'SpxSp (step-d)'!$AD$16 &amp; DG$72),"")</f>
        <v/>
      </c>
      <c r="DH152" s="1317" t="str">
        <f ca="1">IF(INDIRECT("'SpxSp (step-d)'!$B" &amp; DH$72)=$Z152,INDIRECT("'SpxSp (step-d)'!$" &amp; 'SpxSp (step-d)'!$AD$16 &amp; DH$72),"")</f>
        <v/>
      </c>
      <c r="DI152" s="1317" t="str">
        <f ca="1">IF(INDIRECT("'SpxSp (step-d)'!$B" &amp; DI$72)=$Z152,INDIRECT("'SpxSp (step-d)'!$" &amp; 'SpxSp (step-d)'!$AD$16 &amp; DI$72),"")</f>
        <v/>
      </c>
      <c r="DJ152" s="1317" t="str">
        <f ca="1">IF(INDIRECT("'SpxSp (step-d)'!$B" &amp; DJ$72)=$Z152,INDIRECT("'SpxSp (step-d)'!$" &amp; 'SpxSp (step-d)'!$AD$16 &amp; DJ$72),"")</f>
        <v/>
      </c>
      <c r="DK152" s="1317" t="str">
        <f ca="1">IF(INDIRECT("'SpxSp (step-d)'!$B" &amp; DK$72)=$Z152,INDIRECT("'SpxSp (step-d)'!$" &amp; 'SpxSp (step-d)'!$AD$16 &amp; DK$72),"")</f>
        <v/>
      </c>
      <c r="DL152" s="1317" t="str">
        <f ca="1">IF(INDIRECT("'SpxSp (step-d)'!$B" &amp; DL$72)=$Z152,INDIRECT("'SpxSp (step-d)'!$" &amp; 'SpxSp (step-d)'!$AD$16 &amp; DL$72),"")</f>
        <v/>
      </c>
      <c r="DM152" s="1317" t="str">
        <f ca="1">IF(INDIRECT("'SpxSp (step-d)'!$B" &amp; DM$72)=$Z152,INDIRECT("'SpxSp (step-d)'!$" &amp; 'SpxSp (step-d)'!$AD$16 &amp; DM$72),"")</f>
        <v/>
      </c>
      <c r="DO152" s="1246" t="s">
        <v>1200</v>
      </c>
    </row>
    <row r="153" spans="26:119" ht="20" x14ac:dyDescent="0.2">
      <c r="Z153" s="1317" t="str">
        <f t="shared" ref="Z153:AA153" si="117">Z98</f>
        <v/>
      </c>
      <c r="AA153" s="1317" t="str">
        <f t="shared" si="117"/>
        <v/>
      </c>
      <c r="BM153" s="178" t="str">
        <f>IFERROR(VLOOKUP(Z153,'SpxSp (step-d)'!B$18:I$67,6,FALSE),"")</f>
        <v/>
      </c>
      <c r="BN153" s="178">
        <v>26</v>
      </c>
      <c r="BO153" s="1316" t="str">
        <f t="shared" ca="1" si="92"/>
        <v/>
      </c>
      <c r="BP153" s="1317" t="str">
        <f ca="1">IF(INDIRECT("'SpxSp (step-d)'!$B" &amp; BP$72)=$Z153,INDIRECT("'SpxSp (step-d)'!$" &amp; 'SpxSp (step-d)'!$AD$16 &amp; BP$72),"")</f>
        <v/>
      </c>
      <c r="BQ153" s="1317" t="str">
        <f ca="1">IF(INDIRECT("'SpxSp (step-d)'!$B" &amp; BQ$72)=$Z153,INDIRECT("'SpxSp (step-d)'!$" &amp; 'SpxSp (step-d)'!$AD$16 &amp; BQ$72),"")</f>
        <v/>
      </c>
      <c r="BR153" s="1317" t="str">
        <f ca="1">IF(INDIRECT("'SpxSp (step-d)'!$B" &amp; BR$72)=$Z153,INDIRECT("'SpxSp (step-d)'!$" &amp; 'SpxSp (step-d)'!$AD$16 &amp; BR$72),"")</f>
        <v/>
      </c>
      <c r="BS153" s="1317" t="str">
        <f ca="1">IF(INDIRECT("'SpxSp (step-d)'!$B" &amp; BS$72)=$Z153,INDIRECT("'SpxSp (step-d)'!$" &amp; 'SpxSp (step-d)'!$AD$16 &amp; BS$72),"")</f>
        <v/>
      </c>
      <c r="BT153" s="1317" t="str">
        <f ca="1">IF(INDIRECT("'SpxSp (step-d)'!$B" &amp; BT$72)=$Z153,INDIRECT("'SpxSp (step-d)'!$" &amp; 'SpxSp (step-d)'!$AD$16 &amp; BT$72),"")</f>
        <v/>
      </c>
      <c r="BU153" s="1317" t="str">
        <f ca="1">IF(INDIRECT("'SpxSp (step-d)'!$B" &amp; BU$72)=$Z153,INDIRECT("'SpxSp (step-d)'!$" &amp; 'SpxSp (step-d)'!$AD$16 &amp; BU$72),"")</f>
        <v/>
      </c>
      <c r="BV153" s="1317" t="str">
        <f ca="1">IF(INDIRECT("'SpxSp (step-d)'!$B" &amp; BV$72)=$Z153,INDIRECT("'SpxSp (step-d)'!$" &amp; 'SpxSp (step-d)'!$AD$16 &amp; BV$72),"")</f>
        <v/>
      </c>
      <c r="BW153" s="1317" t="str">
        <f ca="1">IF(INDIRECT("'SpxSp (step-d)'!$B" &amp; BW$72)=$Z153,INDIRECT("'SpxSp (step-d)'!$" &amp; 'SpxSp (step-d)'!$AD$16 &amp; BW$72),"")</f>
        <v/>
      </c>
      <c r="BX153" s="1317" t="str">
        <f ca="1">IF(INDIRECT("'SpxSp (step-d)'!$B" &amp; BX$72)=$Z153,INDIRECT("'SpxSp (step-d)'!$" &amp; 'SpxSp (step-d)'!$AD$16 &amp; BX$72),"")</f>
        <v/>
      </c>
      <c r="BY153" s="1317" t="str">
        <f ca="1">IF(INDIRECT("'SpxSp (step-d)'!$B" &amp; BY$72)=$Z153,INDIRECT("'SpxSp (step-d)'!$" &amp; 'SpxSp (step-d)'!$AD$16 &amp; BY$72),"")</f>
        <v/>
      </c>
      <c r="BZ153" s="1317" t="str">
        <f ca="1">IF(INDIRECT("'SpxSp (step-d)'!$B" &amp; BZ$72)=$Z153,INDIRECT("'SpxSp (step-d)'!$" &amp; 'SpxSp (step-d)'!$AD$16 &amp; BZ$72),"")</f>
        <v/>
      </c>
      <c r="CA153" s="1317" t="str">
        <f ca="1">IF(INDIRECT("'SpxSp (step-d)'!$B" &amp; CA$72)=$Z153,INDIRECT("'SpxSp (step-d)'!$" &amp; 'SpxSp (step-d)'!$AD$16 &amp; CA$72),"")</f>
        <v/>
      </c>
      <c r="CB153" s="1317" t="str">
        <f ca="1">IF(INDIRECT("'SpxSp (step-d)'!$B" &amp; CB$72)=$Z153,INDIRECT("'SpxSp (step-d)'!$" &amp; 'SpxSp (step-d)'!$AD$16 &amp; CB$72),"")</f>
        <v/>
      </c>
      <c r="CC153" s="1317" t="str">
        <f ca="1">IF(INDIRECT("'SpxSp (step-d)'!$B" &amp; CC$72)=$Z153,INDIRECT("'SpxSp (step-d)'!$" &amp; 'SpxSp (step-d)'!$AD$16 &amp; CC$72),"")</f>
        <v/>
      </c>
      <c r="CD153" s="1317" t="str">
        <f ca="1">IF(INDIRECT("'SpxSp (step-d)'!$B" &amp; CD$72)=$Z153,INDIRECT("'SpxSp (step-d)'!$" &amp; 'SpxSp (step-d)'!$AD$16 &amp; CD$72),"")</f>
        <v/>
      </c>
      <c r="CE153" s="1317" t="str">
        <f ca="1">IF(INDIRECT("'SpxSp (step-d)'!$B" &amp; CE$72)=$Z153,INDIRECT("'SpxSp (step-d)'!$" &amp; 'SpxSp (step-d)'!$AD$16 &amp; CE$72),"")</f>
        <v/>
      </c>
      <c r="CF153" s="1317" t="str">
        <f ca="1">IF(INDIRECT("'SpxSp (step-d)'!$B" &amp; CF$72)=$Z153,INDIRECT("'SpxSp (step-d)'!$" &amp; 'SpxSp (step-d)'!$AD$16 &amp; CF$72),"")</f>
        <v/>
      </c>
      <c r="CG153" s="1317" t="str">
        <f ca="1">IF(INDIRECT("'SpxSp (step-d)'!$B" &amp; CG$72)=$Z153,INDIRECT("'SpxSp (step-d)'!$" &amp; 'SpxSp (step-d)'!$AD$16 &amp; CG$72),"")</f>
        <v/>
      </c>
      <c r="CH153" s="1317" t="str">
        <f ca="1">IF(INDIRECT("'SpxSp (step-d)'!$B" &amp; CH$72)=$Z153,INDIRECT("'SpxSp (step-d)'!$" &amp; 'SpxSp (step-d)'!$AD$16 &amp; CH$72),"")</f>
        <v/>
      </c>
      <c r="CI153" s="1317" t="str">
        <f ca="1">IF(INDIRECT("'SpxSp (step-d)'!$B" &amp; CI$72)=$Z153,INDIRECT("'SpxSp (step-d)'!$" &amp; 'SpxSp (step-d)'!$AD$16 &amp; CI$72),"")</f>
        <v/>
      </c>
      <c r="CJ153" s="1317" t="str">
        <f ca="1">IF(INDIRECT("'SpxSp (step-d)'!$B" &amp; CJ$72)=$Z153,INDIRECT("'SpxSp (step-d)'!$" &amp; 'SpxSp (step-d)'!$AD$16 &amp; CJ$72),"")</f>
        <v/>
      </c>
      <c r="CK153" s="1317" t="str">
        <f ca="1">IF(INDIRECT("'SpxSp (step-d)'!$B" &amp; CK$72)=$Z153,INDIRECT("'SpxSp (step-d)'!$" &amp; 'SpxSp (step-d)'!$AD$16 &amp; CK$72),"")</f>
        <v/>
      </c>
      <c r="CL153" s="1317" t="str">
        <f ca="1">IF(INDIRECT("'SpxSp (step-d)'!$B" &amp; CL$72)=$Z153,INDIRECT("'SpxSp (step-d)'!$" &amp; 'SpxSp (step-d)'!$AD$16 &amp; CL$72),"")</f>
        <v/>
      </c>
      <c r="CM153" s="1317" t="str">
        <f ca="1">IF(INDIRECT("'SpxSp (step-d)'!$B" &amp; CM$72)=$Z153,INDIRECT("'SpxSp (step-d)'!$" &amp; 'SpxSp (step-d)'!$AD$16 &amp; CM$72),"")</f>
        <v/>
      </c>
      <c r="CN153" s="1317" t="str">
        <f ca="1">IF(INDIRECT("'SpxSp (step-d)'!$B" &amp; CN$72)=$Z153,INDIRECT("'SpxSp (step-d)'!$" &amp; 'SpxSp (step-d)'!$AD$16 &amp; CN$72),"")</f>
        <v/>
      </c>
      <c r="CO153" s="1317" t="str">
        <f ca="1">IF(INDIRECT("'SpxSp (step-d)'!$B" &amp; CO$72)=$Z153,INDIRECT("'SpxSp (step-d)'!$" &amp; 'SpxSp (step-d)'!$AD$16 &amp; CO$72),"")</f>
        <v/>
      </c>
      <c r="CP153" s="1317" t="str">
        <f ca="1">IF(INDIRECT("'SpxSp (step-d)'!$B" &amp; CP$72)=$Z153,INDIRECT("'SpxSp (step-d)'!$" &amp; 'SpxSp (step-d)'!$AD$16 &amp; CP$72),"")</f>
        <v/>
      </c>
      <c r="CQ153" s="1317" t="str">
        <f ca="1">IF(INDIRECT("'SpxSp (step-d)'!$B" &amp; CQ$72)=$Z153,INDIRECT("'SpxSp (step-d)'!$" &amp; 'SpxSp (step-d)'!$AD$16 &amp; CQ$72),"")</f>
        <v/>
      </c>
      <c r="CR153" s="1317" t="str">
        <f ca="1">IF(INDIRECT("'SpxSp (step-d)'!$B" &amp; CR$72)=$Z153,INDIRECT("'SpxSp (step-d)'!$" &amp; 'SpxSp (step-d)'!$AD$16 &amp; CR$72),"")</f>
        <v/>
      </c>
      <c r="CS153" s="1317" t="str">
        <f ca="1">IF(INDIRECT("'SpxSp (step-d)'!$B" &amp; CS$72)=$Z153,INDIRECT("'SpxSp (step-d)'!$" &amp; 'SpxSp (step-d)'!$AD$16 &amp; CS$72),"")</f>
        <v/>
      </c>
      <c r="CT153" s="1317" t="str">
        <f ca="1">IF(INDIRECT("'SpxSp (step-d)'!$B" &amp; CT$72)=$Z153,INDIRECT("'SpxSp (step-d)'!$" &amp; 'SpxSp (step-d)'!$AD$16 &amp; CT$72),"")</f>
        <v/>
      </c>
      <c r="CU153" s="1317" t="str">
        <f ca="1">IF(INDIRECT("'SpxSp (step-d)'!$B" &amp; CU$72)=$Z153,INDIRECT("'SpxSp (step-d)'!$" &amp; 'SpxSp (step-d)'!$AD$16 &amp; CU$72),"")</f>
        <v/>
      </c>
      <c r="CV153" s="1317" t="str">
        <f ca="1">IF(INDIRECT("'SpxSp (step-d)'!$B" &amp; CV$72)=$Z153,INDIRECT("'SpxSp (step-d)'!$" &amp; 'SpxSp (step-d)'!$AD$16 &amp; CV$72),"")</f>
        <v/>
      </c>
      <c r="CW153" s="1317" t="str">
        <f ca="1">IF(INDIRECT("'SpxSp (step-d)'!$B" &amp; CW$72)=$Z153,INDIRECT("'SpxSp (step-d)'!$" &amp; 'SpxSp (step-d)'!$AD$16 &amp; CW$72),"")</f>
        <v/>
      </c>
      <c r="CX153" s="1317" t="str">
        <f ca="1">IF(INDIRECT("'SpxSp (step-d)'!$B" &amp; CX$72)=$Z153,INDIRECT("'SpxSp (step-d)'!$" &amp; 'SpxSp (step-d)'!$AD$16 &amp; CX$72),"")</f>
        <v/>
      </c>
      <c r="CY153" s="1317" t="str">
        <f ca="1">IF(INDIRECT("'SpxSp (step-d)'!$B" &amp; CY$72)=$Z153,INDIRECT("'SpxSp (step-d)'!$" &amp; 'SpxSp (step-d)'!$AD$16 &amp; CY$72),"")</f>
        <v/>
      </c>
      <c r="CZ153" s="1317" t="str">
        <f ca="1">IF(INDIRECT("'SpxSp (step-d)'!$B" &amp; CZ$72)=$Z153,INDIRECT("'SpxSp (step-d)'!$" &amp; 'SpxSp (step-d)'!$AD$16 &amp; CZ$72),"")</f>
        <v/>
      </c>
      <c r="DA153" s="1317" t="str">
        <f ca="1">IF(INDIRECT("'SpxSp (step-d)'!$B" &amp; DA$72)=$Z153,INDIRECT("'SpxSp (step-d)'!$" &amp; 'SpxSp (step-d)'!$AD$16 &amp; DA$72),"")</f>
        <v/>
      </c>
      <c r="DB153" s="1317" t="str">
        <f ca="1">IF(INDIRECT("'SpxSp (step-d)'!$B" &amp; DB$72)=$Z153,INDIRECT("'SpxSp (step-d)'!$" &amp; 'SpxSp (step-d)'!$AD$16 &amp; DB$72),"")</f>
        <v/>
      </c>
      <c r="DC153" s="1317" t="str">
        <f ca="1">IF(INDIRECT("'SpxSp (step-d)'!$B" &amp; DC$72)=$Z153,INDIRECT("'SpxSp (step-d)'!$" &amp; 'SpxSp (step-d)'!$AD$16 &amp; DC$72),"")</f>
        <v/>
      </c>
      <c r="DD153" s="1317" t="str">
        <f ca="1">IF(INDIRECT("'SpxSp (step-d)'!$B" &amp; DD$72)=$Z153,INDIRECT("'SpxSp (step-d)'!$" &amp; 'SpxSp (step-d)'!$AD$16 &amp; DD$72),"")</f>
        <v/>
      </c>
      <c r="DE153" s="1317" t="str">
        <f ca="1">IF(INDIRECT("'SpxSp (step-d)'!$B" &amp; DE$72)=$Z153,INDIRECT("'SpxSp (step-d)'!$" &amp; 'SpxSp (step-d)'!$AD$16 &amp; DE$72),"")</f>
        <v/>
      </c>
      <c r="DF153" s="1317" t="str">
        <f ca="1">IF(INDIRECT("'SpxSp (step-d)'!$B" &amp; DF$72)=$Z153,INDIRECT("'SpxSp (step-d)'!$" &amp; 'SpxSp (step-d)'!$AD$16 &amp; DF$72),"")</f>
        <v/>
      </c>
      <c r="DG153" s="1317" t="str">
        <f ca="1">IF(INDIRECT("'SpxSp (step-d)'!$B" &amp; DG$72)=$Z153,INDIRECT("'SpxSp (step-d)'!$" &amp; 'SpxSp (step-d)'!$AD$16 &amp; DG$72),"")</f>
        <v/>
      </c>
      <c r="DH153" s="1317" t="str">
        <f ca="1">IF(INDIRECT("'SpxSp (step-d)'!$B" &amp; DH$72)=$Z153,INDIRECT("'SpxSp (step-d)'!$" &amp; 'SpxSp (step-d)'!$AD$16 &amp; DH$72),"")</f>
        <v/>
      </c>
      <c r="DI153" s="1317" t="str">
        <f ca="1">IF(INDIRECT("'SpxSp (step-d)'!$B" &amp; DI$72)=$Z153,INDIRECT("'SpxSp (step-d)'!$" &amp; 'SpxSp (step-d)'!$AD$16 &amp; DI$72),"")</f>
        <v/>
      </c>
      <c r="DJ153" s="1317" t="str">
        <f ca="1">IF(INDIRECT("'SpxSp (step-d)'!$B" &amp; DJ$72)=$Z153,INDIRECT("'SpxSp (step-d)'!$" &amp; 'SpxSp (step-d)'!$AD$16 &amp; DJ$72),"")</f>
        <v/>
      </c>
      <c r="DK153" s="1317" t="str">
        <f ca="1">IF(INDIRECT("'SpxSp (step-d)'!$B" &amp; DK$72)=$Z153,INDIRECT("'SpxSp (step-d)'!$" &amp; 'SpxSp (step-d)'!$AD$16 &amp; DK$72),"")</f>
        <v/>
      </c>
      <c r="DL153" s="1317" t="str">
        <f ca="1">IF(INDIRECT("'SpxSp (step-d)'!$B" &amp; DL$72)=$Z153,INDIRECT("'SpxSp (step-d)'!$" &amp; 'SpxSp (step-d)'!$AD$16 &amp; DL$72),"")</f>
        <v/>
      </c>
      <c r="DM153" s="1317" t="str">
        <f ca="1">IF(INDIRECT("'SpxSp (step-d)'!$B" &amp; DM$72)=$Z153,INDIRECT("'SpxSp (step-d)'!$" &amp; 'SpxSp (step-d)'!$AD$16 &amp; DM$72),"")</f>
        <v/>
      </c>
      <c r="DO153" s="1246" t="s">
        <v>1200</v>
      </c>
    </row>
    <row r="154" spans="26:119" ht="20" x14ac:dyDescent="0.2">
      <c r="Z154" s="1317" t="str">
        <f t="shared" ref="Z154:AA154" si="118">Z99</f>
        <v/>
      </c>
      <c r="AA154" s="1317" t="str">
        <f t="shared" si="118"/>
        <v/>
      </c>
      <c r="BM154" s="178" t="str">
        <f>IFERROR(VLOOKUP(Z154,'SpxSp (step-d)'!B$18:I$67,6,FALSE),"")</f>
        <v/>
      </c>
      <c r="BN154" s="178">
        <v>27</v>
      </c>
      <c r="BO154" s="1316" t="str">
        <f t="shared" ca="1" si="92"/>
        <v/>
      </c>
      <c r="BP154" s="1317" t="str">
        <f ca="1">IF(INDIRECT("'SpxSp (step-d)'!$B" &amp; BP$72)=$Z154,INDIRECT("'SpxSp (step-d)'!$" &amp; 'SpxSp (step-d)'!$AD$16 &amp; BP$72),"")</f>
        <v/>
      </c>
      <c r="BQ154" s="1317" t="str">
        <f ca="1">IF(INDIRECT("'SpxSp (step-d)'!$B" &amp; BQ$72)=$Z154,INDIRECT("'SpxSp (step-d)'!$" &amp; 'SpxSp (step-d)'!$AD$16 &amp; BQ$72),"")</f>
        <v/>
      </c>
      <c r="BR154" s="1317" t="str">
        <f ca="1">IF(INDIRECT("'SpxSp (step-d)'!$B" &amp; BR$72)=$Z154,INDIRECT("'SpxSp (step-d)'!$" &amp; 'SpxSp (step-d)'!$AD$16 &amp; BR$72),"")</f>
        <v/>
      </c>
      <c r="BS154" s="1317" t="str">
        <f ca="1">IF(INDIRECT("'SpxSp (step-d)'!$B" &amp; BS$72)=$Z154,INDIRECT("'SpxSp (step-d)'!$" &amp; 'SpxSp (step-d)'!$AD$16 &amp; BS$72),"")</f>
        <v/>
      </c>
      <c r="BT154" s="1317" t="str">
        <f ca="1">IF(INDIRECT("'SpxSp (step-d)'!$B" &amp; BT$72)=$Z154,INDIRECT("'SpxSp (step-d)'!$" &amp; 'SpxSp (step-d)'!$AD$16 &amp; BT$72),"")</f>
        <v/>
      </c>
      <c r="BU154" s="1317" t="str">
        <f ca="1">IF(INDIRECT("'SpxSp (step-d)'!$B" &amp; BU$72)=$Z154,INDIRECT("'SpxSp (step-d)'!$" &amp; 'SpxSp (step-d)'!$AD$16 &amp; BU$72),"")</f>
        <v/>
      </c>
      <c r="BV154" s="1317" t="str">
        <f ca="1">IF(INDIRECT("'SpxSp (step-d)'!$B" &amp; BV$72)=$Z154,INDIRECT("'SpxSp (step-d)'!$" &amp; 'SpxSp (step-d)'!$AD$16 &amp; BV$72),"")</f>
        <v/>
      </c>
      <c r="BW154" s="1317" t="str">
        <f ca="1">IF(INDIRECT("'SpxSp (step-d)'!$B" &amp; BW$72)=$Z154,INDIRECT("'SpxSp (step-d)'!$" &amp; 'SpxSp (step-d)'!$AD$16 &amp; BW$72),"")</f>
        <v/>
      </c>
      <c r="BX154" s="1317" t="str">
        <f ca="1">IF(INDIRECT("'SpxSp (step-d)'!$B" &amp; BX$72)=$Z154,INDIRECT("'SpxSp (step-d)'!$" &amp; 'SpxSp (step-d)'!$AD$16 &amp; BX$72),"")</f>
        <v/>
      </c>
      <c r="BY154" s="1317" t="str">
        <f ca="1">IF(INDIRECT("'SpxSp (step-d)'!$B" &amp; BY$72)=$Z154,INDIRECT("'SpxSp (step-d)'!$" &amp; 'SpxSp (step-d)'!$AD$16 &amp; BY$72),"")</f>
        <v/>
      </c>
      <c r="BZ154" s="1317" t="str">
        <f ca="1">IF(INDIRECT("'SpxSp (step-d)'!$B" &amp; BZ$72)=$Z154,INDIRECT("'SpxSp (step-d)'!$" &amp; 'SpxSp (step-d)'!$AD$16 &amp; BZ$72),"")</f>
        <v/>
      </c>
      <c r="CA154" s="1317" t="str">
        <f ca="1">IF(INDIRECT("'SpxSp (step-d)'!$B" &amp; CA$72)=$Z154,INDIRECT("'SpxSp (step-d)'!$" &amp; 'SpxSp (step-d)'!$AD$16 &amp; CA$72),"")</f>
        <v/>
      </c>
      <c r="CB154" s="1317" t="str">
        <f ca="1">IF(INDIRECT("'SpxSp (step-d)'!$B" &amp; CB$72)=$Z154,INDIRECT("'SpxSp (step-d)'!$" &amp; 'SpxSp (step-d)'!$AD$16 &amp; CB$72),"")</f>
        <v/>
      </c>
      <c r="CC154" s="1317" t="str">
        <f ca="1">IF(INDIRECT("'SpxSp (step-d)'!$B" &amp; CC$72)=$Z154,INDIRECT("'SpxSp (step-d)'!$" &amp; 'SpxSp (step-d)'!$AD$16 &amp; CC$72),"")</f>
        <v/>
      </c>
      <c r="CD154" s="1317" t="str">
        <f ca="1">IF(INDIRECT("'SpxSp (step-d)'!$B" &amp; CD$72)=$Z154,INDIRECT("'SpxSp (step-d)'!$" &amp; 'SpxSp (step-d)'!$AD$16 &amp; CD$72),"")</f>
        <v/>
      </c>
      <c r="CE154" s="1317" t="str">
        <f ca="1">IF(INDIRECT("'SpxSp (step-d)'!$B" &amp; CE$72)=$Z154,INDIRECT("'SpxSp (step-d)'!$" &amp; 'SpxSp (step-d)'!$AD$16 &amp; CE$72),"")</f>
        <v/>
      </c>
      <c r="CF154" s="1317" t="str">
        <f ca="1">IF(INDIRECT("'SpxSp (step-d)'!$B" &amp; CF$72)=$Z154,INDIRECT("'SpxSp (step-d)'!$" &amp; 'SpxSp (step-d)'!$AD$16 &amp; CF$72),"")</f>
        <v/>
      </c>
      <c r="CG154" s="1317" t="str">
        <f ca="1">IF(INDIRECT("'SpxSp (step-d)'!$B" &amp; CG$72)=$Z154,INDIRECT("'SpxSp (step-d)'!$" &amp; 'SpxSp (step-d)'!$AD$16 &amp; CG$72),"")</f>
        <v/>
      </c>
      <c r="CH154" s="1317" t="str">
        <f ca="1">IF(INDIRECT("'SpxSp (step-d)'!$B" &amp; CH$72)=$Z154,INDIRECT("'SpxSp (step-d)'!$" &amp; 'SpxSp (step-d)'!$AD$16 &amp; CH$72),"")</f>
        <v/>
      </c>
      <c r="CI154" s="1317" t="str">
        <f ca="1">IF(INDIRECT("'SpxSp (step-d)'!$B" &amp; CI$72)=$Z154,INDIRECT("'SpxSp (step-d)'!$" &amp; 'SpxSp (step-d)'!$AD$16 &amp; CI$72),"")</f>
        <v/>
      </c>
      <c r="CJ154" s="1317" t="str">
        <f ca="1">IF(INDIRECT("'SpxSp (step-d)'!$B" &amp; CJ$72)=$Z154,INDIRECT("'SpxSp (step-d)'!$" &amp; 'SpxSp (step-d)'!$AD$16 &amp; CJ$72),"")</f>
        <v/>
      </c>
      <c r="CK154" s="1317" t="str">
        <f ca="1">IF(INDIRECT("'SpxSp (step-d)'!$B" &amp; CK$72)=$Z154,INDIRECT("'SpxSp (step-d)'!$" &amp; 'SpxSp (step-d)'!$AD$16 &amp; CK$72),"")</f>
        <v/>
      </c>
      <c r="CL154" s="1317" t="str">
        <f ca="1">IF(INDIRECT("'SpxSp (step-d)'!$B" &amp; CL$72)=$Z154,INDIRECT("'SpxSp (step-d)'!$" &amp; 'SpxSp (step-d)'!$AD$16 &amp; CL$72),"")</f>
        <v/>
      </c>
      <c r="CM154" s="1317" t="str">
        <f ca="1">IF(INDIRECT("'SpxSp (step-d)'!$B" &amp; CM$72)=$Z154,INDIRECT("'SpxSp (step-d)'!$" &amp; 'SpxSp (step-d)'!$AD$16 &amp; CM$72),"")</f>
        <v/>
      </c>
      <c r="CN154" s="1317" t="str">
        <f ca="1">IF(INDIRECT("'SpxSp (step-d)'!$B" &amp; CN$72)=$Z154,INDIRECT("'SpxSp (step-d)'!$" &amp; 'SpxSp (step-d)'!$AD$16 &amp; CN$72),"")</f>
        <v/>
      </c>
      <c r="CO154" s="1317" t="str">
        <f ca="1">IF(INDIRECT("'SpxSp (step-d)'!$B" &amp; CO$72)=$Z154,INDIRECT("'SpxSp (step-d)'!$" &amp; 'SpxSp (step-d)'!$AD$16 &amp; CO$72),"")</f>
        <v/>
      </c>
      <c r="CP154" s="1317" t="str">
        <f ca="1">IF(INDIRECT("'SpxSp (step-d)'!$B" &amp; CP$72)=$Z154,INDIRECT("'SpxSp (step-d)'!$" &amp; 'SpxSp (step-d)'!$AD$16 &amp; CP$72),"")</f>
        <v/>
      </c>
      <c r="CQ154" s="1317" t="str">
        <f ca="1">IF(INDIRECT("'SpxSp (step-d)'!$B" &amp; CQ$72)=$Z154,INDIRECT("'SpxSp (step-d)'!$" &amp; 'SpxSp (step-d)'!$AD$16 &amp; CQ$72),"")</f>
        <v/>
      </c>
      <c r="CR154" s="1317" t="str">
        <f ca="1">IF(INDIRECT("'SpxSp (step-d)'!$B" &amp; CR$72)=$Z154,INDIRECT("'SpxSp (step-d)'!$" &amp; 'SpxSp (step-d)'!$AD$16 &amp; CR$72),"")</f>
        <v/>
      </c>
      <c r="CS154" s="1317" t="str">
        <f ca="1">IF(INDIRECT("'SpxSp (step-d)'!$B" &amp; CS$72)=$Z154,INDIRECT("'SpxSp (step-d)'!$" &amp; 'SpxSp (step-d)'!$AD$16 &amp; CS$72),"")</f>
        <v/>
      </c>
      <c r="CT154" s="1317" t="str">
        <f ca="1">IF(INDIRECT("'SpxSp (step-d)'!$B" &amp; CT$72)=$Z154,INDIRECT("'SpxSp (step-d)'!$" &amp; 'SpxSp (step-d)'!$AD$16 &amp; CT$72),"")</f>
        <v/>
      </c>
      <c r="CU154" s="1317" t="str">
        <f ca="1">IF(INDIRECT("'SpxSp (step-d)'!$B" &amp; CU$72)=$Z154,INDIRECT("'SpxSp (step-d)'!$" &amp; 'SpxSp (step-d)'!$AD$16 &amp; CU$72),"")</f>
        <v/>
      </c>
      <c r="CV154" s="1317" t="str">
        <f ca="1">IF(INDIRECT("'SpxSp (step-d)'!$B" &amp; CV$72)=$Z154,INDIRECT("'SpxSp (step-d)'!$" &amp; 'SpxSp (step-d)'!$AD$16 &amp; CV$72),"")</f>
        <v/>
      </c>
      <c r="CW154" s="1317" t="str">
        <f ca="1">IF(INDIRECT("'SpxSp (step-d)'!$B" &amp; CW$72)=$Z154,INDIRECT("'SpxSp (step-d)'!$" &amp; 'SpxSp (step-d)'!$AD$16 &amp; CW$72),"")</f>
        <v/>
      </c>
      <c r="CX154" s="1317" t="str">
        <f ca="1">IF(INDIRECT("'SpxSp (step-d)'!$B" &amp; CX$72)=$Z154,INDIRECT("'SpxSp (step-d)'!$" &amp; 'SpxSp (step-d)'!$AD$16 &amp; CX$72),"")</f>
        <v/>
      </c>
      <c r="CY154" s="1317" t="str">
        <f ca="1">IF(INDIRECT("'SpxSp (step-d)'!$B" &amp; CY$72)=$Z154,INDIRECT("'SpxSp (step-d)'!$" &amp; 'SpxSp (step-d)'!$AD$16 &amp; CY$72),"")</f>
        <v/>
      </c>
      <c r="CZ154" s="1317" t="str">
        <f ca="1">IF(INDIRECT("'SpxSp (step-d)'!$B" &amp; CZ$72)=$Z154,INDIRECT("'SpxSp (step-d)'!$" &amp; 'SpxSp (step-d)'!$AD$16 &amp; CZ$72),"")</f>
        <v/>
      </c>
      <c r="DA154" s="1317" t="str">
        <f ca="1">IF(INDIRECT("'SpxSp (step-d)'!$B" &amp; DA$72)=$Z154,INDIRECT("'SpxSp (step-d)'!$" &amp; 'SpxSp (step-d)'!$AD$16 &amp; DA$72),"")</f>
        <v/>
      </c>
      <c r="DB154" s="1317" t="str">
        <f ca="1">IF(INDIRECT("'SpxSp (step-d)'!$B" &amp; DB$72)=$Z154,INDIRECT("'SpxSp (step-d)'!$" &amp; 'SpxSp (step-d)'!$AD$16 &amp; DB$72),"")</f>
        <v/>
      </c>
      <c r="DC154" s="1317" t="str">
        <f ca="1">IF(INDIRECT("'SpxSp (step-d)'!$B" &amp; DC$72)=$Z154,INDIRECT("'SpxSp (step-d)'!$" &amp; 'SpxSp (step-d)'!$AD$16 &amp; DC$72),"")</f>
        <v/>
      </c>
      <c r="DD154" s="1317" t="str">
        <f ca="1">IF(INDIRECT("'SpxSp (step-d)'!$B" &amp; DD$72)=$Z154,INDIRECT("'SpxSp (step-d)'!$" &amp; 'SpxSp (step-d)'!$AD$16 &amp; DD$72),"")</f>
        <v/>
      </c>
      <c r="DE154" s="1317" t="str">
        <f ca="1">IF(INDIRECT("'SpxSp (step-d)'!$B" &amp; DE$72)=$Z154,INDIRECT("'SpxSp (step-d)'!$" &amp; 'SpxSp (step-d)'!$AD$16 &amp; DE$72),"")</f>
        <v/>
      </c>
      <c r="DF154" s="1317" t="str">
        <f ca="1">IF(INDIRECT("'SpxSp (step-d)'!$B" &amp; DF$72)=$Z154,INDIRECT("'SpxSp (step-d)'!$" &amp; 'SpxSp (step-d)'!$AD$16 &amp; DF$72),"")</f>
        <v/>
      </c>
      <c r="DG154" s="1317" t="str">
        <f ca="1">IF(INDIRECT("'SpxSp (step-d)'!$B" &amp; DG$72)=$Z154,INDIRECT("'SpxSp (step-d)'!$" &amp; 'SpxSp (step-d)'!$AD$16 &amp; DG$72),"")</f>
        <v/>
      </c>
      <c r="DH154" s="1317" t="str">
        <f ca="1">IF(INDIRECT("'SpxSp (step-d)'!$B" &amp; DH$72)=$Z154,INDIRECT("'SpxSp (step-d)'!$" &amp; 'SpxSp (step-d)'!$AD$16 &amp; DH$72),"")</f>
        <v/>
      </c>
      <c r="DI154" s="1317" t="str">
        <f ca="1">IF(INDIRECT("'SpxSp (step-d)'!$B" &amp; DI$72)=$Z154,INDIRECT("'SpxSp (step-d)'!$" &amp; 'SpxSp (step-d)'!$AD$16 &amp; DI$72),"")</f>
        <v/>
      </c>
      <c r="DJ154" s="1317" t="str">
        <f ca="1">IF(INDIRECT("'SpxSp (step-d)'!$B" &amp; DJ$72)=$Z154,INDIRECT("'SpxSp (step-d)'!$" &amp; 'SpxSp (step-d)'!$AD$16 &amp; DJ$72),"")</f>
        <v/>
      </c>
      <c r="DK154" s="1317" t="str">
        <f ca="1">IF(INDIRECT("'SpxSp (step-d)'!$B" &amp; DK$72)=$Z154,INDIRECT("'SpxSp (step-d)'!$" &amp; 'SpxSp (step-d)'!$AD$16 &amp; DK$72),"")</f>
        <v/>
      </c>
      <c r="DL154" s="1317" t="str">
        <f ca="1">IF(INDIRECT("'SpxSp (step-d)'!$B" &amp; DL$72)=$Z154,INDIRECT("'SpxSp (step-d)'!$" &amp; 'SpxSp (step-d)'!$AD$16 &amp; DL$72),"")</f>
        <v/>
      </c>
      <c r="DM154" s="1317" t="str">
        <f ca="1">IF(INDIRECT("'SpxSp (step-d)'!$B" &amp; DM$72)=$Z154,INDIRECT("'SpxSp (step-d)'!$" &amp; 'SpxSp (step-d)'!$AD$16 &amp; DM$72),"")</f>
        <v/>
      </c>
      <c r="DO154" s="1246" t="s">
        <v>1200</v>
      </c>
    </row>
    <row r="155" spans="26:119" ht="20" x14ac:dyDescent="0.2">
      <c r="Z155" s="1317" t="str">
        <f t="shared" ref="Z155:AA155" si="119">Z100</f>
        <v/>
      </c>
      <c r="AA155" s="1317" t="str">
        <f t="shared" si="119"/>
        <v/>
      </c>
      <c r="BM155" s="178" t="str">
        <f>IFERROR(VLOOKUP(Z155,'SpxSp (step-d)'!B$18:I$67,6,FALSE),"")</f>
        <v/>
      </c>
      <c r="BN155" s="178">
        <v>28</v>
      </c>
      <c r="BO155" s="1316" t="str">
        <f t="shared" ca="1" si="92"/>
        <v/>
      </c>
      <c r="BP155" s="1317" t="str">
        <f ca="1">IF(INDIRECT("'SpxSp (step-d)'!$B" &amp; BP$72)=$Z155,INDIRECT("'SpxSp (step-d)'!$" &amp; 'SpxSp (step-d)'!$AD$16 &amp; BP$72),"")</f>
        <v/>
      </c>
      <c r="BQ155" s="1317" t="str">
        <f ca="1">IF(INDIRECT("'SpxSp (step-d)'!$B" &amp; BQ$72)=$Z155,INDIRECT("'SpxSp (step-d)'!$" &amp; 'SpxSp (step-d)'!$AD$16 &amp; BQ$72),"")</f>
        <v/>
      </c>
      <c r="BR155" s="1317" t="str">
        <f ca="1">IF(INDIRECT("'SpxSp (step-d)'!$B" &amp; BR$72)=$Z155,INDIRECT("'SpxSp (step-d)'!$" &amp; 'SpxSp (step-d)'!$AD$16 &amp; BR$72),"")</f>
        <v/>
      </c>
      <c r="BS155" s="1317" t="str">
        <f ca="1">IF(INDIRECT("'SpxSp (step-d)'!$B" &amp; BS$72)=$Z155,INDIRECT("'SpxSp (step-d)'!$" &amp; 'SpxSp (step-d)'!$AD$16 &amp; BS$72),"")</f>
        <v/>
      </c>
      <c r="BT155" s="1317" t="str">
        <f ca="1">IF(INDIRECT("'SpxSp (step-d)'!$B" &amp; BT$72)=$Z155,INDIRECT("'SpxSp (step-d)'!$" &amp; 'SpxSp (step-d)'!$AD$16 &amp; BT$72),"")</f>
        <v/>
      </c>
      <c r="BU155" s="1317" t="str">
        <f ca="1">IF(INDIRECT("'SpxSp (step-d)'!$B" &amp; BU$72)=$Z155,INDIRECT("'SpxSp (step-d)'!$" &amp; 'SpxSp (step-d)'!$AD$16 &amp; BU$72),"")</f>
        <v/>
      </c>
      <c r="BV155" s="1317" t="str">
        <f ca="1">IF(INDIRECT("'SpxSp (step-d)'!$B" &amp; BV$72)=$Z155,INDIRECT("'SpxSp (step-d)'!$" &amp; 'SpxSp (step-d)'!$AD$16 &amp; BV$72),"")</f>
        <v/>
      </c>
      <c r="BW155" s="1317" t="str">
        <f ca="1">IF(INDIRECT("'SpxSp (step-d)'!$B" &amp; BW$72)=$Z155,INDIRECT("'SpxSp (step-d)'!$" &amp; 'SpxSp (step-d)'!$AD$16 &amp; BW$72),"")</f>
        <v/>
      </c>
      <c r="BX155" s="1317" t="str">
        <f ca="1">IF(INDIRECT("'SpxSp (step-d)'!$B" &amp; BX$72)=$Z155,INDIRECT("'SpxSp (step-d)'!$" &amp; 'SpxSp (step-d)'!$AD$16 &amp; BX$72),"")</f>
        <v/>
      </c>
      <c r="BY155" s="1317" t="str">
        <f ca="1">IF(INDIRECT("'SpxSp (step-d)'!$B" &amp; BY$72)=$Z155,INDIRECT("'SpxSp (step-d)'!$" &amp; 'SpxSp (step-d)'!$AD$16 &amp; BY$72),"")</f>
        <v/>
      </c>
      <c r="BZ155" s="1317" t="str">
        <f ca="1">IF(INDIRECT("'SpxSp (step-d)'!$B" &amp; BZ$72)=$Z155,INDIRECT("'SpxSp (step-d)'!$" &amp; 'SpxSp (step-d)'!$AD$16 &amp; BZ$72),"")</f>
        <v/>
      </c>
      <c r="CA155" s="1317" t="str">
        <f ca="1">IF(INDIRECT("'SpxSp (step-d)'!$B" &amp; CA$72)=$Z155,INDIRECT("'SpxSp (step-d)'!$" &amp; 'SpxSp (step-d)'!$AD$16 &amp; CA$72),"")</f>
        <v/>
      </c>
      <c r="CB155" s="1317" t="str">
        <f ca="1">IF(INDIRECT("'SpxSp (step-d)'!$B" &amp; CB$72)=$Z155,INDIRECT("'SpxSp (step-d)'!$" &amp; 'SpxSp (step-d)'!$AD$16 &amp; CB$72),"")</f>
        <v/>
      </c>
      <c r="CC155" s="1317" t="str">
        <f ca="1">IF(INDIRECT("'SpxSp (step-d)'!$B" &amp; CC$72)=$Z155,INDIRECT("'SpxSp (step-d)'!$" &amp; 'SpxSp (step-d)'!$AD$16 &amp; CC$72),"")</f>
        <v/>
      </c>
      <c r="CD155" s="1317" t="str">
        <f ca="1">IF(INDIRECT("'SpxSp (step-d)'!$B" &amp; CD$72)=$Z155,INDIRECT("'SpxSp (step-d)'!$" &amp; 'SpxSp (step-d)'!$AD$16 &amp; CD$72),"")</f>
        <v/>
      </c>
      <c r="CE155" s="1317" t="str">
        <f ca="1">IF(INDIRECT("'SpxSp (step-d)'!$B" &amp; CE$72)=$Z155,INDIRECT("'SpxSp (step-d)'!$" &amp; 'SpxSp (step-d)'!$AD$16 &amp; CE$72),"")</f>
        <v/>
      </c>
      <c r="CF155" s="1317" t="str">
        <f ca="1">IF(INDIRECT("'SpxSp (step-d)'!$B" &amp; CF$72)=$Z155,INDIRECT("'SpxSp (step-d)'!$" &amp; 'SpxSp (step-d)'!$AD$16 &amp; CF$72),"")</f>
        <v/>
      </c>
      <c r="CG155" s="1317" t="str">
        <f ca="1">IF(INDIRECT("'SpxSp (step-d)'!$B" &amp; CG$72)=$Z155,INDIRECT("'SpxSp (step-d)'!$" &amp; 'SpxSp (step-d)'!$AD$16 &amp; CG$72),"")</f>
        <v/>
      </c>
      <c r="CH155" s="1317" t="str">
        <f ca="1">IF(INDIRECT("'SpxSp (step-d)'!$B" &amp; CH$72)=$Z155,INDIRECT("'SpxSp (step-d)'!$" &amp; 'SpxSp (step-d)'!$AD$16 &amp; CH$72),"")</f>
        <v/>
      </c>
      <c r="CI155" s="1317" t="str">
        <f ca="1">IF(INDIRECT("'SpxSp (step-d)'!$B" &amp; CI$72)=$Z155,INDIRECT("'SpxSp (step-d)'!$" &amp; 'SpxSp (step-d)'!$AD$16 &amp; CI$72),"")</f>
        <v/>
      </c>
      <c r="CJ155" s="1317" t="str">
        <f ca="1">IF(INDIRECT("'SpxSp (step-d)'!$B" &amp; CJ$72)=$Z155,INDIRECT("'SpxSp (step-d)'!$" &amp; 'SpxSp (step-d)'!$AD$16 &amp; CJ$72),"")</f>
        <v/>
      </c>
      <c r="CK155" s="1317" t="str">
        <f ca="1">IF(INDIRECT("'SpxSp (step-d)'!$B" &amp; CK$72)=$Z155,INDIRECT("'SpxSp (step-d)'!$" &amp; 'SpxSp (step-d)'!$AD$16 &amp; CK$72),"")</f>
        <v/>
      </c>
      <c r="CL155" s="1317" t="str">
        <f ca="1">IF(INDIRECT("'SpxSp (step-d)'!$B" &amp; CL$72)=$Z155,INDIRECT("'SpxSp (step-d)'!$" &amp; 'SpxSp (step-d)'!$AD$16 &amp; CL$72),"")</f>
        <v/>
      </c>
      <c r="CM155" s="1317" t="str">
        <f ca="1">IF(INDIRECT("'SpxSp (step-d)'!$B" &amp; CM$72)=$Z155,INDIRECT("'SpxSp (step-d)'!$" &amp; 'SpxSp (step-d)'!$AD$16 &amp; CM$72),"")</f>
        <v/>
      </c>
      <c r="CN155" s="1317" t="str">
        <f ca="1">IF(INDIRECT("'SpxSp (step-d)'!$B" &amp; CN$72)=$Z155,INDIRECT("'SpxSp (step-d)'!$" &amp; 'SpxSp (step-d)'!$AD$16 &amp; CN$72),"")</f>
        <v/>
      </c>
      <c r="CO155" s="1317" t="str">
        <f ca="1">IF(INDIRECT("'SpxSp (step-d)'!$B" &amp; CO$72)=$Z155,INDIRECT("'SpxSp (step-d)'!$" &amp; 'SpxSp (step-d)'!$AD$16 &amp; CO$72),"")</f>
        <v/>
      </c>
      <c r="CP155" s="1317" t="str">
        <f ca="1">IF(INDIRECT("'SpxSp (step-d)'!$B" &amp; CP$72)=$Z155,INDIRECT("'SpxSp (step-d)'!$" &amp; 'SpxSp (step-d)'!$AD$16 &amp; CP$72),"")</f>
        <v/>
      </c>
      <c r="CQ155" s="1317" t="str">
        <f ca="1">IF(INDIRECT("'SpxSp (step-d)'!$B" &amp; CQ$72)=$Z155,INDIRECT("'SpxSp (step-d)'!$" &amp; 'SpxSp (step-d)'!$AD$16 &amp; CQ$72),"")</f>
        <v/>
      </c>
      <c r="CR155" s="1317" t="str">
        <f ca="1">IF(INDIRECT("'SpxSp (step-d)'!$B" &amp; CR$72)=$Z155,INDIRECT("'SpxSp (step-d)'!$" &amp; 'SpxSp (step-d)'!$AD$16 &amp; CR$72),"")</f>
        <v/>
      </c>
      <c r="CS155" s="1317" t="str">
        <f ca="1">IF(INDIRECT("'SpxSp (step-d)'!$B" &amp; CS$72)=$Z155,INDIRECT("'SpxSp (step-d)'!$" &amp; 'SpxSp (step-d)'!$AD$16 &amp; CS$72),"")</f>
        <v/>
      </c>
      <c r="CT155" s="1317" t="str">
        <f ca="1">IF(INDIRECT("'SpxSp (step-d)'!$B" &amp; CT$72)=$Z155,INDIRECT("'SpxSp (step-d)'!$" &amp; 'SpxSp (step-d)'!$AD$16 &amp; CT$72),"")</f>
        <v/>
      </c>
      <c r="CU155" s="1317" t="str">
        <f ca="1">IF(INDIRECT("'SpxSp (step-d)'!$B" &amp; CU$72)=$Z155,INDIRECT("'SpxSp (step-d)'!$" &amp; 'SpxSp (step-d)'!$AD$16 &amp; CU$72),"")</f>
        <v/>
      </c>
      <c r="CV155" s="1317" t="str">
        <f ca="1">IF(INDIRECT("'SpxSp (step-d)'!$B" &amp; CV$72)=$Z155,INDIRECT("'SpxSp (step-d)'!$" &amp; 'SpxSp (step-d)'!$AD$16 &amp; CV$72),"")</f>
        <v/>
      </c>
      <c r="CW155" s="1317" t="str">
        <f ca="1">IF(INDIRECT("'SpxSp (step-d)'!$B" &amp; CW$72)=$Z155,INDIRECT("'SpxSp (step-d)'!$" &amp; 'SpxSp (step-d)'!$AD$16 &amp; CW$72),"")</f>
        <v/>
      </c>
      <c r="CX155" s="1317" t="str">
        <f ca="1">IF(INDIRECT("'SpxSp (step-d)'!$B" &amp; CX$72)=$Z155,INDIRECT("'SpxSp (step-d)'!$" &amp; 'SpxSp (step-d)'!$AD$16 &amp; CX$72),"")</f>
        <v/>
      </c>
      <c r="CY155" s="1317" t="str">
        <f ca="1">IF(INDIRECT("'SpxSp (step-d)'!$B" &amp; CY$72)=$Z155,INDIRECT("'SpxSp (step-d)'!$" &amp; 'SpxSp (step-d)'!$AD$16 &amp; CY$72),"")</f>
        <v/>
      </c>
      <c r="CZ155" s="1317" t="str">
        <f ca="1">IF(INDIRECT("'SpxSp (step-d)'!$B" &amp; CZ$72)=$Z155,INDIRECT("'SpxSp (step-d)'!$" &amp; 'SpxSp (step-d)'!$AD$16 &amp; CZ$72),"")</f>
        <v/>
      </c>
      <c r="DA155" s="1317" t="str">
        <f ca="1">IF(INDIRECT("'SpxSp (step-d)'!$B" &amp; DA$72)=$Z155,INDIRECT("'SpxSp (step-d)'!$" &amp; 'SpxSp (step-d)'!$AD$16 &amp; DA$72),"")</f>
        <v/>
      </c>
      <c r="DB155" s="1317" t="str">
        <f ca="1">IF(INDIRECT("'SpxSp (step-d)'!$B" &amp; DB$72)=$Z155,INDIRECT("'SpxSp (step-d)'!$" &amp; 'SpxSp (step-d)'!$AD$16 &amp; DB$72),"")</f>
        <v/>
      </c>
      <c r="DC155" s="1317" t="str">
        <f ca="1">IF(INDIRECT("'SpxSp (step-d)'!$B" &amp; DC$72)=$Z155,INDIRECT("'SpxSp (step-d)'!$" &amp; 'SpxSp (step-d)'!$AD$16 &amp; DC$72),"")</f>
        <v/>
      </c>
      <c r="DD155" s="1317" t="str">
        <f ca="1">IF(INDIRECT("'SpxSp (step-d)'!$B" &amp; DD$72)=$Z155,INDIRECT("'SpxSp (step-d)'!$" &amp; 'SpxSp (step-d)'!$AD$16 &amp; DD$72),"")</f>
        <v/>
      </c>
      <c r="DE155" s="1317" t="str">
        <f ca="1">IF(INDIRECT("'SpxSp (step-d)'!$B" &amp; DE$72)=$Z155,INDIRECT("'SpxSp (step-d)'!$" &amp; 'SpxSp (step-d)'!$AD$16 &amp; DE$72),"")</f>
        <v/>
      </c>
      <c r="DF155" s="1317" t="str">
        <f ca="1">IF(INDIRECT("'SpxSp (step-d)'!$B" &amp; DF$72)=$Z155,INDIRECT("'SpxSp (step-d)'!$" &amp; 'SpxSp (step-d)'!$AD$16 &amp; DF$72),"")</f>
        <v/>
      </c>
      <c r="DG155" s="1317" t="str">
        <f ca="1">IF(INDIRECT("'SpxSp (step-d)'!$B" &amp; DG$72)=$Z155,INDIRECT("'SpxSp (step-d)'!$" &amp; 'SpxSp (step-d)'!$AD$16 &amp; DG$72),"")</f>
        <v/>
      </c>
      <c r="DH155" s="1317" t="str">
        <f ca="1">IF(INDIRECT("'SpxSp (step-d)'!$B" &amp; DH$72)=$Z155,INDIRECT("'SpxSp (step-d)'!$" &amp; 'SpxSp (step-d)'!$AD$16 &amp; DH$72),"")</f>
        <v/>
      </c>
      <c r="DI155" s="1317" t="str">
        <f ca="1">IF(INDIRECT("'SpxSp (step-d)'!$B" &amp; DI$72)=$Z155,INDIRECT("'SpxSp (step-d)'!$" &amp; 'SpxSp (step-d)'!$AD$16 &amp; DI$72),"")</f>
        <v/>
      </c>
      <c r="DJ155" s="1317" t="str">
        <f ca="1">IF(INDIRECT("'SpxSp (step-d)'!$B" &amp; DJ$72)=$Z155,INDIRECT("'SpxSp (step-d)'!$" &amp; 'SpxSp (step-d)'!$AD$16 &amp; DJ$72),"")</f>
        <v/>
      </c>
      <c r="DK155" s="1317" t="str">
        <f ca="1">IF(INDIRECT("'SpxSp (step-d)'!$B" &amp; DK$72)=$Z155,INDIRECT("'SpxSp (step-d)'!$" &amp; 'SpxSp (step-d)'!$AD$16 &amp; DK$72),"")</f>
        <v/>
      </c>
      <c r="DL155" s="1317" t="str">
        <f ca="1">IF(INDIRECT("'SpxSp (step-d)'!$B" &amp; DL$72)=$Z155,INDIRECT("'SpxSp (step-d)'!$" &amp; 'SpxSp (step-d)'!$AD$16 &amp; DL$72),"")</f>
        <v/>
      </c>
      <c r="DM155" s="1317" t="str">
        <f ca="1">IF(INDIRECT("'SpxSp (step-d)'!$B" &amp; DM$72)=$Z155,INDIRECT("'SpxSp (step-d)'!$" &amp; 'SpxSp (step-d)'!$AD$16 &amp; DM$72),"")</f>
        <v/>
      </c>
      <c r="DO155" s="1246" t="s">
        <v>1200</v>
      </c>
    </row>
    <row r="156" spans="26:119" ht="20" x14ac:dyDescent="0.2">
      <c r="Z156" s="1317" t="str">
        <f t="shared" ref="Z156:AA156" si="120">Z101</f>
        <v/>
      </c>
      <c r="AA156" s="1317" t="str">
        <f t="shared" si="120"/>
        <v/>
      </c>
      <c r="BM156" s="178" t="str">
        <f>IFERROR(VLOOKUP(Z156,'SpxSp (step-d)'!B$18:I$67,6,FALSE),"")</f>
        <v/>
      </c>
      <c r="BN156" s="178">
        <v>29</v>
      </c>
      <c r="BO156" s="1316" t="str">
        <f t="shared" ca="1" si="92"/>
        <v/>
      </c>
      <c r="BP156" s="1317" t="str">
        <f ca="1">IF(INDIRECT("'SpxSp (step-d)'!$B" &amp; BP$72)=$Z156,INDIRECT("'SpxSp (step-d)'!$" &amp; 'SpxSp (step-d)'!$AD$16 &amp; BP$72),"")</f>
        <v/>
      </c>
      <c r="BQ156" s="1317" t="str">
        <f ca="1">IF(INDIRECT("'SpxSp (step-d)'!$B" &amp; BQ$72)=$Z156,INDIRECT("'SpxSp (step-d)'!$" &amp; 'SpxSp (step-d)'!$AD$16 &amp; BQ$72),"")</f>
        <v/>
      </c>
      <c r="BR156" s="1317" t="str">
        <f ca="1">IF(INDIRECT("'SpxSp (step-d)'!$B" &amp; BR$72)=$Z156,INDIRECT("'SpxSp (step-d)'!$" &amp; 'SpxSp (step-d)'!$AD$16 &amp; BR$72),"")</f>
        <v/>
      </c>
      <c r="BS156" s="1317" t="str">
        <f ca="1">IF(INDIRECT("'SpxSp (step-d)'!$B" &amp; BS$72)=$Z156,INDIRECT("'SpxSp (step-d)'!$" &amp; 'SpxSp (step-d)'!$AD$16 &amp; BS$72),"")</f>
        <v/>
      </c>
      <c r="BT156" s="1317" t="str">
        <f ca="1">IF(INDIRECT("'SpxSp (step-d)'!$B" &amp; BT$72)=$Z156,INDIRECT("'SpxSp (step-d)'!$" &amp; 'SpxSp (step-d)'!$AD$16 &amp; BT$72),"")</f>
        <v/>
      </c>
      <c r="BU156" s="1317" t="str">
        <f ca="1">IF(INDIRECT("'SpxSp (step-d)'!$B" &amp; BU$72)=$Z156,INDIRECT("'SpxSp (step-d)'!$" &amp; 'SpxSp (step-d)'!$AD$16 &amp; BU$72),"")</f>
        <v/>
      </c>
      <c r="BV156" s="1317" t="str">
        <f ca="1">IF(INDIRECT("'SpxSp (step-d)'!$B" &amp; BV$72)=$Z156,INDIRECT("'SpxSp (step-d)'!$" &amp; 'SpxSp (step-d)'!$AD$16 &amp; BV$72),"")</f>
        <v/>
      </c>
      <c r="BW156" s="1317" t="str">
        <f ca="1">IF(INDIRECT("'SpxSp (step-d)'!$B" &amp; BW$72)=$Z156,INDIRECT("'SpxSp (step-d)'!$" &amp; 'SpxSp (step-d)'!$AD$16 &amp; BW$72),"")</f>
        <v/>
      </c>
      <c r="BX156" s="1317" t="str">
        <f ca="1">IF(INDIRECT("'SpxSp (step-d)'!$B" &amp; BX$72)=$Z156,INDIRECT("'SpxSp (step-d)'!$" &amp; 'SpxSp (step-d)'!$AD$16 &amp; BX$72),"")</f>
        <v/>
      </c>
      <c r="BY156" s="1317" t="str">
        <f ca="1">IF(INDIRECT("'SpxSp (step-d)'!$B" &amp; BY$72)=$Z156,INDIRECT("'SpxSp (step-d)'!$" &amp; 'SpxSp (step-d)'!$AD$16 &amp; BY$72),"")</f>
        <v/>
      </c>
      <c r="BZ156" s="1317" t="str">
        <f ca="1">IF(INDIRECT("'SpxSp (step-d)'!$B" &amp; BZ$72)=$Z156,INDIRECT("'SpxSp (step-d)'!$" &amp; 'SpxSp (step-d)'!$AD$16 &amp; BZ$72),"")</f>
        <v/>
      </c>
      <c r="CA156" s="1317" t="str">
        <f ca="1">IF(INDIRECT("'SpxSp (step-d)'!$B" &amp; CA$72)=$Z156,INDIRECT("'SpxSp (step-d)'!$" &amp; 'SpxSp (step-d)'!$AD$16 &amp; CA$72),"")</f>
        <v/>
      </c>
      <c r="CB156" s="1317" t="str">
        <f ca="1">IF(INDIRECT("'SpxSp (step-d)'!$B" &amp; CB$72)=$Z156,INDIRECT("'SpxSp (step-d)'!$" &amp; 'SpxSp (step-d)'!$AD$16 &amp; CB$72),"")</f>
        <v/>
      </c>
      <c r="CC156" s="1317" t="str">
        <f ca="1">IF(INDIRECT("'SpxSp (step-d)'!$B" &amp; CC$72)=$Z156,INDIRECT("'SpxSp (step-d)'!$" &amp; 'SpxSp (step-d)'!$AD$16 &amp; CC$72),"")</f>
        <v/>
      </c>
      <c r="CD156" s="1317" t="str">
        <f ca="1">IF(INDIRECT("'SpxSp (step-d)'!$B" &amp; CD$72)=$Z156,INDIRECT("'SpxSp (step-d)'!$" &amp; 'SpxSp (step-d)'!$AD$16 &amp; CD$72),"")</f>
        <v/>
      </c>
      <c r="CE156" s="1317" t="str">
        <f ca="1">IF(INDIRECT("'SpxSp (step-d)'!$B" &amp; CE$72)=$Z156,INDIRECT("'SpxSp (step-d)'!$" &amp; 'SpxSp (step-d)'!$AD$16 &amp; CE$72),"")</f>
        <v/>
      </c>
      <c r="CF156" s="1317" t="str">
        <f ca="1">IF(INDIRECT("'SpxSp (step-d)'!$B" &amp; CF$72)=$Z156,INDIRECT("'SpxSp (step-d)'!$" &amp; 'SpxSp (step-d)'!$AD$16 &amp; CF$72),"")</f>
        <v/>
      </c>
      <c r="CG156" s="1317" t="str">
        <f ca="1">IF(INDIRECT("'SpxSp (step-d)'!$B" &amp; CG$72)=$Z156,INDIRECT("'SpxSp (step-d)'!$" &amp; 'SpxSp (step-d)'!$AD$16 &amp; CG$72),"")</f>
        <v/>
      </c>
      <c r="CH156" s="1317" t="str">
        <f ca="1">IF(INDIRECT("'SpxSp (step-d)'!$B" &amp; CH$72)=$Z156,INDIRECT("'SpxSp (step-d)'!$" &amp; 'SpxSp (step-d)'!$AD$16 &amp; CH$72),"")</f>
        <v/>
      </c>
      <c r="CI156" s="1317" t="str">
        <f ca="1">IF(INDIRECT("'SpxSp (step-d)'!$B" &amp; CI$72)=$Z156,INDIRECT("'SpxSp (step-d)'!$" &amp; 'SpxSp (step-d)'!$AD$16 &amp; CI$72),"")</f>
        <v/>
      </c>
      <c r="CJ156" s="1317" t="str">
        <f ca="1">IF(INDIRECT("'SpxSp (step-d)'!$B" &amp; CJ$72)=$Z156,INDIRECT("'SpxSp (step-d)'!$" &amp; 'SpxSp (step-d)'!$AD$16 &amp; CJ$72),"")</f>
        <v/>
      </c>
      <c r="CK156" s="1317" t="str">
        <f ca="1">IF(INDIRECT("'SpxSp (step-d)'!$B" &amp; CK$72)=$Z156,INDIRECT("'SpxSp (step-d)'!$" &amp; 'SpxSp (step-d)'!$AD$16 &amp; CK$72),"")</f>
        <v/>
      </c>
      <c r="CL156" s="1317" t="str">
        <f ca="1">IF(INDIRECT("'SpxSp (step-d)'!$B" &amp; CL$72)=$Z156,INDIRECT("'SpxSp (step-d)'!$" &amp; 'SpxSp (step-d)'!$AD$16 &amp; CL$72),"")</f>
        <v/>
      </c>
      <c r="CM156" s="1317" t="str">
        <f ca="1">IF(INDIRECT("'SpxSp (step-d)'!$B" &amp; CM$72)=$Z156,INDIRECT("'SpxSp (step-d)'!$" &amp; 'SpxSp (step-d)'!$AD$16 &amp; CM$72),"")</f>
        <v/>
      </c>
      <c r="CN156" s="1317" t="str">
        <f ca="1">IF(INDIRECT("'SpxSp (step-d)'!$B" &amp; CN$72)=$Z156,INDIRECT("'SpxSp (step-d)'!$" &amp; 'SpxSp (step-d)'!$AD$16 &amp; CN$72),"")</f>
        <v/>
      </c>
      <c r="CO156" s="1317" t="str">
        <f ca="1">IF(INDIRECT("'SpxSp (step-d)'!$B" &amp; CO$72)=$Z156,INDIRECT("'SpxSp (step-d)'!$" &amp; 'SpxSp (step-d)'!$AD$16 &amp; CO$72),"")</f>
        <v/>
      </c>
      <c r="CP156" s="1317" t="str">
        <f ca="1">IF(INDIRECT("'SpxSp (step-d)'!$B" &amp; CP$72)=$Z156,INDIRECT("'SpxSp (step-d)'!$" &amp; 'SpxSp (step-d)'!$AD$16 &amp; CP$72),"")</f>
        <v/>
      </c>
      <c r="CQ156" s="1317" t="str">
        <f ca="1">IF(INDIRECT("'SpxSp (step-d)'!$B" &amp; CQ$72)=$Z156,INDIRECT("'SpxSp (step-d)'!$" &amp; 'SpxSp (step-d)'!$AD$16 &amp; CQ$72),"")</f>
        <v/>
      </c>
      <c r="CR156" s="1317" t="str">
        <f ca="1">IF(INDIRECT("'SpxSp (step-d)'!$B" &amp; CR$72)=$Z156,INDIRECT("'SpxSp (step-d)'!$" &amp; 'SpxSp (step-d)'!$AD$16 &amp; CR$72),"")</f>
        <v/>
      </c>
      <c r="CS156" s="1317" t="str">
        <f ca="1">IF(INDIRECT("'SpxSp (step-d)'!$B" &amp; CS$72)=$Z156,INDIRECT("'SpxSp (step-d)'!$" &amp; 'SpxSp (step-d)'!$AD$16 &amp; CS$72),"")</f>
        <v/>
      </c>
      <c r="CT156" s="1317" t="str">
        <f ca="1">IF(INDIRECT("'SpxSp (step-d)'!$B" &amp; CT$72)=$Z156,INDIRECT("'SpxSp (step-d)'!$" &amp; 'SpxSp (step-d)'!$AD$16 &amp; CT$72),"")</f>
        <v/>
      </c>
      <c r="CU156" s="1317" t="str">
        <f ca="1">IF(INDIRECT("'SpxSp (step-d)'!$B" &amp; CU$72)=$Z156,INDIRECT("'SpxSp (step-d)'!$" &amp; 'SpxSp (step-d)'!$AD$16 &amp; CU$72),"")</f>
        <v/>
      </c>
      <c r="CV156" s="1317" t="str">
        <f ca="1">IF(INDIRECT("'SpxSp (step-d)'!$B" &amp; CV$72)=$Z156,INDIRECT("'SpxSp (step-d)'!$" &amp; 'SpxSp (step-d)'!$AD$16 &amp; CV$72),"")</f>
        <v/>
      </c>
      <c r="CW156" s="1317" t="str">
        <f ca="1">IF(INDIRECT("'SpxSp (step-d)'!$B" &amp; CW$72)=$Z156,INDIRECT("'SpxSp (step-d)'!$" &amp; 'SpxSp (step-d)'!$AD$16 &amp; CW$72),"")</f>
        <v/>
      </c>
      <c r="CX156" s="1317" t="str">
        <f ca="1">IF(INDIRECT("'SpxSp (step-d)'!$B" &amp; CX$72)=$Z156,INDIRECT("'SpxSp (step-d)'!$" &amp; 'SpxSp (step-d)'!$AD$16 &amp; CX$72),"")</f>
        <v/>
      </c>
      <c r="CY156" s="1317" t="str">
        <f ca="1">IF(INDIRECT("'SpxSp (step-d)'!$B" &amp; CY$72)=$Z156,INDIRECT("'SpxSp (step-d)'!$" &amp; 'SpxSp (step-d)'!$AD$16 &amp; CY$72),"")</f>
        <v/>
      </c>
      <c r="CZ156" s="1317" t="str">
        <f ca="1">IF(INDIRECT("'SpxSp (step-d)'!$B" &amp; CZ$72)=$Z156,INDIRECT("'SpxSp (step-d)'!$" &amp; 'SpxSp (step-d)'!$AD$16 &amp; CZ$72),"")</f>
        <v/>
      </c>
      <c r="DA156" s="1317" t="str">
        <f ca="1">IF(INDIRECT("'SpxSp (step-d)'!$B" &amp; DA$72)=$Z156,INDIRECT("'SpxSp (step-d)'!$" &amp; 'SpxSp (step-d)'!$AD$16 &amp; DA$72),"")</f>
        <v/>
      </c>
      <c r="DB156" s="1317" t="str">
        <f ca="1">IF(INDIRECT("'SpxSp (step-d)'!$B" &amp; DB$72)=$Z156,INDIRECT("'SpxSp (step-d)'!$" &amp; 'SpxSp (step-d)'!$AD$16 &amp; DB$72),"")</f>
        <v/>
      </c>
      <c r="DC156" s="1317" t="str">
        <f ca="1">IF(INDIRECT("'SpxSp (step-d)'!$B" &amp; DC$72)=$Z156,INDIRECT("'SpxSp (step-d)'!$" &amp; 'SpxSp (step-d)'!$AD$16 &amp; DC$72),"")</f>
        <v/>
      </c>
      <c r="DD156" s="1317" t="str">
        <f ca="1">IF(INDIRECT("'SpxSp (step-d)'!$B" &amp; DD$72)=$Z156,INDIRECT("'SpxSp (step-d)'!$" &amp; 'SpxSp (step-d)'!$AD$16 &amp; DD$72),"")</f>
        <v/>
      </c>
      <c r="DE156" s="1317" t="str">
        <f ca="1">IF(INDIRECT("'SpxSp (step-d)'!$B" &amp; DE$72)=$Z156,INDIRECT("'SpxSp (step-d)'!$" &amp; 'SpxSp (step-d)'!$AD$16 &amp; DE$72),"")</f>
        <v/>
      </c>
      <c r="DF156" s="1317" t="str">
        <f ca="1">IF(INDIRECT("'SpxSp (step-d)'!$B" &amp; DF$72)=$Z156,INDIRECT("'SpxSp (step-d)'!$" &amp; 'SpxSp (step-d)'!$AD$16 &amp; DF$72),"")</f>
        <v/>
      </c>
      <c r="DG156" s="1317" t="str">
        <f ca="1">IF(INDIRECT("'SpxSp (step-d)'!$B" &amp; DG$72)=$Z156,INDIRECT("'SpxSp (step-d)'!$" &amp; 'SpxSp (step-d)'!$AD$16 &amp; DG$72),"")</f>
        <v/>
      </c>
      <c r="DH156" s="1317" t="str">
        <f ca="1">IF(INDIRECT("'SpxSp (step-d)'!$B" &amp; DH$72)=$Z156,INDIRECT("'SpxSp (step-d)'!$" &amp; 'SpxSp (step-d)'!$AD$16 &amp; DH$72),"")</f>
        <v/>
      </c>
      <c r="DI156" s="1317" t="str">
        <f ca="1">IF(INDIRECT("'SpxSp (step-d)'!$B" &amp; DI$72)=$Z156,INDIRECT("'SpxSp (step-d)'!$" &amp; 'SpxSp (step-d)'!$AD$16 &amp; DI$72),"")</f>
        <v/>
      </c>
      <c r="DJ156" s="1317" t="str">
        <f ca="1">IF(INDIRECT("'SpxSp (step-d)'!$B" &amp; DJ$72)=$Z156,INDIRECT("'SpxSp (step-d)'!$" &amp; 'SpxSp (step-d)'!$AD$16 &amp; DJ$72),"")</f>
        <v/>
      </c>
      <c r="DK156" s="1317" t="str">
        <f ca="1">IF(INDIRECT("'SpxSp (step-d)'!$B" &amp; DK$72)=$Z156,INDIRECT("'SpxSp (step-d)'!$" &amp; 'SpxSp (step-d)'!$AD$16 &amp; DK$72),"")</f>
        <v/>
      </c>
      <c r="DL156" s="1317" t="str">
        <f ca="1">IF(INDIRECT("'SpxSp (step-d)'!$B" &amp; DL$72)=$Z156,INDIRECT("'SpxSp (step-d)'!$" &amp; 'SpxSp (step-d)'!$AD$16 &amp; DL$72),"")</f>
        <v/>
      </c>
      <c r="DM156" s="1317" t="str">
        <f ca="1">IF(INDIRECT("'SpxSp (step-d)'!$B" &amp; DM$72)=$Z156,INDIRECT("'SpxSp (step-d)'!$" &amp; 'SpxSp (step-d)'!$AD$16 &amp; DM$72),"")</f>
        <v/>
      </c>
      <c r="DO156" s="1246" t="s">
        <v>1200</v>
      </c>
    </row>
    <row r="157" spans="26:119" ht="20" x14ac:dyDescent="0.2">
      <c r="Z157" s="1317" t="str">
        <f t="shared" ref="Z157:AA157" si="121">Z102</f>
        <v/>
      </c>
      <c r="AA157" s="1317" t="str">
        <f t="shared" si="121"/>
        <v/>
      </c>
      <c r="BM157" s="178" t="str">
        <f>IFERROR(VLOOKUP(Z157,'SpxSp (step-d)'!B$18:I$67,6,FALSE),"")</f>
        <v/>
      </c>
      <c r="BN157" s="178">
        <v>30</v>
      </c>
      <c r="BO157" s="1316" t="str">
        <f t="shared" ca="1" si="92"/>
        <v/>
      </c>
      <c r="BP157" s="1317" t="str">
        <f ca="1">IF(INDIRECT("'SpxSp (step-d)'!$B" &amp; BP$72)=$Z157,INDIRECT("'SpxSp (step-d)'!$" &amp; 'SpxSp (step-d)'!$AD$16 &amp; BP$72),"")</f>
        <v/>
      </c>
      <c r="BQ157" s="1317" t="str">
        <f ca="1">IF(INDIRECT("'SpxSp (step-d)'!$B" &amp; BQ$72)=$Z157,INDIRECT("'SpxSp (step-d)'!$" &amp; 'SpxSp (step-d)'!$AD$16 &amp; BQ$72),"")</f>
        <v/>
      </c>
      <c r="BR157" s="1317" t="str">
        <f ca="1">IF(INDIRECT("'SpxSp (step-d)'!$B" &amp; BR$72)=$Z157,INDIRECT("'SpxSp (step-d)'!$" &amp; 'SpxSp (step-d)'!$AD$16 &amp; BR$72),"")</f>
        <v/>
      </c>
      <c r="BS157" s="1317" t="str">
        <f ca="1">IF(INDIRECT("'SpxSp (step-d)'!$B" &amp; BS$72)=$Z157,INDIRECT("'SpxSp (step-d)'!$" &amp; 'SpxSp (step-d)'!$AD$16 &amp; BS$72),"")</f>
        <v/>
      </c>
      <c r="BT157" s="1317" t="str">
        <f ca="1">IF(INDIRECT("'SpxSp (step-d)'!$B" &amp; BT$72)=$Z157,INDIRECT("'SpxSp (step-d)'!$" &amp; 'SpxSp (step-d)'!$AD$16 &amp; BT$72),"")</f>
        <v/>
      </c>
      <c r="BU157" s="1317" t="str">
        <f ca="1">IF(INDIRECT("'SpxSp (step-d)'!$B" &amp; BU$72)=$Z157,INDIRECT("'SpxSp (step-d)'!$" &amp; 'SpxSp (step-d)'!$AD$16 &amp; BU$72),"")</f>
        <v/>
      </c>
      <c r="BV157" s="1317" t="str">
        <f ca="1">IF(INDIRECT("'SpxSp (step-d)'!$B" &amp; BV$72)=$Z157,INDIRECT("'SpxSp (step-d)'!$" &amp; 'SpxSp (step-d)'!$AD$16 &amp; BV$72),"")</f>
        <v/>
      </c>
      <c r="BW157" s="1317" t="str">
        <f ca="1">IF(INDIRECT("'SpxSp (step-d)'!$B" &amp; BW$72)=$Z157,INDIRECT("'SpxSp (step-d)'!$" &amp; 'SpxSp (step-d)'!$AD$16 &amp; BW$72),"")</f>
        <v/>
      </c>
      <c r="BX157" s="1317" t="str">
        <f ca="1">IF(INDIRECT("'SpxSp (step-d)'!$B" &amp; BX$72)=$Z157,INDIRECT("'SpxSp (step-d)'!$" &amp; 'SpxSp (step-d)'!$AD$16 &amp; BX$72),"")</f>
        <v/>
      </c>
      <c r="BY157" s="1317" t="str">
        <f ca="1">IF(INDIRECT("'SpxSp (step-d)'!$B" &amp; BY$72)=$Z157,INDIRECT("'SpxSp (step-d)'!$" &amp; 'SpxSp (step-d)'!$AD$16 &amp; BY$72),"")</f>
        <v/>
      </c>
      <c r="BZ157" s="1317" t="str">
        <f ca="1">IF(INDIRECT("'SpxSp (step-d)'!$B" &amp; BZ$72)=$Z157,INDIRECT("'SpxSp (step-d)'!$" &amp; 'SpxSp (step-d)'!$AD$16 &amp; BZ$72),"")</f>
        <v/>
      </c>
      <c r="CA157" s="1317" t="str">
        <f ca="1">IF(INDIRECT("'SpxSp (step-d)'!$B" &amp; CA$72)=$Z157,INDIRECT("'SpxSp (step-d)'!$" &amp; 'SpxSp (step-d)'!$AD$16 &amp; CA$72),"")</f>
        <v/>
      </c>
      <c r="CB157" s="1317" t="str">
        <f ca="1">IF(INDIRECT("'SpxSp (step-d)'!$B" &amp; CB$72)=$Z157,INDIRECT("'SpxSp (step-d)'!$" &amp; 'SpxSp (step-d)'!$AD$16 &amp; CB$72),"")</f>
        <v/>
      </c>
      <c r="CC157" s="1317" t="str">
        <f ca="1">IF(INDIRECT("'SpxSp (step-d)'!$B" &amp; CC$72)=$Z157,INDIRECT("'SpxSp (step-d)'!$" &amp; 'SpxSp (step-d)'!$AD$16 &amp; CC$72),"")</f>
        <v/>
      </c>
      <c r="CD157" s="1317" t="str">
        <f ca="1">IF(INDIRECT("'SpxSp (step-d)'!$B" &amp; CD$72)=$Z157,INDIRECT("'SpxSp (step-d)'!$" &amp; 'SpxSp (step-d)'!$AD$16 &amp; CD$72),"")</f>
        <v/>
      </c>
      <c r="CE157" s="1317" t="str">
        <f ca="1">IF(INDIRECT("'SpxSp (step-d)'!$B" &amp; CE$72)=$Z157,INDIRECT("'SpxSp (step-d)'!$" &amp; 'SpxSp (step-d)'!$AD$16 &amp; CE$72),"")</f>
        <v/>
      </c>
      <c r="CF157" s="1317" t="str">
        <f ca="1">IF(INDIRECT("'SpxSp (step-d)'!$B" &amp; CF$72)=$Z157,INDIRECT("'SpxSp (step-d)'!$" &amp; 'SpxSp (step-d)'!$AD$16 &amp; CF$72),"")</f>
        <v/>
      </c>
      <c r="CG157" s="1317" t="str">
        <f ca="1">IF(INDIRECT("'SpxSp (step-d)'!$B" &amp; CG$72)=$Z157,INDIRECT("'SpxSp (step-d)'!$" &amp; 'SpxSp (step-d)'!$AD$16 &amp; CG$72),"")</f>
        <v/>
      </c>
      <c r="CH157" s="1317" t="str">
        <f ca="1">IF(INDIRECT("'SpxSp (step-d)'!$B" &amp; CH$72)=$Z157,INDIRECT("'SpxSp (step-d)'!$" &amp; 'SpxSp (step-d)'!$AD$16 &amp; CH$72),"")</f>
        <v/>
      </c>
      <c r="CI157" s="1317" t="str">
        <f ca="1">IF(INDIRECT("'SpxSp (step-d)'!$B" &amp; CI$72)=$Z157,INDIRECT("'SpxSp (step-d)'!$" &amp; 'SpxSp (step-d)'!$AD$16 &amp; CI$72),"")</f>
        <v/>
      </c>
      <c r="CJ157" s="1317" t="str">
        <f ca="1">IF(INDIRECT("'SpxSp (step-d)'!$B" &amp; CJ$72)=$Z157,INDIRECT("'SpxSp (step-d)'!$" &amp; 'SpxSp (step-d)'!$AD$16 &amp; CJ$72),"")</f>
        <v/>
      </c>
      <c r="CK157" s="1317" t="str">
        <f ca="1">IF(INDIRECT("'SpxSp (step-d)'!$B" &amp; CK$72)=$Z157,INDIRECT("'SpxSp (step-d)'!$" &amp; 'SpxSp (step-d)'!$AD$16 &amp; CK$72),"")</f>
        <v/>
      </c>
      <c r="CL157" s="1317" t="str">
        <f ca="1">IF(INDIRECT("'SpxSp (step-d)'!$B" &amp; CL$72)=$Z157,INDIRECT("'SpxSp (step-d)'!$" &amp; 'SpxSp (step-d)'!$AD$16 &amp; CL$72),"")</f>
        <v/>
      </c>
      <c r="CM157" s="1317" t="str">
        <f ca="1">IF(INDIRECT("'SpxSp (step-d)'!$B" &amp; CM$72)=$Z157,INDIRECT("'SpxSp (step-d)'!$" &amp; 'SpxSp (step-d)'!$AD$16 &amp; CM$72),"")</f>
        <v/>
      </c>
      <c r="CN157" s="1317" t="str">
        <f ca="1">IF(INDIRECT("'SpxSp (step-d)'!$B" &amp; CN$72)=$Z157,INDIRECT("'SpxSp (step-d)'!$" &amp; 'SpxSp (step-d)'!$AD$16 &amp; CN$72),"")</f>
        <v/>
      </c>
      <c r="CO157" s="1317" t="str">
        <f ca="1">IF(INDIRECT("'SpxSp (step-d)'!$B" &amp; CO$72)=$Z157,INDIRECT("'SpxSp (step-d)'!$" &amp; 'SpxSp (step-d)'!$AD$16 &amp; CO$72),"")</f>
        <v/>
      </c>
      <c r="CP157" s="1317" t="str">
        <f ca="1">IF(INDIRECT("'SpxSp (step-d)'!$B" &amp; CP$72)=$Z157,INDIRECT("'SpxSp (step-d)'!$" &amp; 'SpxSp (step-d)'!$AD$16 &amp; CP$72),"")</f>
        <v/>
      </c>
      <c r="CQ157" s="1317" t="str">
        <f ca="1">IF(INDIRECT("'SpxSp (step-d)'!$B" &amp; CQ$72)=$Z157,INDIRECT("'SpxSp (step-d)'!$" &amp; 'SpxSp (step-d)'!$AD$16 &amp; CQ$72),"")</f>
        <v/>
      </c>
      <c r="CR157" s="1317" t="str">
        <f ca="1">IF(INDIRECT("'SpxSp (step-d)'!$B" &amp; CR$72)=$Z157,INDIRECT("'SpxSp (step-d)'!$" &amp; 'SpxSp (step-d)'!$AD$16 &amp; CR$72),"")</f>
        <v/>
      </c>
      <c r="CS157" s="1317" t="str">
        <f ca="1">IF(INDIRECT("'SpxSp (step-d)'!$B" &amp; CS$72)=$Z157,INDIRECT("'SpxSp (step-d)'!$" &amp; 'SpxSp (step-d)'!$AD$16 &amp; CS$72),"")</f>
        <v/>
      </c>
      <c r="CT157" s="1317" t="str">
        <f ca="1">IF(INDIRECT("'SpxSp (step-d)'!$B" &amp; CT$72)=$Z157,INDIRECT("'SpxSp (step-d)'!$" &amp; 'SpxSp (step-d)'!$AD$16 &amp; CT$72),"")</f>
        <v/>
      </c>
      <c r="CU157" s="1317" t="str">
        <f ca="1">IF(INDIRECT("'SpxSp (step-d)'!$B" &amp; CU$72)=$Z157,INDIRECT("'SpxSp (step-d)'!$" &amp; 'SpxSp (step-d)'!$AD$16 &amp; CU$72),"")</f>
        <v/>
      </c>
      <c r="CV157" s="1317" t="str">
        <f ca="1">IF(INDIRECT("'SpxSp (step-d)'!$B" &amp; CV$72)=$Z157,INDIRECT("'SpxSp (step-d)'!$" &amp; 'SpxSp (step-d)'!$AD$16 &amp; CV$72),"")</f>
        <v/>
      </c>
      <c r="CW157" s="1317" t="str">
        <f ca="1">IF(INDIRECT("'SpxSp (step-d)'!$B" &amp; CW$72)=$Z157,INDIRECT("'SpxSp (step-d)'!$" &amp; 'SpxSp (step-d)'!$AD$16 &amp; CW$72),"")</f>
        <v/>
      </c>
      <c r="CX157" s="1317" t="str">
        <f ca="1">IF(INDIRECT("'SpxSp (step-d)'!$B" &amp; CX$72)=$Z157,INDIRECT("'SpxSp (step-d)'!$" &amp; 'SpxSp (step-d)'!$AD$16 &amp; CX$72),"")</f>
        <v/>
      </c>
      <c r="CY157" s="1317" t="str">
        <f ca="1">IF(INDIRECT("'SpxSp (step-d)'!$B" &amp; CY$72)=$Z157,INDIRECT("'SpxSp (step-d)'!$" &amp; 'SpxSp (step-d)'!$AD$16 &amp; CY$72),"")</f>
        <v/>
      </c>
      <c r="CZ157" s="1317" t="str">
        <f ca="1">IF(INDIRECT("'SpxSp (step-d)'!$B" &amp; CZ$72)=$Z157,INDIRECT("'SpxSp (step-d)'!$" &amp; 'SpxSp (step-d)'!$AD$16 &amp; CZ$72),"")</f>
        <v/>
      </c>
      <c r="DA157" s="1317" t="str">
        <f ca="1">IF(INDIRECT("'SpxSp (step-d)'!$B" &amp; DA$72)=$Z157,INDIRECT("'SpxSp (step-d)'!$" &amp; 'SpxSp (step-d)'!$AD$16 &amp; DA$72),"")</f>
        <v/>
      </c>
      <c r="DB157" s="1317" t="str">
        <f ca="1">IF(INDIRECT("'SpxSp (step-d)'!$B" &amp; DB$72)=$Z157,INDIRECT("'SpxSp (step-d)'!$" &amp; 'SpxSp (step-d)'!$AD$16 &amp; DB$72),"")</f>
        <v/>
      </c>
      <c r="DC157" s="1317" t="str">
        <f ca="1">IF(INDIRECT("'SpxSp (step-d)'!$B" &amp; DC$72)=$Z157,INDIRECT("'SpxSp (step-d)'!$" &amp; 'SpxSp (step-d)'!$AD$16 &amp; DC$72),"")</f>
        <v/>
      </c>
      <c r="DD157" s="1317" t="str">
        <f ca="1">IF(INDIRECT("'SpxSp (step-d)'!$B" &amp; DD$72)=$Z157,INDIRECT("'SpxSp (step-d)'!$" &amp; 'SpxSp (step-d)'!$AD$16 &amp; DD$72),"")</f>
        <v/>
      </c>
      <c r="DE157" s="1317" t="str">
        <f ca="1">IF(INDIRECT("'SpxSp (step-d)'!$B" &amp; DE$72)=$Z157,INDIRECT("'SpxSp (step-d)'!$" &amp; 'SpxSp (step-d)'!$AD$16 &amp; DE$72),"")</f>
        <v/>
      </c>
      <c r="DF157" s="1317" t="str">
        <f ca="1">IF(INDIRECT("'SpxSp (step-d)'!$B" &amp; DF$72)=$Z157,INDIRECT("'SpxSp (step-d)'!$" &amp; 'SpxSp (step-d)'!$AD$16 &amp; DF$72),"")</f>
        <v/>
      </c>
      <c r="DG157" s="1317" t="str">
        <f ca="1">IF(INDIRECT("'SpxSp (step-d)'!$B" &amp; DG$72)=$Z157,INDIRECT("'SpxSp (step-d)'!$" &amp; 'SpxSp (step-d)'!$AD$16 &amp; DG$72),"")</f>
        <v/>
      </c>
      <c r="DH157" s="1317" t="str">
        <f ca="1">IF(INDIRECT("'SpxSp (step-d)'!$B" &amp; DH$72)=$Z157,INDIRECT("'SpxSp (step-d)'!$" &amp; 'SpxSp (step-d)'!$AD$16 &amp; DH$72),"")</f>
        <v/>
      </c>
      <c r="DI157" s="1317" t="str">
        <f ca="1">IF(INDIRECT("'SpxSp (step-d)'!$B" &amp; DI$72)=$Z157,INDIRECT("'SpxSp (step-d)'!$" &amp; 'SpxSp (step-d)'!$AD$16 &amp; DI$72),"")</f>
        <v/>
      </c>
      <c r="DJ157" s="1317" t="str">
        <f ca="1">IF(INDIRECT("'SpxSp (step-d)'!$B" &amp; DJ$72)=$Z157,INDIRECT("'SpxSp (step-d)'!$" &amp; 'SpxSp (step-d)'!$AD$16 &amp; DJ$72),"")</f>
        <v/>
      </c>
      <c r="DK157" s="1317" t="str">
        <f ca="1">IF(INDIRECT("'SpxSp (step-d)'!$B" &amp; DK$72)=$Z157,INDIRECT("'SpxSp (step-d)'!$" &amp; 'SpxSp (step-d)'!$AD$16 &amp; DK$72),"")</f>
        <v/>
      </c>
      <c r="DL157" s="1317" t="str">
        <f ca="1">IF(INDIRECT("'SpxSp (step-d)'!$B" &amp; DL$72)=$Z157,INDIRECT("'SpxSp (step-d)'!$" &amp; 'SpxSp (step-d)'!$AD$16 &amp; DL$72),"")</f>
        <v/>
      </c>
      <c r="DM157" s="1317" t="str">
        <f ca="1">IF(INDIRECT("'SpxSp (step-d)'!$B" &amp; DM$72)=$Z157,INDIRECT("'SpxSp (step-d)'!$" &amp; 'SpxSp (step-d)'!$AD$16 &amp; DM$72),"")</f>
        <v/>
      </c>
      <c r="DO157" s="1246" t="s">
        <v>1200</v>
      </c>
    </row>
    <row r="158" spans="26:119" ht="20" x14ac:dyDescent="0.2">
      <c r="Z158" s="1317" t="str">
        <f t="shared" ref="Z158:AA158" si="122">Z103</f>
        <v/>
      </c>
      <c r="AA158" s="1317" t="str">
        <f t="shared" si="122"/>
        <v/>
      </c>
      <c r="BM158" s="178" t="str">
        <f>IFERROR(VLOOKUP(Z158,'SpxSp (step-d)'!B$18:I$67,6,FALSE),"")</f>
        <v/>
      </c>
      <c r="BN158" s="178">
        <v>31</v>
      </c>
      <c r="BO158" s="1316" t="str">
        <f t="shared" ca="1" si="92"/>
        <v/>
      </c>
      <c r="BP158" s="1317" t="str">
        <f ca="1">IF(INDIRECT("'SpxSp (step-d)'!$B" &amp; BP$72)=$Z158,INDIRECT("'SpxSp (step-d)'!$" &amp; 'SpxSp (step-d)'!$AD$16 &amp; BP$72),"")</f>
        <v/>
      </c>
      <c r="BQ158" s="1317" t="str">
        <f ca="1">IF(INDIRECT("'SpxSp (step-d)'!$B" &amp; BQ$72)=$Z158,INDIRECT("'SpxSp (step-d)'!$" &amp; 'SpxSp (step-d)'!$AD$16 &amp; BQ$72),"")</f>
        <v/>
      </c>
      <c r="BR158" s="1317" t="str">
        <f ca="1">IF(INDIRECT("'SpxSp (step-d)'!$B" &amp; BR$72)=$Z158,INDIRECT("'SpxSp (step-d)'!$" &amp; 'SpxSp (step-d)'!$AD$16 &amp; BR$72),"")</f>
        <v/>
      </c>
      <c r="BS158" s="1317" t="str">
        <f ca="1">IF(INDIRECT("'SpxSp (step-d)'!$B" &amp; BS$72)=$Z158,INDIRECT("'SpxSp (step-d)'!$" &amp; 'SpxSp (step-d)'!$AD$16 &amp; BS$72),"")</f>
        <v/>
      </c>
      <c r="BT158" s="1317" t="str">
        <f ca="1">IF(INDIRECT("'SpxSp (step-d)'!$B" &amp; BT$72)=$Z158,INDIRECT("'SpxSp (step-d)'!$" &amp; 'SpxSp (step-d)'!$AD$16 &amp; BT$72),"")</f>
        <v/>
      </c>
      <c r="BU158" s="1317" t="str">
        <f ca="1">IF(INDIRECT("'SpxSp (step-d)'!$B" &amp; BU$72)=$Z158,INDIRECT("'SpxSp (step-d)'!$" &amp; 'SpxSp (step-d)'!$AD$16 &amp; BU$72),"")</f>
        <v/>
      </c>
      <c r="BV158" s="1317" t="str">
        <f ca="1">IF(INDIRECT("'SpxSp (step-d)'!$B" &amp; BV$72)=$Z158,INDIRECT("'SpxSp (step-d)'!$" &amp; 'SpxSp (step-d)'!$AD$16 &amp; BV$72),"")</f>
        <v/>
      </c>
      <c r="BW158" s="1317" t="str">
        <f ca="1">IF(INDIRECT("'SpxSp (step-d)'!$B" &amp; BW$72)=$Z158,INDIRECT("'SpxSp (step-d)'!$" &amp; 'SpxSp (step-d)'!$AD$16 &amp; BW$72),"")</f>
        <v/>
      </c>
      <c r="BX158" s="1317" t="str">
        <f ca="1">IF(INDIRECT("'SpxSp (step-d)'!$B" &amp; BX$72)=$Z158,INDIRECT("'SpxSp (step-d)'!$" &amp; 'SpxSp (step-d)'!$AD$16 &amp; BX$72),"")</f>
        <v/>
      </c>
      <c r="BY158" s="1317" t="str">
        <f ca="1">IF(INDIRECT("'SpxSp (step-d)'!$B" &amp; BY$72)=$Z158,INDIRECT("'SpxSp (step-d)'!$" &amp; 'SpxSp (step-d)'!$AD$16 &amp; BY$72),"")</f>
        <v/>
      </c>
      <c r="BZ158" s="1317" t="str">
        <f ca="1">IF(INDIRECT("'SpxSp (step-d)'!$B" &amp; BZ$72)=$Z158,INDIRECT("'SpxSp (step-d)'!$" &amp; 'SpxSp (step-d)'!$AD$16 &amp; BZ$72),"")</f>
        <v/>
      </c>
      <c r="CA158" s="1317" t="str">
        <f ca="1">IF(INDIRECT("'SpxSp (step-d)'!$B" &amp; CA$72)=$Z158,INDIRECT("'SpxSp (step-d)'!$" &amp; 'SpxSp (step-d)'!$AD$16 &amp; CA$72),"")</f>
        <v/>
      </c>
      <c r="CB158" s="1317" t="str">
        <f ca="1">IF(INDIRECT("'SpxSp (step-d)'!$B" &amp; CB$72)=$Z158,INDIRECT("'SpxSp (step-d)'!$" &amp; 'SpxSp (step-d)'!$AD$16 &amp; CB$72),"")</f>
        <v/>
      </c>
      <c r="CC158" s="1317" t="str">
        <f ca="1">IF(INDIRECT("'SpxSp (step-d)'!$B" &amp; CC$72)=$Z158,INDIRECT("'SpxSp (step-d)'!$" &amp; 'SpxSp (step-d)'!$AD$16 &amp; CC$72),"")</f>
        <v/>
      </c>
      <c r="CD158" s="1317" t="str">
        <f ca="1">IF(INDIRECT("'SpxSp (step-d)'!$B" &amp; CD$72)=$Z158,INDIRECT("'SpxSp (step-d)'!$" &amp; 'SpxSp (step-d)'!$AD$16 &amp; CD$72),"")</f>
        <v/>
      </c>
      <c r="CE158" s="1317" t="str">
        <f ca="1">IF(INDIRECT("'SpxSp (step-d)'!$B" &amp; CE$72)=$Z158,INDIRECT("'SpxSp (step-d)'!$" &amp; 'SpxSp (step-d)'!$AD$16 &amp; CE$72),"")</f>
        <v/>
      </c>
      <c r="CF158" s="1317" t="str">
        <f ca="1">IF(INDIRECT("'SpxSp (step-d)'!$B" &amp; CF$72)=$Z158,INDIRECT("'SpxSp (step-d)'!$" &amp; 'SpxSp (step-d)'!$AD$16 &amp; CF$72),"")</f>
        <v/>
      </c>
      <c r="CG158" s="1317" t="str">
        <f ca="1">IF(INDIRECT("'SpxSp (step-d)'!$B" &amp; CG$72)=$Z158,INDIRECT("'SpxSp (step-d)'!$" &amp; 'SpxSp (step-d)'!$AD$16 &amp; CG$72),"")</f>
        <v/>
      </c>
      <c r="CH158" s="1317" t="str">
        <f ca="1">IF(INDIRECT("'SpxSp (step-d)'!$B" &amp; CH$72)=$Z158,INDIRECT("'SpxSp (step-d)'!$" &amp; 'SpxSp (step-d)'!$AD$16 &amp; CH$72),"")</f>
        <v/>
      </c>
      <c r="CI158" s="1317" t="str">
        <f ca="1">IF(INDIRECT("'SpxSp (step-d)'!$B" &amp; CI$72)=$Z158,INDIRECT("'SpxSp (step-d)'!$" &amp; 'SpxSp (step-d)'!$AD$16 &amp; CI$72),"")</f>
        <v/>
      </c>
      <c r="CJ158" s="1317" t="str">
        <f ca="1">IF(INDIRECT("'SpxSp (step-d)'!$B" &amp; CJ$72)=$Z158,INDIRECT("'SpxSp (step-d)'!$" &amp; 'SpxSp (step-d)'!$AD$16 &amp; CJ$72),"")</f>
        <v/>
      </c>
      <c r="CK158" s="1317" t="str">
        <f ca="1">IF(INDIRECT("'SpxSp (step-d)'!$B" &amp; CK$72)=$Z158,INDIRECT("'SpxSp (step-d)'!$" &amp; 'SpxSp (step-d)'!$AD$16 &amp; CK$72),"")</f>
        <v/>
      </c>
      <c r="CL158" s="1317" t="str">
        <f ca="1">IF(INDIRECT("'SpxSp (step-d)'!$B" &amp; CL$72)=$Z158,INDIRECT("'SpxSp (step-d)'!$" &amp; 'SpxSp (step-d)'!$AD$16 &amp; CL$72),"")</f>
        <v/>
      </c>
      <c r="CM158" s="1317" t="str">
        <f ca="1">IF(INDIRECT("'SpxSp (step-d)'!$B" &amp; CM$72)=$Z158,INDIRECT("'SpxSp (step-d)'!$" &amp; 'SpxSp (step-d)'!$AD$16 &amp; CM$72),"")</f>
        <v/>
      </c>
      <c r="CN158" s="1317" t="str">
        <f ca="1">IF(INDIRECT("'SpxSp (step-d)'!$B" &amp; CN$72)=$Z158,INDIRECT("'SpxSp (step-d)'!$" &amp; 'SpxSp (step-d)'!$AD$16 &amp; CN$72),"")</f>
        <v/>
      </c>
      <c r="CO158" s="1317" t="str">
        <f ca="1">IF(INDIRECT("'SpxSp (step-d)'!$B" &amp; CO$72)=$Z158,INDIRECT("'SpxSp (step-d)'!$" &amp; 'SpxSp (step-d)'!$AD$16 &amp; CO$72),"")</f>
        <v/>
      </c>
      <c r="CP158" s="1317" t="str">
        <f ca="1">IF(INDIRECT("'SpxSp (step-d)'!$B" &amp; CP$72)=$Z158,INDIRECT("'SpxSp (step-d)'!$" &amp; 'SpxSp (step-d)'!$AD$16 &amp; CP$72),"")</f>
        <v/>
      </c>
      <c r="CQ158" s="1317" t="str">
        <f ca="1">IF(INDIRECT("'SpxSp (step-d)'!$B" &amp; CQ$72)=$Z158,INDIRECT("'SpxSp (step-d)'!$" &amp; 'SpxSp (step-d)'!$AD$16 &amp; CQ$72),"")</f>
        <v/>
      </c>
      <c r="CR158" s="1317" t="str">
        <f ca="1">IF(INDIRECT("'SpxSp (step-d)'!$B" &amp; CR$72)=$Z158,INDIRECT("'SpxSp (step-d)'!$" &amp; 'SpxSp (step-d)'!$AD$16 &amp; CR$72),"")</f>
        <v/>
      </c>
      <c r="CS158" s="1317" t="str">
        <f ca="1">IF(INDIRECT("'SpxSp (step-d)'!$B" &amp; CS$72)=$Z158,INDIRECT("'SpxSp (step-d)'!$" &amp; 'SpxSp (step-d)'!$AD$16 &amp; CS$72),"")</f>
        <v/>
      </c>
      <c r="CT158" s="1317" t="str">
        <f ca="1">IF(INDIRECT("'SpxSp (step-d)'!$B" &amp; CT$72)=$Z158,INDIRECT("'SpxSp (step-d)'!$" &amp; 'SpxSp (step-d)'!$AD$16 &amp; CT$72),"")</f>
        <v/>
      </c>
      <c r="CU158" s="1317" t="str">
        <f ca="1">IF(INDIRECT("'SpxSp (step-d)'!$B" &amp; CU$72)=$Z158,INDIRECT("'SpxSp (step-d)'!$" &amp; 'SpxSp (step-d)'!$AD$16 &amp; CU$72),"")</f>
        <v/>
      </c>
      <c r="CV158" s="1317" t="str">
        <f ca="1">IF(INDIRECT("'SpxSp (step-d)'!$B" &amp; CV$72)=$Z158,INDIRECT("'SpxSp (step-d)'!$" &amp; 'SpxSp (step-d)'!$AD$16 &amp; CV$72),"")</f>
        <v/>
      </c>
      <c r="CW158" s="1317" t="str">
        <f ca="1">IF(INDIRECT("'SpxSp (step-d)'!$B" &amp; CW$72)=$Z158,INDIRECT("'SpxSp (step-d)'!$" &amp; 'SpxSp (step-d)'!$AD$16 &amp; CW$72),"")</f>
        <v/>
      </c>
      <c r="CX158" s="1317" t="str">
        <f ca="1">IF(INDIRECT("'SpxSp (step-d)'!$B" &amp; CX$72)=$Z158,INDIRECT("'SpxSp (step-d)'!$" &amp; 'SpxSp (step-d)'!$AD$16 &amp; CX$72),"")</f>
        <v/>
      </c>
      <c r="CY158" s="1317" t="str">
        <f ca="1">IF(INDIRECT("'SpxSp (step-d)'!$B" &amp; CY$72)=$Z158,INDIRECT("'SpxSp (step-d)'!$" &amp; 'SpxSp (step-d)'!$AD$16 &amp; CY$72),"")</f>
        <v/>
      </c>
      <c r="CZ158" s="1317" t="str">
        <f ca="1">IF(INDIRECT("'SpxSp (step-d)'!$B" &amp; CZ$72)=$Z158,INDIRECT("'SpxSp (step-d)'!$" &amp; 'SpxSp (step-d)'!$AD$16 &amp; CZ$72),"")</f>
        <v/>
      </c>
      <c r="DA158" s="1317" t="str">
        <f ca="1">IF(INDIRECT("'SpxSp (step-d)'!$B" &amp; DA$72)=$Z158,INDIRECT("'SpxSp (step-d)'!$" &amp; 'SpxSp (step-d)'!$AD$16 &amp; DA$72),"")</f>
        <v/>
      </c>
      <c r="DB158" s="1317" t="str">
        <f ca="1">IF(INDIRECT("'SpxSp (step-d)'!$B" &amp; DB$72)=$Z158,INDIRECT("'SpxSp (step-d)'!$" &amp; 'SpxSp (step-d)'!$AD$16 &amp; DB$72),"")</f>
        <v/>
      </c>
      <c r="DC158" s="1317" t="str">
        <f ca="1">IF(INDIRECT("'SpxSp (step-d)'!$B" &amp; DC$72)=$Z158,INDIRECT("'SpxSp (step-d)'!$" &amp; 'SpxSp (step-d)'!$AD$16 &amp; DC$72),"")</f>
        <v/>
      </c>
      <c r="DD158" s="1317" t="str">
        <f ca="1">IF(INDIRECT("'SpxSp (step-d)'!$B" &amp; DD$72)=$Z158,INDIRECT("'SpxSp (step-d)'!$" &amp; 'SpxSp (step-d)'!$AD$16 &amp; DD$72),"")</f>
        <v/>
      </c>
      <c r="DE158" s="1317" t="str">
        <f ca="1">IF(INDIRECT("'SpxSp (step-d)'!$B" &amp; DE$72)=$Z158,INDIRECT("'SpxSp (step-d)'!$" &amp; 'SpxSp (step-d)'!$AD$16 &amp; DE$72),"")</f>
        <v/>
      </c>
      <c r="DF158" s="1317" t="str">
        <f ca="1">IF(INDIRECT("'SpxSp (step-d)'!$B" &amp; DF$72)=$Z158,INDIRECT("'SpxSp (step-d)'!$" &amp; 'SpxSp (step-d)'!$AD$16 &amp; DF$72),"")</f>
        <v/>
      </c>
      <c r="DG158" s="1317" t="str">
        <f ca="1">IF(INDIRECT("'SpxSp (step-d)'!$B" &amp; DG$72)=$Z158,INDIRECT("'SpxSp (step-d)'!$" &amp; 'SpxSp (step-d)'!$AD$16 &amp; DG$72),"")</f>
        <v/>
      </c>
      <c r="DH158" s="1317" t="str">
        <f ca="1">IF(INDIRECT("'SpxSp (step-d)'!$B" &amp; DH$72)=$Z158,INDIRECT("'SpxSp (step-d)'!$" &amp; 'SpxSp (step-d)'!$AD$16 &amp; DH$72),"")</f>
        <v/>
      </c>
      <c r="DI158" s="1317" t="str">
        <f ca="1">IF(INDIRECT("'SpxSp (step-d)'!$B" &amp; DI$72)=$Z158,INDIRECT("'SpxSp (step-d)'!$" &amp; 'SpxSp (step-d)'!$AD$16 &amp; DI$72),"")</f>
        <v/>
      </c>
      <c r="DJ158" s="1317" t="str">
        <f ca="1">IF(INDIRECT("'SpxSp (step-d)'!$B" &amp; DJ$72)=$Z158,INDIRECT("'SpxSp (step-d)'!$" &amp; 'SpxSp (step-d)'!$AD$16 &amp; DJ$72),"")</f>
        <v/>
      </c>
      <c r="DK158" s="1317" t="str">
        <f ca="1">IF(INDIRECT("'SpxSp (step-d)'!$B" &amp; DK$72)=$Z158,INDIRECT("'SpxSp (step-d)'!$" &amp; 'SpxSp (step-d)'!$AD$16 &amp; DK$72),"")</f>
        <v/>
      </c>
      <c r="DL158" s="1317" t="str">
        <f ca="1">IF(INDIRECT("'SpxSp (step-d)'!$B" &amp; DL$72)=$Z158,INDIRECT("'SpxSp (step-d)'!$" &amp; 'SpxSp (step-d)'!$AD$16 &amp; DL$72),"")</f>
        <v/>
      </c>
      <c r="DM158" s="1317" t="str">
        <f ca="1">IF(INDIRECT("'SpxSp (step-d)'!$B" &amp; DM$72)=$Z158,INDIRECT("'SpxSp (step-d)'!$" &amp; 'SpxSp (step-d)'!$AD$16 &amp; DM$72),"")</f>
        <v/>
      </c>
      <c r="DO158" s="1246" t="s">
        <v>1200</v>
      </c>
    </row>
    <row r="159" spans="26:119" ht="20" x14ac:dyDescent="0.2">
      <c r="Z159" s="1317" t="str">
        <f t="shared" ref="Z159:AA159" si="123">Z104</f>
        <v/>
      </c>
      <c r="AA159" s="1317" t="str">
        <f t="shared" si="123"/>
        <v/>
      </c>
      <c r="BM159" s="178" t="str">
        <f>IFERROR(VLOOKUP(Z159,'SpxSp (step-d)'!B$18:I$67,6,FALSE),"")</f>
        <v/>
      </c>
      <c r="BN159" s="178">
        <v>32</v>
      </c>
      <c r="BO159" s="1316" t="str">
        <f t="shared" ca="1" si="92"/>
        <v/>
      </c>
      <c r="BP159" s="1317" t="str">
        <f ca="1">IF(INDIRECT("'SpxSp (step-d)'!$B" &amp; BP$72)=$Z159,INDIRECT("'SpxSp (step-d)'!$" &amp; 'SpxSp (step-d)'!$AD$16 &amp; BP$72),"")</f>
        <v/>
      </c>
      <c r="BQ159" s="1317" t="str">
        <f ca="1">IF(INDIRECT("'SpxSp (step-d)'!$B" &amp; BQ$72)=$Z159,INDIRECT("'SpxSp (step-d)'!$" &amp; 'SpxSp (step-d)'!$AD$16 &amp; BQ$72),"")</f>
        <v/>
      </c>
      <c r="BR159" s="1317" t="str">
        <f ca="1">IF(INDIRECT("'SpxSp (step-d)'!$B" &amp; BR$72)=$Z159,INDIRECT("'SpxSp (step-d)'!$" &amp; 'SpxSp (step-d)'!$AD$16 &amp; BR$72),"")</f>
        <v/>
      </c>
      <c r="BS159" s="1317" t="str">
        <f ca="1">IF(INDIRECT("'SpxSp (step-d)'!$B" &amp; BS$72)=$Z159,INDIRECT("'SpxSp (step-d)'!$" &amp; 'SpxSp (step-d)'!$AD$16 &amp; BS$72),"")</f>
        <v/>
      </c>
      <c r="BT159" s="1317" t="str">
        <f ca="1">IF(INDIRECT("'SpxSp (step-d)'!$B" &amp; BT$72)=$Z159,INDIRECT("'SpxSp (step-d)'!$" &amp; 'SpxSp (step-d)'!$AD$16 &amp; BT$72),"")</f>
        <v/>
      </c>
      <c r="BU159" s="1317" t="str">
        <f ca="1">IF(INDIRECT("'SpxSp (step-d)'!$B" &amp; BU$72)=$Z159,INDIRECT("'SpxSp (step-d)'!$" &amp; 'SpxSp (step-d)'!$AD$16 &amp; BU$72),"")</f>
        <v/>
      </c>
      <c r="BV159" s="1317" t="str">
        <f ca="1">IF(INDIRECT("'SpxSp (step-d)'!$B" &amp; BV$72)=$Z159,INDIRECT("'SpxSp (step-d)'!$" &amp; 'SpxSp (step-d)'!$AD$16 &amp; BV$72),"")</f>
        <v/>
      </c>
      <c r="BW159" s="1317" t="str">
        <f ca="1">IF(INDIRECT("'SpxSp (step-d)'!$B" &amp; BW$72)=$Z159,INDIRECT("'SpxSp (step-d)'!$" &amp; 'SpxSp (step-d)'!$AD$16 &amp; BW$72),"")</f>
        <v/>
      </c>
      <c r="BX159" s="1317" t="str">
        <f ca="1">IF(INDIRECT("'SpxSp (step-d)'!$B" &amp; BX$72)=$Z159,INDIRECT("'SpxSp (step-d)'!$" &amp; 'SpxSp (step-d)'!$AD$16 &amp; BX$72),"")</f>
        <v/>
      </c>
      <c r="BY159" s="1317" t="str">
        <f ca="1">IF(INDIRECT("'SpxSp (step-d)'!$B" &amp; BY$72)=$Z159,INDIRECT("'SpxSp (step-d)'!$" &amp; 'SpxSp (step-d)'!$AD$16 &amp; BY$72),"")</f>
        <v/>
      </c>
      <c r="BZ159" s="1317" t="str">
        <f ca="1">IF(INDIRECT("'SpxSp (step-d)'!$B" &amp; BZ$72)=$Z159,INDIRECT("'SpxSp (step-d)'!$" &amp; 'SpxSp (step-d)'!$AD$16 &amp; BZ$72),"")</f>
        <v/>
      </c>
      <c r="CA159" s="1317" t="str">
        <f ca="1">IF(INDIRECT("'SpxSp (step-d)'!$B" &amp; CA$72)=$Z159,INDIRECT("'SpxSp (step-d)'!$" &amp; 'SpxSp (step-d)'!$AD$16 &amp; CA$72),"")</f>
        <v/>
      </c>
      <c r="CB159" s="1317" t="str">
        <f ca="1">IF(INDIRECT("'SpxSp (step-d)'!$B" &amp; CB$72)=$Z159,INDIRECT("'SpxSp (step-d)'!$" &amp; 'SpxSp (step-d)'!$AD$16 &amp; CB$72),"")</f>
        <v/>
      </c>
      <c r="CC159" s="1317" t="str">
        <f ca="1">IF(INDIRECT("'SpxSp (step-d)'!$B" &amp; CC$72)=$Z159,INDIRECT("'SpxSp (step-d)'!$" &amp; 'SpxSp (step-d)'!$AD$16 &amp; CC$72),"")</f>
        <v/>
      </c>
      <c r="CD159" s="1317" t="str">
        <f ca="1">IF(INDIRECT("'SpxSp (step-d)'!$B" &amp; CD$72)=$Z159,INDIRECT("'SpxSp (step-d)'!$" &amp; 'SpxSp (step-d)'!$AD$16 &amp; CD$72),"")</f>
        <v/>
      </c>
      <c r="CE159" s="1317" t="str">
        <f ca="1">IF(INDIRECT("'SpxSp (step-d)'!$B" &amp; CE$72)=$Z159,INDIRECT("'SpxSp (step-d)'!$" &amp; 'SpxSp (step-d)'!$AD$16 &amp; CE$72),"")</f>
        <v/>
      </c>
      <c r="CF159" s="1317" t="str">
        <f ca="1">IF(INDIRECT("'SpxSp (step-d)'!$B" &amp; CF$72)=$Z159,INDIRECT("'SpxSp (step-d)'!$" &amp; 'SpxSp (step-d)'!$AD$16 &amp; CF$72),"")</f>
        <v/>
      </c>
      <c r="CG159" s="1317" t="str">
        <f ca="1">IF(INDIRECT("'SpxSp (step-d)'!$B" &amp; CG$72)=$Z159,INDIRECT("'SpxSp (step-d)'!$" &amp; 'SpxSp (step-d)'!$AD$16 &amp; CG$72),"")</f>
        <v/>
      </c>
      <c r="CH159" s="1317" t="str">
        <f ca="1">IF(INDIRECT("'SpxSp (step-d)'!$B" &amp; CH$72)=$Z159,INDIRECT("'SpxSp (step-d)'!$" &amp; 'SpxSp (step-d)'!$AD$16 &amp; CH$72),"")</f>
        <v/>
      </c>
      <c r="CI159" s="1317" t="str">
        <f ca="1">IF(INDIRECT("'SpxSp (step-d)'!$B" &amp; CI$72)=$Z159,INDIRECT("'SpxSp (step-d)'!$" &amp; 'SpxSp (step-d)'!$AD$16 &amp; CI$72),"")</f>
        <v/>
      </c>
      <c r="CJ159" s="1317" t="str">
        <f ca="1">IF(INDIRECT("'SpxSp (step-d)'!$B" &amp; CJ$72)=$Z159,INDIRECT("'SpxSp (step-d)'!$" &amp; 'SpxSp (step-d)'!$AD$16 &amp; CJ$72),"")</f>
        <v/>
      </c>
      <c r="CK159" s="1317" t="str">
        <f ca="1">IF(INDIRECT("'SpxSp (step-d)'!$B" &amp; CK$72)=$Z159,INDIRECT("'SpxSp (step-d)'!$" &amp; 'SpxSp (step-d)'!$AD$16 &amp; CK$72),"")</f>
        <v/>
      </c>
      <c r="CL159" s="1317" t="str">
        <f ca="1">IF(INDIRECT("'SpxSp (step-d)'!$B" &amp; CL$72)=$Z159,INDIRECT("'SpxSp (step-d)'!$" &amp; 'SpxSp (step-d)'!$AD$16 &amp; CL$72),"")</f>
        <v/>
      </c>
      <c r="CM159" s="1317" t="str">
        <f ca="1">IF(INDIRECT("'SpxSp (step-d)'!$B" &amp; CM$72)=$Z159,INDIRECT("'SpxSp (step-d)'!$" &amp; 'SpxSp (step-d)'!$AD$16 &amp; CM$72),"")</f>
        <v/>
      </c>
      <c r="CN159" s="1317" t="str">
        <f ca="1">IF(INDIRECT("'SpxSp (step-d)'!$B" &amp; CN$72)=$Z159,INDIRECT("'SpxSp (step-d)'!$" &amp; 'SpxSp (step-d)'!$AD$16 &amp; CN$72),"")</f>
        <v/>
      </c>
      <c r="CO159" s="1317" t="str">
        <f ca="1">IF(INDIRECT("'SpxSp (step-d)'!$B" &amp; CO$72)=$Z159,INDIRECT("'SpxSp (step-d)'!$" &amp; 'SpxSp (step-d)'!$AD$16 &amp; CO$72),"")</f>
        <v/>
      </c>
      <c r="CP159" s="1317" t="str">
        <f ca="1">IF(INDIRECT("'SpxSp (step-d)'!$B" &amp; CP$72)=$Z159,INDIRECT("'SpxSp (step-d)'!$" &amp; 'SpxSp (step-d)'!$AD$16 &amp; CP$72),"")</f>
        <v/>
      </c>
      <c r="CQ159" s="1317" t="str">
        <f ca="1">IF(INDIRECT("'SpxSp (step-d)'!$B" &amp; CQ$72)=$Z159,INDIRECT("'SpxSp (step-d)'!$" &amp; 'SpxSp (step-d)'!$AD$16 &amp; CQ$72),"")</f>
        <v/>
      </c>
      <c r="CR159" s="1317" t="str">
        <f ca="1">IF(INDIRECT("'SpxSp (step-d)'!$B" &amp; CR$72)=$Z159,INDIRECT("'SpxSp (step-d)'!$" &amp; 'SpxSp (step-d)'!$AD$16 &amp; CR$72),"")</f>
        <v/>
      </c>
      <c r="CS159" s="1317" t="str">
        <f ca="1">IF(INDIRECT("'SpxSp (step-d)'!$B" &amp; CS$72)=$Z159,INDIRECT("'SpxSp (step-d)'!$" &amp; 'SpxSp (step-d)'!$AD$16 &amp; CS$72),"")</f>
        <v/>
      </c>
      <c r="CT159" s="1317" t="str">
        <f ca="1">IF(INDIRECT("'SpxSp (step-d)'!$B" &amp; CT$72)=$Z159,INDIRECT("'SpxSp (step-d)'!$" &amp; 'SpxSp (step-d)'!$AD$16 &amp; CT$72),"")</f>
        <v/>
      </c>
      <c r="CU159" s="1317" t="str">
        <f ca="1">IF(INDIRECT("'SpxSp (step-d)'!$B" &amp; CU$72)=$Z159,INDIRECT("'SpxSp (step-d)'!$" &amp; 'SpxSp (step-d)'!$AD$16 &amp; CU$72),"")</f>
        <v/>
      </c>
      <c r="CV159" s="1317" t="str">
        <f ca="1">IF(INDIRECT("'SpxSp (step-d)'!$B" &amp; CV$72)=$Z159,INDIRECT("'SpxSp (step-d)'!$" &amp; 'SpxSp (step-d)'!$AD$16 &amp; CV$72),"")</f>
        <v/>
      </c>
      <c r="CW159" s="1317" t="str">
        <f ca="1">IF(INDIRECT("'SpxSp (step-d)'!$B" &amp; CW$72)=$Z159,INDIRECT("'SpxSp (step-d)'!$" &amp; 'SpxSp (step-d)'!$AD$16 &amp; CW$72),"")</f>
        <v/>
      </c>
      <c r="CX159" s="1317" t="str">
        <f ca="1">IF(INDIRECT("'SpxSp (step-d)'!$B" &amp; CX$72)=$Z159,INDIRECT("'SpxSp (step-d)'!$" &amp; 'SpxSp (step-d)'!$AD$16 &amp; CX$72),"")</f>
        <v/>
      </c>
      <c r="CY159" s="1317" t="str">
        <f ca="1">IF(INDIRECT("'SpxSp (step-d)'!$B" &amp; CY$72)=$Z159,INDIRECT("'SpxSp (step-d)'!$" &amp; 'SpxSp (step-d)'!$AD$16 &amp; CY$72),"")</f>
        <v/>
      </c>
      <c r="CZ159" s="1317" t="str">
        <f ca="1">IF(INDIRECT("'SpxSp (step-d)'!$B" &amp; CZ$72)=$Z159,INDIRECT("'SpxSp (step-d)'!$" &amp; 'SpxSp (step-d)'!$AD$16 &amp; CZ$72),"")</f>
        <v/>
      </c>
      <c r="DA159" s="1317" t="str">
        <f ca="1">IF(INDIRECT("'SpxSp (step-d)'!$B" &amp; DA$72)=$Z159,INDIRECT("'SpxSp (step-d)'!$" &amp; 'SpxSp (step-d)'!$AD$16 &amp; DA$72),"")</f>
        <v/>
      </c>
      <c r="DB159" s="1317" t="str">
        <f ca="1">IF(INDIRECT("'SpxSp (step-d)'!$B" &amp; DB$72)=$Z159,INDIRECT("'SpxSp (step-d)'!$" &amp; 'SpxSp (step-d)'!$AD$16 &amp; DB$72),"")</f>
        <v/>
      </c>
      <c r="DC159" s="1317" t="str">
        <f ca="1">IF(INDIRECT("'SpxSp (step-d)'!$B" &amp; DC$72)=$Z159,INDIRECT("'SpxSp (step-d)'!$" &amp; 'SpxSp (step-d)'!$AD$16 &amp; DC$72),"")</f>
        <v/>
      </c>
      <c r="DD159" s="1317" t="str">
        <f ca="1">IF(INDIRECT("'SpxSp (step-d)'!$B" &amp; DD$72)=$Z159,INDIRECT("'SpxSp (step-d)'!$" &amp; 'SpxSp (step-d)'!$AD$16 &amp; DD$72),"")</f>
        <v/>
      </c>
      <c r="DE159" s="1317" t="str">
        <f ca="1">IF(INDIRECT("'SpxSp (step-d)'!$B" &amp; DE$72)=$Z159,INDIRECT("'SpxSp (step-d)'!$" &amp; 'SpxSp (step-d)'!$AD$16 &amp; DE$72),"")</f>
        <v/>
      </c>
      <c r="DF159" s="1317" t="str">
        <f ca="1">IF(INDIRECT("'SpxSp (step-d)'!$B" &amp; DF$72)=$Z159,INDIRECT("'SpxSp (step-d)'!$" &amp; 'SpxSp (step-d)'!$AD$16 &amp; DF$72),"")</f>
        <v/>
      </c>
      <c r="DG159" s="1317" t="str">
        <f ca="1">IF(INDIRECT("'SpxSp (step-d)'!$B" &amp; DG$72)=$Z159,INDIRECT("'SpxSp (step-d)'!$" &amp; 'SpxSp (step-d)'!$AD$16 &amp; DG$72),"")</f>
        <v/>
      </c>
      <c r="DH159" s="1317" t="str">
        <f ca="1">IF(INDIRECT("'SpxSp (step-d)'!$B" &amp; DH$72)=$Z159,INDIRECT("'SpxSp (step-d)'!$" &amp; 'SpxSp (step-d)'!$AD$16 &amp; DH$72),"")</f>
        <v/>
      </c>
      <c r="DI159" s="1317" t="str">
        <f ca="1">IF(INDIRECT("'SpxSp (step-d)'!$B" &amp; DI$72)=$Z159,INDIRECT("'SpxSp (step-d)'!$" &amp; 'SpxSp (step-d)'!$AD$16 &amp; DI$72),"")</f>
        <v/>
      </c>
      <c r="DJ159" s="1317" t="str">
        <f ca="1">IF(INDIRECT("'SpxSp (step-d)'!$B" &amp; DJ$72)=$Z159,INDIRECT("'SpxSp (step-d)'!$" &amp; 'SpxSp (step-d)'!$AD$16 &amp; DJ$72),"")</f>
        <v/>
      </c>
      <c r="DK159" s="1317" t="str">
        <f ca="1">IF(INDIRECT("'SpxSp (step-d)'!$B" &amp; DK$72)=$Z159,INDIRECT("'SpxSp (step-d)'!$" &amp; 'SpxSp (step-d)'!$AD$16 &amp; DK$72),"")</f>
        <v/>
      </c>
      <c r="DL159" s="1317" t="str">
        <f ca="1">IF(INDIRECT("'SpxSp (step-d)'!$B" &amp; DL$72)=$Z159,INDIRECT("'SpxSp (step-d)'!$" &amp; 'SpxSp (step-d)'!$AD$16 &amp; DL$72),"")</f>
        <v/>
      </c>
      <c r="DM159" s="1317" t="str">
        <f ca="1">IF(INDIRECT("'SpxSp (step-d)'!$B" &amp; DM$72)=$Z159,INDIRECT("'SpxSp (step-d)'!$" &amp; 'SpxSp (step-d)'!$AD$16 &amp; DM$72),"")</f>
        <v/>
      </c>
      <c r="DO159" s="1246" t="s">
        <v>1200</v>
      </c>
    </row>
    <row r="160" spans="26:119" ht="20" x14ac:dyDescent="0.2">
      <c r="Z160" s="1317" t="str">
        <f t="shared" ref="Z160:AA160" si="124">Z105</f>
        <v/>
      </c>
      <c r="AA160" s="1317" t="str">
        <f t="shared" si="124"/>
        <v/>
      </c>
      <c r="BM160" s="178" t="str">
        <f>IFERROR(VLOOKUP(Z160,'SpxSp (step-d)'!B$18:I$67,6,FALSE),"")</f>
        <v/>
      </c>
      <c r="BN160" s="178">
        <v>33</v>
      </c>
      <c r="BO160" s="1316" t="str">
        <f t="shared" ca="1" si="92"/>
        <v/>
      </c>
      <c r="BP160" s="1317" t="str">
        <f ca="1">IF(INDIRECT("'SpxSp (step-d)'!$B" &amp; BP$72)=$Z160,INDIRECT("'SpxSp (step-d)'!$" &amp; 'SpxSp (step-d)'!$AD$16 &amp; BP$72),"")</f>
        <v/>
      </c>
      <c r="BQ160" s="1317" t="str">
        <f ca="1">IF(INDIRECT("'SpxSp (step-d)'!$B" &amp; BQ$72)=$Z160,INDIRECT("'SpxSp (step-d)'!$" &amp; 'SpxSp (step-d)'!$AD$16 &amp; BQ$72),"")</f>
        <v/>
      </c>
      <c r="BR160" s="1317" t="str">
        <f ca="1">IF(INDIRECT("'SpxSp (step-d)'!$B" &amp; BR$72)=$Z160,INDIRECT("'SpxSp (step-d)'!$" &amp; 'SpxSp (step-d)'!$AD$16 &amp; BR$72),"")</f>
        <v/>
      </c>
      <c r="BS160" s="1317" t="str">
        <f ca="1">IF(INDIRECT("'SpxSp (step-d)'!$B" &amp; BS$72)=$Z160,INDIRECT("'SpxSp (step-d)'!$" &amp; 'SpxSp (step-d)'!$AD$16 &amp; BS$72),"")</f>
        <v/>
      </c>
      <c r="BT160" s="1317" t="str">
        <f ca="1">IF(INDIRECT("'SpxSp (step-d)'!$B" &amp; BT$72)=$Z160,INDIRECT("'SpxSp (step-d)'!$" &amp; 'SpxSp (step-d)'!$AD$16 &amp; BT$72),"")</f>
        <v/>
      </c>
      <c r="BU160" s="1317" t="str">
        <f ca="1">IF(INDIRECT("'SpxSp (step-d)'!$B" &amp; BU$72)=$Z160,INDIRECT("'SpxSp (step-d)'!$" &amp; 'SpxSp (step-d)'!$AD$16 &amp; BU$72),"")</f>
        <v/>
      </c>
      <c r="BV160" s="1317" t="str">
        <f ca="1">IF(INDIRECT("'SpxSp (step-d)'!$B" &amp; BV$72)=$Z160,INDIRECT("'SpxSp (step-d)'!$" &amp; 'SpxSp (step-d)'!$AD$16 &amp; BV$72),"")</f>
        <v/>
      </c>
      <c r="BW160" s="1317" t="str">
        <f ca="1">IF(INDIRECT("'SpxSp (step-d)'!$B" &amp; BW$72)=$Z160,INDIRECT("'SpxSp (step-d)'!$" &amp; 'SpxSp (step-d)'!$AD$16 &amp; BW$72),"")</f>
        <v/>
      </c>
      <c r="BX160" s="1317" t="str">
        <f ca="1">IF(INDIRECT("'SpxSp (step-d)'!$B" &amp; BX$72)=$Z160,INDIRECT("'SpxSp (step-d)'!$" &amp; 'SpxSp (step-d)'!$AD$16 &amp; BX$72),"")</f>
        <v/>
      </c>
      <c r="BY160" s="1317" t="str">
        <f ca="1">IF(INDIRECT("'SpxSp (step-d)'!$B" &amp; BY$72)=$Z160,INDIRECT("'SpxSp (step-d)'!$" &amp; 'SpxSp (step-d)'!$AD$16 &amp; BY$72),"")</f>
        <v/>
      </c>
      <c r="BZ160" s="1317" t="str">
        <f ca="1">IF(INDIRECT("'SpxSp (step-d)'!$B" &amp; BZ$72)=$Z160,INDIRECT("'SpxSp (step-d)'!$" &amp; 'SpxSp (step-d)'!$AD$16 &amp; BZ$72),"")</f>
        <v/>
      </c>
      <c r="CA160" s="1317" t="str">
        <f ca="1">IF(INDIRECT("'SpxSp (step-d)'!$B" &amp; CA$72)=$Z160,INDIRECT("'SpxSp (step-d)'!$" &amp; 'SpxSp (step-d)'!$AD$16 &amp; CA$72),"")</f>
        <v/>
      </c>
      <c r="CB160" s="1317" t="str">
        <f ca="1">IF(INDIRECT("'SpxSp (step-d)'!$B" &amp; CB$72)=$Z160,INDIRECT("'SpxSp (step-d)'!$" &amp; 'SpxSp (step-d)'!$AD$16 &amp; CB$72),"")</f>
        <v/>
      </c>
      <c r="CC160" s="1317" t="str">
        <f ca="1">IF(INDIRECT("'SpxSp (step-d)'!$B" &amp; CC$72)=$Z160,INDIRECT("'SpxSp (step-d)'!$" &amp; 'SpxSp (step-d)'!$AD$16 &amp; CC$72),"")</f>
        <v/>
      </c>
      <c r="CD160" s="1317" t="str">
        <f ca="1">IF(INDIRECT("'SpxSp (step-d)'!$B" &amp; CD$72)=$Z160,INDIRECT("'SpxSp (step-d)'!$" &amp; 'SpxSp (step-d)'!$AD$16 &amp; CD$72),"")</f>
        <v/>
      </c>
      <c r="CE160" s="1317" t="str">
        <f ca="1">IF(INDIRECT("'SpxSp (step-d)'!$B" &amp; CE$72)=$Z160,INDIRECT("'SpxSp (step-d)'!$" &amp; 'SpxSp (step-d)'!$AD$16 &amp; CE$72),"")</f>
        <v/>
      </c>
      <c r="CF160" s="1317" t="str">
        <f ca="1">IF(INDIRECT("'SpxSp (step-d)'!$B" &amp; CF$72)=$Z160,INDIRECT("'SpxSp (step-d)'!$" &amp; 'SpxSp (step-d)'!$AD$16 &amp; CF$72),"")</f>
        <v/>
      </c>
      <c r="CG160" s="1317" t="str">
        <f ca="1">IF(INDIRECT("'SpxSp (step-d)'!$B" &amp; CG$72)=$Z160,INDIRECT("'SpxSp (step-d)'!$" &amp; 'SpxSp (step-d)'!$AD$16 &amp; CG$72),"")</f>
        <v/>
      </c>
      <c r="CH160" s="1317" t="str">
        <f ca="1">IF(INDIRECT("'SpxSp (step-d)'!$B" &amp; CH$72)=$Z160,INDIRECT("'SpxSp (step-d)'!$" &amp; 'SpxSp (step-d)'!$AD$16 &amp; CH$72),"")</f>
        <v/>
      </c>
      <c r="CI160" s="1317" t="str">
        <f ca="1">IF(INDIRECT("'SpxSp (step-d)'!$B" &amp; CI$72)=$Z160,INDIRECT("'SpxSp (step-d)'!$" &amp; 'SpxSp (step-d)'!$AD$16 &amp; CI$72),"")</f>
        <v/>
      </c>
      <c r="CJ160" s="1317" t="str">
        <f ca="1">IF(INDIRECT("'SpxSp (step-d)'!$B" &amp; CJ$72)=$Z160,INDIRECT("'SpxSp (step-d)'!$" &amp; 'SpxSp (step-d)'!$AD$16 &amp; CJ$72),"")</f>
        <v/>
      </c>
      <c r="CK160" s="1317" t="str">
        <f ca="1">IF(INDIRECT("'SpxSp (step-d)'!$B" &amp; CK$72)=$Z160,INDIRECT("'SpxSp (step-d)'!$" &amp; 'SpxSp (step-d)'!$AD$16 &amp; CK$72),"")</f>
        <v/>
      </c>
      <c r="CL160" s="1317" t="str">
        <f ca="1">IF(INDIRECT("'SpxSp (step-d)'!$B" &amp; CL$72)=$Z160,INDIRECT("'SpxSp (step-d)'!$" &amp; 'SpxSp (step-d)'!$AD$16 &amp; CL$72),"")</f>
        <v/>
      </c>
      <c r="CM160" s="1317" t="str">
        <f ca="1">IF(INDIRECT("'SpxSp (step-d)'!$B" &amp; CM$72)=$Z160,INDIRECT("'SpxSp (step-d)'!$" &amp; 'SpxSp (step-d)'!$AD$16 &amp; CM$72),"")</f>
        <v/>
      </c>
      <c r="CN160" s="1317" t="str">
        <f ca="1">IF(INDIRECT("'SpxSp (step-d)'!$B" &amp; CN$72)=$Z160,INDIRECT("'SpxSp (step-d)'!$" &amp; 'SpxSp (step-d)'!$AD$16 &amp; CN$72),"")</f>
        <v/>
      </c>
      <c r="CO160" s="1317" t="str">
        <f ca="1">IF(INDIRECT("'SpxSp (step-d)'!$B" &amp; CO$72)=$Z160,INDIRECT("'SpxSp (step-d)'!$" &amp; 'SpxSp (step-d)'!$AD$16 &amp; CO$72),"")</f>
        <v/>
      </c>
      <c r="CP160" s="1317" t="str">
        <f ca="1">IF(INDIRECT("'SpxSp (step-d)'!$B" &amp; CP$72)=$Z160,INDIRECT("'SpxSp (step-d)'!$" &amp; 'SpxSp (step-d)'!$AD$16 &amp; CP$72),"")</f>
        <v/>
      </c>
      <c r="CQ160" s="1317" t="str">
        <f ca="1">IF(INDIRECT("'SpxSp (step-d)'!$B" &amp; CQ$72)=$Z160,INDIRECT("'SpxSp (step-d)'!$" &amp; 'SpxSp (step-d)'!$AD$16 &amp; CQ$72),"")</f>
        <v/>
      </c>
      <c r="CR160" s="1317" t="str">
        <f ca="1">IF(INDIRECT("'SpxSp (step-d)'!$B" &amp; CR$72)=$Z160,INDIRECT("'SpxSp (step-d)'!$" &amp; 'SpxSp (step-d)'!$AD$16 &amp; CR$72),"")</f>
        <v/>
      </c>
      <c r="CS160" s="1317" t="str">
        <f ca="1">IF(INDIRECT("'SpxSp (step-d)'!$B" &amp; CS$72)=$Z160,INDIRECT("'SpxSp (step-d)'!$" &amp; 'SpxSp (step-d)'!$AD$16 &amp; CS$72),"")</f>
        <v/>
      </c>
      <c r="CT160" s="1317" t="str">
        <f ca="1">IF(INDIRECT("'SpxSp (step-d)'!$B" &amp; CT$72)=$Z160,INDIRECT("'SpxSp (step-d)'!$" &amp; 'SpxSp (step-d)'!$AD$16 &amp; CT$72),"")</f>
        <v/>
      </c>
      <c r="CU160" s="1317" t="str">
        <f ca="1">IF(INDIRECT("'SpxSp (step-d)'!$B" &amp; CU$72)=$Z160,INDIRECT("'SpxSp (step-d)'!$" &amp; 'SpxSp (step-d)'!$AD$16 &amp; CU$72),"")</f>
        <v/>
      </c>
      <c r="CV160" s="1317" t="str">
        <f ca="1">IF(INDIRECT("'SpxSp (step-d)'!$B" &amp; CV$72)=$Z160,INDIRECT("'SpxSp (step-d)'!$" &amp; 'SpxSp (step-d)'!$AD$16 &amp; CV$72),"")</f>
        <v/>
      </c>
      <c r="CW160" s="1317" t="str">
        <f ca="1">IF(INDIRECT("'SpxSp (step-d)'!$B" &amp; CW$72)=$Z160,INDIRECT("'SpxSp (step-d)'!$" &amp; 'SpxSp (step-d)'!$AD$16 &amp; CW$72),"")</f>
        <v/>
      </c>
      <c r="CX160" s="1317" t="str">
        <f ca="1">IF(INDIRECT("'SpxSp (step-d)'!$B" &amp; CX$72)=$Z160,INDIRECT("'SpxSp (step-d)'!$" &amp; 'SpxSp (step-d)'!$AD$16 &amp; CX$72),"")</f>
        <v/>
      </c>
      <c r="CY160" s="1317" t="str">
        <f ca="1">IF(INDIRECT("'SpxSp (step-d)'!$B" &amp; CY$72)=$Z160,INDIRECT("'SpxSp (step-d)'!$" &amp; 'SpxSp (step-d)'!$AD$16 &amp; CY$72),"")</f>
        <v/>
      </c>
      <c r="CZ160" s="1317" t="str">
        <f ca="1">IF(INDIRECT("'SpxSp (step-d)'!$B" &amp; CZ$72)=$Z160,INDIRECT("'SpxSp (step-d)'!$" &amp; 'SpxSp (step-d)'!$AD$16 &amp; CZ$72),"")</f>
        <v/>
      </c>
      <c r="DA160" s="1317" t="str">
        <f ca="1">IF(INDIRECT("'SpxSp (step-d)'!$B" &amp; DA$72)=$Z160,INDIRECT("'SpxSp (step-d)'!$" &amp; 'SpxSp (step-d)'!$AD$16 &amp; DA$72),"")</f>
        <v/>
      </c>
      <c r="DB160" s="1317" t="str">
        <f ca="1">IF(INDIRECT("'SpxSp (step-d)'!$B" &amp; DB$72)=$Z160,INDIRECT("'SpxSp (step-d)'!$" &amp; 'SpxSp (step-d)'!$AD$16 &amp; DB$72),"")</f>
        <v/>
      </c>
      <c r="DC160" s="1317" t="str">
        <f ca="1">IF(INDIRECT("'SpxSp (step-d)'!$B" &amp; DC$72)=$Z160,INDIRECT("'SpxSp (step-d)'!$" &amp; 'SpxSp (step-d)'!$AD$16 &amp; DC$72),"")</f>
        <v/>
      </c>
      <c r="DD160" s="1317" t="str">
        <f ca="1">IF(INDIRECT("'SpxSp (step-d)'!$B" &amp; DD$72)=$Z160,INDIRECT("'SpxSp (step-d)'!$" &amp; 'SpxSp (step-d)'!$AD$16 &amp; DD$72),"")</f>
        <v/>
      </c>
      <c r="DE160" s="1317" t="str">
        <f ca="1">IF(INDIRECT("'SpxSp (step-d)'!$B" &amp; DE$72)=$Z160,INDIRECT("'SpxSp (step-d)'!$" &amp; 'SpxSp (step-d)'!$AD$16 &amp; DE$72),"")</f>
        <v/>
      </c>
      <c r="DF160" s="1317" t="str">
        <f ca="1">IF(INDIRECT("'SpxSp (step-d)'!$B" &amp; DF$72)=$Z160,INDIRECT("'SpxSp (step-d)'!$" &amp; 'SpxSp (step-d)'!$AD$16 &amp; DF$72),"")</f>
        <v/>
      </c>
      <c r="DG160" s="1317" t="str">
        <f ca="1">IF(INDIRECT("'SpxSp (step-d)'!$B" &amp; DG$72)=$Z160,INDIRECT("'SpxSp (step-d)'!$" &amp; 'SpxSp (step-d)'!$AD$16 &amp; DG$72),"")</f>
        <v/>
      </c>
      <c r="DH160" s="1317" t="str">
        <f ca="1">IF(INDIRECT("'SpxSp (step-d)'!$B" &amp; DH$72)=$Z160,INDIRECT("'SpxSp (step-d)'!$" &amp; 'SpxSp (step-d)'!$AD$16 &amp; DH$72),"")</f>
        <v/>
      </c>
      <c r="DI160" s="1317" t="str">
        <f ca="1">IF(INDIRECT("'SpxSp (step-d)'!$B" &amp; DI$72)=$Z160,INDIRECT("'SpxSp (step-d)'!$" &amp; 'SpxSp (step-d)'!$AD$16 &amp; DI$72),"")</f>
        <v/>
      </c>
      <c r="DJ160" s="1317" t="str">
        <f ca="1">IF(INDIRECT("'SpxSp (step-d)'!$B" &amp; DJ$72)=$Z160,INDIRECT("'SpxSp (step-d)'!$" &amp; 'SpxSp (step-d)'!$AD$16 &amp; DJ$72),"")</f>
        <v/>
      </c>
      <c r="DK160" s="1317" t="str">
        <f ca="1">IF(INDIRECT("'SpxSp (step-d)'!$B" &amp; DK$72)=$Z160,INDIRECT("'SpxSp (step-d)'!$" &amp; 'SpxSp (step-d)'!$AD$16 &amp; DK$72),"")</f>
        <v/>
      </c>
      <c r="DL160" s="1317" t="str">
        <f ca="1">IF(INDIRECT("'SpxSp (step-d)'!$B" &amp; DL$72)=$Z160,INDIRECT("'SpxSp (step-d)'!$" &amp; 'SpxSp (step-d)'!$AD$16 &amp; DL$72),"")</f>
        <v/>
      </c>
      <c r="DM160" s="1317" t="str">
        <f ca="1">IF(INDIRECT("'SpxSp (step-d)'!$B" &amp; DM$72)=$Z160,INDIRECT("'SpxSp (step-d)'!$" &amp; 'SpxSp (step-d)'!$AD$16 &amp; DM$72),"")</f>
        <v/>
      </c>
      <c r="DO160" s="1246" t="s">
        <v>1200</v>
      </c>
    </row>
    <row r="161" spans="26:119" ht="20" x14ac:dyDescent="0.2">
      <c r="Z161" s="1317" t="str">
        <f t="shared" ref="Z161:AA161" si="125">Z106</f>
        <v/>
      </c>
      <c r="AA161" s="1317" t="str">
        <f t="shared" si="125"/>
        <v/>
      </c>
      <c r="BM161" s="178" t="str">
        <f>IFERROR(VLOOKUP(Z161,'SpxSp (step-d)'!B$18:I$67,6,FALSE),"")</f>
        <v/>
      </c>
      <c r="BN161" s="178">
        <v>34</v>
      </c>
      <c r="BO161" s="1316" t="str">
        <f t="shared" ca="1" si="92"/>
        <v/>
      </c>
      <c r="BP161" s="1317" t="str">
        <f ca="1">IF(INDIRECT("'SpxSp (step-d)'!$B" &amp; BP$72)=$Z161,INDIRECT("'SpxSp (step-d)'!$" &amp; 'SpxSp (step-d)'!$AD$16 &amp; BP$72),"")</f>
        <v/>
      </c>
      <c r="BQ161" s="1317" t="str">
        <f ca="1">IF(INDIRECT("'SpxSp (step-d)'!$B" &amp; BQ$72)=$Z161,INDIRECT("'SpxSp (step-d)'!$" &amp; 'SpxSp (step-d)'!$AD$16 &amp; BQ$72),"")</f>
        <v/>
      </c>
      <c r="BR161" s="1317" t="str">
        <f ca="1">IF(INDIRECT("'SpxSp (step-d)'!$B" &amp; BR$72)=$Z161,INDIRECT("'SpxSp (step-d)'!$" &amp; 'SpxSp (step-d)'!$AD$16 &amp; BR$72),"")</f>
        <v/>
      </c>
      <c r="BS161" s="1317" t="str">
        <f ca="1">IF(INDIRECT("'SpxSp (step-d)'!$B" &amp; BS$72)=$Z161,INDIRECT("'SpxSp (step-d)'!$" &amp; 'SpxSp (step-d)'!$AD$16 &amp; BS$72),"")</f>
        <v/>
      </c>
      <c r="BT161" s="1317" t="str">
        <f ca="1">IF(INDIRECT("'SpxSp (step-d)'!$B" &amp; BT$72)=$Z161,INDIRECT("'SpxSp (step-d)'!$" &amp; 'SpxSp (step-d)'!$AD$16 &amp; BT$72),"")</f>
        <v/>
      </c>
      <c r="BU161" s="1317" t="str">
        <f ca="1">IF(INDIRECT("'SpxSp (step-d)'!$B" &amp; BU$72)=$Z161,INDIRECT("'SpxSp (step-d)'!$" &amp; 'SpxSp (step-d)'!$AD$16 &amp; BU$72),"")</f>
        <v/>
      </c>
      <c r="BV161" s="1317" t="str">
        <f ca="1">IF(INDIRECT("'SpxSp (step-d)'!$B" &amp; BV$72)=$Z161,INDIRECT("'SpxSp (step-d)'!$" &amp; 'SpxSp (step-d)'!$AD$16 &amp; BV$72),"")</f>
        <v/>
      </c>
      <c r="BW161" s="1317" t="str">
        <f ca="1">IF(INDIRECT("'SpxSp (step-d)'!$B" &amp; BW$72)=$Z161,INDIRECT("'SpxSp (step-d)'!$" &amp; 'SpxSp (step-d)'!$AD$16 &amp; BW$72),"")</f>
        <v/>
      </c>
      <c r="BX161" s="1317" t="str">
        <f ca="1">IF(INDIRECT("'SpxSp (step-d)'!$B" &amp; BX$72)=$Z161,INDIRECT("'SpxSp (step-d)'!$" &amp; 'SpxSp (step-d)'!$AD$16 &amp; BX$72),"")</f>
        <v/>
      </c>
      <c r="BY161" s="1317" t="str">
        <f ca="1">IF(INDIRECT("'SpxSp (step-d)'!$B" &amp; BY$72)=$Z161,INDIRECT("'SpxSp (step-d)'!$" &amp; 'SpxSp (step-d)'!$AD$16 &amp; BY$72),"")</f>
        <v/>
      </c>
      <c r="BZ161" s="1317" t="str">
        <f ca="1">IF(INDIRECT("'SpxSp (step-d)'!$B" &amp; BZ$72)=$Z161,INDIRECT("'SpxSp (step-d)'!$" &amp; 'SpxSp (step-d)'!$AD$16 &amp; BZ$72),"")</f>
        <v/>
      </c>
      <c r="CA161" s="1317" t="str">
        <f ca="1">IF(INDIRECT("'SpxSp (step-d)'!$B" &amp; CA$72)=$Z161,INDIRECT("'SpxSp (step-d)'!$" &amp; 'SpxSp (step-d)'!$AD$16 &amp; CA$72),"")</f>
        <v/>
      </c>
      <c r="CB161" s="1317" t="str">
        <f ca="1">IF(INDIRECT("'SpxSp (step-d)'!$B" &amp; CB$72)=$Z161,INDIRECT("'SpxSp (step-d)'!$" &amp; 'SpxSp (step-d)'!$AD$16 &amp; CB$72),"")</f>
        <v/>
      </c>
      <c r="CC161" s="1317" t="str">
        <f ca="1">IF(INDIRECT("'SpxSp (step-d)'!$B" &amp; CC$72)=$Z161,INDIRECT("'SpxSp (step-d)'!$" &amp; 'SpxSp (step-d)'!$AD$16 &amp; CC$72),"")</f>
        <v/>
      </c>
      <c r="CD161" s="1317" t="str">
        <f ca="1">IF(INDIRECT("'SpxSp (step-d)'!$B" &amp; CD$72)=$Z161,INDIRECT("'SpxSp (step-d)'!$" &amp; 'SpxSp (step-d)'!$AD$16 &amp; CD$72),"")</f>
        <v/>
      </c>
      <c r="CE161" s="1317" t="str">
        <f ca="1">IF(INDIRECT("'SpxSp (step-d)'!$B" &amp; CE$72)=$Z161,INDIRECT("'SpxSp (step-d)'!$" &amp; 'SpxSp (step-d)'!$AD$16 &amp; CE$72),"")</f>
        <v/>
      </c>
      <c r="CF161" s="1317" t="str">
        <f ca="1">IF(INDIRECT("'SpxSp (step-d)'!$B" &amp; CF$72)=$Z161,INDIRECT("'SpxSp (step-d)'!$" &amp; 'SpxSp (step-d)'!$AD$16 &amp; CF$72),"")</f>
        <v/>
      </c>
      <c r="CG161" s="1317" t="str">
        <f ca="1">IF(INDIRECT("'SpxSp (step-d)'!$B" &amp; CG$72)=$Z161,INDIRECT("'SpxSp (step-d)'!$" &amp; 'SpxSp (step-d)'!$AD$16 &amp; CG$72),"")</f>
        <v/>
      </c>
      <c r="CH161" s="1317" t="str">
        <f ca="1">IF(INDIRECT("'SpxSp (step-d)'!$B" &amp; CH$72)=$Z161,INDIRECT("'SpxSp (step-d)'!$" &amp; 'SpxSp (step-d)'!$AD$16 &amp; CH$72),"")</f>
        <v/>
      </c>
      <c r="CI161" s="1317" t="str">
        <f ca="1">IF(INDIRECT("'SpxSp (step-d)'!$B" &amp; CI$72)=$Z161,INDIRECT("'SpxSp (step-d)'!$" &amp; 'SpxSp (step-d)'!$AD$16 &amp; CI$72),"")</f>
        <v/>
      </c>
      <c r="CJ161" s="1317" t="str">
        <f ca="1">IF(INDIRECT("'SpxSp (step-d)'!$B" &amp; CJ$72)=$Z161,INDIRECT("'SpxSp (step-d)'!$" &amp; 'SpxSp (step-d)'!$AD$16 &amp; CJ$72),"")</f>
        <v/>
      </c>
      <c r="CK161" s="1317" t="str">
        <f ca="1">IF(INDIRECT("'SpxSp (step-d)'!$B" &amp; CK$72)=$Z161,INDIRECT("'SpxSp (step-d)'!$" &amp; 'SpxSp (step-d)'!$AD$16 &amp; CK$72),"")</f>
        <v/>
      </c>
      <c r="CL161" s="1317" t="str">
        <f ca="1">IF(INDIRECT("'SpxSp (step-d)'!$B" &amp; CL$72)=$Z161,INDIRECT("'SpxSp (step-d)'!$" &amp; 'SpxSp (step-d)'!$AD$16 &amp; CL$72),"")</f>
        <v/>
      </c>
      <c r="CM161" s="1317" t="str">
        <f ca="1">IF(INDIRECT("'SpxSp (step-d)'!$B" &amp; CM$72)=$Z161,INDIRECT("'SpxSp (step-d)'!$" &amp; 'SpxSp (step-d)'!$AD$16 &amp; CM$72),"")</f>
        <v/>
      </c>
      <c r="CN161" s="1317" t="str">
        <f ca="1">IF(INDIRECT("'SpxSp (step-d)'!$B" &amp; CN$72)=$Z161,INDIRECT("'SpxSp (step-d)'!$" &amp; 'SpxSp (step-d)'!$AD$16 &amp; CN$72),"")</f>
        <v/>
      </c>
      <c r="CO161" s="1317" t="str">
        <f ca="1">IF(INDIRECT("'SpxSp (step-d)'!$B" &amp; CO$72)=$Z161,INDIRECT("'SpxSp (step-d)'!$" &amp; 'SpxSp (step-d)'!$AD$16 &amp; CO$72),"")</f>
        <v/>
      </c>
      <c r="CP161" s="1317" t="str">
        <f ca="1">IF(INDIRECT("'SpxSp (step-d)'!$B" &amp; CP$72)=$Z161,INDIRECT("'SpxSp (step-d)'!$" &amp; 'SpxSp (step-d)'!$AD$16 &amp; CP$72),"")</f>
        <v/>
      </c>
      <c r="CQ161" s="1317" t="str">
        <f ca="1">IF(INDIRECT("'SpxSp (step-d)'!$B" &amp; CQ$72)=$Z161,INDIRECT("'SpxSp (step-d)'!$" &amp; 'SpxSp (step-d)'!$AD$16 &amp; CQ$72),"")</f>
        <v/>
      </c>
      <c r="CR161" s="1317" t="str">
        <f ca="1">IF(INDIRECT("'SpxSp (step-d)'!$B" &amp; CR$72)=$Z161,INDIRECT("'SpxSp (step-d)'!$" &amp; 'SpxSp (step-d)'!$AD$16 &amp; CR$72),"")</f>
        <v/>
      </c>
      <c r="CS161" s="1317" t="str">
        <f ca="1">IF(INDIRECT("'SpxSp (step-d)'!$B" &amp; CS$72)=$Z161,INDIRECT("'SpxSp (step-d)'!$" &amp; 'SpxSp (step-d)'!$AD$16 &amp; CS$72),"")</f>
        <v/>
      </c>
      <c r="CT161" s="1317" t="str">
        <f ca="1">IF(INDIRECT("'SpxSp (step-d)'!$B" &amp; CT$72)=$Z161,INDIRECT("'SpxSp (step-d)'!$" &amp; 'SpxSp (step-d)'!$AD$16 &amp; CT$72),"")</f>
        <v/>
      </c>
      <c r="CU161" s="1317" t="str">
        <f ca="1">IF(INDIRECT("'SpxSp (step-d)'!$B" &amp; CU$72)=$Z161,INDIRECT("'SpxSp (step-d)'!$" &amp; 'SpxSp (step-d)'!$AD$16 &amp; CU$72),"")</f>
        <v/>
      </c>
      <c r="CV161" s="1317" t="str">
        <f ca="1">IF(INDIRECT("'SpxSp (step-d)'!$B" &amp; CV$72)=$Z161,INDIRECT("'SpxSp (step-d)'!$" &amp; 'SpxSp (step-d)'!$AD$16 &amp; CV$72),"")</f>
        <v/>
      </c>
      <c r="CW161" s="1317" t="str">
        <f ca="1">IF(INDIRECT("'SpxSp (step-d)'!$B" &amp; CW$72)=$Z161,INDIRECT("'SpxSp (step-d)'!$" &amp; 'SpxSp (step-d)'!$AD$16 &amp; CW$72),"")</f>
        <v/>
      </c>
      <c r="CX161" s="1317" t="str">
        <f ca="1">IF(INDIRECT("'SpxSp (step-d)'!$B" &amp; CX$72)=$Z161,INDIRECT("'SpxSp (step-d)'!$" &amp; 'SpxSp (step-d)'!$AD$16 &amp; CX$72),"")</f>
        <v/>
      </c>
      <c r="CY161" s="1317" t="str">
        <f ca="1">IF(INDIRECT("'SpxSp (step-d)'!$B" &amp; CY$72)=$Z161,INDIRECT("'SpxSp (step-d)'!$" &amp; 'SpxSp (step-d)'!$AD$16 &amp; CY$72),"")</f>
        <v/>
      </c>
      <c r="CZ161" s="1317" t="str">
        <f ca="1">IF(INDIRECT("'SpxSp (step-d)'!$B" &amp; CZ$72)=$Z161,INDIRECT("'SpxSp (step-d)'!$" &amp; 'SpxSp (step-d)'!$AD$16 &amp; CZ$72),"")</f>
        <v/>
      </c>
      <c r="DA161" s="1317" t="str">
        <f ca="1">IF(INDIRECT("'SpxSp (step-d)'!$B" &amp; DA$72)=$Z161,INDIRECT("'SpxSp (step-d)'!$" &amp; 'SpxSp (step-d)'!$AD$16 &amp; DA$72),"")</f>
        <v/>
      </c>
      <c r="DB161" s="1317" t="str">
        <f ca="1">IF(INDIRECT("'SpxSp (step-d)'!$B" &amp; DB$72)=$Z161,INDIRECT("'SpxSp (step-d)'!$" &amp; 'SpxSp (step-d)'!$AD$16 &amp; DB$72),"")</f>
        <v/>
      </c>
      <c r="DC161" s="1317" t="str">
        <f ca="1">IF(INDIRECT("'SpxSp (step-d)'!$B" &amp; DC$72)=$Z161,INDIRECT("'SpxSp (step-d)'!$" &amp; 'SpxSp (step-d)'!$AD$16 &amp; DC$72),"")</f>
        <v/>
      </c>
      <c r="DD161" s="1317" t="str">
        <f ca="1">IF(INDIRECT("'SpxSp (step-d)'!$B" &amp; DD$72)=$Z161,INDIRECT("'SpxSp (step-d)'!$" &amp; 'SpxSp (step-d)'!$AD$16 &amp; DD$72),"")</f>
        <v/>
      </c>
      <c r="DE161" s="1317" t="str">
        <f ca="1">IF(INDIRECT("'SpxSp (step-d)'!$B" &amp; DE$72)=$Z161,INDIRECT("'SpxSp (step-d)'!$" &amp; 'SpxSp (step-d)'!$AD$16 &amp; DE$72),"")</f>
        <v/>
      </c>
      <c r="DF161" s="1317" t="str">
        <f ca="1">IF(INDIRECT("'SpxSp (step-d)'!$B" &amp; DF$72)=$Z161,INDIRECT("'SpxSp (step-d)'!$" &amp; 'SpxSp (step-d)'!$AD$16 &amp; DF$72),"")</f>
        <v/>
      </c>
      <c r="DG161" s="1317" t="str">
        <f ca="1">IF(INDIRECT("'SpxSp (step-d)'!$B" &amp; DG$72)=$Z161,INDIRECT("'SpxSp (step-d)'!$" &amp; 'SpxSp (step-d)'!$AD$16 &amp; DG$72),"")</f>
        <v/>
      </c>
      <c r="DH161" s="1317" t="str">
        <f ca="1">IF(INDIRECT("'SpxSp (step-d)'!$B" &amp; DH$72)=$Z161,INDIRECT("'SpxSp (step-d)'!$" &amp; 'SpxSp (step-d)'!$AD$16 &amp; DH$72),"")</f>
        <v/>
      </c>
      <c r="DI161" s="1317" t="str">
        <f ca="1">IF(INDIRECT("'SpxSp (step-d)'!$B" &amp; DI$72)=$Z161,INDIRECT("'SpxSp (step-d)'!$" &amp; 'SpxSp (step-d)'!$AD$16 &amp; DI$72),"")</f>
        <v/>
      </c>
      <c r="DJ161" s="1317" t="str">
        <f ca="1">IF(INDIRECT("'SpxSp (step-d)'!$B" &amp; DJ$72)=$Z161,INDIRECT("'SpxSp (step-d)'!$" &amp; 'SpxSp (step-d)'!$AD$16 &amp; DJ$72),"")</f>
        <v/>
      </c>
      <c r="DK161" s="1317" t="str">
        <f ca="1">IF(INDIRECT("'SpxSp (step-d)'!$B" &amp; DK$72)=$Z161,INDIRECT("'SpxSp (step-d)'!$" &amp; 'SpxSp (step-d)'!$AD$16 &amp; DK$72),"")</f>
        <v/>
      </c>
      <c r="DL161" s="1317" t="str">
        <f ca="1">IF(INDIRECT("'SpxSp (step-d)'!$B" &amp; DL$72)=$Z161,INDIRECT("'SpxSp (step-d)'!$" &amp; 'SpxSp (step-d)'!$AD$16 &amp; DL$72),"")</f>
        <v/>
      </c>
      <c r="DM161" s="1317" t="str">
        <f ca="1">IF(INDIRECT("'SpxSp (step-d)'!$B" &amp; DM$72)=$Z161,INDIRECT("'SpxSp (step-d)'!$" &amp; 'SpxSp (step-d)'!$AD$16 &amp; DM$72),"")</f>
        <v/>
      </c>
      <c r="DO161" s="1246" t="s">
        <v>1200</v>
      </c>
    </row>
    <row r="162" spans="26:119" ht="20" x14ac:dyDescent="0.2">
      <c r="Z162" s="1317" t="str">
        <f t="shared" ref="Z162:AA162" si="126">Z107</f>
        <v/>
      </c>
      <c r="AA162" s="1317" t="str">
        <f t="shared" si="126"/>
        <v/>
      </c>
      <c r="BM162" s="178" t="str">
        <f>IFERROR(VLOOKUP(Z162,'SpxSp (step-d)'!B$18:I$67,6,FALSE),"")</f>
        <v/>
      </c>
      <c r="BN162" s="178">
        <v>35</v>
      </c>
      <c r="BO162" s="1316" t="str">
        <f t="shared" ca="1" si="92"/>
        <v/>
      </c>
      <c r="BP162" s="1317" t="str">
        <f ca="1">IF(INDIRECT("'SpxSp (step-d)'!$B" &amp; BP$72)=$Z162,INDIRECT("'SpxSp (step-d)'!$" &amp; 'SpxSp (step-d)'!$AD$16 &amp; BP$72),"")</f>
        <v/>
      </c>
      <c r="BQ162" s="1317" t="str">
        <f ca="1">IF(INDIRECT("'SpxSp (step-d)'!$B" &amp; BQ$72)=$Z162,INDIRECT("'SpxSp (step-d)'!$" &amp; 'SpxSp (step-d)'!$AD$16 &amp; BQ$72),"")</f>
        <v/>
      </c>
      <c r="BR162" s="1317" t="str">
        <f ca="1">IF(INDIRECT("'SpxSp (step-d)'!$B" &amp; BR$72)=$Z162,INDIRECT("'SpxSp (step-d)'!$" &amp; 'SpxSp (step-d)'!$AD$16 &amp; BR$72),"")</f>
        <v/>
      </c>
      <c r="BS162" s="1317" t="str">
        <f ca="1">IF(INDIRECT("'SpxSp (step-d)'!$B" &amp; BS$72)=$Z162,INDIRECT("'SpxSp (step-d)'!$" &amp; 'SpxSp (step-d)'!$AD$16 &amp; BS$72),"")</f>
        <v/>
      </c>
      <c r="BT162" s="1317" t="str">
        <f ca="1">IF(INDIRECT("'SpxSp (step-d)'!$B" &amp; BT$72)=$Z162,INDIRECT("'SpxSp (step-d)'!$" &amp; 'SpxSp (step-d)'!$AD$16 &amp; BT$72),"")</f>
        <v/>
      </c>
      <c r="BU162" s="1317" t="str">
        <f ca="1">IF(INDIRECT("'SpxSp (step-d)'!$B" &amp; BU$72)=$Z162,INDIRECT("'SpxSp (step-d)'!$" &amp; 'SpxSp (step-d)'!$AD$16 &amp; BU$72),"")</f>
        <v/>
      </c>
      <c r="BV162" s="1317" t="str">
        <f ca="1">IF(INDIRECT("'SpxSp (step-d)'!$B" &amp; BV$72)=$Z162,INDIRECT("'SpxSp (step-d)'!$" &amp; 'SpxSp (step-d)'!$AD$16 &amp; BV$72),"")</f>
        <v/>
      </c>
      <c r="BW162" s="1317" t="str">
        <f ca="1">IF(INDIRECT("'SpxSp (step-d)'!$B" &amp; BW$72)=$Z162,INDIRECT("'SpxSp (step-d)'!$" &amp; 'SpxSp (step-d)'!$AD$16 &amp; BW$72),"")</f>
        <v/>
      </c>
      <c r="BX162" s="1317" t="str">
        <f ca="1">IF(INDIRECT("'SpxSp (step-d)'!$B" &amp; BX$72)=$Z162,INDIRECT("'SpxSp (step-d)'!$" &amp; 'SpxSp (step-d)'!$AD$16 &amp; BX$72),"")</f>
        <v/>
      </c>
      <c r="BY162" s="1317" t="str">
        <f ca="1">IF(INDIRECT("'SpxSp (step-d)'!$B" &amp; BY$72)=$Z162,INDIRECT("'SpxSp (step-d)'!$" &amp; 'SpxSp (step-d)'!$AD$16 &amp; BY$72),"")</f>
        <v/>
      </c>
      <c r="BZ162" s="1317" t="str">
        <f ca="1">IF(INDIRECT("'SpxSp (step-d)'!$B" &amp; BZ$72)=$Z162,INDIRECT("'SpxSp (step-d)'!$" &amp; 'SpxSp (step-d)'!$AD$16 &amp; BZ$72),"")</f>
        <v/>
      </c>
      <c r="CA162" s="1317" t="str">
        <f ca="1">IF(INDIRECT("'SpxSp (step-d)'!$B" &amp; CA$72)=$Z162,INDIRECT("'SpxSp (step-d)'!$" &amp; 'SpxSp (step-d)'!$AD$16 &amp; CA$72),"")</f>
        <v/>
      </c>
      <c r="CB162" s="1317" t="str">
        <f ca="1">IF(INDIRECT("'SpxSp (step-d)'!$B" &amp; CB$72)=$Z162,INDIRECT("'SpxSp (step-d)'!$" &amp; 'SpxSp (step-d)'!$AD$16 &amp; CB$72),"")</f>
        <v/>
      </c>
      <c r="CC162" s="1317" t="str">
        <f ca="1">IF(INDIRECT("'SpxSp (step-d)'!$B" &amp; CC$72)=$Z162,INDIRECT("'SpxSp (step-d)'!$" &amp; 'SpxSp (step-d)'!$AD$16 &amp; CC$72),"")</f>
        <v/>
      </c>
      <c r="CD162" s="1317" t="str">
        <f ca="1">IF(INDIRECT("'SpxSp (step-d)'!$B" &amp; CD$72)=$Z162,INDIRECT("'SpxSp (step-d)'!$" &amp; 'SpxSp (step-d)'!$AD$16 &amp; CD$72),"")</f>
        <v/>
      </c>
      <c r="CE162" s="1317" t="str">
        <f ca="1">IF(INDIRECT("'SpxSp (step-d)'!$B" &amp; CE$72)=$Z162,INDIRECT("'SpxSp (step-d)'!$" &amp; 'SpxSp (step-d)'!$AD$16 &amp; CE$72),"")</f>
        <v/>
      </c>
      <c r="CF162" s="1317" t="str">
        <f ca="1">IF(INDIRECT("'SpxSp (step-d)'!$B" &amp; CF$72)=$Z162,INDIRECT("'SpxSp (step-d)'!$" &amp; 'SpxSp (step-d)'!$AD$16 &amp; CF$72),"")</f>
        <v/>
      </c>
      <c r="CG162" s="1317" t="str">
        <f ca="1">IF(INDIRECT("'SpxSp (step-d)'!$B" &amp; CG$72)=$Z162,INDIRECT("'SpxSp (step-d)'!$" &amp; 'SpxSp (step-d)'!$AD$16 &amp; CG$72),"")</f>
        <v/>
      </c>
      <c r="CH162" s="1317" t="str">
        <f ca="1">IF(INDIRECT("'SpxSp (step-d)'!$B" &amp; CH$72)=$Z162,INDIRECT("'SpxSp (step-d)'!$" &amp; 'SpxSp (step-d)'!$AD$16 &amp; CH$72),"")</f>
        <v/>
      </c>
      <c r="CI162" s="1317" t="str">
        <f ca="1">IF(INDIRECT("'SpxSp (step-d)'!$B" &amp; CI$72)=$Z162,INDIRECT("'SpxSp (step-d)'!$" &amp; 'SpxSp (step-d)'!$AD$16 &amp; CI$72),"")</f>
        <v/>
      </c>
      <c r="CJ162" s="1317" t="str">
        <f ca="1">IF(INDIRECT("'SpxSp (step-d)'!$B" &amp; CJ$72)=$Z162,INDIRECT("'SpxSp (step-d)'!$" &amp; 'SpxSp (step-d)'!$AD$16 &amp; CJ$72),"")</f>
        <v/>
      </c>
      <c r="CK162" s="1317" t="str">
        <f ca="1">IF(INDIRECT("'SpxSp (step-d)'!$B" &amp; CK$72)=$Z162,INDIRECT("'SpxSp (step-d)'!$" &amp; 'SpxSp (step-d)'!$AD$16 &amp; CK$72),"")</f>
        <v/>
      </c>
      <c r="CL162" s="1317" t="str">
        <f ca="1">IF(INDIRECT("'SpxSp (step-d)'!$B" &amp; CL$72)=$Z162,INDIRECT("'SpxSp (step-d)'!$" &amp; 'SpxSp (step-d)'!$AD$16 &amp; CL$72),"")</f>
        <v/>
      </c>
      <c r="CM162" s="1317" t="str">
        <f ca="1">IF(INDIRECT("'SpxSp (step-d)'!$B" &amp; CM$72)=$Z162,INDIRECT("'SpxSp (step-d)'!$" &amp; 'SpxSp (step-d)'!$AD$16 &amp; CM$72),"")</f>
        <v/>
      </c>
      <c r="CN162" s="1317" t="str">
        <f ca="1">IF(INDIRECT("'SpxSp (step-d)'!$B" &amp; CN$72)=$Z162,INDIRECT("'SpxSp (step-d)'!$" &amp; 'SpxSp (step-d)'!$AD$16 &amp; CN$72),"")</f>
        <v/>
      </c>
      <c r="CO162" s="1317" t="str">
        <f ca="1">IF(INDIRECT("'SpxSp (step-d)'!$B" &amp; CO$72)=$Z162,INDIRECT("'SpxSp (step-d)'!$" &amp; 'SpxSp (step-d)'!$AD$16 &amp; CO$72),"")</f>
        <v/>
      </c>
      <c r="CP162" s="1317" t="str">
        <f ca="1">IF(INDIRECT("'SpxSp (step-d)'!$B" &amp; CP$72)=$Z162,INDIRECT("'SpxSp (step-d)'!$" &amp; 'SpxSp (step-d)'!$AD$16 &amp; CP$72),"")</f>
        <v/>
      </c>
      <c r="CQ162" s="1317" t="str">
        <f ca="1">IF(INDIRECT("'SpxSp (step-d)'!$B" &amp; CQ$72)=$Z162,INDIRECT("'SpxSp (step-d)'!$" &amp; 'SpxSp (step-d)'!$AD$16 &amp; CQ$72),"")</f>
        <v/>
      </c>
      <c r="CR162" s="1317" t="str">
        <f ca="1">IF(INDIRECT("'SpxSp (step-d)'!$B" &amp; CR$72)=$Z162,INDIRECT("'SpxSp (step-d)'!$" &amp; 'SpxSp (step-d)'!$AD$16 &amp; CR$72),"")</f>
        <v/>
      </c>
      <c r="CS162" s="1317" t="str">
        <f ca="1">IF(INDIRECT("'SpxSp (step-d)'!$B" &amp; CS$72)=$Z162,INDIRECT("'SpxSp (step-d)'!$" &amp; 'SpxSp (step-d)'!$AD$16 &amp; CS$72),"")</f>
        <v/>
      </c>
      <c r="CT162" s="1317" t="str">
        <f ca="1">IF(INDIRECT("'SpxSp (step-d)'!$B" &amp; CT$72)=$Z162,INDIRECT("'SpxSp (step-d)'!$" &amp; 'SpxSp (step-d)'!$AD$16 &amp; CT$72),"")</f>
        <v/>
      </c>
      <c r="CU162" s="1317" t="str">
        <f ca="1">IF(INDIRECT("'SpxSp (step-d)'!$B" &amp; CU$72)=$Z162,INDIRECT("'SpxSp (step-d)'!$" &amp; 'SpxSp (step-d)'!$AD$16 &amp; CU$72),"")</f>
        <v/>
      </c>
      <c r="CV162" s="1317" t="str">
        <f ca="1">IF(INDIRECT("'SpxSp (step-d)'!$B" &amp; CV$72)=$Z162,INDIRECT("'SpxSp (step-d)'!$" &amp; 'SpxSp (step-d)'!$AD$16 &amp; CV$72),"")</f>
        <v/>
      </c>
      <c r="CW162" s="1317" t="str">
        <f ca="1">IF(INDIRECT("'SpxSp (step-d)'!$B" &amp; CW$72)=$Z162,INDIRECT("'SpxSp (step-d)'!$" &amp; 'SpxSp (step-d)'!$AD$16 &amp; CW$72),"")</f>
        <v/>
      </c>
      <c r="CX162" s="1317" t="str">
        <f ca="1">IF(INDIRECT("'SpxSp (step-d)'!$B" &amp; CX$72)=$Z162,INDIRECT("'SpxSp (step-d)'!$" &amp; 'SpxSp (step-d)'!$AD$16 &amp; CX$72),"")</f>
        <v/>
      </c>
      <c r="CY162" s="1317" t="str">
        <f ca="1">IF(INDIRECT("'SpxSp (step-d)'!$B" &amp; CY$72)=$Z162,INDIRECT("'SpxSp (step-d)'!$" &amp; 'SpxSp (step-d)'!$AD$16 &amp; CY$72),"")</f>
        <v/>
      </c>
      <c r="CZ162" s="1317" t="str">
        <f ca="1">IF(INDIRECT("'SpxSp (step-d)'!$B" &amp; CZ$72)=$Z162,INDIRECT("'SpxSp (step-d)'!$" &amp; 'SpxSp (step-d)'!$AD$16 &amp; CZ$72),"")</f>
        <v/>
      </c>
      <c r="DA162" s="1317" t="str">
        <f ca="1">IF(INDIRECT("'SpxSp (step-d)'!$B" &amp; DA$72)=$Z162,INDIRECT("'SpxSp (step-d)'!$" &amp; 'SpxSp (step-d)'!$AD$16 &amp; DA$72),"")</f>
        <v/>
      </c>
      <c r="DB162" s="1317" t="str">
        <f ca="1">IF(INDIRECT("'SpxSp (step-d)'!$B" &amp; DB$72)=$Z162,INDIRECT("'SpxSp (step-d)'!$" &amp; 'SpxSp (step-d)'!$AD$16 &amp; DB$72),"")</f>
        <v/>
      </c>
      <c r="DC162" s="1317" t="str">
        <f ca="1">IF(INDIRECT("'SpxSp (step-d)'!$B" &amp; DC$72)=$Z162,INDIRECT("'SpxSp (step-d)'!$" &amp; 'SpxSp (step-d)'!$AD$16 &amp; DC$72),"")</f>
        <v/>
      </c>
      <c r="DD162" s="1317" t="str">
        <f ca="1">IF(INDIRECT("'SpxSp (step-d)'!$B" &amp; DD$72)=$Z162,INDIRECT("'SpxSp (step-d)'!$" &amp; 'SpxSp (step-d)'!$AD$16 &amp; DD$72),"")</f>
        <v/>
      </c>
      <c r="DE162" s="1317" t="str">
        <f ca="1">IF(INDIRECT("'SpxSp (step-d)'!$B" &amp; DE$72)=$Z162,INDIRECT("'SpxSp (step-d)'!$" &amp; 'SpxSp (step-d)'!$AD$16 &amp; DE$72),"")</f>
        <v/>
      </c>
      <c r="DF162" s="1317" t="str">
        <f ca="1">IF(INDIRECT("'SpxSp (step-d)'!$B" &amp; DF$72)=$Z162,INDIRECT("'SpxSp (step-d)'!$" &amp; 'SpxSp (step-d)'!$AD$16 &amp; DF$72),"")</f>
        <v/>
      </c>
      <c r="DG162" s="1317" t="str">
        <f ca="1">IF(INDIRECT("'SpxSp (step-d)'!$B" &amp; DG$72)=$Z162,INDIRECT("'SpxSp (step-d)'!$" &amp; 'SpxSp (step-d)'!$AD$16 &amp; DG$72),"")</f>
        <v/>
      </c>
      <c r="DH162" s="1317" t="str">
        <f ca="1">IF(INDIRECT("'SpxSp (step-d)'!$B" &amp; DH$72)=$Z162,INDIRECT("'SpxSp (step-d)'!$" &amp; 'SpxSp (step-d)'!$AD$16 &amp; DH$72),"")</f>
        <v/>
      </c>
      <c r="DI162" s="1317" t="str">
        <f ca="1">IF(INDIRECT("'SpxSp (step-d)'!$B" &amp; DI$72)=$Z162,INDIRECT("'SpxSp (step-d)'!$" &amp; 'SpxSp (step-d)'!$AD$16 &amp; DI$72),"")</f>
        <v/>
      </c>
      <c r="DJ162" s="1317" t="str">
        <f ca="1">IF(INDIRECT("'SpxSp (step-d)'!$B" &amp; DJ$72)=$Z162,INDIRECT("'SpxSp (step-d)'!$" &amp; 'SpxSp (step-d)'!$AD$16 &amp; DJ$72),"")</f>
        <v/>
      </c>
      <c r="DK162" s="1317" t="str">
        <f ca="1">IF(INDIRECT("'SpxSp (step-d)'!$B" &amp; DK$72)=$Z162,INDIRECT("'SpxSp (step-d)'!$" &amp; 'SpxSp (step-d)'!$AD$16 &amp; DK$72),"")</f>
        <v/>
      </c>
      <c r="DL162" s="1317" t="str">
        <f ca="1">IF(INDIRECT("'SpxSp (step-d)'!$B" &amp; DL$72)=$Z162,INDIRECT("'SpxSp (step-d)'!$" &amp; 'SpxSp (step-d)'!$AD$16 &amp; DL$72),"")</f>
        <v/>
      </c>
      <c r="DM162" s="1317" t="str">
        <f ca="1">IF(INDIRECT("'SpxSp (step-d)'!$B" &amp; DM$72)=$Z162,INDIRECT("'SpxSp (step-d)'!$" &amp; 'SpxSp (step-d)'!$AD$16 &amp; DM$72),"")</f>
        <v/>
      </c>
      <c r="DO162" s="1246" t="s">
        <v>1200</v>
      </c>
    </row>
    <row r="163" spans="26:119" ht="20" x14ac:dyDescent="0.2">
      <c r="Z163" s="1317" t="str">
        <f t="shared" ref="Z163:AA163" si="127">Z108</f>
        <v/>
      </c>
      <c r="AA163" s="1317" t="str">
        <f t="shared" si="127"/>
        <v/>
      </c>
      <c r="BM163" s="178" t="str">
        <f>IFERROR(VLOOKUP(Z163,'SpxSp (step-d)'!B$18:I$67,6,FALSE),"")</f>
        <v/>
      </c>
      <c r="BN163" s="178">
        <v>36</v>
      </c>
      <c r="BO163" s="1316" t="str">
        <f t="shared" ca="1" si="92"/>
        <v/>
      </c>
      <c r="BP163" s="1317" t="str">
        <f ca="1">IF(INDIRECT("'SpxSp (step-d)'!$B" &amp; BP$72)=$Z163,INDIRECT("'SpxSp (step-d)'!$" &amp; 'SpxSp (step-d)'!$AD$16 &amp; BP$72),"")</f>
        <v/>
      </c>
      <c r="BQ163" s="1317" t="str">
        <f ca="1">IF(INDIRECT("'SpxSp (step-d)'!$B" &amp; BQ$72)=$Z163,INDIRECT("'SpxSp (step-d)'!$" &amp; 'SpxSp (step-d)'!$AD$16 &amp; BQ$72),"")</f>
        <v/>
      </c>
      <c r="BR163" s="1317" t="str">
        <f ca="1">IF(INDIRECT("'SpxSp (step-d)'!$B" &amp; BR$72)=$Z163,INDIRECT("'SpxSp (step-d)'!$" &amp; 'SpxSp (step-d)'!$AD$16 &amp; BR$72),"")</f>
        <v/>
      </c>
      <c r="BS163" s="1317" t="str">
        <f ca="1">IF(INDIRECT("'SpxSp (step-d)'!$B" &amp; BS$72)=$Z163,INDIRECT("'SpxSp (step-d)'!$" &amp; 'SpxSp (step-d)'!$AD$16 &amp; BS$72),"")</f>
        <v/>
      </c>
      <c r="BT163" s="1317" t="str">
        <f ca="1">IF(INDIRECT("'SpxSp (step-d)'!$B" &amp; BT$72)=$Z163,INDIRECT("'SpxSp (step-d)'!$" &amp; 'SpxSp (step-d)'!$AD$16 &amp; BT$72),"")</f>
        <v/>
      </c>
      <c r="BU163" s="1317" t="str">
        <f ca="1">IF(INDIRECT("'SpxSp (step-d)'!$B" &amp; BU$72)=$Z163,INDIRECT("'SpxSp (step-d)'!$" &amp; 'SpxSp (step-d)'!$AD$16 &amp; BU$72),"")</f>
        <v/>
      </c>
      <c r="BV163" s="1317" t="str">
        <f ca="1">IF(INDIRECT("'SpxSp (step-d)'!$B" &amp; BV$72)=$Z163,INDIRECT("'SpxSp (step-d)'!$" &amp; 'SpxSp (step-d)'!$AD$16 &amp; BV$72),"")</f>
        <v/>
      </c>
      <c r="BW163" s="1317" t="str">
        <f ca="1">IF(INDIRECT("'SpxSp (step-d)'!$B" &amp; BW$72)=$Z163,INDIRECT("'SpxSp (step-d)'!$" &amp; 'SpxSp (step-d)'!$AD$16 &amp; BW$72),"")</f>
        <v/>
      </c>
      <c r="BX163" s="1317" t="str">
        <f ca="1">IF(INDIRECT("'SpxSp (step-d)'!$B" &amp; BX$72)=$Z163,INDIRECT("'SpxSp (step-d)'!$" &amp; 'SpxSp (step-d)'!$AD$16 &amp; BX$72),"")</f>
        <v/>
      </c>
      <c r="BY163" s="1317" t="str">
        <f ca="1">IF(INDIRECT("'SpxSp (step-d)'!$B" &amp; BY$72)=$Z163,INDIRECT("'SpxSp (step-d)'!$" &amp; 'SpxSp (step-d)'!$AD$16 &amp; BY$72),"")</f>
        <v/>
      </c>
      <c r="BZ163" s="1317" t="str">
        <f ca="1">IF(INDIRECT("'SpxSp (step-d)'!$B" &amp; BZ$72)=$Z163,INDIRECT("'SpxSp (step-d)'!$" &amp; 'SpxSp (step-d)'!$AD$16 &amp; BZ$72),"")</f>
        <v/>
      </c>
      <c r="CA163" s="1317" t="str">
        <f ca="1">IF(INDIRECT("'SpxSp (step-d)'!$B" &amp; CA$72)=$Z163,INDIRECT("'SpxSp (step-d)'!$" &amp; 'SpxSp (step-d)'!$AD$16 &amp; CA$72),"")</f>
        <v/>
      </c>
      <c r="CB163" s="1317" t="str">
        <f ca="1">IF(INDIRECT("'SpxSp (step-d)'!$B" &amp; CB$72)=$Z163,INDIRECT("'SpxSp (step-d)'!$" &amp; 'SpxSp (step-d)'!$AD$16 &amp; CB$72),"")</f>
        <v/>
      </c>
      <c r="CC163" s="1317" t="str">
        <f ca="1">IF(INDIRECT("'SpxSp (step-d)'!$B" &amp; CC$72)=$Z163,INDIRECT("'SpxSp (step-d)'!$" &amp; 'SpxSp (step-d)'!$AD$16 &amp; CC$72),"")</f>
        <v/>
      </c>
      <c r="CD163" s="1317" t="str">
        <f ca="1">IF(INDIRECT("'SpxSp (step-d)'!$B" &amp; CD$72)=$Z163,INDIRECT("'SpxSp (step-d)'!$" &amp; 'SpxSp (step-d)'!$AD$16 &amp; CD$72),"")</f>
        <v/>
      </c>
      <c r="CE163" s="1317" t="str">
        <f ca="1">IF(INDIRECT("'SpxSp (step-d)'!$B" &amp; CE$72)=$Z163,INDIRECT("'SpxSp (step-d)'!$" &amp; 'SpxSp (step-d)'!$AD$16 &amp; CE$72),"")</f>
        <v/>
      </c>
      <c r="CF163" s="1317" t="str">
        <f ca="1">IF(INDIRECT("'SpxSp (step-d)'!$B" &amp; CF$72)=$Z163,INDIRECT("'SpxSp (step-d)'!$" &amp; 'SpxSp (step-d)'!$AD$16 &amp; CF$72),"")</f>
        <v/>
      </c>
      <c r="CG163" s="1317" t="str">
        <f ca="1">IF(INDIRECT("'SpxSp (step-d)'!$B" &amp; CG$72)=$Z163,INDIRECT("'SpxSp (step-d)'!$" &amp; 'SpxSp (step-d)'!$AD$16 &amp; CG$72),"")</f>
        <v/>
      </c>
      <c r="CH163" s="1317" t="str">
        <f ca="1">IF(INDIRECT("'SpxSp (step-d)'!$B" &amp; CH$72)=$Z163,INDIRECT("'SpxSp (step-d)'!$" &amp; 'SpxSp (step-d)'!$AD$16 &amp; CH$72),"")</f>
        <v/>
      </c>
      <c r="CI163" s="1317" t="str">
        <f ca="1">IF(INDIRECT("'SpxSp (step-d)'!$B" &amp; CI$72)=$Z163,INDIRECT("'SpxSp (step-d)'!$" &amp; 'SpxSp (step-d)'!$AD$16 &amp; CI$72),"")</f>
        <v/>
      </c>
      <c r="CJ163" s="1317" t="str">
        <f ca="1">IF(INDIRECT("'SpxSp (step-d)'!$B" &amp; CJ$72)=$Z163,INDIRECT("'SpxSp (step-d)'!$" &amp; 'SpxSp (step-d)'!$AD$16 &amp; CJ$72),"")</f>
        <v/>
      </c>
      <c r="CK163" s="1317" t="str">
        <f ca="1">IF(INDIRECT("'SpxSp (step-d)'!$B" &amp; CK$72)=$Z163,INDIRECT("'SpxSp (step-d)'!$" &amp; 'SpxSp (step-d)'!$AD$16 &amp; CK$72),"")</f>
        <v/>
      </c>
      <c r="CL163" s="1317" t="str">
        <f ca="1">IF(INDIRECT("'SpxSp (step-d)'!$B" &amp; CL$72)=$Z163,INDIRECT("'SpxSp (step-d)'!$" &amp; 'SpxSp (step-d)'!$AD$16 &amp; CL$72),"")</f>
        <v/>
      </c>
      <c r="CM163" s="1317" t="str">
        <f ca="1">IF(INDIRECT("'SpxSp (step-d)'!$B" &amp; CM$72)=$Z163,INDIRECT("'SpxSp (step-d)'!$" &amp; 'SpxSp (step-d)'!$AD$16 &amp; CM$72),"")</f>
        <v/>
      </c>
      <c r="CN163" s="1317" t="str">
        <f ca="1">IF(INDIRECT("'SpxSp (step-d)'!$B" &amp; CN$72)=$Z163,INDIRECT("'SpxSp (step-d)'!$" &amp; 'SpxSp (step-d)'!$AD$16 &amp; CN$72),"")</f>
        <v/>
      </c>
      <c r="CO163" s="1317" t="str">
        <f ca="1">IF(INDIRECT("'SpxSp (step-d)'!$B" &amp; CO$72)=$Z163,INDIRECT("'SpxSp (step-d)'!$" &amp; 'SpxSp (step-d)'!$AD$16 &amp; CO$72),"")</f>
        <v/>
      </c>
      <c r="CP163" s="1317" t="str">
        <f ca="1">IF(INDIRECT("'SpxSp (step-d)'!$B" &amp; CP$72)=$Z163,INDIRECT("'SpxSp (step-d)'!$" &amp; 'SpxSp (step-d)'!$AD$16 &amp; CP$72),"")</f>
        <v/>
      </c>
      <c r="CQ163" s="1317" t="str">
        <f ca="1">IF(INDIRECT("'SpxSp (step-d)'!$B" &amp; CQ$72)=$Z163,INDIRECT("'SpxSp (step-d)'!$" &amp; 'SpxSp (step-d)'!$AD$16 &amp; CQ$72),"")</f>
        <v/>
      </c>
      <c r="CR163" s="1317" t="str">
        <f ca="1">IF(INDIRECT("'SpxSp (step-d)'!$B" &amp; CR$72)=$Z163,INDIRECT("'SpxSp (step-d)'!$" &amp; 'SpxSp (step-d)'!$AD$16 &amp; CR$72),"")</f>
        <v/>
      </c>
      <c r="CS163" s="1317" t="str">
        <f ca="1">IF(INDIRECT("'SpxSp (step-d)'!$B" &amp; CS$72)=$Z163,INDIRECT("'SpxSp (step-d)'!$" &amp; 'SpxSp (step-d)'!$AD$16 &amp; CS$72),"")</f>
        <v/>
      </c>
      <c r="CT163" s="1317" t="str">
        <f ca="1">IF(INDIRECT("'SpxSp (step-d)'!$B" &amp; CT$72)=$Z163,INDIRECT("'SpxSp (step-d)'!$" &amp; 'SpxSp (step-d)'!$AD$16 &amp; CT$72),"")</f>
        <v/>
      </c>
      <c r="CU163" s="1317" t="str">
        <f ca="1">IF(INDIRECT("'SpxSp (step-d)'!$B" &amp; CU$72)=$Z163,INDIRECT("'SpxSp (step-d)'!$" &amp; 'SpxSp (step-d)'!$AD$16 &amp; CU$72),"")</f>
        <v/>
      </c>
      <c r="CV163" s="1317" t="str">
        <f ca="1">IF(INDIRECT("'SpxSp (step-d)'!$B" &amp; CV$72)=$Z163,INDIRECT("'SpxSp (step-d)'!$" &amp; 'SpxSp (step-d)'!$AD$16 &amp; CV$72),"")</f>
        <v/>
      </c>
      <c r="CW163" s="1317" t="str">
        <f ca="1">IF(INDIRECT("'SpxSp (step-d)'!$B" &amp; CW$72)=$Z163,INDIRECT("'SpxSp (step-d)'!$" &amp; 'SpxSp (step-d)'!$AD$16 &amp; CW$72),"")</f>
        <v/>
      </c>
      <c r="CX163" s="1317" t="str">
        <f ca="1">IF(INDIRECT("'SpxSp (step-d)'!$B" &amp; CX$72)=$Z163,INDIRECT("'SpxSp (step-d)'!$" &amp; 'SpxSp (step-d)'!$AD$16 &amp; CX$72),"")</f>
        <v/>
      </c>
      <c r="CY163" s="1317" t="str">
        <f ca="1">IF(INDIRECT("'SpxSp (step-d)'!$B" &amp; CY$72)=$Z163,INDIRECT("'SpxSp (step-d)'!$" &amp; 'SpxSp (step-d)'!$AD$16 &amp; CY$72),"")</f>
        <v/>
      </c>
      <c r="CZ163" s="1317" t="str">
        <f ca="1">IF(INDIRECT("'SpxSp (step-d)'!$B" &amp; CZ$72)=$Z163,INDIRECT("'SpxSp (step-d)'!$" &amp; 'SpxSp (step-d)'!$AD$16 &amp; CZ$72),"")</f>
        <v/>
      </c>
      <c r="DA163" s="1317" t="str">
        <f ca="1">IF(INDIRECT("'SpxSp (step-d)'!$B" &amp; DA$72)=$Z163,INDIRECT("'SpxSp (step-d)'!$" &amp; 'SpxSp (step-d)'!$AD$16 &amp; DA$72),"")</f>
        <v/>
      </c>
      <c r="DB163" s="1317" t="str">
        <f ca="1">IF(INDIRECT("'SpxSp (step-d)'!$B" &amp; DB$72)=$Z163,INDIRECT("'SpxSp (step-d)'!$" &amp; 'SpxSp (step-d)'!$AD$16 &amp; DB$72),"")</f>
        <v/>
      </c>
      <c r="DC163" s="1317" t="str">
        <f ca="1">IF(INDIRECT("'SpxSp (step-d)'!$B" &amp; DC$72)=$Z163,INDIRECT("'SpxSp (step-d)'!$" &amp; 'SpxSp (step-d)'!$AD$16 &amp; DC$72),"")</f>
        <v/>
      </c>
      <c r="DD163" s="1317" t="str">
        <f ca="1">IF(INDIRECT("'SpxSp (step-d)'!$B" &amp; DD$72)=$Z163,INDIRECT("'SpxSp (step-d)'!$" &amp; 'SpxSp (step-d)'!$AD$16 &amp; DD$72),"")</f>
        <v/>
      </c>
      <c r="DE163" s="1317" t="str">
        <f ca="1">IF(INDIRECT("'SpxSp (step-d)'!$B" &amp; DE$72)=$Z163,INDIRECT("'SpxSp (step-d)'!$" &amp; 'SpxSp (step-d)'!$AD$16 &amp; DE$72),"")</f>
        <v/>
      </c>
      <c r="DF163" s="1317" t="str">
        <f ca="1">IF(INDIRECT("'SpxSp (step-d)'!$B" &amp; DF$72)=$Z163,INDIRECT("'SpxSp (step-d)'!$" &amp; 'SpxSp (step-d)'!$AD$16 &amp; DF$72),"")</f>
        <v/>
      </c>
      <c r="DG163" s="1317" t="str">
        <f ca="1">IF(INDIRECT("'SpxSp (step-d)'!$B" &amp; DG$72)=$Z163,INDIRECT("'SpxSp (step-d)'!$" &amp; 'SpxSp (step-d)'!$AD$16 &amp; DG$72),"")</f>
        <v/>
      </c>
      <c r="DH163" s="1317" t="str">
        <f ca="1">IF(INDIRECT("'SpxSp (step-d)'!$B" &amp; DH$72)=$Z163,INDIRECT("'SpxSp (step-d)'!$" &amp; 'SpxSp (step-d)'!$AD$16 &amp; DH$72),"")</f>
        <v/>
      </c>
      <c r="DI163" s="1317" t="str">
        <f ca="1">IF(INDIRECT("'SpxSp (step-d)'!$B" &amp; DI$72)=$Z163,INDIRECT("'SpxSp (step-d)'!$" &amp; 'SpxSp (step-d)'!$AD$16 &amp; DI$72),"")</f>
        <v/>
      </c>
      <c r="DJ163" s="1317" t="str">
        <f ca="1">IF(INDIRECT("'SpxSp (step-d)'!$B" &amp; DJ$72)=$Z163,INDIRECT("'SpxSp (step-d)'!$" &amp; 'SpxSp (step-d)'!$AD$16 &amp; DJ$72),"")</f>
        <v/>
      </c>
      <c r="DK163" s="1317" t="str">
        <f ca="1">IF(INDIRECT("'SpxSp (step-d)'!$B" &amp; DK$72)=$Z163,INDIRECT("'SpxSp (step-d)'!$" &amp; 'SpxSp (step-d)'!$AD$16 &amp; DK$72),"")</f>
        <v/>
      </c>
      <c r="DL163" s="1317" t="str">
        <f ca="1">IF(INDIRECT("'SpxSp (step-d)'!$B" &amp; DL$72)=$Z163,INDIRECT("'SpxSp (step-d)'!$" &amp; 'SpxSp (step-d)'!$AD$16 &amp; DL$72),"")</f>
        <v/>
      </c>
      <c r="DM163" s="1317" t="str">
        <f ca="1">IF(INDIRECT("'SpxSp (step-d)'!$B" &amp; DM$72)=$Z163,INDIRECT("'SpxSp (step-d)'!$" &amp; 'SpxSp (step-d)'!$AD$16 &amp; DM$72),"")</f>
        <v/>
      </c>
      <c r="DO163" s="1246" t="s">
        <v>1200</v>
      </c>
    </row>
    <row r="164" spans="26:119" ht="20" x14ac:dyDescent="0.2">
      <c r="Z164" s="1317" t="str">
        <f t="shared" ref="Z164:AA164" si="128">Z109</f>
        <v/>
      </c>
      <c r="AA164" s="1317" t="str">
        <f t="shared" si="128"/>
        <v/>
      </c>
      <c r="BM164" s="178" t="str">
        <f>IFERROR(VLOOKUP(Z164,'SpxSp (step-d)'!B$18:I$67,6,FALSE),"")</f>
        <v/>
      </c>
      <c r="BN164" s="178">
        <v>37</v>
      </c>
      <c r="BO164" s="1316" t="str">
        <f t="shared" ca="1" si="92"/>
        <v/>
      </c>
      <c r="BP164" s="1317" t="str">
        <f ca="1">IF(INDIRECT("'SpxSp (step-d)'!$B" &amp; BP$72)=$Z164,INDIRECT("'SpxSp (step-d)'!$" &amp; 'SpxSp (step-d)'!$AD$16 &amp; BP$72),"")</f>
        <v/>
      </c>
      <c r="BQ164" s="1317" t="str">
        <f ca="1">IF(INDIRECT("'SpxSp (step-d)'!$B" &amp; BQ$72)=$Z164,INDIRECT("'SpxSp (step-d)'!$" &amp; 'SpxSp (step-d)'!$AD$16 &amp; BQ$72),"")</f>
        <v/>
      </c>
      <c r="BR164" s="1317" t="str">
        <f ca="1">IF(INDIRECT("'SpxSp (step-d)'!$B" &amp; BR$72)=$Z164,INDIRECT("'SpxSp (step-d)'!$" &amp; 'SpxSp (step-d)'!$AD$16 &amp; BR$72),"")</f>
        <v/>
      </c>
      <c r="BS164" s="1317" t="str">
        <f ca="1">IF(INDIRECT("'SpxSp (step-d)'!$B" &amp; BS$72)=$Z164,INDIRECT("'SpxSp (step-d)'!$" &amp; 'SpxSp (step-d)'!$AD$16 &amp; BS$72),"")</f>
        <v/>
      </c>
      <c r="BT164" s="1317" t="str">
        <f ca="1">IF(INDIRECT("'SpxSp (step-d)'!$B" &amp; BT$72)=$Z164,INDIRECT("'SpxSp (step-d)'!$" &amp; 'SpxSp (step-d)'!$AD$16 &amp; BT$72),"")</f>
        <v/>
      </c>
      <c r="BU164" s="1317" t="str">
        <f ca="1">IF(INDIRECT("'SpxSp (step-d)'!$B" &amp; BU$72)=$Z164,INDIRECT("'SpxSp (step-d)'!$" &amp; 'SpxSp (step-d)'!$AD$16 &amp; BU$72),"")</f>
        <v/>
      </c>
      <c r="BV164" s="1317" t="str">
        <f ca="1">IF(INDIRECT("'SpxSp (step-d)'!$B" &amp; BV$72)=$Z164,INDIRECT("'SpxSp (step-d)'!$" &amp; 'SpxSp (step-d)'!$AD$16 &amp; BV$72),"")</f>
        <v/>
      </c>
      <c r="BW164" s="1317" t="str">
        <f ca="1">IF(INDIRECT("'SpxSp (step-d)'!$B" &amp; BW$72)=$Z164,INDIRECT("'SpxSp (step-d)'!$" &amp; 'SpxSp (step-d)'!$AD$16 &amp; BW$72),"")</f>
        <v/>
      </c>
      <c r="BX164" s="1317" t="str">
        <f ca="1">IF(INDIRECT("'SpxSp (step-d)'!$B" &amp; BX$72)=$Z164,INDIRECT("'SpxSp (step-d)'!$" &amp; 'SpxSp (step-d)'!$AD$16 &amp; BX$72),"")</f>
        <v/>
      </c>
      <c r="BY164" s="1317" t="str">
        <f ca="1">IF(INDIRECT("'SpxSp (step-d)'!$B" &amp; BY$72)=$Z164,INDIRECT("'SpxSp (step-d)'!$" &amp; 'SpxSp (step-d)'!$AD$16 &amp; BY$72),"")</f>
        <v/>
      </c>
      <c r="BZ164" s="1317" t="str">
        <f ca="1">IF(INDIRECT("'SpxSp (step-d)'!$B" &amp; BZ$72)=$Z164,INDIRECT("'SpxSp (step-d)'!$" &amp; 'SpxSp (step-d)'!$AD$16 &amp; BZ$72),"")</f>
        <v/>
      </c>
      <c r="CA164" s="1317" t="str">
        <f ca="1">IF(INDIRECT("'SpxSp (step-d)'!$B" &amp; CA$72)=$Z164,INDIRECT("'SpxSp (step-d)'!$" &amp; 'SpxSp (step-d)'!$AD$16 &amp; CA$72),"")</f>
        <v/>
      </c>
      <c r="CB164" s="1317" t="str">
        <f ca="1">IF(INDIRECT("'SpxSp (step-d)'!$B" &amp; CB$72)=$Z164,INDIRECT("'SpxSp (step-d)'!$" &amp; 'SpxSp (step-d)'!$AD$16 &amp; CB$72),"")</f>
        <v/>
      </c>
      <c r="CC164" s="1317" t="str">
        <f ca="1">IF(INDIRECT("'SpxSp (step-d)'!$B" &amp; CC$72)=$Z164,INDIRECT("'SpxSp (step-d)'!$" &amp; 'SpxSp (step-d)'!$AD$16 &amp; CC$72),"")</f>
        <v/>
      </c>
      <c r="CD164" s="1317" t="str">
        <f ca="1">IF(INDIRECT("'SpxSp (step-d)'!$B" &amp; CD$72)=$Z164,INDIRECT("'SpxSp (step-d)'!$" &amp; 'SpxSp (step-d)'!$AD$16 &amp; CD$72),"")</f>
        <v/>
      </c>
      <c r="CE164" s="1317" t="str">
        <f ca="1">IF(INDIRECT("'SpxSp (step-d)'!$B" &amp; CE$72)=$Z164,INDIRECT("'SpxSp (step-d)'!$" &amp; 'SpxSp (step-d)'!$AD$16 &amp; CE$72),"")</f>
        <v/>
      </c>
      <c r="CF164" s="1317" t="str">
        <f ca="1">IF(INDIRECT("'SpxSp (step-d)'!$B" &amp; CF$72)=$Z164,INDIRECT("'SpxSp (step-d)'!$" &amp; 'SpxSp (step-d)'!$AD$16 &amp; CF$72),"")</f>
        <v/>
      </c>
      <c r="CG164" s="1317" t="str">
        <f ca="1">IF(INDIRECT("'SpxSp (step-d)'!$B" &amp; CG$72)=$Z164,INDIRECT("'SpxSp (step-d)'!$" &amp; 'SpxSp (step-d)'!$AD$16 &amp; CG$72),"")</f>
        <v/>
      </c>
      <c r="CH164" s="1317" t="str">
        <f ca="1">IF(INDIRECT("'SpxSp (step-d)'!$B" &amp; CH$72)=$Z164,INDIRECT("'SpxSp (step-d)'!$" &amp; 'SpxSp (step-d)'!$AD$16 &amp; CH$72),"")</f>
        <v/>
      </c>
      <c r="CI164" s="1317" t="str">
        <f ca="1">IF(INDIRECT("'SpxSp (step-d)'!$B" &amp; CI$72)=$Z164,INDIRECT("'SpxSp (step-d)'!$" &amp; 'SpxSp (step-d)'!$AD$16 &amp; CI$72),"")</f>
        <v/>
      </c>
      <c r="CJ164" s="1317" t="str">
        <f ca="1">IF(INDIRECT("'SpxSp (step-d)'!$B" &amp; CJ$72)=$Z164,INDIRECT("'SpxSp (step-d)'!$" &amp; 'SpxSp (step-d)'!$AD$16 &amp; CJ$72),"")</f>
        <v/>
      </c>
      <c r="CK164" s="1317" t="str">
        <f ca="1">IF(INDIRECT("'SpxSp (step-d)'!$B" &amp; CK$72)=$Z164,INDIRECT("'SpxSp (step-d)'!$" &amp; 'SpxSp (step-d)'!$AD$16 &amp; CK$72),"")</f>
        <v/>
      </c>
      <c r="CL164" s="1317" t="str">
        <f ca="1">IF(INDIRECT("'SpxSp (step-d)'!$B" &amp; CL$72)=$Z164,INDIRECT("'SpxSp (step-d)'!$" &amp; 'SpxSp (step-d)'!$AD$16 &amp; CL$72),"")</f>
        <v/>
      </c>
      <c r="CM164" s="1317" t="str">
        <f ca="1">IF(INDIRECT("'SpxSp (step-d)'!$B" &amp; CM$72)=$Z164,INDIRECT("'SpxSp (step-d)'!$" &amp; 'SpxSp (step-d)'!$AD$16 &amp; CM$72),"")</f>
        <v/>
      </c>
      <c r="CN164" s="1317" t="str">
        <f ca="1">IF(INDIRECT("'SpxSp (step-d)'!$B" &amp; CN$72)=$Z164,INDIRECT("'SpxSp (step-d)'!$" &amp; 'SpxSp (step-d)'!$AD$16 &amp; CN$72),"")</f>
        <v/>
      </c>
      <c r="CO164" s="1317" t="str">
        <f ca="1">IF(INDIRECT("'SpxSp (step-d)'!$B" &amp; CO$72)=$Z164,INDIRECT("'SpxSp (step-d)'!$" &amp; 'SpxSp (step-d)'!$AD$16 &amp; CO$72),"")</f>
        <v/>
      </c>
      <c r="CP164" s="1317" t="str">
        <f ca="1">IF(INDIRECT("'SpxSp (step-d)'!$B" &amp; CP$72)=$Z164,INDIRECT("'SpxSp (step-d)'!$" &amp; 'SpxSp (step-d)'!$AD$16 &amp; CP$72),"")</f>
        <v/>
      </c>
      <c r="CQ164" s="1317" t="str">
        <f ca="1">IF(INDIRECT("'SpxSp (step-d)'!$B" &amp; CQ$72)=$Z164,INDIRECT("'SpxSp (step-d)'!$" &amp; 'SpxSp (step-d)'!$AD$16 &amp; CQ$72),"")</f>
        <v/>
      </c>
      <c r="CR164" s="1317" t="str">
        <f ca="1">IF(INDIRECT("'SpxSp (step-d)'!$B" &amp; CR$72)=$Z164,INDIRECT("'SpxSp (step-d)'!$" &amp; 'SpxSp (step-d)'!$AD$16 &amp; CR$72),"")</f>
        <v/>
      </c>
      <c r="CS164" s="1317" t="str">
        <f ca="1">IF(INDIRECT("'SpxSp (step-d)'!$B" &amp; CS$72)=$Z164,INDIRECT("'SpxSp (step-d)'!$" &amp; 'SpxSp (step-d)'!$AD$16 &amp; CS$72),"")</f>
        <v/>
      </c>
      <c r="CT164" s="1317" t="str">
        <f ca="1">IF(INDIRECT("'SpxSp (step-d)'!$B" &amp; CT$72)=$Z164,INDIRECT("'SpxSp (step-d)'!$" &amp; 'SpxSp (step-d)'!$AD$16 &amp; CT$72),"")</f>
        <v/>
      </c>
      <c r="CU164" s="1317" t="str">
        <f ca="1">IF(INDIRECT("'SpxSp (step-d)'!$B" &amp; CU$72)=$Z164,INDIRECT("'SpxSp (step-d)'!$" &amp; 'SpxSp (step-d)'!$AD$16 &amp; CU$72),"")</f>
        <v/>
      </c>
      <c r="CV164" s="1317" t="str">
        <f ca="1">IF(INDIRECT("'SpxSp (step-d)'!$B" &amp; CV$72)=$Z164,INDIRECT("'SpxSp (step-d)'!$" &amp; 'SpxSp (step-d)'!$AD$16 &amp; CV$72),"")</f>
        <v/>
      </c>
      <c r="CW164" s="1317" t="str">
        <f ca="1">IF(INDIRECT("'SpxSp (step-d)'!$B" &amp; CW$72)=$Z164,INDIRECT("'SpxSp (step-d)'!$" &amp; 'SpxSp (step-d)'!$AD$16 &amp; CW$72),"")</f>
        <v/>
      </c>
      <c r="CX164" s="1317" t="str">
        <f ca="1">IF(INDIRECT("'SpxSp (step-d)'!$B" &amp; CX$72)=$Z164,INDIRECT("'SpxSp (step-d)'!$" &amp; 'SpxSp (step-d)'!$AD$16 &amp; CX$72),"")</f>
        <v/>
      </c>
      <c r="CY164" s="1317" t="str">
        <f ca="1">IF(INDIRECT("'SpxSp (step-d)'!$B" &amp; CY$72)=$Z164,INDIRECT("'SpxSp (step-d)'!$" &amp; 'SpxSp (step-d)'!$AD$16 &amp; CY$72),"")</f>
        <v/>
      </c>
      <c r="CZ164" s="1317" t="str">
        <f ca="1">IF(INDIRECT("'SpxSp (step-d)'!$B" &amp; CZ$72)=$Z164,INDIRECT("'SpxSp (step-d)'!$" &amp; 'SpxSp (step-d)'!$AD$16 &amp; CZ$72),"")</f>
        <v/>
      </c>
      <c r="DA164" s="1317" t="str">
        <f ca="1">IF(INDIRECT("'SpxSp (step-d)'!$B" &amp; DA$72)=$Z164,INDIRECT("'SpxSp (step-d)'!$" &amp; 'SpxSp (step-d)'!$AD$16 &amp; DA$72),"")</f>
        <v/>
      </c>
      <c r="DB164" s="1317" t="str">
        <f ca="1">IF(INDIRECT("'SpxSp (step-d)'!$B" &amp; DB$72)=$Z164,INDIRECT("'SpxSp (step-d)'!$" &amp; 'SpxSp (step-d)'!$AD$16 &amp; DB$72),"")</f>
        <v/>
      </c>
      <c r="DC164" s="1317" t="str">
        <f ca="1">IF(INDIRECT("'SpxSp (step-d)'!$B" &amp; DC$72)=$Z164,INDIRECT("'SpxSp (step-d)'!$" &amp; 'SpxSp (step-d)'!$AD$16 &amp; DC$72),"")</f>
        <v/>
      </c>
      <c r="DD164" s="1317" t="str">
        <f ca="1">IF(INDIRECT("'SpxSp (step-d)'!$B" &amp; DD$72)=$Z164,INDIRECT("'SpxSp (step-d)'!$" &amp; 'SpxSp (step-d)'!$AD$16 &amp; DD$72),"")</f>
        <v/>
      </c>
      <c r="DE164" s="1317" t="str">
        <f ca="1">IF(INDIRECT("'SpxSp (step-d)'!$B" &amp; DE$72)=$Z164,INDIRECT("'SpxSp (step-d)'!$" &amp; 'SpxSp (step-d)'!$AD$16 &amp; DE$72),"")</f>
        <v/>
      </c>
      <c r="DF164" s="1317" t="str">
        <f ca="1">IF(INDIRECT("'SpxSp (step-d)'!$B" &amp; DF$72)=$Z164,INDIRECT("'SpxSp (step-d)'!$" &amp; 'SpxSp (step-d)'!$AD$16 &amp; DF$72),"")</f>
        <v/>
      </c>
      <c r="DG164" s="1317" t="str">
        <f ca="1">IF(INDIRECT("'SpxSp (step-d)'!$B" &amp; DG$72)=$Z164,INDIRECT("'SpxSp (step-d)'!$" &amp; 'SpxSp (step-d)'!$AD$16 &amp; DG$72),"")</f>
        <v/>
      </c>
      <c r="DH164" s="1317" t="str">
        <f ca="1">IF(INDIRECT("'SpxSp (step-d)'!$B" &amp; DH$72)=$Z164,INDIRECT("'SpxSp (step-d)'!$" &amp; 'SpxSp (step-d)'!$AD$16 &amp; DH$72),"")</f>
        <v/>
      </c>
      <c r="DI164" s="1317" t="str">
        <f ca="1">IF(INDIRECT("'SpxSp (step-d)'!$B" &amp; DI$72)=$Z164,INDIRECT("'SpxSp (step-d)'!$" &amp; 'SpxSp (step-d)'!$AD$16 &amp; DI$72),"")</f>
        <v/>
      </c>
      <c r="DJ164" s="1317" t="str">
        <f ca="1">IF(INDIRECT("'SpxSp (step-d)'!$B" &amp; DJ$72)=$Z164,INDIRECT("'SpxSp (step-d)'!$" &amp; 'SpxSp (step-d)'!$AD$16 &amp; DJ$72),"")</f>
        <v/>
      </c>
      <c r="DK164" s="1317" t="str">
        <f ca="1">IF(INDIRECT("'SpxSp (step-d)'!$B" &amp; DK$72)=$Z164,INDIRECT("'SpxSp (step-d)'!$" &amp; 'SpxSp (step-d)'!$AD$16 &amp; DK$72),"")</f>
        <v/>
      </c>
      <c r="DL164" s="1317" t="str">
        <f ca="1">IF(INDIRECT("'SpxSp (step-d)'!$B" &amp; DL$72)=$Z164,INDIRECT("'SpxSp (step-d)'!$" &amp; 'SpxSp (step-d)'!$AD$16 &amp; DL$72),"")</f>
        <v/>
      </c>
      <c r="DM164" s="1317" t="str">
        <f ca="1">IF(INDIRECT("'SpxSp (step-d)'!$B" &amp; DM$72)=$Z164,INDIRECT("'SpxSp (step-d)'!$" &amp; 'SpxSp (step-d)'!$AD$16 &amp; DM$72),"")</f>
        <v/>
      </c>
      <c r="DO164" s="1246" t="s">
        <v>1200</v>
      </c>
    </row>
    <row r="165" spans="26:119" ht="20" x14ac:dyDescent="0.2">
      <c r="Z165" s="1317" t="str">
        <f t="shared" ref="Z165:AA165" si="129">Z110</f>
        <v/>
      </c>
      <c r="AA165" s="1317" t="str">
        <f t="shared" si="129"/>
        <v/>
      </c>
      <c r="BM165" s="178" t="str">
        <f>IFERROR(VLOOKUP(Z165,'SpxSp (step-d)'!B$18:I$67,6,FALSE),"")</f>
        <v/>
      </c>
      <c r="BN165" s="178">
        <v>38</v>
      </c>
      <c r="BO165" s="1316" t="str">
        <f t="shared" ca="1" si="92"/>
        <v/>
      </c>
      <c r="BP165" s="1317" t="str">
        <f ca="1">IF(INDIRECT("'SpxSp (step-d)'!$B" &amp; BP$72)=$Z165,INDIRECT("'SpxSp (step-d)'!$" &amp; 'SpxSp (step-d)'!$AD$16 &amp; BP$72),"")</f>
        <v/>
      </c>
      <c r="BQ165" s="1317" t="str">
        <f ca="1">IF(INDIRECT("'SpxSp (step-d)'!$B" &amp; BQ$72)=$Z165,INDIRECT("'SpxSp (step-d)'!$" &amp; 'SpxSp (step-d)'!$AD$16 &amp; BQ$72),"")</f>
        <v/>
      </c>
      <c r="BR165" s="1317" t="str">
        <f ca="1">IF(INDIRECT("'SpxSp (step-d)'!$B" &amp; BR$72)=$Z165,INDIRECT("'SpxSp (step-d)'!$" &amp; 'SpxSp (step-d)'!$AD$16 &amp; BR$72),"")</f>
        <v/>
      </c>
      <c r="BS165" s="1317" t="str">
        <f ca="1">IF(INDIRECT("'SpxSp (step-d)'!$B" &amp; BS$72)=$Z165,INDIRECT("'SpxSp (step-d)'!$" &amp; 'SpxSp (step-d)'!$AD$16 &amp; BS$72),"")</f>
        <v/>
      </c>
      <c r="BT165" s="1317" t="str">
        <f ca="1">IF(INDIRECT("'SpxSp (step-d)'!$B" &amp; BT$72)=$Z165,INDIRECT("'SpxSp (step-d)'!$" &amp; 'SpxSp (step-d)'!$AD$16 &amp; BT$72),"")</f>
        <v/>
      </c>
      <c r="BU165" s="1317" t="str">
        <f ca="1">IF(INDIRECT("'SpxSp (step-d)'!$B" &amp; BU$72)=$Z165,INDIRECT("'SpxSp (step-d)'!$" &amp; 'SpxSp (step-d)'!$AD$16 &amp; BU$72),"")</f>
        <v/>
      </c>
      <c r="BV165" s="1317" t="str">
        <f ca="1">IF(INDIRECT("'SpxSp (step-d)'!$B" &amp; BV$72)=$Z165,INDIRECT("'SpxSp (step-d)'!$" &amp; 'SpxSp (step-d)'!$AD$16 &amp; BV$72),"")</f>
        <v/>
      </c>
      <c r="BW165" s="1317" t="str">
        <f ca="1">IF(INDIRECT("'SpxSp (step-d)'!$B" &amp; BW$72)=$Z165,INDIRECT("'SpxSp (step-d)'!$" &amp; 'SpxSp (step-d)'!$AD$16 &amp; BW$72),"")</f>
        <v/>
      </c>
      <c r="BX165" s="1317" t="str">
        <f ca="1">IF(INDIRECT("'SpxSp (step-d)'!$B" &amp; BX$72)=$Z165,INDIRECT("'SpxSp (step-d)'!$" &amp; 'SpxSp (step-d)'!$AD$16 &amp; BX$72),"")</f>
        <v/>
      </c>
      <c r="BY165" s="1317" t="str">
        <f ca="1">IF(INDIRECT("'SpxSp (step-d)'!$B" &amp; BY$72)=$Z165,INDIRECT("'SpxSp (step-d)'!$" &amp; 'SpxSp (step-d)'!$AD$16 &amp; BY$72),"")</f>
        <v/>
      </c>
      <c r="BZ165" s="1317" t="str">
        <f ca="1">IF(INDIRECT("'SpxSp (step-d)'!$B" &amp; BZ$72)=$Z165,INDIRECT("'SpxSp (step-d)'!$" &amp; 'SpxSp (step-d)'!$AD$16 &amp; BZ$72),"")</f>
        <v/>
      </c>
      <c r="CA165" s="1317" t="str">
        <f ca="1">IF(INDIRECT("'SpxSp (step-d)'!$B" &amp; CA$72)=$Z165,INDIRECT("'SpxSp (step-d)'!$" &amp; 'SpxSp (step-d)'!$AD$16 &amp; CA$72),"")</f>
        <v/>
      </c>
      <c r="CB165" s="1317" t="str">
        <f ca="1">IF(INDIRECT("'SpxSp (step-d)'!$B" &amp; CB$72)=$Z165,INDIRECT("'SpxSp (step-d)'!$" &amp; 'SpxSp (step-d)'!$AD$16 &amp; CB$72),"")</f>
        <v/>
      </c>
      <c r="CC165" s="1317" t="str">
        <f ca="1">IF(INDIRECT("'SpxSp (step-d)'!$B" &amp; CC$72)=$Z165,INDIRECT("'SpxSp (step-d)'!$" &amp; 'SpxSp (step-d)'!$AD$16 &amp; CC$72),"")</f>
        <v/>
      </c>
      <c r="CD165" s="1317" t="str">
        <f ca="1">IF(INDIRECT("'SpxSp (step-d)'!$B" &amp; CD$72)=$Z165,INDIRECT("'SpxSp (step-d)'!$" &amp; 'SpxSp (step-d)'!$AD$16 &amp; CD$72),"")</f>
        <v/>
      </c>
      <c r="CE165" s="1317" t="str">
        <f ca="1">IF(INDIRECT("'SpxSp (step-d)'!$B" &amp; CE$72)=$Z165,INDIRECT("'SpxSp (step-d)'!$" &amp; 'SpxSp (step-d)'!$AD$16 &amp; CE$72),"")</f>
        <v/>
      </c>
      <c r="CF165" s="1317" t="str">
        <f ca="1">IF(INDIRECT("'SpxSp (step-d)'!$B" &amp; CF$72)=$Z165,INDIRECT("'SpxSp (step-d)'!$" &amp; 'SpxSp (step-d)'!$AD$16 &amp; CF$72),"")</f>
        <v/>
      </c>
      <c r="CG165" s="1317" t="str">
        <f ca="1">IF(INDIRECT("'SpxSp (step-d)'!$B" &amp; CG$72)=$Z165,INDIRECT("'SpxSp (step-d)'!$" &amp; 'SpxSp (step-d)'!$AD$16 &amp; CG$72),"")</f>
        <v/>
      </c>
      <c r="CH165" s="1317" t="str">
        <f ca="1">IF(INDIRECT("'SpxSp (step-d)'!$B" &amp; CH$72)=$Z165,INDIRECT("'SpxSp (step-d)'!$" &amp; 'SpxSp (step-d)'!$AD$16 &amp; CH$72),"")</f>
        <v/>
      </c>
      <c r="CI165" s="1317" t="str">
        <f ca="1">IF(INDIRECT("'SpxSp (step-d)'!$B" &amp; CI$72)=$Z165,INDIRECT("'SpxSp (step-d)'!$" &amp; 'SpxSp (step-d)'!$AD$16 &amp; CI$72),"")</f>
        <v/>
      </c>
      <c r="CJ165" s="1317" t="str">
        <f ca="1">IF(INDIRECT("'SpxSp (step-d)'!$B" &amp; CJ$72)=$Z165,INDIRECT("'SpxSp (step-d)'!$" &amp; 'SpxSp (step-d)'!$AD$16 &amp; CJ$72),"")</f>
        <v/>
      </c>
      <c r="CK165" s="1317" t="str">
        <f ca="1">IF(INDIRECT("'SpxSp (step-d)'!$B" &amp; CK$72)=$Z165,INDIRECT("'SpxSp (step-d)'!$" &amp; 'SpxSp (step-d)'!$AD$16 &amp; CK$72),"")</f>
        <v/>
      </c>
      <c r="CL165" s="1317" t="str">
        <f ca="1">IF(INDIRECT("'SpxSp (step-d)'!$B" &amp; CL$72)=$Z165,INDIRECT("'SpxSp (step-d)'!$" &amp; 'SpxSp (step-d)'!$AD$16 &amp; CL$72),"")</f>
        <v/>
      </c>
      <c r="CM165" s="1317" t="str">
        <f ca="1">IF(INDIRECT("'SpxSp (step-d)'!$B" &amp; CM$72)=$Z165,INDIRECT("'SpxSp (step-d)'!$" &amp; 'SpxSp (step-d)'!$AD$16 &amp; CM$72),"")</f>
        <v/>
      </c>
      <c r="CN165" s="1317" t="str">
        <f ca="1">IF(INDIRECT("'SpxSp (step-d)'!$B" &amp; CN$72)=$Z165,INDIRECT("'SpxSp (step-d)'!$" &amp; 'SpxSp (step-d)'!$AD$16 &amp; CN$72),"")</f>
        <v/>
      </c>
      <c r="CO165" s="1317" t="str">
        <f ca="1">IF(INDIRECT("'SpxSp (step-d)'!$B" &amp; CO$72)=$Z165,INDIRECT("'SpxSp (step-d)'!$" &amp; 'SpxSp (step-d)'!$AD$16 &amp; CO$72),"")</f>
        <v/>
      </c>
      <c r="CP165" s="1317" t="str">
        <f ca="1">IF(INDIRECT("'SpxSp (step-d)'!$B" &amp; CP$72)=$Z165,INDIRECT("'SpxSp (step-d)'!$" &amp; 'SpxSp (step-d)'!$AD$16 &amp; CP$72),"")</f>
        <v/>
      </c>
      <c r="CQ165" s="1317" t="str">
        <f ca="1">IF(INDIRECT("'SpxSp (step-d)'!$B" &amp; CQ$72)=$Z165,INDIRECT("'SpxSp (step-d)'!$" &amp; 'SpxSp (step-d)'!$AD$16 &amp; CQ$72),"")</f>
        <v/>
      </c>
      <c r="CR165" s="1317" t="str">
        <f ca="1">IF(INDIRECT("'SpxSp (step-d)'!$B" &amp; CR$72)=$Z165,INDIRECT("'SpxSp (step-d)'!$" &amp; 'SpxSp (step-d)'!$AD$16 &amp; CR$72),"")</f>
        <v/>
      </c>
      <c r="CS165" s="1317" t="str">
        <f ca="1">IF(INDIRECT("'SpxSp (step-d)'!$B" &amp; CS$72)=$Z165,INDIRECT("'SpxSp (step-d)'!$" &amp; 'SpxSp (step-d)'!$AD$16 &amp; CS$72),"")</f>
        <v/>
      </c>
      <c r="CT165" s="1317" t="str">
        <f ca="1">IF(INDIRECT("'SpxSp (step-d)'!$B" &amp; CT$72)=$Z165,INDIRECT("'SpxSp (step-d)'!$" &amp; 'SpxSp (step-d)'!$AD$16 &amp; CT$72),"")</f>
        <v/>
      </c>
      <c r="CU165" s="1317" t="str">
        <f ca="1">IF(INDIRECT("'SpxSp (step-d)'!$B" &amp; CU$72)=$Z165,INDIRECT("'SpxSp (step-d)'!$" &amp; 'SpxSp (step-d)'!$AD$16 &amp; CU$72),"")</f>
        <v/>
      </c>
      <c r="CV165" s="1317" t="str">
        <f ca="1">IF(INDIRECT("'SpxSp (step-d)'!$B" &amp; CV$72)=$Z165,INDIRECT("'SpxSp (step-d)'!$" &amp; 'SpxSp (step-d)'!$AD$16 &amp; CV$72),"")</f>
        <v/>
      </c>
      <c r="CW165" s="1317" t="str">
        <f ca="1">IF(INDIRECT("'SpxSp (step-d)'!$B" &amp; CW$72)=$Z165,INDIRECT("'SpxSp (step-d)'!$" &amp; 'SpxSp (step-d)'!$AD$16 &amp; CW$72),"")</f>
        <v/>
      </c>
      <c r="CX165" s="1317" t="str">
        <f ca="1">IF(INDIRECT("'SpxSp (step-d)'!$B" &amp; CX$72)=$Z165,INDIRECT("'SpxSp (step-d)'!$" &amp; 'SpxSp (step-d)'!$AD$16 &amp; CX$72),"")</f>
        <v/>
      </c>
      <c r="CY165" s="1317" t="str">
        <f ca="1">IF(INDIRECT("'SpxSp (step-d)'!$B" &amp; CY$72)=$Z165,INDIRECT("'SpxSp (step-d)'!$" &amp; 'SpxSp (step-d)'!$AD$16 &amp; CY$72),"")</f>
        <v/>
      </c>
      <c r="CZ165" s="1317" t="str">
        <f ca="1">IF(INDIRECT("'SpxSp (step-d)'!$B" &amp; CZ$72)=$Z165,INDIRECT("'SpxSp (step-d)'!$" &amp; 'SpxSp (step-d)'!$AD$16 &amp; CZ$72),"")</f>
        <v/>
      </c>
      <c r="DA165" s="1317" t="str">
        <f ca="1">IF(INDIRECT("'SpxSp (step-d)'!$B" &amp; DA$72)=$Z165,INDIRECT("'SpxSp (step-d)'!$" &amp; 'SpxSp (step-d)'!$AD$16 &amp; DA$72),"")</f>
        <v/>
      </c>
      <c r="DB165" s="1317" t="str">
        <f ca="1">IF(INDIRECT("'SpxSp (step-d)'!$B" &amp; DB$72)=$Z165,INDIRECT("'SpxSp (step-d)'!$" &amp; 'SpxSp (step-d)'!$AD$16 &amp; DB$72),"")</f>
        <v/>
      </c>
      <c r="DC165" s="1317" t="str">
        <f ca="1">IF(INDIRECT("'SpxSp (step-d)'!$B" &amp; DC$72)=$Z165,INDIRECT("'SpxSp (step-d)'!$" &amp; 'SpxSp (step-d)'!$AD$16 &amp; DC$72),"")</f>
        <v/>
      </c>
      <c r="DD165" s="1317" t="str">
        <f ca="1">IF(INDIRECT("'SpxSp (step-d)'!$B" &amp; DD$72)=$Z165,INDIRECT("'SpxSp (step-d)'!$" &amp; 'SpxSp (step-d)'!$AD$16 &amp; DD$72),"")</f>
        <v/>
      </c>
      <c r="DE165" s="1317" t="str">
        <f ca="1">IF(INDIRECT("'SpxSp (step-d)'!$B" &amp; DE$72)=$Z165,INDIRECT("'SpxSp (step-d)'!$" &amp; 'SpxSp (step-d)'!$AD$16 &amp; DE$72),"")</f>
        <v/>
      </c>
      <c r="DF165" s="1317" t="str">
        <f ca="1">IF(INDIRECT("'SpxSp (step-d)'!$B" &amp; DF$72)=$Z165,INDIRECT("'SpxSp (step-d)'!$" &amp; 'SpxSp (step-d)'!$AD$16 &amp; DF$72),"")</f>
        <v/>
      </c>
      <c r="DG165" s="1317" t="str">
        <f ca="1">IF(INDIRECT("'SpxSp (step-d)'!$B" &amp; DG$72)=$Z165,INDIRECT("'SpxSp (step-d)'!$" &amp; 'SpxSp (step-d)'!$AD$16 &amp; DG$72),"")</f>
        <v/>
      </c>
      <c r="DH165" s="1317" t="str">
        <f ca="1">IF(INDIRECT("'SpxSp (step-d)'!$B" &amp; DH$72)=$Z165,INDIRECT("'SpxSp (step-d)'!$" &amp; 'SpxSp (step-d)'!$AD$16 &amp; DH$72),"")</f>
        <v/>
      </c>
      <c r="DI165" s="1317" t="str">
        <f ca="1">IF(INDIRECT("'SpxSp (step-d)'!$B" &amp; DI$72)=$Z165,INDIRECT("'SpxSp (step-d)'!$" &amp; 'SpxSp (step-d)'!$AD$16 &amp; DI$72),"")</f>
        <v/>
      </c>
      <c r="DJ165" s="1317" t="str">
        <f ca="1">IF(INDIRECT("'SpxSp (step-d)'!$B" &amp; DJ$72)=$Z165,INDIRECT("'SpxSp (step-d)'!$" &amp; 'SpxSp (step-d)'!$AD$16 &amp; DJ$72),"")</f>
        <v/>
      </c>
      <c r="DK165" s="1317" t="str">
        <f ca="1">IF(INDIRECT("'SpxSp (step-d)'!$B" &amp; DK$72)=$Z165,INDIRECT("'SpxSp (step-d)'!$" &amp; 'SpxSp (step-d)'!$AD$16 &amp; DK$72),"")</f>
        <v/>
      </c>
      <c r="DL165" s="1317" t="str">
        <f ca="1">IF(INDIRECT("'SpxSp (step-d)'!$B" &amp; DL$72)=$Z165,INDIRECT("'SpxSp (step-d)'!$" &amp; 'SpxSp (step-d)'!$AD$16 &amp; DL$72),"")</f>
        <v/>
      </c>
      <c r="DM165" s="1317" t="str">
        <f ca="1">IF(INDIRECT("'SpxSp (step-d)'!$B" &amp; DM$72)=$Z165,INDIRECT("'SpxSp (step-d)'!$" &amp; 'SpxSp (step-d)'!$AD$16 &amp; DM$72),"")</f>
        <v/>
      </c>
      <c r="DO165" s="1246" t="s">
        <v>1200</v>
      </c>
    </row>
    <row r="166" spans="26:119" ht="20" x14ac:dyDescent="0.2">
      <c r="Z166" s="1317" t="str">
        <f t="shared" ref="Z166:AA166" si="130">Z111</f>
        <v/>
      </c>
      <c r="AA166" s="1317" t="str">
        <f t="shared" si="130"/>
        <v/>
      </c>
      <c r="BM166" s="178" t="str">
        <f>IFERROR(VLOOKUP(Z166,'SpxSp (step-d)'!B$18:I$67,6,FALSE),"")</f>
        <v/>
      </c>
      <c r="BN166" s="178">
        <v>39</v>
      </c>
      <c r="BO166" s="1316" t="str">
        <f t="shared" ca="1" si="92"/>
        <v/>
      </c>
      <c r="BP166" s="1317" t="str">
        <f ca="1">IF(INDIRECT("'SpxSp (step-d)'!$B" &amp; BP$72)=$Z166,INDIRECT("'SpxSp (step-d)'!$" &amp; 'SpxSp (step-d)'!$AD$16 &amp; BP$72),"")</f>
        <v/>
      </c>
      <c r="BQ166" s="1317" t="str">
        <f ca="1">IF(INDIRECT("'SpxSp (step-d)'!$B" &amp; BQ$72)=$Z166,INDIRECT("'SpxSp (step-d)'!$" &amp; 'SpxSp (step-d)'!$AD$16 &amp; BQ$72),"")</f>
        <v/>
      </c>
      <c r="BR166" s="1317" t="str">
        <f ca="1">IF(INDIRECT("'SpxSp (step-d)'!$B" &amp; BR$72)=$Z166,INDIRECT("'SpxSp (step-d)'!$" &amp; 'SpxSp (step-d)'!$AD$16 &amp; BR$72),"")</f>
        <v/>
      </c>
      <c r="BS166" s="1317" t="str">
        <f ca="1">IF(INDIRECT("'SpxSp (step-d)'!$B" &amp; BS$72)=$Z166,INDIRECT("'SpxSp (step-d)'!$" &amp; 'SpxSp (step-d)'!$AD$16 &amp; BS$72),"")</f>
        <v/>
      </c>
      <c r="BT166" s="1317" t="str">
        <f ca="1">IF(INDIRECT("'SpxSp (step-d)'!$B" &amp; BT$72)=$Z166,INDIRECT("'SpxSp (step-d)'!$" &amp; 'SpxSp (step-d)'!$AD$16 &amp; BT$72),"")</f>
        <v/>
      </c>
      <c r="BU166" s="1317" t="str">
        <f ca="1">IF(INDIRECT("'SpxSp (step-d)'!$B" &amp; BU$72)=$Z166,INDIRECT("'SpxSp (step-d)'!$" &amp; 'SpxSp (step-d)'!$AD$16 &amp; BU$72),"")</f>
        <v/>
      </c>
      <c r="BV166" s="1317" t="str">
        <f ca="1">IF(INDIRECT("'SpxSp (step-d)'!$B" &amp; BV$72)=$Z166,INDIRECT("'SpxSp (step-d)'!$" &amp; 'SpxSp (step-d)'!$AD$16 &amp; BV$72),"")</f>
        <v/>
      </c>
      <c r="BW166" s="1317" t="str">
        <f ca="1">IF(INDIRECT("'SpxSp (step-d)'!$B" &amp; BW$72)=$Z166,INDIRECT("'SpxSp (step-d)'!$" &amp; 'SpxSp (step-d)'!$AD$16 &amp; BW$72),"")</f>
        <v/>
      </c>
      <c r="BX166" s="1317" t="str">
        <f ca="1">IF(INDIRECT("'SpxSp (step-d)'!$B" &amp; BX$72)=$Z166,INDIRECT("'SpxSp (step-d)'!$" &amp; 'SpxSp (step-d)'!$AD$16 &amp; BX$72),"")</f>
        <v/>
      </c>
      <c r="BY166" s="1317" t="str">
        <f ca="1">IF(INDIRECT("'SpxSp (step-d)'!$B" &amp; BY$72)=$Z166,INDIRECT("'SpxSp (step-d)'!$" &amp; 'SpxSp (step-d)'!$AD$16 &amp; BY$72),"")</f>
        <v/>
      </c>
      <c r="BZ166" s="1317" t="str">
        <f ca="1">IF(INDIRECT("'SpxSp (step-d)'!$B" &amp; BZ$72)=$Z166,INDIRECT("'SpxSp (step-d)'!$" &amp; 'SpxSp (step-d)'!$AD$16 &amp; BZ$72),"")</f>
        <v/>
      </c>
      <c r="CA166" s="1317" t="str">
        <f ca="1">IF(INDIRECT("'SpxSp (step-d)'!$B" &amp; CA$72)=$Z166,INDIRECT("'SpxSp (step-d)'!$" &amp; 'SpxSp (step-d)'!$AD$16 &amp; CA$72),"")</f>
        <v/>
      </c>
      <c r="CB166" s="1317" t="str">
        <f ca="1">IF(INDIRECT("'SpxSp (step-d)'!$B" &amp; CB$72)=$Z166,INDIRECT("'SpxSp (step-d)'!$" &amp; 'SpxSp (step-d)'!$AD$16 &amp; CB$72),"")</f>
        <v/>
      </c>
      <c r="CC166" s="1317" t="str">
        <f ca="1">IF(INDIRECT("'SpxSp (step-d)'!$B" &amp; CC$72)=$Z166,INDIRECT("'SpxSp (step-d)'!$" &amp; 'SpxSp (step-d)'!$AD$16 &amp; CC$72),"")</f>
        <v/>
      </c>
      <c r="CD166" s="1317" t="str">
        <f ca="1">IF(INDIRECT("'SpxSp (step-d)'!$B" &amp; CD$72)=$Z166,INDIRECT("'SpxSp (step-d)'!$" &amp; 'SpxSp (step-d)'!$AD$16 &amp; CD$72),"")</f>
        <v/>
      </c>
      <c r="CE166" s="1317" t="str">
        <f ca="1">IF(INDIRECT("'SpxSp (step-d)'!$B" &amp; CE$72)=$Z166,INDIRECT("'SpxSp (step-d)'!$" &amp; 'SpxSp (step-d)'!$AD$16 &amp; CE$72),"")</f>
        <v/>
      </c>
      <c r="CF166" s="1317" t="str">
        <f ca="1">IF(INDIRECT("'SpxSp (step-d)'!$B" &amp; CF$72)=$Z166,INDIRECT("'SpxSp (step-d)'!$" &amp; 'SpxSp (step-d)'!$AD$16 &amp; CF$72),"")</f>
        <v/>
      </c>
      <c r="CG166" s="1317" t="str">
        <f ca="1">IF(INDIRECT("'SpxSp (step-d)'!$B" &amp; CG$72)=$Z166,INDIRECT("'SpxSp (step-d)'!$" &amp; 'SpxSp (step-d)'!$AD$16 &amp; CG$72),"")</f>
        <v/>
      </c>
      <c r="CH166" s="1317" t="str">
        <f ca="1">IF(INDIRECT("'SpxSp (step-d)'!$B" &amp; CH$72)=$Z166,INDIRECT("'SpxSp (step-d)'!$" &amp; 'SpxSp (step-d)'!$AD$16 &amp; CH$72),"")</f>
        <v/>
      </c>
      <c r="CI166" s="1317" t="str">
        <f ca="1">IF(INDIRECT("'SpxSp (step-d)'!$B" &amp; CI$72)=$Z166,INDIRECT("'SpxSp (step-d)'!$" &amp; 'SpxSp (step-d)'!$AD$16 &amp; CI$72),"")</f>
        <v/>
      </c>
      <c r="CJ166" s="1317" t="str">
        <f ca="1">IF(INDIRECT("'SpxSp (step-d)'!$B" &amp; CJ$72)=$Z166,INDIRECT("'SpxSp (step-d)'!$" &amp; 'SpxSp (step-d)'!$AD$16 &amp; CJ$72),"")</f>
        <v/>
      </c>
      <c r="CK166" s="1317" t="str">
        <f ca="1">IF(INDIRECT("'SpxSp (step-d)'!$B" &amp; CK$72)=$Z166,INDIRECT("'SpxSp (step-d)'!$" &amp; 'SpxSp (step-d)'!$AD$16 &amp; CK$72),"")</f>
        <v/>
      </c>
      <c r="CL166" s="1317" t="str">
        <f ca="1">IF(INDIRECT("'SpxSp (step-d)'!$B" &amp; CL$72)=$Z166,INDIRECT("'SpxSp (step-d)'!$" &amp; 'SpxSp (step-d)'!$AD$16 &amp; CL$72),"")</f>
        <v/>
      </c>
      <c r="CM166" s="1317" t="str">
        <f ca="1">IF(INDIRECT("'SpxSp (step-d)'!$B" &amp; CM$72)=$Z166,INDIRECT("'SpxSp (step-d)'!$" &amp; 'SpxSp (step-d)'!$AD$16 &amp; CM$72),"")</f>
        <v/>
      </c>
      <c r="CN166" s="1317" t="str">
        <f ca="1">IF(INDIRECT("'SpxSp (step-d)'!$B" &amp; CN$72)=$Z166,INDIRECT("'SpxSp (step-d)'!$" &amp; 'SpxSp (step-d)'!$AD$16 &amp; CN$72),"")</f>
        <v/>
      </c>
      <c r="CO166" s="1317" t="str">
        <f ca="1">IF(INDIRECT("'SpxSp (step-d)'!$B" &amp; CO$72)=$Z166,INDIRECT("'SpxSp (step-d)'!$" &amp; 'SpxSp (step-d)'!$AD$16 &amp; CO$72),"")</f>
        <v/>
      </c>
      <c r="CP166" s="1317" t="str">
        <f ca="1">IF(INDIRECT("'SpxSp (step-d)'!$B" &amp; CP$72)=$Z166,INDIRECT("'SpxSp (step-d)'!$" &amp; 'SpxSp (step-d)'!$AD$16 &amp; CP$72),"")</f>
        <v/>
      </c>
      <c r="CQ166" s="1317" t="str">
        <f ca="1">IF(INDIRECT("'SpxSp (step-d)'!$B" &amp; CQ$72)=$Z166,INDIRECT("'SpxSp (step-d)'!$" &amp; 'SpxSp (step-d)'!$AD$16 &amp; CQ$72),"")</f>
        <v/>
      </c>
      <c r="CR166" s="1317" t="str">
        <f ca="1">IF(INDIRECT("'SpxSp (step-d)'!$B" &amp; CR$72)=$Z166,INDIRECT("'SpxSp (step-d)'!$" &amp; 'SpxSp (step-d)'!$AD$16 &amp; CR$72),"")</f>
        <v/>
      </c>
      <c r="CS166" s="1317" t="str">
        <f ca="1">IF(INDIRECT("'SpxSp (step-d)'!$B" &amp; CS$72)=$Z166,INDIRECT("'SpxSp (step-d)'!$" &amp; 'SpxSp (step-d)'!$AD$16 &amp; CS$72),"")</f>
        <v/>
      </c>
      <c r="CT166" s="1317" t="str">
        <f ca="1">IF(INDIRECT("'SpxSp (step-d)'!$B" &amp; CT$72)=$Z166,INDIRECT("'SpxSp (step-d)'!$" &amp; 'SpxSp (step-d)'!$AD$16 &amp; CT$72),"")</f>
        <v/>
      </c>
      <c r="CU166" s="1317" t="str">
        <f ca="1">IF(INDIRECT("'SpxSp (step-d)'!$B" &amp; CU$72)=$Z166,INDIRECT("'SpxSp (step-d)'!$" &amp; 'SpxSp (step-d)'!$AD$16 &amp; CU$72),"")</f>
        <v/>
      </c>
      <c r="CV166" s="1317" t="str">
        <f ca="1">IF(INDIRECT("'SpxSp (step-d)'!$B" &amp; CV$72)=$Z166,INDIRECT("'SpxSp (step-d)'!$" &amp; 'SpxSp (step-d)'!$AD$16 &amp; CV$72),"")</f>
        <v/>
      </c>
      <c r="CW166" s="1317" t="str">
        <f ca="1">IF(INDIRECT("'SpxSp (step-d)'!$B" &amp; CW$72)=$Z166,INDIRECT("'SpxSp (step-d)'!$" &amp; 'SpxSp (step-d)'!$AD$16 &amp; CW$72),"")</f>
        <v/>
      </c>
      <c r="CX166" s="1317" t="str">
        <f ca="1">IF(INDIRECT("'SpxSp (step-d)'!$B" &amp; CX$72)=$Z166,INDIRECT("'SpxSp (step-d)'!$" &amp; 'SpxSp (step-d)'!$AD$16 &amp; CX$72),"")</f>
        <v/>
      </c>
      <c r="CY166" s="1317" t="str">
        <f ca="1">IF(INDIRECT("'SpxSp (step-d)'!$B" &amp; CY$72)=$Z166,INDIRECT("'SpxSp (step-d)'!$" &amp; 'SpxSp (step-d)'!$AD$16 &amp; CY$72),"")</f>
        <v/>
      </c>
      <c r="CZ166" s="1317" t="str">
        <f ca="1">IF(INDIRECT("'SpxSp (step-d)'!$B" &amp; CZ$72)=$Z166,INDIRECT("'SpxSp (step-d)'!$" &amp; 'SpxSp (step-d)'!$AD$16 &amp; CZ$72),"")</f>
        <v/>
      </c>
      <c r="DA166" s="1317" t="str">
        <f ca="1">IF(INDIRECT("'SpxSp (step-d)'!$B" &amp; DA$72)=$Z166,INDIRECT("'SpxSp (step-d)'!$" &amp; 'SpxSp (step-d)'!$AD$16 &amp; DA$72),"")</f>
        <v/>
      </c>
      <c r="DB166" s="1317" t="str">
        <f ca="1">IF(INDIRECT("'SpxSp (step-d)'!$B" &amp; DB$72)=$Z166,INDIRECT("'SpxSp (step-d)'!$" &amp; 'SpxSp (step-d)'!$AD$16 &amp; DB$72),"")</f>
        <v/>
      </c>
      <c r="DC166" s="1317" t="str">
        <f ca="1">IF(INDIRECT("'SpxSp (step-d)'!$B" &amp; DC$72)=$Z166,INDIRECT("'SpxSp (step-d)'!$" &amp; 'SpxSp (step-d)'!$AD$16 &amp; DC$72),"")</f>
        <v/>
      </c>
      <c r="DD166" s="1317" t="str">
        <f ca="1">IF(INDIRECT("'SpxSp (step-d)'!$B" &amp; DD$72)=$Z166,INDIRECT("'SpxSp (step-d)'!$" &amp; 'SpxSp (step-d)'!$AD$16 &amp; DD$72),"")</f>
        <v/>
      </c>
      <c r="DE166" s="1317" t="str">
        <f ca="1">IF(INDIRECT("'SpxSp (step-d)'!$B" &amp; DE$72)=$Z166,INDIRECT("'SpxSp (step-d)'!$" &amp; 'SpxSp (step-d)'!$AD$16 &amp; DE$72),"")</f>
        <v/>
      </c>
      <c r="DF166" s="1317" t="str">
        <f ca="1">IF(INDIRECT("'SpxSp (step-d)'!$B" &amp; DF$72)=$Z166,INDIRECT("'SpxSp (step-d)'!$" &amp; 'SpxSp (step-d)'!$AD$16 &amp; DF$72),"")</f>
        <v/>
      </c>
      <c r="DG166" s="1317" t="str">
        <f ca="1">IF(INDIRECT("'SpxSp (step-d)'!$B" &amp; DG$72)=$Z166,INDIRECT("'SpxSp (step-d)'!$" &amp; 'SpxSp (step-d)'!$AD$16 &amp; DG$72),"")</f>
        <v/>
      </c>
      <c r="DH166" s="1317" t="str">
        <f ca="1">IF(INDIRECT("'SpxSp (step-d)'!$B" &amp; DH$72)=$Z166,INDIRECT("'SpxSp (step-d)'!$" &amp; 'SpxSp (step-d)'!$AD$16 &amp; DH$72),"")</f>
        <v/>
      </c>
      <c r="DI166" s="1317" t="str">
        <f ca="1">IF(INDIRECT("'SpxSp (step-d)'!$B" &amp; DI$72)=$Z166,INDIRECT("'SpxSp (step-d)'!$" &amp; 'SpxSp (step-d)'!$AD$16 &amp; DI$72),"")</f>
        <v/>
      </c>
      <c r="DJ166" s="1317" t="str">
        <f ca="1">IF(INDIRECT("'SpxSp (step-d)'!$B" &amp; DJ$72)=$Z166,INDIRECT("'SpxSp (step-d)'!$" &amp; 'SpxSp (step-d)'!$AD$16 &amp; DJ$72),"")</f>
        <v/>
      </c>
      <c r="DK166" s="1317" t="str">
        <f ca="1">IF(INDIRECT("'SpxSp (step-d)'!$B" &amp; DK$72)=$Z166,INDIRECT("'SpxSp (step-d)'!$" &amp; 'SpxSp (step-d)'!$AD$16 &amp; DK$72),"")</f>
        <v/>
      </c>
      <c r="DL166" s="1317" t="str">
        <f ca="1">IF(INDIRECT("'SpxSp (step-d)'!$B" &amp; DL$72)=$Z166,INDIRECT("'SpxSp (step-d)'!$" &amp; 'SpxSp (step-d)'!$AD$16 &amp; DL$72),"")</f>
        <v/>
      </c>
      <c r="DM166" s="1317" t="str">
        <f ca="1">IF(INDIRECT("'SpxSp (step-d)'!$B" &amp; DM$72)=$Z166,INDIRECT("'SpxSp (step-d)'!$" &amp; 'SpxSp (step-d)'!$AD$16 &amp; DM$72),"")</f>
        <v/>
      </c>
      <c r="DO166" s="1246" t="s">
        <v>1200</v>
      </c>
    </row>
    <row r="167" spans="26:119" ht="20" x14ac:dyDescent="0.2">
      <c r="Z167" s="1317" t="str">
        <f t="shared" ref="Z167:AA167" si="131">Z112</f>
        <v/>
      </c>
      <c r="AA167" s="1317" t="str">
        <f t="shared" si="131"/>
        <v/>
      </c>
      <c r="BM167" s="178" t="str">
        <f>IFERROR(VLOOKUP(Z167,'SpxSp (step-d)'!B$18:I$67,6,FALSE),"")</f>
        <v/>
      </c>
      <c r="BN167" s="178">
        <v>40</v>
      </c>
      <c r="BO167" s="1316" t="str">
        <f t="shared" ca="1" si="92"/>
        <v/>
      </c>
      <c r="BP167" s="1317" t="str">
        <f ca="1">IF(INDIRECT("'SpxSp (step-d)'!$B" &amp; BP$72)=$Z167,INDIRECT("'SpxSp (step-d)'!$" &amp; 'SpxSp (step-d)'!$AD$16 &amp; BP$72),"")</f>
        <v/>
      </c>
      <c r="BQ167" s="1317" t="str">
        <f ca="1">IF(INDIRECT("'SpxSp (step-d)'!$B" &amp; BQ$72)=$Z167,INDIRECT("'SpxSp (step-d)'!$" &amp; 'SpxSp (step-d)'!$AD$16 &amp; BQ$72),"")</f>
        <v/>
      </c>
      <c r="BR167" s="1317" t="str">
        <f ca="1">IF(INDIRECT("'SpxSp (step-d)'!$B" &amp; BR$72)=$Z167,INDIRECT("'SpxSp (step-d)'!$" &amp; 'SpxSp (step-d)'!$AD$16 &amp; BR$72),"")</f>
        <v/>
      </c>
      <c r="BS167" s="1317" t="str">
        <f ca="1">IF(INDIRECT("'SpxSp (step-d)'!$B" &amp; BS$72)=$Z167,INDIRECT("'SpxSp (step-d)'!$" &amp; 'SpxSp (step-d)'!$AD$16 &amp; BS$72),"")</f>
        <v/>
      </c>
      <c r="BT167" s="1317" t="str">
        <f ca="1">IF(INDIRECT("'SpxSp (step-d)'!$B" &amp; BT$72)=$Z167,INDIRECT("'SpxSp (step-d)'!$" &amp; 'SpxSp (step-d)'!$AD$16 &amp; BT$72),"")</f>
        <v/>
      </c>
      <c r="BU167" s="1317" t="str">
        <f ca="1">IF(INDIRECT("'SpxSp (step-d)'!$B" &amp; BU$72)=$Z167,INDIRECT("'SpxSp (step-d)'!$" &amp; 'SpxSp (step-d)'!$AD$16 &amp; BU$72),"")</f>
        <v/>
      </c>
      <c r="BV167" s="1317" t="str">
        <f ca="1">IF(INDIRECT("'SpxSp (step-d)'!$B" &amp; BV$72)=$Z167,INDIRECT("'SpxSp (step-d)'!$" &amp; 'SpxSp (step-d)'!$AD$16 &amp; BV$72),"")</f>
        <v/>
      </c>
      <c r="BW167" s="1317" t="str">
        <f ca="1">IF(INDIRECT("'SpxSp (step-d)'!$B" &amp; BW$72)=$Z167,INDIRECT("'SpxSp (step-d)'!$" &amp; 'SpxSp (step-d)'!$AD$16 &amp; BW$72),"")</f>
        <v/>
      </c>
      <c r="BX167" s="1317" t="str">
        <f ca="1">IF(INDIRECT("'SpxSp (step-d)'!$B" &amp; BX$72)=$Z167,INDIRECT("'SpxSp (step-d)'!$" &amp; 'SpxSp (step-d)'!$AD$16 &amp; BX$72),"")</f>
        <v/>
      </c>
      <c r="BY167" s="1317" t="str">
        <f ca="1">IF(INDIRECT("'SpxSp (step-d)'!$B" &amp; BY$72)=$Z167,INDIRECT("'SpxSp (step-d)'!$" &amp; 'SpxSp (step-d)'!$AD$16 &amp; BY$72),"")</f>
        <v/>
      </c>
      <c r="BZ167" s="1317" t="str">
        <f ca="1">IF(INDIRECT("'SpxSp (step-d)'!$B" &amp; BZ$72)=$Z167,INDIRECT("'SpxSp (step-d)'!$" &amp; 'SpxSp (step-d)'!$AD$16 &amp; BZ$72),"")</f>
        <v/>
      </c>
      <c r="CA167" s="1317" t="str">
        <f ca="1">IF(INDIRECT("'SpxSp (step-d)'!$B" &amp; CA$72)=$Z167,INDIRECT("'SpxSp (step-d)'!$" &amp; 'SpxSp (step-d)'!$AD$16 &amp; CA$72),"")</f>
        <v/>
      </c>
      <c r="CB167" s="1317" t="str">
        <f ca="1">IF(INDIRECT("'SpxSp (step-d)'!$B" &amp; CB$72)=$Z167,INDIRECT("'SpxSp (step-d)'!$" &amp; 'SpxSp (step-d)'!$AD$16 &amp; CB$72),"")</f>
        <v/>
      </c>
      <c r="CC167" s="1317" t="str">
        <f ca="1">IF(INDIRECT("'SpxSp (step-d)'!$B" &amp; CC$72)=$Z167,INDIRECT("'SpxSp (step-d)'!$" &amp; 'SpxSp (step-d)'!$AD$16 &amp; CC$72),"")</f>
        <v/>
      </c>
      <c r="CD167" s="1317" t="str">
        <f ca="1">IF(INDIRECT("'SpxSp (step-d)'!$B" &amp; CD$72)=$Z167,INDIRECT("'SpxSp (step-d)'!$" &amp; 'SpxSp (step-d)'!$AD$16 &amp; CD$72),"")</f>
        <v/>
      </c>
      <c r="CE167" s="1317" t="str">
        <f ca="1">IF(INDIRECT("'SpxSp (step-d)'!$B" &amp; CE$72)=$Z167,INDIRECT("'SpxSp (step-d)'!$" &amp; 'SpxSp (step-d)'!$AD$16 &amp; CE$72),"")</f>
        <v/>
      </c>
      <c r="CF167" s="1317" t="str">
        <f ca="1">IF(INDIRECT("'SpxSp (step-d)'!$B" &amp; CF$72)=$Z167,INDIRECT("'SpxSp (step-d)'!$" &amp; 'SpxSp (step-d)'!$AD$16 &amp; CF$72),"")</f>
        <v/>
      </c>
      <c r="CG167" s="1317" t="str">
        <f ca="1">IF(INDIRECT("'SpxSp (step-d)'!$B" &amp; CG$72)=$Z167,INDIRECT("'SpxSp (step-d)'!$" &amp; 'SpxSp (step-d)'!$AD$16 &amp; CG$72),"")</f>
        <v/>
      </c>
      <c r="CH167" s="1317" t="str">
        <f ca="1">IF(INDIRECT("'SpxSp (step-d)'!$B" &amp; CH$72)=$Z167,INDIRECT("'SpxSp (step-d)'!$" &amp; 'SpxSp (step-d)'!$AD$16 &amp; CH$72),"")</f>
        <v/>
      </c>
      <c r="CI167" s="1317" t="str">
        <f ca="1">IF(INDIRECT("'SpxSp (step-d)'!$B" &amp; CI$72)=$Z167,INDIRECT("'SpxSp (step-d)'!$" &amp; 'SpxSp (step-d)'!$AD$16 &amp; CI$72),"")</f>
        <v/>
      </c>
      <c r="CJ167" s="1317" t="str">
        <f ca="1">IF(INDIRECT("'SpxSp (step-d)'!$B" &amp; CJ$72)=$Z167,INDIRECT("'SpxSp (step-d)'!$" &amp; 'SpxSp (step-d)'!$AD$16 &amp; CJ$72),"")</f>
        <v/>
      </c>
      <c r="CK167" s="1317" t="str">
        <f ca="1">IF(INDIRECT("'SpxSp (step-d)'!$B" &amp; CK$72)=$Z167,INDIRECT("'SpxSp (step-d)'!$" &amp; 'SpxSp (step-d)'!$AD$16 &amp; CK$72),"")</f>
        <v/>
      </c>
      <c r="CL167" s="1317" t="str">
        <f ca="1">IF(INDIRECT("'SpxSp (step-d)'!$B" &amp; CL$72)=$Z167,INDIRECT("'SpxSp (step-d)'!$" &amp; 'SpxSp (step-d)'!$AD$16 &amp; CL$72),"")</f>
        <v/>
      </c>
      <c r="CM167" s="1317" t="str">
        <f ca="1">IF(INDIRECT("'SpxSp (step-d)'!$B" &amp; CM$72)=$Z167,INDIRECT("'SpxSp (step-d)'!$" &amp; 'SpxSp (step-d)'!$AD$16 &amp; CM$72),"")</f>
        <v/>
      </c>
      <c r="CN167" s="1317" t="str">
        <f ca="1">IF(INDIRECT("'SpxSp (step-d)'!$B" &amp; CN$72)=$Z167,INDIRECT("'SpxSp (step-d)'!$" &amp; 'SpxSp (step-d)'!$AD$16 &amp; CN$72),"")</f>
        <v/>
      </c>
      <c r="CO167" s="1317" t="str">
        <f ca="1">IF(INDIRECT("'SpxSp (step-d)'!$B" &amp; CO$72)=$Z167,INDIRECT("'SpxSp (step-d)'!$" &amp; 'SpxSp (step-d)'!$AD$16 &amp; CO$72),"")</f>
        <v/>
      </c>
      <c r="CP167" s="1317" t="str">
        <f ca="1">IF(INDIRECT("'SpxSp (step-d)'!$B" &amp; CP$72)=$Z167,INDIRECT("'SpxSp (step-d)'!$" &amp; 'SpxSp (step-d)'!$AD$16 &amp; CP$72),"")</f>
        <v/>
      </c>
      <c r="CQ167" s="1317" t="str">
        <f ca="1">IF(INDIRECT("'SpxSp (step-d)'!$B" &amp; CQ$72)=$Z167,INDIRECT("'SpxSp (step-d)'!$" &amp; 'SpxSp (step-d)'!$AD$16 &amp; CQ$72),"")</f>
        <v/>
      </c>
      <c r="CR167" s="1317" t="str">
        <f ca="1">IF(INDIRECT("'SpxSp (step-d)'!$B" &amp; CR$72)=$Z167,INDIRECT("'SpxSp (step-d)'!$" &amp; 'SpxSp (step-d)'!$AD$16 &amp; CR$72),"")</f>
        <v/>
      </c>
      <c r="CS167" s="1317" t="str">
        <f ca="1">IF(INDIRECT("'SpxSp (step-d)'!$B" &amp; CS$72)=$Z167,INDIRECT("'SpxSp (step-d)'!$" &amp; 'SpxSp (step-d)'!$AD$16 &amp; CS$72),"")</f>
        <v/>
      </c>
      <c r="CT167" s="1317" t="str">
        <f ca="1">IF(INDIRECT("'SpxSp (step-d)'!$B" &amp; CT$72)=$Z167,INDIRECT("'SpxSp (step-d)'!$" &amp; 'SpxSp (step-d)'!$AD$16 &amp; CT$72),"")</f>
        <v/>
      </c>
      <c r="CU167" s="1317" t="str">
        <f ca="1">IF(INDIRECT("'SpxSp (step-d)'!$B" &amp; CU$72)=$Z167,INDIRECT("'SpxSp (step-d)'!$" &amp; 'SpxSp (step-d)'!$AD$16 &amp; CU$72),"")</f>
        <v/>
      </c>
      <c r="CV167" s="1317" t="str">
        <f ca="1">IF(INDIRECT("'SpxSp (step-d)'!$B" &amp; CV$72)=$Z167,INDIRECT("'SpxSp (step-d)'!$" &amp; 'SpxSp (step-d)'!$AD$16 &amp; CV$72),"")</f>
        <v/>
      </c>
      <c r="CW167" s="1317" t="str">
        <f ca="1">IF(INDIRECT("'SpxSp (step-d)'!$B" &amp; CW$72)=$Z167,INDIRECT("'SpxSp (step-d)'!$" &amp; 'SpxSp (step-d)'!$AD$16 &amp; CW$72),"")</f>
        <v/>
      </c>
      <c r="CX167" s="1317" t="str">
        <f ca="1">IF(INDIRECT("'SpxSp (step-d)'!$B" &amp; CX$72)=$Z167,INDIRECT("'SpxSp (step-d)'!$" &amp; 'SpxSp (step-d)'!$AD$16 &amp; CX$72),"")</f>
        <v/>
      </c>
      <c r="CY167" s="1317" t="str">
        <f ca="1">IF(INDIRECT("'SpxSp (step-d)'!$B" &amp; CY$72)=$Z167,INDIRECT("'SpxSp (step-d)'!$" &amp; 'SpxSp (step-d)'!$AD$16 &amp; CY$72),"")</f>
        <v/>
      </c>
      <c r="CZ167" s="1317" t="str">
        <f ca="1">IF(INDIRECT("'SpxSp (step-d)'!$B" &amp; CZ$72)=$Z167,INDIRECT("'SpxSp (step-d)'!$" &amp; 'SpxSp (step-d)'!$AD$16 &amp; CZ$72),"")</f>
        <v/>
      </c>
      <c r="DA167" s="1317" t="str">
        <f ca="1">IF(INDIRECT("'SpxSp (step-d)'!$B" &amp; DA$72)=$Z167,INDIRECT("'SpxSp (step-d)'!$" &amp; 'SpxSp (step-d)'!$AD$16 &amp; DA$72),"")</f>
        <v/>
      </c>
      <c r="DB167" s="1317" t="str">
        <f ca="1">IF(INDIRECT("'SpxSp (step-d)'!$B" &amp; DB$72)=$Z167,INDIRECT("'SpxSp (step-d)'!$" &amp; 'SpxSp (step-d)'!$AD$16 &amp; DB$72),"")</f>
        <v/>
      </c>
      <c r="DC167" s="1317" t="str">
        <f ca="1">IF(INDIRECT("'SpxSp (step-d)'!$B" &amp; DC$72)=$Z167,INDIRECT("'SpxSp (step-d)'!$" &amp; 'SpxSp (step-d)'!$AD$16 &amp; DC$72),"")</f>
        <v/>
      </c>
      <c r="DD167" s="1317" t="str">
        <f ca="1">IF(INDIRECT("'SpxSp (step-d)'!$B" &amp; DD$72)=$Z167,INDIRECT("'SpxSp (step-d)'!$" &amp; 'SpxSp (step-d)'!$AD$16 &amp; DD$72),"")</f>
        <v/>
      </c>
      <c r="DE167" s="1317" t="str">
        <f ca="1">IF(INDIRECT("'SpxSp (step-d)'!$B" &amp; DE$72)=$Z167,INDIRECT("'SpxSp (step-d)'!$" &amp; 'SpxSp (step-d)'!$AD$16 &amp; DE$72),"")</f>
        <v/>
      </c>
      <c r="DF167" s="1317" t="str">
        <f ca="1">IF(INDIRECT("'SpxSp (step-d)'!$B" &amp; DF$72)=$Z167,INDIRECT("'SpxSp (step-d)'!$" &amp; 'SpxSp (step-d)'!$AD$16 &amp; DF$72),"")</f>
        <v/>
      </c>
      <c r="DG167" s="1317" t="str">
        <f ca="1">IF(INDIRECT("'SpxSp (step-d)'!$B" &amp; DG$72)=$Z167,INDIRECT("'SpxSp (step-d)'!$" &amp; 'SpxSp (step-d)'!$AD$16 &amp; DG$72),"")</f>
        <v/>
      </c>
      <c r="DH167" s="1317" t="str">
        <f ca="1">IF(INDIRECT("'SpxSp (step-d)'!$B" &amp; DH$72)=$Z167,INDIRECT("'SpxSp (step-d)'!$" &amp; 'SpxSp (step-d)'!$AD$16 &amp; DH$72),"")</f>
        <v/>
      </c>
      <c r="DI167" s="1317" t="str">
        <f ca="1">IF(INDIRECT("'SpxSp (step-d)'!$B" &amp; DI$72)=$Z167,INDIRECT("'SpxSp (step-d)'!$" &amp; 'SpxSp (step-d)'!$AD$16 &amp; DI$72),"")</f>
        <v/>
      </c>
      <c r="DJ167" s="1317" t="str">
        <f ca="1">IF(INDIRECT("'SpxSp (step-d)'!$B" &amp; DJ$72)=$Z167,INDIRECT("'SpxSp (step-d)'!$" &amp; 'SpxSp (step-d)'!$AD$16 &amp; DJ$72),"")</f>
        <v/>
      </c>
      <c r="DK167" s="1317" t="str">
        <f ca="1">IF(INDIRECT("'SpxSp (step-d)'!$B" &amp; DK$72)=$Z167,INDIRECT("'SpxSp (step-d)'!$" &amp; 'SpxSp (step-d)'!$AD$16 &amp; DK$72),"")</f>
        <v/>
      </c>
      <c r="DL167" s="1317" t="str">
        <f ca="1">IF(INDIRECT("'SpxSp (step-d)'!$B" &amp; DL$72)=$Z167,INDIRECT("'SpxSp (step-d)'!$" &amp; 'SpxSp (step-d)'!$AD$16 &amp; DL$72),"")</f>
        <v/>
      </c>
      <c r="DM167" s="1317" t="str">
        <f ca="1">IF(INDIRECT("'SpxSp (step-d)'!$B" &amp; DM$72)=$Z167,INDIRECT("'SpxSp (step-d)'!$" &amp; 'SpxSp (step-d)'!$AD$16 &amp; DM$72),"")</f>
        <v/>
      </c>
      <c r="DO167" s="1246" t="s">
        <v>1200</v>
      </c>
    </row>
    <row r="168" spans="26:119" ht="20" x14ac:dyDescent="0.2">
      <c r="Z168" s="1317" t="str">
        <f t="shared" ref="Z168:AA168" si="132">Z113</f>
        <v/>
      </c>
      <c r="AA168" s="1317" t="str">
        <f t="shared" si="132"/>
        <v/>
      </c>
      <c r="BM168" s="178" t="str">
        <f>IFERROR(VLOOKUP(Z168,'SpxSp (step-d)'!B$18:I$67,6,FALSE),"")</f>
        <v/>
      </c>
      <c r="BN168" s="178">
        <v>41</v>
      </c>
      <c r="BO168" s="1316" t="str">
        <f t="shared" ca="1" si="92"/>
        <v/>
      </c>
      <c r="BP168" s="1317" t="str">
        <f ca="1">IF(INDIRECT("'SpxSp (step-d)'!$B" &amp; BP$72)=$Z168,INDIRECT("'SpxSp (step-d)'!$" &amp; 'SpxSp (step-d)'!$AD$16 &amp; BP$72),"")</f>
        <v/>
      </c>
      <c r="BQ168" s="1317" t="str">
        <f ca="1">IF(INDIRECT("'SpxSp (step-d)'!$B" &amp; BQ$72)=$Z168,INDIRECT("'SpxSp (step-d)'!$" &amp; 'SpxSp (step-d)'!$AD$16 &amp; BQ$72),"")</f>
        <v/>
      </c>
      <c r="BR168" s="1317" t="str">
        <f ca="1">IF(INDIRECT("'SpxSp (step-d)'!$B" &amp; BR$72)=$Z168,INDIRECT("'SpxSp (step-d)'!$" &amp; 'SpxSp (step-d)'!$AD$16 &amp; BR$72),"")</f>
        <v/>
      </c>
      <c r="BS168" s="1317" t="str">
        <f ca="1">IF(INDIRECT("'SpxSp (step-d)'!$B" &amp; BS$72)=$Z168,INDIRECT("'SpxSp (step-d)'!$" &amp; 'SpxSp (step-d)'!$AD$16 &amp; BS$72),"")</f>
        <v/>
      </c>
      <c r="BT168" s="1317" t="str">
        <f ca="1">IF(INDIRECT("'SpxSp (step-d)'!$B" &amp; BT$72)=$Z168,INDIRECT("'SpxSp (step-d)'!$" &amp; 'SpxSp (step-d)'!$AD$16 &amp; BT$72),"")</f>
        <v/>
      </c>
      <c r="BU168" s="1317" t="str">
        <f ca="1">IF(INDIRECT("'SpxSp (step-d)'!$B" &amp; BU$72)=$Z168,INDIRECT("'SpxSp (step-d)'!$" &amp; 'SpxSp (step-d)'!$AD$16 &amp; BU$72),"")</f>
        <v/>
      </c>
      <c r="BV168" s="1317" t="str">
        <f ca="1">IF(INDIRECT("'SpxSp (step-d)'!$B" &amp; BV$72)=$Z168,INDIRECT("'SpxSp (step-d)'!$" &amp; 'SpxSp (step-d)'!$AD$16 &amp; BV$72),"")</f>
        <v/>
      </c>
      <c r="BW168" s="1317" t="str">
        <f ca="1">IF(INDIRECT("'SpxSp (step-d)'!$B" &amp; BW$72)=$Z168,INDIRECT("'SpxSp (step-d)'!$" &amp; 'SpxSp (step-d)'!$AD$16 &amp; BW$72),"")</f>
        <v/>
      </c>
      <c r="BX168" s="1317" t="str">
        <f ca="1">IF(INDIRECT("'SpxSp (step-d)'!$B" &amp; BX$72)=$Z168,INDIRECT("'SpxSp (step-d)'!$" &amp; 'SpxSp (step-d)'!$AD$16 &amp; BX$72),"")</f>
        <v/>
      </c>
      <c r="BY168" s="1317" t="str">
        <f ca="1">IF(INDIRECT("'SpxSp (step-d)'!$B" &amp; BY$72)=$Z168,INDIRECT("'SpxSp (step-d)'!$" &amp; 'SpxSp (step-d)'!$AD$16 &amp; BY$72),"")</f>
        <v/>
      </c>
      <c r="BZ168" s="1317" t="str">
        <f ca="1">IF(INDIRECT("'SpxSp (step-d)'!$B" &amp; BZ$72)=$Z168,INDIRECT("'SpxSp (step-d)'!$" &amp; 'SpxSp (step-d)'!$AD$16 &amp; BZ$72),"")</f>
        <v/>
      </c>
      <c r="CA168" s="1317" t="str">
        <f ca="1">IF(INDIRECT("'SpxSp (step-d)'!$B" &amp; CA$72)=$Z168,INDIRECT("'SpxSp (step-d)'!$" &amp; 'SpxSp (step-d)'!$AD$16 &amp; CA$72),"")</f>
        <v/>
      </c>
      <c r="CB168" s="1317" t="str">
        <f ca="1">IF(INDIRECT("'SpxSp (step-d)'!$B" &amp; CB$72)=$Z168,INDIRECT("'SpxSp (step-d)'!$" &amp; 'SpxSp (step-d)'!$AD$16 &amp; CB$72),"")</f>
        <v/>
      </c>
      <c r="CC168" s="1317" t="str">
        <f ca="1">IF(INDIRECT("'SpxSp (step-d)'!$B" &amp; CC$72)=$Z168,INDIRECT("'SpxSp (step-d)'!$" &amp; 'SpxSp (step-d)'!$AD$16 &amp; CC$72),"")</f>
        <v/>
      </c>
      <c r="CD168" s="1317" t="str">
        <f ca="1">IF(INDIRECT("'SpxSp (step-d)'!$B" &amp; CD$72)=$Z168,INDIRECT("'SpxSp (step-d)'!$" &amp; 'SpxSp (step-d)'!$AD$16 &amp; CD$72),"")</f>
        <v/>
      </c>
      <c r="CE168" s="1317" t="str">
        <f ca="1">IF(INDIRECT("'SpxSp (step-d)'!$B" &amp; CE$72)=$Z168,INDIRECT("'SpxSp (step-d)'!$" &amp; 'SpxSp (step-d)'!$AD$16 &amp; CE$72),"")</f>
        <v/>
      </c>
      <c r="CF168" s="1317" t="str">
        <f ca="1">IF(INDIRECT("'SpxSp (step-d)'!$B" &amp; CF$72)=$Z168,INDIRECT("'SpxSp (step-d)'!$" &amp; 'SpxSp (step-d)'!$AD$16 &amp; CF$72),"")</f>
        <v/>
      </c>
      <c r="CG168" s="1317" t="str">
        <f ca="1">IF(INDIRECT("'SpxSp (step-d)'!$B" &amp; CG$72)=$Z168,INDIRECT("'SpxSp (step-d)'!$" &amp; 'SpxSp (step-d)'!$AD$16 &amp; CG$72),"")</f>
        <v/>
      </c>
      <c r="CH168" s="1317" t="str">
        <f ca="1">IF(INDIRECT("'SpxSp (step-d)'!$B" &amp; CH$72)=$Z168,INDIRECT("'SpxSp (step-d)'!$" &amp; 'SpxSp (step-d)'!$AD$16 &amp; CH$72),"")</f>
        <v/>
      </c>
      <c r="CI168" s="1317" t="str">
        <f ca="1">IF(INDIRECT("'SpxSp (step-d)'!$B" &amp; CI$72)=$Z168,INDIRECT("'SpxSp (step-d)'!$" &amp; 'SpxSp (step-d)'!$AD$16 &amp; CI$72),"")</f>
        <v/>
      </c>
      <c r="CJ168" s="1317" t="str">
        <f ca="1">IF(INDIRECT("'SpxSp (step-d)'!$B" &amp; CJ$72)=$Z168,INDIRECT("'SpxSp (step-d)'!$" &amp; 'SpxSp (step-d)'!$AD$16 &amp; CJ$72),"")</f>
        <v/>
      </c>
      <c r="CK168" s="1317" t="str">
        <f ca="1">IF(INDIRECT("'SpxSp (step-d)'!$B" &amp; CK$72)=$Z168,INDIRECT("'SpxSp (step-d)'!$" &amp; 'SpxSp (step-d)'!$AD$16 &amp; CK$72),"")</f>
        <v/>
      </c>
      <c r="CL168" s="1317" t="str">
        <f ca="1">IF(INDIRECT("'SpxSp (step-d)'!$B" &amp; CL$72)=$Z168,INDIRECT("'SpxSp (step-d)'!$" &amp; 'SpxSp (step-d)'!$AD$16 &amp; CL$72),"")</f>
        <v/>
      </c>
      <c r="CM168" s="1317" t="str">
        <f ca="1">IF(INDIRECT("'SpxSp (step-d)'!$B" &amp; CM$72)=$Z168,INDIRECT("'SpxSp (step-d)'!$" &amp; 'SpxSp (step-d)'!$AD$16 &amp; CM$72),"")</f>
        <v/>
      </c>
      <c r="CN168" s="1317" t="str">
        <f ca="1">IF(INDIRECT("'SpxSp (step-d)'!$B" &amp; CN$72)=$Z168,INDIRECT("'SpxSp (step-d)'!$" &amp; 'SpxSp (step-d)'!$AD$16 &amp; CN$72),"")</f>
        <v/>
      </c>
      <c r="CO168" s="1317" t="str">
        <f ca="1">IF(INDIRECT("'SpxSp (step-d)'!$B" &amp; CO$72)=$Z168,INDIRECT("'SpxSp (step-d)'!$" &amp; 'SpxSp (step-d)'!$AD$16 &amp; CO$72),"")</f>
        <v/>
      </c>
      <c r="CP168" s="1317" t="str">
        <f ca="1">IF(INDIRECT("'SpxSp (step-d)'!$B" &amp; CP$72)=$Z168,INDIRECT("'SpxSp (step-d)'!$" &amp; 'SpxSp (step-d)'!$AD$16 &amp; CP$72),"")</f>
        <v/>
      </c>
      <c r="CQ168" s="1317" t="str">
        <f ca="1">IF(INDIRECT("'SpxSp (step-d)'!$B" &amp; CQ$72)=$Z168,INDIRECT("'SpxSp (step-d)'!$" &amp; 'SpxSp (step-d)'!$AD$16 &amp; CQ$72),"")</f>
        <v/>
      </c>
      <c r="CR168" s="1317" t="str">
        <f ca="1">IF(INDIRECT("'SpxSp (step-d)'!$B" &amp; CR$72)=$Z168,INDIRECT("'SpxSp (step-d)'!$" &amp; 'SpxSp (step-d)'!$AD$16 &amp; CR$72),"")</f>
        <v/>
      </c>
      <c r="CS168" s="1317" t="str">
        <f ca="1">IF(INDIRECT("'SpxSp (step-d)'!$B" &amp; CS$72)=$Z168,INDIRECT("'SpxSp (step-d)'!$" &amp; 'SpxSp (step-d)'!$AD$16 &amp; CS$72),"")</f>
        <v/>
      </c>
      <c r="CT168" s="1317" t="str">
        <f ca="1">IF(INDIRECT("'SpxSp (step-d)'!$B" &amp; CT$72)=$Z168,INDIRECT("'SpxSp (step-d)'!$" &amp; 'SpxSp (step-d)'!$AD$16 &amp; CT$72),"")</f>
        <v/>
      </c>
      <c r="CU168" s="1317" t="str">
        <f ca="1">IF(INDIRECT("'SpxSp (step-d)'!$B" &amp; CU$72)=$Z168,INDIRECT("'SpxSp (step-d)'!$" &amp; 'SpxSp (step-d)'!$AD$16 &amp; CU$72),"")</f>
        <v/>
      </c>
      <c r="CV168" s="1317" t="str">
        <f ca="1">IF(INDIRECT("'SpxSp (step-d)'!$B" &amp; CV$72)=$Z168,INDIRECT("'SpxSp (step-d)'!$" &amp; 'SpxSp (step-d)'!$AD$16 &amp; CV$72),"")</f>
        <v/>
      </c>
      <c r="CW168" s="1317" t="str">
        <f ca="1">IF(INDIRECT("'SpxSp (step-d)'!$B" &amp; CW$72)=$Z168,INDIRECT("'SpxSp (step-d)'!$" &amp; 'SpxSp (step-d)'!$AD$16 &amp; CW$72),"")</f>
        <v/>
      </c>
      <c r="CX168" s="1317" t="str">
        <f ca="1">IF(INDIRECT("'SpxSp (step-d)'!$B" &amp; CX$72)=$Z168,INDIRECT("'SpxSp (step-d)'!$" &amp; 'SpxSp (step-d)'!$AD$16 &amp; CX$72),"")</f>
        <v/>
      </c>
      <c r="CY168" s="1317" t="str">
        <f ca="1">IF(INDIRECT("'SpxSp (step-d)'!$B" &amp; CY$72)=$Z168,INDIRECT("'SpxSp (step-d)'!$" &amp; 'SpxSp (step-d)'!$AD$16 &amp; CY$72),"")</f>
        <v/>
      </c>
      <c r="CZ168" s="1317" t="str">
        <f ca="1">IF(INDIRECT("'SpxSp (step-d)'!$B" &amp; CZ$72)=$Z168,INDIRECT("'SpxSp (step-d)'!$" &amp; 'SpxSp (step-d)'!$AD$16 &amp; CZ$72),"")</f>
        <v/>
      </c>
      <c r="DA168" s="1317" t="str">
        <f ca="1">IF(INDIRECT("'SpxSp (step-d)'!$B" &amp; DA$72)=$Z168,INDIRECT("'SpxSp (step-d)'!$" &amp; 'SpxSp (step-d)'!$AD$16 &amp; DA$72),"")</f>
        <v/>
      </c>
      <c r="DB168" s="1317" t="str">
        <f ca="1">IF(INDIRECT("'SpxSp (step-d)'!$B" &amp; DB$72)=$Z168,INDIRECT("'SpxSp (step-d)'!$" &amp; 'SpxSp (step-d)'!$AD$16 &amp; DB$72),"")</f>
        <v/>
      </c>
      <c r="DC168" s="1317" t="str">
        <f ca="1">IF(INDIRECT("'SpxSp (step-d)'!$B" &amp; DC$72)=$Z168,INDIRECT("'SpxSp (step-d)'!$" &amp; 'SpxSp (step-d)'!$AD$16 &amp; DC$72),"")</f>
        <v/>
      </c>
      <c r="DD168" s="1317" t="str">
        <f ca="1">IF(INDIRECT("'SpxSp (step-d)'!$B" &amp; DD$72)=$Z168,INDIRECT("'SpxSp (step-d)'!$" &amp; 'SpxSp (step-d)'!$AD$16 &amp; DD$72),"")</f>
        <v/>
      </c>
      <c r="DE168" s="1317" t="str">
        <f ca="1">IF(INDIRECT("'SpxSp (step-d)'!$B" &amp; DE$72)=$Z168,INDIRECT("'SpxSp (step-d)'!$" &amp; 'SpxSp (step-d)'!$AD$16 &amp; DE$72),"")</f>
        <v/>
      </c>
      <c r="DF168" s="1317" t="str">
        <f ca="1">IF(INDIRECT("'SpxSp (step-d)'!$B" &amp; DF$72)=$Z168,INDIRECT("'SpxSp (step-d)'!$" &amp; 'SpxSp (step-d)'!$AD$16 &amp; DF$72),"")</f>
        <v/>
      </c>
      <c r="DG168" s="1317" t="str">
        <f ca="1">IF(INDIRECT("'SpxSp (step-d)'!$B" &amp; DG$72)=$Z168,INDIRECT("'SpxSp (step-d)'!$" &amp; 'SpxSp (step-d)'!$AD$16 &amp; DG$72),"")</f>
        <v/>
      </c>
      <c r="DH168" s="1317" t="str">
        <f ca="1">IF(INDIRECT("'SpxSp (step-d)'!$B" &amp; DH$72)=$Z168,INDIRECT("'SpxSp (step-d)'!$" &amp; 'SpxSp (step-d)'!$AD$16 &amp; DH$72),"")</f>
        <v/>
      </c>
      <c r="DI168" s="1317" t="str">
        <f ca="1">IF(INDIRECT("'SpxSp (step-d)'!$B" &amp; DI$72)=$Z168,INDIRECT("'SpxSp (step-d)'!$" &amp; 'SpxSp (step-d)'!$AD$16 &amp; DI$72),"")</f>
        <v/>
      </c>
      <c r="DJ168" s="1317" t="str">
        <f ca="1">IF(INDIRECT("'SpxSp (step-d)'!$B" &amp; DJ$72)=$Z168,INDIRECT("'SpxSp (step-d)'!$" &amp; 'SpxSp (step-d)'!$AD$16 &amp; DJ$72),"")</f>
        <v/>
      </c>
      <c r="DK168" s="1317" t="str">
        <f ca="1">IF(INDIRECT("'SpxSp (step-d)'!$B" &amp; DK$72)=$Z168,INDIRECT("'SpxSp (step-d)'!$" &amp; 'SpxSp (step-d)'!$AD$16 &amp; DK$72),"")</f>
        <v/>
      </c>
      <c r="DL168" s="1317" t="str">
        <f ca="1">IF(INDIRECT("'SpxSp (step-d)'!$B" &amp; DL$72)=$Z168,INDIRECT("'SpxSp (step-d)'!$" &amp; 'SpxSp (step-d)'!$AD$16 &amp; DL$72),"")</f>
        <v/>
      </c>
      <c r="DM168" s="1317" t="str">
        <f ca="1">IF(INDIRECT("'SpxSp (step-d)'!$B" &amp; DM$72)=$Z168,INDIRECT("'SpxSp (step-d)'!$" &amp; 'SpxSp (step-d)'!$AD$16 &amp; DM$72),"")</f>
        <v/>
      </c>
      <c r="DO168" s="1246" t="s">
        <v>1200</v>
      </c>
    </row>
    <row r="169" spans="26:119" ht="20" x14ac:dyDescent="0.2">
      <c r="Z169" s="1317" t="str">
        <f t="shared" ref="Z169:AA169" si="133">Z114</f>
        <v/>
      </c>
      <c r="AA169" s="1317" t="str">
        <f t="shared" si="133"/>
        <v/>
      </c>
      <c r="BM169" s="178" t="str">
        <f>IFERROR(VLOOKUP(Z169,'SpxSp (step-d)'!B$18:I$67,6,FALSE),"")</f>
        <v/>
      </c>
      <c r="BN169" s="178">
        <v>42</v>
      </c>
      <c r="BO169" s="1316" t="str">
        <f t="shared" ca="1" si="92"/>
        <v/>
      </c>
      <c r="BP169" s="1317" t="str">
        <f ca="1">IF(INDIRECT("'SpxSp (step-d)'!$B" &amp; BP$72)=$Z169,INDIRECT("'SpxSp (step-d)'!$" &amp; 'SpxSp (step-d)'!$AD$16 &amp; BP$72),"")</f>
        <v/>
      </c>
      <c r="BQ169" s="1317" t="str">
        <f ca="1">IF(INDIRECT("'SpxSp (step-d)'!$B" &amp; BQ$72)=$Z169,INDIRECT("'SpxSp (step-d)'!$" &amp; 'SpxSp (step-d)'!$AD$16 &amp; BQ$72),"")</f>
        <v/>
      </c>
      <c r="BR169" s="1317" t="str">
        <f ca="1">IF(INDIRECT("'SpxSp (step-d)'!$B" &amp; BR$72)=$Z169,INDIRECT("'SpxSp (step-d)'!$" &amp; 'SpxSp (step-d)'!$AD$16 &amp; BR$72),"")</f>
        <v/>
      </c>
      <c r="BS169" s="1317" t="str">
        <f ca="1">IF(INDIRECT("'SpxSp (step-d)'!$B" &amp; BS$72)=$Z169,INDIRECT("'SpxSp (step-d)'!$" &amp; 'SpxSp (step-d)'!$AD$16 &amp; BS$72),"")</f>
        <v/>
      </c>
      <c r="BT169" s="1317" t="str">
        <f ca="1">IF(INDIRECT("'SpxSp (step-d)'!$B" &amp; BT$72)=$Z169,INDIRECT("'SpxSp (step-d)'!$" &amp; 'SpxSp (step-d)'!$AD$16 &amp; BT$72),"")</f>
        <v/>
      </c>
      <c r="BU169" s="1317" t="str">
        <f ca="1">IF(INDIRECT("'SpxSp (step-d)'!$B" &amp; BU$72)=$Z169,INDIRECT("'SpxSp (step-d)'!$" &amp; 'SpxSp (step-d)'!$AD$16 &amp; BU$72),"")</f>
        <v/>
      </c>
      <c r="BV169" s="1317" t="str">
        <f ca="1">IF(INDIRECT("'SpxSp (step-d)'!$B" &amp; BV$72)=$Z169,INDIRECT("'SpxSp (step-d)'!$" &amp; 'SpxSp (step-d)'!$AD$16 &amp; BV$72),"")</f>
        <v/>
      </c>
      <c r="BW169" s="1317" t="str">
        <f ca="1">IF(INDIRECT("'SpxSp (step-d)'!$B" &amp; BW$72)=$Z169,INDIRECT("'SpxSp (step-d)'!$" &amp; 'SpxSp (step-d)'!$AD$16 &amp; BW$72),"")</f>
        <v/>
      </c>
      <c r="BX169" s="1317" t="str">
        <f ca="1">IF(INDIRECT("'SpxSp (step-d)'!$B" &amp; BX$72)=$Z169,INDIRECT("'SpxSp (step-d)'!$" &amp; 'SpxSp (step-d)'!$AD$16 &amp; BX$72),"")</f>
        <v/>
      </c>
      <c r="BY169" s="1317" t="str">
        <f ca="1">IF(INDIRECT("'SpxSp (step-d)'!$B" &amp; BY$72)=$Z169,INDIRECT("'SpxSp (step-d)'!$" &amp; 'SpxSp (step-d)'!$AD$16 &amp; BY$72),"")</f>
        <v/>
      </c>
      <c r="BZ169" s="1317" t="str">
        <f ca="1">IF(INDIRECT("'SpxSp (step-d)'!$B" &amp; BZ$72)=$Z169,INDIRECT("'SpxSp (step-d)'!$" &amp; 'SpxSp (step-d)'!$AD$16 &amp; BZ$72),"")</f>
        <v/>
      </c>
      <c r="CA169" s="1317" t="str">
        <f ca="1">IF(INDIRECT("'SpxSp (step-d)'!$B" &amp; CA$72)=$Z169,INDIRECT("'SpxSp (step-d)'!$" &amp; 'SpxSp (step-d)'!$AD$16 &amp; CA$72),"")</f>
        <v/>
      </c>
      <c r="CB169" s="1317" t="str">
        <f ca="1">IF(INDIRECT("'SpxSp (step-d)'!$B" &amp; CB$72)=$Z169,INDIRECT("'SpxSp (step-d)'!$" &amp; 'SpxSp (step-d)'!$AD$16 &amp; CB$72),"")</f>
        <v/>
      </c>
      <c r="CC169" s="1317" t="str">
        <f ca="1">IF(INDIRECT("'SpxSp (step-d)'!$B" &amp; CC$72)=$Z169,INDIRECT("'SpxSp (step-d)'!$" &amp; 'SpxSp (step-d)'!$AD$16 &amp; CC$72),"")</f>
        <v/>
      </c>
      <c r="CD169" s="1317" t="str">
        <f ca="1">IF(INDIRECT("'SpxSp (step-d)'!$B" &amp; CD$72)=$Z169,INDIRECT("'SpxSp (step-d)'!$" &amp; 'SpxSp (step-d)'!$AD$16 &amp; CD$72),"")</f>
        <v/>
      </c>
      <c r="CE169" s="1317" t="str">
        <f ca="1">IF(INDIRECT("'SpxSp (step-d)'!$B" &amp; CE$72)=$Z169,INDIRECT("'SpxSp (step-d)'!$" &amp; 'SpxSp (step-d)'!$AD$16 &amp; CE$72),"")</f>
        <v/>
      </c>
      <c r="CF169" s="1317" t="str">
        <f ca="1">IF(INDIRECT("'SpxSp (step-d)'!$B" &amp; CF$72)=$Z169,INDIRECT("'SpxSp (step-d)'!$" &amp; 'SpxSp (step-d)'!$AD$16 &amp; CF$72),"")</f>
        <v/>
      </c>
      <c r="CG169" s="1317" t="str">
        <f ca="1">IF(INDIRECT("'SpxSp (step-d)'!$B" &amp; CG$72)=$Z169,INDIRECT("'SpxSp (step-d)'!$" &amp; 'SpxSp (step-d)'!$AD$16 &amp; CG$72),"")</f>
        <v/>
      </c>
      <c r="CH169" s="1317" t="str">
        <f ca="1">IF(INDIRECT("'SpxSp (step-d)'!$B" &amp; CH$72)=$Z169,INDIRECT("'SpxSp (step-d)'!$" &amp; 'SpxSp (step-d)'!$AD$16 &amp; CH$72),"")</f>
        <v/>
      </c>
      <c r="CI169" s="1317" t="str">
        <f ca="1">IF(INDIRECT("'SpxSp (step-d)'!$B" &amp; CI$72)=$Z169,INDIRECT("'SpxSp (step-d)'!$" &amp; 'SpxSp (step-d)'!$AD$16 &amp; CI$72),"")</f>
        <v/>
      </c>
      <c r="CJ169" s="1317" t="str">
        <f ca="1">IF(INDIRECT("'SpxSp (step-d)'!$B" &amp; CJ$72)=$Z169,INDIRECT("'SpxSp (step-d)'!$" &amp; 'SpxSp (step-d)'!$AD$16 &amp; CJ$72),"")</f>
        <v/>
      </c>
      <c r="CK169" s="1317" t="str">
        <f ca="1">IF(INDIRECT("'SpxSp (step-d)'!$B" &amp; CK$72)=$Z169,INDIRECT("'SpxSp (step-d)'!$" &amp; 'SpxSp (step-d)'!$AD$16 &amp; CK$72),"")</f>
        <v/>
      </c>
      <c r="CL169" s="1317" t="str">
        <f ca="1">IF(INDIRECT("'SpxSp (step-d)'!$B" &amp; CL$72)=$Z169,INDIRECT("'SpxSp (step-d)'!$" &amp; 'SpxSp (step-d)'!$AD$16 &amp; CL$72),"")</f>
        <v/>
      </c>
      <c r="CM169" s="1317" t="str">
        <f ca="1">IF(INDIRECT("'SpxSp (step-d)'!$B" &amp; CM$72)=$Z169,INDIRECT("'SpxSp (step-d)'!$" &amp; 'SpxSp (step-d)'!$AD$16 &amp; CM$72),"")</f>
        <v/>
      </c>
      <c r="CN169" s="1317" t="str">
        <f ca="1">IF(INDIRECT("'SpxSp (step-d)'!$B" &amp; CN$72)=$Z169,INDIRECT("'SpxSp (step-d)'!$" &amp; 'SpxSp (step-d)'!$AD$16 &amp; CN$72),"")</f>
        <v/>
      </c>
      <c r="CO169" s="1317" t="str">
        <f ca="1">IF(INDIRECT("'SpxSp (step-d)'!$B" &amp; CO$72)=$Z169,INDIRECT("'SpxSp (step-d)'!$" &amp; 'SpxSp (step-d)'!$AD$16 &amp; CO$72),"")</f>
        <v/>
      </c>
      <c r="CP169" s="1317" t="str">
        <f ca="1">IF(INDIRECT("'SpxSp (step-d)'!$B" &amp; CP$72)=$Z169,INDIRECT("'SpxSp (step-d)'!$" &amp; 'SpxSp (step-d)'!$AD$16 &amp; CP$72),"")</f>
        <v/>
      </c>
      <c r="CQ169" s="1317" t="str">
        <f ca="1">IF(INDIRECT("'SpxSp (step-d)'!$B" &amp; CQ$72)=$Z169,INDIRECT("'SpxSp (step-d)'!$" &amp; 'SpxSp (step-d)'!$AD$16 &amp; CQ$72),"")</f>
        <v/>
      </c>
      <c r="CR169" s="1317" t="str">
        <f ca="1">IF(INDIRECT("'SpxSp (step-d)'!$B" &amp; CR$72)=$Z169,INDIRECT("'SpxSp (step-d)'!$" &amp; 'SpxSp (step-d)'!$AD$16 &amp; CR$72),"")</f>
        <v/>
      </c>
      <c r="CS169" s="1317" t="str">
        <f ca="1">IF(INDIRECT("'SpxSp (step-d)'!$B" &amp; CS$72)=$Z169,INDIRECT("'SpxSp (step-d)'!$" &amp; 'SpxSp (step-d)'!$AD$16 &amp; CS$72),"")</f>
        <v/>
      </c>
      <c r="CT169" s="1317" t="str">
        <f ca="1">IF(INDIRECT("'SpxSp (step-d)'!$B" &amp; CT$72)=$Z169,INDIRECT("'SpxSp (step-d)'!$" &amp; 'SpxSp (step-d)'!$AD$16 &amp; CT$72),"")</f>
        <v/>
      </c>
      <c r="CU169" s="1317" t="str">
        <f ca="1">IF(INDIRECT("'SpxSp (step-d)'!$B" &amp; CU$72)=$Z169,INDIRECT("'SpxSp (step-d)'!$" &amp; 'SpxSp (step-d)'!$AD$16 &amp; CU$72),"")</f>
        <v/>
      </c>
      <c r="CV169" s="1317" t="str">
        <f ca="1">IF(INDIRECT("'SpxSp (step-d)'!$B" &amp; CV$72)=$Z169,INDIRECT("'SpxSp (step-d)'!$" &amp; 'SpxSp (step-d)'!$AD$16 &amp; CV$72),"")</f>
        <v/>
      </c>
      <c r="CW169" s="1317" t="str">
        <f ca="1">IF(INDIRECT("'SpxSp (step-d)'!$B" &amp; CW$72)=$Z169,INDIRECT("'SpxSp (step-d)'!$" &amp; 'SpxSp (step-d)'!$AD$16 &amp; CW$72),"")</f>
        <v/>
      </c>
      <c r="CX169" s="1317" t="str">
        <f ca="1">IF(INDIRECT("'SpxSp (step-d)'!$B" &amp; CX$72)=$Z169,INDIRECT("'SpxSp (step-d)'!$" &amp; 'SpxSp (step-d)'!$AD$16 &amp; CX$72),"")</f>
        <v/>
      </c>
      <c r="CY169" s="1317" t="str">
        <f ca="1">IF(INDIRECT("'SpxSp (step-d)'!$B" &amp; CY$72)=$Z169,INDIRECT("'SpxSp (step-d)'!$" &amp; 'SpxSp (step-d)'!$AD$16 &amp; CY$72),"")</f>
        <v/>
      </c>
      <c r="CZ169" s="1317" t="str">
        <f ca="1">IF(INDIRECT("'SpxSp (step-d)'!$B" &amp; CZ$72)=$Z169,INDIRECT("'SpxSp (step-d)'!$" &amp; 'SpxSp (step-d)'!$AD$16 &amp; CZ$72),"")</f>
        <v/>
      </c>
      <c r="DA169" s="1317" t="str">
        <f ca="1">IF(INDIRECT("'SpxSp (step-d)'!$B" &amp; DA$72)=$Z169,INDIRECT("'SpxSp (step-d)'!$" &amp; 'SpxSp (step-d)'!$AD$16 &amp; DA$72),"")</f>
        <v/>
      </c>
      <c r="DB169" s="1317" t="str">
        <f ca="1">IF(INDIRECT("'SpxSp (step-d)'!$B" &amp; DB$72)=$Z169,INDIRECT("'SpxSp (step-d)'!$" &amp; 'SpxSp (step-d)'!$AD$16 &amp; DB$72),"")</f>
        <v/>
      </c>
      <c r="DC169" s="1317" t="str">
        <f ca="1">IF(INDIRECT("'SpxSp (step-d)'!$B" &amp; DC$72)=$Z169,INDIRECT("'SpxSp (step-d)'!$" &amp; 'SpxSp (step-d)'!$AD$16 &amp; DC$72),"")</f>
        <v/>
      </c>
      <c r="DD169" s="1317" t="str">
        <f ca="1">IF(INDIRECT("'SpxSp (step-d)'!$B" &amp; DD$72)=$Z169,INDIRECT("'SpxSp (step-d)'!$" &amp; 'SpxSp (step-d)'!$AD$16 &amp; DD$72),"")</f>
        <v/>
      </c>
      <c r="DE169" s="1317" t="str">
        <f ca="1">IF(INDIRECT("'SpxSp (step-d)'!$B" &amp; DE$72)=$Z169,INDIRECT("'SpxSp (step-d)'!$" &amp; 'SpxSp (step-d)'!$AD$16 &amp; DE$72),"")</f>
        <v/>
      </c>
      <c r="DF169" s="1317" t="str">
        <f ca="1">IF(INDIRECT("'SpxSp (step-d)'!$B" &amp; DF$72)=$Z169,INDIRECT("'SpxSp (step-d)'!$" &amp; 'SpxSp (step-d)'!$AD$16 &amp; DF$72),"")</f>
        <v/>
      </c>
      <c r="DG169" s="1317" t="str">
        <f ca="1">IF(INDIRECT("'SpxSp (step-d)'!$B" &amp; DG$72)=$Z169,INDIRECT("'SpxSp (step-d)'!$" &amp; 'SpxSp (step-d)'!$AD$16 &amp; DG$72),"")</f>
        <v/>
      </c>
      <c r="DH169" s="1317" t="str">
        <f ca="1">IF(INDIRECT("'SpxSp (step-d)'!$B" &amp; DH$72)=$Z169,INDIRECT("'SpxSp (step-d)'!$" &amp; 'SpxSp (step-d)'!$AD$16 &amp; DH$72),"")</f>
        <v/>
      </c>
      <c r="DI169" s="1317" t="str">
        <f ca="1">IF(INDIRECT("'SpxSp (step-d)'!$B" &amp; DI$72)=$Z169,INDIRECT("'SpxSp (step-d)'!$" &amp; 'SpxSp (step-d)'!$AD$16 &amp; DI$72),"")</f>
        <v/>
      </c>
      <c r="DJ169" s="1317" t="str">
        <f ca="1">IF(INDIRECT("'SpxSp (step-d)'!$B" &amp; DJ$72)=$Z169,INDIRECT("'SpxSp (step-d)'!$" &amp; 'SpxSp (step-d)'!$AD$16 &amp; DJ$72),"")</f>
        <v/>
      </c>
      <c r="DK169" s="1317" t="str">
        <f ca="1">IF(INDIRECT("'SpxSp (step-d)'!$B" &amp; DK$72)=$Z169,INDIRECT("'SpxSp (step-d)'!$" &amp; 'SpxSp (step-d)'!$AD$16 &amp; DK$72),"")</f>
        <v/>
      </c>
      <c r="DL169" s="1317" t="str">
        <f ca="1">IF(INDIRECT("'SpxSp (step-d)'!$B" &amp; DL$72)=$Z169,INDIRECT("'SpxSp (step-d)'!$" &amp; 'SpxSp (step-d)'!$AD$16 &amp; DL$72),"")</f>
        <v/>
      </c>
      <c r="DM169" s="1317" t="str">
        <f ca="1">IF(INDIRECT("'SpxSp (step-d)'!$B" &amp; DM$72)=$Z169,INDIRECT("'SpxSp (step-d)'!$" &amp; 'SpxSp (step-d)'!$AD$16 &amp; DM$72),"")</f>
        <v/>
      </c>
      <c r="DO169" s="1246" t="s">
        <v>1200</v>
      </c>
    </row>
    <row r="170" spans="26:119" ht="20" x14ac:dyDescent="0.2">
      <c r="Z170" s="1317" t="str">
        <f t="shared" ref="Z170:AA170" si="134">Z115</f>
        <v/>
      </c>
      <c r="AA170" s="1317" t="str">
        <f t="shared" si="134"/>
        <v/>
      </c>
      <c r="BM170" s="178" t="str">
        <f>IFERROR(VLOOKUP(Z170,'SpxSp (step-d)'!B$18:I$67,6,FALSE),"")</f>
        <v/>
      </c>
      <c r="BN170" s="178">
        <v>43</v>
      </c>
      <c r="BO170" s="1316" t="str">
        <f t="shared" ca="1" si="92"/>
        <v/>
      </c>
      <c r="BP170" s="1317" t="str">
        <f ca="1">IF(INDIRECT("'SpxSp (step-d)'!$B" &amp; BP$72)=$Z170,INDIRECT("'SpxSp (step-d)'!$" &amp; 'SpxSp (step-d)'!$AD$16 &amp; BP$72),"")</f>
        <v/>
      </c>
      <c r="BQ170" s="1317" t="str">
        <f ca="1">IF(INDIRECT("'SpxSp (step-d)'!$B" &amp; BQ$72)=$Z170,INDIRECT("'SpxSp (step-d)'!$" &amp; 'SpxSp (step-d)'!$AD$16 &amp; BQ$72),"")</f>
        <v/>
      </c>
      <c r="BR170" s="1317" t="str">
        <f ca="1">IF(INDIRECT("'SpxSp (step-d)'!$B" &amp; BR$72)=$Z170,INDIRECT("'SpxSp (step-d)'!$" &amp; 'SpxSp (step-d)'!$AD$16 &amp; BR$72),"")</f>
        <v/>
      </c>
      <c r="BS170" s="1317" t="str">
        <f ca="1">IF(INDIRECT("'SpxSp (step-d)'!$B" &amp; BS$72)=$Z170,INDIRECT("'SpxSp (step-d)'!$" &amp; 'SpxSp (step-d)'!$AD$16 &amp; BS$72),"")</f>
        <v/>
      </c>
      <c r="BT170" s="1317" t="str">
        <f ca="1">IF(INDIRECT("'SpxSp (step-d)'!$B" &amp; BT$72)=$Z170,INDIRECT("'SpxSp (step-d)'!$" &amp; 'SpxSp (step-d)'!$AD$16 &amp; BT$72),"")</f>
        <v/>
      </c>
      <c r="BU170" s="1317" t="str">
        <f ca="1">IF(INDIRECT("'SpxSp (step-d)'!$B" &amp; BU$72)=$Z170,INDIRECT("'SpxSp (step-d)'!$" &amp; 'SpxSp (step-d)'!$AD$16 &amp; BU$72),"")</f>
        <v/>
      </c>
      <c r="BV170" s="1317" t="str">
        <f ca="1">IF(INDIRECT("'SpxSp (step-d)'!$B" &amp; BV$72)=$Z170,INDIRECT("'SpxSp (step-d)'!$" &amp; 'SpxSp (step-d)'!$AD$16 &amp; BV$72),"")</f>
        <v/>
      </c>
      <c r="BW170" s="1317" t="str">
        <f ca="1">IF(INDIRECT("'SpxSp (step-d)'!$B" &amp; BW$72)=$Z170,INDIRECT("'SpxSp (step-d)'!$" &amp; 'SpxSp (step-d)'!$AD$16 &amp; BW$72),"")</f>
        <v/>
      </c>
      <c r="BX170" s="1317" t="str">
        <f ca="1">IF(INDIRECT("'SpxSp (step-d)'!$B" &amp; BX$72)=$Z170,INDIRECT("'SpxSp (step-d)'!$" &amp; 'SpxSp (step-d)'!$AD$16 &amp; BX$72),"")</f>
        <v/>
      </c>
      <c r="BY170" s="1317" t="str">
        <f ca="1">IF(INDIRECT("'SpxSp (step-d)'!$B" &amp; BY$72)=$Z170,INDIRECT("'SpxSp (step-d)'!$" &amp; 'SpxSp (step-d)'!$AD$16 &amp; BY$72),"")</f>
        <v/>
      </c>
      <c r="BZ170" s="1317" t="str">
        <f ca="1">IF(INDIRECT("'SpxSp (step-d)'!$B" &amp; BZ$72)=$Z170,INDIRECT("'SpxSp (step-d)'!$" &amp; 'SpxSp (step-d)'!$AD$16 &amp; BZ$72),"")</f>
        <v/>
      </c>
      <c r="CA170" s="1317" t="str">
        <f ca="1">IF(INDIRECT("'SpxSp (step-d)'!$B" &amp; CA$72)=$Z170,INDIRECT("'SpxSp (step-d)'!$" &amp; 'SpxSp (step-d)'!$AD$16 &amp; CA$72),"")</f>
        <v/>
      </c>
      <c r="CB170" s="1317" t="str">
        <f ca="1">IF(INDIRECT("'SpxSp (step-d)'!$B" &amp; CB$72)=$Z170,INDIRECT("'SpxSp (step-d)'!$" &amp; 'SpxSp (step-d)'!$AD$16 &amp; CB$72),"")</f>
        <v/>
      </c>
      <c r="CC170" s="1317" t="str">
        <f ca="1">IF(INDIRECT("'SpxSp (step-d)'!$B" &amp; CC$72)=$Z170,INDIRECT("'SpxSp (step-d)'!$" &amp; 'SpxSp (step-d)'!$AD$16 &amp; CC$72),"")</f>
        <v/>
      </c>
      <c r="CD170" s="1317" t="str">
        <f ca="1">IF(INDIRECT("'SpxSp (step-d)'!$B" &amp; CD$72)=$Z170,INDIRECT("'SpxSp (step-d)'!$" &amp; 'SpxSp (step-d)'!$AD$16 &amp; CD$72),"")</f>
        <v/>
      </c>
      <c r="CE170" s="1317" t="str">
        <f ca="1">IF(INDIRECT("'SpxSp (step-d)'!$B" &amp; CE$72)=$Z170,INDIRECT("'SpxSp (step-d)'!$" &amp; 'SpxSp (step-d)'!$AD$16 &amp; CE$72),"")</f>
        <v/>
      </c>
      <c r="CF170" s="1317" t="str">
        <f ca="1">IF(INDIRECT("'SpxSp (step-d)'!$B" &amp; CF$72)=$Z170,INDIRECT("'SpxSp (step-d)'!$" &amp; 'SpxSp (step-d)'!$AD$16 &amp; CF$72),"")</f>
        <v/>
      </c>
      <c r="CG170" s="1317" t="str">
        <f ca="1">IF(INDIRECT("'SpxSp (step-d)'!$B" &amp; CG$72)=$Z170,INDIRECT("'SpxSp (step-d)'!$" &amp; 'SpxSp (step-d)'!$AD$16 &amp; CG$72),"")</f>
        <v/>
      </c>
      <c r="CH170" s="1317" t="str">
        <f ca="1">IF(INDIRECT("'SpxSp (step-d)'!$B" &amp; CH$72)=$Z170,INDIRECT("'SpxSp (step-d)'!$" &amp; 'SpxSp (step-d)'!$AD$16 &amp; CH$72),"")</f>
        <v/>
      </c>
      <c r="CI170" s="1317" t="str">
        <f ca="1">IF(INDIRECT("'SpxSp (step-d)'!$B" &amp; CI$72)=$Z170,INDIRECT("'SpxSp (step-d)'!$" &amp; 'SpxSp (step-d)'!$AD$16 &amp; CI$72),"")</f>
        <v/>
      </c>
      <c r="CJ170" s="1317" t="str">
        <f ca="1">IF(INDIRECT("'SpxSp (step-d)'!$B" &amp; CJ$72)=$Z170,INDIRECT("'SpxSp (step-d)'!$" &amp; 'SpxSp (step-d)'!$AD$16 &amp; CJ$72),"")</f>
        <v/>
      </c>
      <c r="CK170" s="1317" t="str">
        <f ca="1">IF(INDIRECT("'SpxSp (step-d)'!$B" &amp; CK$72)=$Z170,INDIRECT("'SpxSp (step-d)'!$" &amp; 'SpxSp (step-d)'!$AD$16 &amp; CK$72),"")</f>
        <v/>
      </c>
      <c r="CL170" s="1317" t="str">
        <f ca="1">IF(INDIRECT("'SpxSp (step-d)'!$B" &amp; CL$72)=$Z170,INDIRECT("'SpxSp (step-d)'!$" &amp; 'SpxSp (step-d)'!$AD$16 &amp; CL$72),"")</f>
        <v/>
      </c>
      <c r="CM170" s="1317" t="str">
        <f ca="1">IF(INDIRECT("'SpxSp (step-d)'!$B" &amp; CM$72)=$Z170,INDIRECT("'SpxSp (step-d)'!$" &amp; 'SpxSp (step-d)'!$AD$16 &amp; CM$72),"")</f>
        <v/>
      </c>
      <c r="CN170" s="1317" t="str">
        <f ca="1">IF(INDIRECT("'SpxSp (step-d)'!$B" &amp; CN$72)=$Z170,INDIRECT("'SpxSp (step-d)'!$" &amp; 'SpxSp (step-d)'!$AD$16 &amp; CN$72),"")</f>
        <v/>
      </c>
      <c r="CO170" s="1317" t="str">
        <f ca="1">IF(INDIRECT("'SpxSp (step-d)'!$B" &amp; CO$72)=$Z170,INDIRECT("'SpxSp (step-d)'!$" &amp; 'SpxSp (step-d)'!$AD$16 &amp; CO$72),"")</f>
        <v/>
      </c>
      <c r="CP170" s="1317" t="str">
        <f ca="1">IF(INDIRECT("'SpxSp (step-d)'!$B" &amp; CP$72)=$Z170,INDIRECT("'SpxSp (step-d)'!$" &amp; 'SpxSp (step-d)'!$AD$16 &amp; CP$72),"")</f>
        <v/>
      </c>
      <c r="CQ170" s="1317" t="str">
        <f ca="1">IF(INDIRECT("'SpxSp (step-d)'!$B" &amp; CQ$72)=$Z170,INDIRECT("'SpxSp (step-d)'!$" &amp; 'SpxSp (step-d)'!$AD$16 &amp; CQ$72),"")</f>
        <v/>
      </c>
      <c r="CR170" s="1317" t="str">
        <f ca="1">IF(INDIRECT("'SpxSp (step-d)'!$B" &amp; CR$72)=$Z170,INDIRECT("'SpxSp (step-d)'!$" &amp; 'SpxSp (step-d)'!$AD$16 &amp; CR$72),"")</f>
        <v/>
      </c>
      <c r="CS170" s="1317" t="str">
        <f ca="1">IF(INDIRECT("'SpxSp (step-d)'!$B" &amp; CS$72)=$Z170,INDIRECT("'SpxSp (step-d)'!$" &amp; 'SpxSp (step-d)'!$AD$16 &amp; CS$72),"")</f>
        <v/>
      </c>
      <c r="CT170" s="1317" t="str">
        <f ca="1">IF(INDIRECT("'SpxSp (step-d)'!$B" &amp; CT$72)=$Z170,INDIRECT("'SpxSp (step-d)'!$" &amp; 'SpxSp (step-d)'!$AD$16 &amp; CT$72),"")</f>
        <v/>
      </c>
      <c r="CU170" s="1317" t="str">
        <f ca="1">IF(INDIRECT("'SpxSp (step-d)'!$B" &amp; CU$72)=$Z170,INDIRECT("'SpxSp (step-d)'!$" &amp; 'SpxSp (step-d)'!$AD$16 &amp; CU$72),"")</f>
        <v/>
      </c>
      <c r="CV170" s="1317" t="str">
        <f ca="1">IF(INDIRECT("'SpxSp (step-d)'!$B" &amp; CV$72)=$Z170,INDIRECT("'SpxSp (step-d)'!$" &amp; 'SpxSp (step-d)'!$AD$16 &amp; CV$72),"")</f>
        <v/>
      </c>
      <c r="CW170" s="1317" t="str">
        <f ca="1">IF(INDIRECT("'SpxSp (step-d)'!$B" &amp; CW$72)=$Z170,INDIRECT("'SpxSp (step-d)'!$" &amp; 'SpxSp (step-d)'!$AD$16 &amp; CW$72),"")</f>
        <v/>
      </c>
      <c r="CX170" s="1317" t="str">
        <f ca="1">IF(INDIRECT("'SpxSp (step-d)'!$B" &amp; CX$72)=$Z170,INDIRECT("'SpxSp (step-d)'!$" &amp; 'SpxSp (step-d)'!$AD$16 &amp; CX$72),"")</f>
        <v/>
      </c>
      <c r="CY170" s="1317" t="str">
        <f ca="1">IF(INDIRECT("'SpxSp (step-d)'!$B" &amp; CY$72)=$Z170,INDIRECT("'SpxSp (step-d)'!$" &amp; 'SpxSp (step-d)'!$AD$16 &amp; CY$72),"")</f>
        <v/>
      </c>
      <c r="CZ170" s="1317" t="str">
        <f ca="1">IF(INDIRECT("'SpxSp (step-d)'!$B" &amp; CZ$72)=$Z170,INDIRECT("'SpxSp (step-d)'!$" &amp; 'SpxSp (step-d)'!$AD$16 &amp; CZ$72),"")</f>
        <v/>
      </c>
      <c r="DA170" s="1317" t="str">
        <f ca="1">IF(INDIRECT("'SpxSp (step-d)'!$B" &amp; DA$72)=$Z170,INDIRECT("'SpxSp (step-d)'!$" &amp; 'SpxSp (step-d)'!$AD$16 &amp; DA$72),"")</f>
        <v/>
      </c>
      <c r="DB170" s="1317" t="str">
        <f ca="1">IF(INDIRECT("'SpxSp (step-d)'!$B" &amp; DB$72)=$Z170,INDIRECT("'SpxSp (step-d)'!$" &amp; 'SpxSp (step-d)'!$AD$16 &amp; DB$72),"")</f>
        <v/>
      </c>
      <c r="DC170" s="1317" t="str">
        <f ca="1">IF(INDIRECT("'SpxSp (step-d)'!$B" &amp; DC$72)=$Z170,INDIRECT("'SpxSp (step-d)'!$" &amp; 'SpxSp (step-d)'!$AD$16 &amp; DC$72),"")</f>
        <v/>
      </c>
      <c r="DD170" s="1317" t="str">
        <f ca="1">IF(INDIRECT("'SpxSp (step-d)'!$B" &amp; DD$72)=$Z170,INDIRECT("'SpxSp (step-d)'!$" &amp; 'SpxSp (step-d)'!$AD$16 &amp; DD$72),"")</f>
        <v/>
      </c>
      <c r="DE170" s="1317" t="str">
        <f ca="1">IF(INDIRECT("'SpxSp (step-d)'!$B" &amp; DE$72)=$Z170,INDIRECT("'SpxSp (step-d)'!$" &amp; 'SpxSp (step-d)'!$AD$16 &amp; DE$72),"")</f>
        <v/>
      </c>
      <c r="DF170" s="1317" t="str">
        <f ca="1">IF(INDIRECT("'SpxSp (step-d)'!$B" &amp; DF$72)=$Z170,INDIRECT("'SpxSp (step-d)'!$" &amp; 'SpxSp (step-d)'!$AD$16 &amp; DF$72),"")</f>
        <v/>
      </c>
      <c r="DG170" s="1317" t="str">
        <f ca="1">IF(INDIRECT("'SpxSp (step-d)'!$B" &amp; DG$72)=$Z170,INDIRECT("'SpxSp (step-d)'!$" &amp; 'SpxSp (step-d)'!$AD$16 &amp; DG$72),"")</f>
        <v/>
      </c>
      <c r="DH170" s="1317" t="str">
        <f ca="1">IF(INDIRECT("'SpxSp (step-d)'!$B" &amp; DH$72)=$Z170,INDIRECT("'SpxSp (step-d)'!$" &amp; 'SpxSp (step-d)'!$AD$16 &amp; DH$72),"")</f>
        <v/>
      </c>
      <c r="DI170" s="1317" t="str">
        <f ca="1">IF(INDIRECT("'SpxSp (step-d)'!$B" &amp; DI$72)=$Z170,INDIRECT("'SpxSp (step-d)'!$" &amp; 'SpxSp (step-d)'!$AD$16 &amp; DI$72),"")</f>
        <v/>
      </c>
      <c r="DJ170" s="1317" t="str">
        <f ca="1">IF(INDIRECT("'SpxSp (step-d)'!$B" &amp; DJ$72)=$Z170,INDIRECT("'SpxSp (step-d)'!$" &amp; 'SpxSp (step-d)'!$AD$16 &amp; DJ$72),"")</f>
        <v/>
      </c>
      <c r="DK170" s="1317" t="str">
        <f ca="1">IF(INDIRECT("'SpxSp (step-d)'!$B" &amp; DK$72)=$Z170,INDIRECT("'SpxSp (step-d)'!$" &amp; 'SpxSp (step-d)'!$AD$16 &amp; DK$72),"")</f>
        <v/>
      </c>
      <c r="DL170" s="1317" t="str">
        <f ca="1">IF(INDIRECT("'SpxSp (step-d)'!$B" &amp; DL$72)=$Z170,INDIRECT("'SpxSp (step-d)'!$" &amp; 'SpxSp (step-d)'!$AD$16 &amp; DL$72),"")</f>
        <v/>
      </c>
      <c r="DM170" s="1317" t="str">
        <f ca="1">IF(INDIRECT("'SpxSp (step-d)'!$B" &amp; DM$72)=$Z170,INDIRECT("'SpxSp (step-d)'!$" &amp; 'SpxSp (step-d)'!$AD$16 &amp; DM$72),"")</f>
        <v/>
      </c>
      <c r="DO170" s="1246" t="s">
        <v>1200</v>
      </c>
    </row>
    <row r="171" spans="26:119" ht="20" x14ac:dyDescent="0.2">
      <c r="Z171" s="1317" t="str">
        <f t="shared" ref="Z171:AA171" si="135">Z116</f>
        <v/>
      </c>
      <c r="AA171" s="1317" t="str">
        <f t="shared" si="135"/>
        <v/>
      </c>
      <c r="BM171" s="178" t="str">
        <f>IFERROR(VLOOKUP(Z171,'SpxSp (step-d)'!B$18:I$67,6,FALSE),"")</f>
        <v/>
      </c>
      <c r="BN171" s="178">
        <v>44</v>
      </c>
      <c r="BO171" s="1316" t="str">
        <f t="shared" ca="1" si="92"/>
        <v/>
      </c>
      <c r="BP171" s="1317" t="str">
        <f ca="1">IF(INDIRECT("'SpxSp (step-d)'!$B" &amp; BP$72)=$Z171,INDIRECT("'SpxSp (step-d)'!$" &amp; 'SpxSp (step-d)'!$AD$16 &amp; BP$72),"")</f>
        <v/>
      </c>
      <c r="BQ171" s="1317" t="str">
        <f ca="1">IF(INDIRECT("'SpxSp (step-d)'!$B" &amp; BQ$72)=$Z171,INDIRECT("'SpxSp (step-d)'!$" &amp; 'SpxSp (step-d)'!$AD$16 &amp; BQ$72),"")</f>
        <v/>
      </c>
      <c r="BR171" s="1317" t="str">
        <f ca="1">IF(INDIRECT("'SpxSp (step-d)'!$B" &amp; BR$72)=$Z171,INDIRECT("'SpxSp (step-d)'!$" &amp; 'SpxSp (step-d)'!$AD$16 &amp; BR$72),"")</f>
        <v/>
      </c>
      <c r="BS171" s="1317" t="str">
        <f ca="1">IF(INDIRECT("'SpxSp (step-d)'!$B" &amp; BS$72)=$Z171,INDIRECT("'SpxSp (step-d)'!$" &amp; 'SpxSp (step-d)'!$AD$16 &amp; BS$72),"")</f>
        <v/>
      </c>
      <c r="BT171" s="1317" t="str">
        <f ca="1">IF(INDIRECT("'SpxSp (step-d)'!$B" &amp; BT$72)=$Z171,INDIRECT("'SpxSp (step-d)'!$" &amp; 'SpxSp (step-d)'!$AD$16 &amp; BT$72),"")</f>
        <v/>
      </c>
      <c r="BU171" s="1317" t="str">
        <f ca="1">IF(INDIRECT("'SpxSp (step-d)'!$B" &amp; BU$72)=$Z171,INDIRECT("'SpxSp (step-d)'!$" &amp; 'SpxSp (step-d)'!$AD$16 &amp; BU$72),"")</f>
        <v/>
      </c>
      <c r="BV171" s="1317" t="str">
        <f ca="1">IF(INDIRECT("'SpxSp (step-d)'!$B" &amp; BV$72)=$Z171,INDIRECT("'SpxSp (step-d)'!$" &amp; 'SpxSp (step-d)'!$AD$16 &amp; BV$72),"")</f>
        <v/>
      </c>
      <c r="BW171" s="1317" t="str">
        <f ca="1">IF(INDIRECT("'SpxSp (step-d)'!$B" &amp; BW$72)=$Z171,INDIRECT("'SpxSp (step-d)'!$" &amp; 'SpxSp (step-d)'!$AD$16 &amp; BW$72),"")</f>
        <v/>
      </c>
      <c r="BX171" s="1317" t="str">
        <f ca="1">IF(INDIRECT("'SpxSp (step-d)'!$B" &amp; BX$72)=$Z171,INDIRECT("'SpxSp (step-d)'!$" &amp; 'SpxSp (step-d)'!$AD$16 &amp; BX$72),"")</f>
        <v/>
      </c>
      <c r="BY171" s="1317" t="str">
        <f ca="1">IF(INDIRECT("'SpxSp (step-d)'!$B" &amp; BY$72)=$Z171,INDIRECT("'SpxSp (step-d)'!$" &amp; 'SpxSp (step-d)'!$AD$16 &amp; BY$72),"")</f>
        <v/>
      </c>
      <c r="BZ171" s="1317" t="str">
        <f ca="1">IF(INDIRECT("'SpxSp (step-d)'!$B" &amp; BZ$72)=$Z171,INDIRECT("'SpxSp (step-d)'!$" &amp; 'SpxSp (step-d)'!$AD$16 &amp; BZ$72),"")</f>
        <v/>
      </c>
      <c r="CA171" s="1317" t="str">
        <f ca="1">IF(INDIRECT("'SpxSp (step-d)'!$B" &amp; CA$72)=$Z171,INDIRECT("'SpxSp (step-d)'!$" &amp; 'SpxSp (step-d)'!$AD$16 &amp; CA$72),"")</f>
        <v/>
      </c>
      <c r="CB171" s="1317" t="str">
        <f ca="1">IF(INDIRECT("'SpxSp (step-d)'!$B" &amp; CB$72)=$Z171,INDIRECT("'SpxSp (step-d)'!$" &amp; 'SpxSp (step-d)'!$AD$16 &amp; CB$72),"")</f>
        <v/>
      </c>
      <c r="CC171" s="1317" t="str">
        <f ca="1">IF(INDIRECT("'SpxSp (step-d)'!$B" &amp; CC$72)=$Z171,INDIRECT("'SpxSp (step-d)'!$" &amp; 'SpxSp (step-d)'!$AD$16 &amp; CC$72),"")</f>
        <v/>
      </c>
      <c r="CD171" s="1317" t="str">
        <f ca="1">IF(INDIRECT("'SpxSp (step-d)'!$B" &amp; CD$72)=$Z171,INDIRECT("'SpxSp (step-d)'!$" &amp; 'SpxSp (step-d)'!$AD$16 &amp; CD$72),"")</f>
        <v/>
      </c>
      <c r="CE171" s="1317" t="str">
        <f ca="1">IF(INDIRECT("'SpxSp (step-d)'!$B" &amp; CE$72)=$Z171,INDIRECT("'SpxSp (step-d)'!$" &amp; 'SpxSp (step-d)'!$AD$16 &amp; CE$72),"")</f>
        <v/>
      </c>
      <c r="CF171" s="1317" t="str">
        <f ca="1">IF(INDIRECT("'SpxSp (step-d)'!$B" &amp; CF$72)=$Z171,INDIRECT("'SpxSp (step-d)'!$" &amp; 'SpxSp (step-d)'!$AD$16 &amp; CF$72),"")</f>
        <v/>
      </c>
      <c r="CG171" s="1317" t="str">
        <f ca="1">IF(INDIRECT("'SpxSp (step-d)'!$B" &amp; CG$72)=$Z171,INDIRECT("'SpxSp (step-d)'!$" &amp; 'SpxSp (step-d)'!$AD$16 &amp; CG$72),"")</f>
        <v/>
      </c>
      <c r="CH171" s="1317" t="str">
        <f ca="1">IF(INDIRECT("'SpxSp (step-d)'!$B" &amp; CH$72)=$Z171,INDIRECT("'SpxSp (step-d)'!$" &amp; 'SpxSp (step-d)'!$AD$16 &amp; CH$72),"")</f>
        <v/>
      </c>
      <c r="CI171" s="1317" t="str">
        <f ca="1">IF(INDIRECT("'SpxSp (step-d)'!$B" &amp; CI$72)=$Z171,INDIRECT("'SpxSp (step-d)'!$" &amp; 'SpxSp (step-d)'!$AD$16 &amp; CI$72),"")</f>
        <v/>
      </c>
      <c r="CJ171" s="1317" t="str">
        <f ca="1">IF(INDIRECT("'SpxSp (step-d)'!$B" &amp; CJ$72)=$Z171,INDIRECT("'SpxSp (step-d)'!$" &amp; 'SpxSp (step-d)'!$AD$16 &amp; CJ$72),"")</f>
        <v/>
      </c>
      <c r="CK171" s="1317" t="str">
        <f ca="1">IF(INDIRECT("'SpxSp (step-d)'!$B" &amp; CK$72)=$Z171,INDIRECT("'SpxSp (step-d)'!$" &amp; 'SpxSp (step-d)'!$AD$16 &amp; CK$72),"")</f>
        <v/>
      </c>
      <c r="CL171" s="1317" t="str">
        <f ca="1">IF(INDIRECT("'SpxSp (step-d)'!$B" &amp; CL$72)=$Z171,INDIRECT("'SpxSp (step-d)'!$" &amp; 'SpxSp (step-d)'!$AD$16 &amp; CL$72),"")</f>
        <v/>
      </c>
      <c r="CM171" s="1317" t="str">
        <f ca="1">IF(INDIRECT("'SpxSp (step-d)'!$B" &amp; CM$72)=$Z171,INDIRECT("'SpxSp (step-d)'!$" &amp; 'SpxSp (step-d)'!$AD$16 &amp; CM$72),"")</f>
        <v/>
      </c>
      <c r="CN171" s="1317" t="str">
        <f ca="1">IF(INDIRECT("'SpxSp (step-d)'!$B" &amp; CN$72)=$Z171,INDIRECT("'SpxSp (step-d)'!$" &amp; 'SpxSp (step-d)'!$AD$16 &amp; CN$72),"")</f>
        <v/>
      </c>
      <c r="CO171" s="1317" t="str">
        <f ca="1">IF(INDIRECT("'SpxSp (step-d)'!$B" &amp; CO$72)=$Z171,INDIRECT("'SpxSp (step-d)'!$" &amp; 'SpxSp (step-d)'!$AD$16 &amp; CO$72),"")</f>
        <v/>
      </c>
      <c r="CP171" s="1317" t="str">
        <f ca="1">IF(INDIRECT("'SpxSp (step-d)'!$B" &amp; CP$72)=$Z171,INDIRECT("'SpxSp (step-d)'!$" &amp; 'SpxSp (step-d)'!$AD$16 &amp; CP$72),"")</f>
        <v/>
      </c>
      <c r="CQ171" s="1317" t="str">
        <f ca="1">IF(INDIRECT("'SpxSp (step-d)'!$B" &amp; CQ$72)=$Z171,INDIRECT("'SpxSp (step-d)'!$" &amp; 'SpxSp (step-d)'!$AD$16 &amp; CQ$72),"")</f>
        <v/>
      </c>
      <c r="CR171" s="1317" t="str">
        <f ca="1">IF(INDIRECT("'SpxSp (step-d)'!$B" &amp; CR$72)=$Z171,INDIRECT("'SpxSp (step-d)'!$" &amp; 'SpxSp (step-d)'!$AD$16 &amp; CR$72),"")</f>
        <v/>
      </c>
      <c r="CS171" s="1317" t="str">
        <f ca="1">IF(INDIRECT("'SpxSp (step-d)'!$B" &amp; CS$72)=$Z171,INDIRECT("'SpxSp (step-d)'!$" &amp; 'SpxSp (step-d)'!$AD$16 &amp; CS$72),"")</f>
        <v/>
      </c>
      <c r="CT171" s="1317" t="str">
        <f ca="1">IF(INDIRECT("'SpxSp (step-d)'!$B" &amp; CT$72)=$Z171,INDIRECT("'SpxSp (step-d)'!$" &amp; 'SpxSp (step-d)'!$AD$16 &amp; CT$72),"")</f>
        <v/>
      </c>
      <c r="CU171" s="1317" t="str">
        <f ca="1">IF(INDIRECT("'SpxSp (step-d)'!$B" &amp; CU$72)=$Z171,INDIRECT("'SpxSp (step-d)'!$" &amp; 'SpxSp (step-d)'!$AD$16 &amp; CU$72),"")</f>
        <v/>
      </c>
      <c r="CV171" s="1317" t="str">
        <f ca="1">IF(INDIRECT("'SpxSp (step-d)'!$B" &amp; CV$72)=$Z171,INDIRECT("'SpxSp (step-d)'!$" &amp; 'SpxSp (step-d)'!$AD$16 &amp; CV$72),"")</f>
        <v/>
      </c>
      <c r="CW171" s="1317" t="str">
        <f ca="1">IF(INDIRECT("'SpxSp (step-d)'!$B" &amp; CW$72)=$Z171,INDIRECT("'SpxSp (step-d)'!$" &amp; 'SpxSp (step-d)'!$AD$16 &amp; CW$72),"")</f>
        <v/>
      </c>
      <c r="CX171" s="1317" t="str">
        <f ca="1">IF(INDIRECT("'SpxSp (step-d)'!$B" &amp; CX$72)=$Z171,INDIRECT("'SpxSp (step-d)'!$" &amp; 'SpxSp (step-d)'!$AD$16 &amp; CX$72),"")</f>
        <v/>
      </c>
      <c r="CY171" s="1317" t="str">
        <f ca="1">IF(INDIRECT("'SpxSp (step-d)'!$B" &amp; CY$72)=$Z171,INDIRECT("'SpxSp (step-d)'!$" &amp; 'SpxSp (step-d)'!$AD$16 &amp; CY$72),"")</f>
        <v/>
      </c>
      <c r="CZ171" s="1317" t="str">
        <f ca="1">IF(INDIRECT("'SpxSp (step-d)'!$B" &amp; CZ$72)=$Z171,INDIRECT("'SpxSp (step-d)'!$" &amp; 'SpxSp (step-d)'!$AD$16 &amp; CZ$72),"")</f>
        <v/>
      </c>
      <c r="DA171" s="1317" t="str">
        <f ca="1">IF(INDIRECT("'SpxSp (step-d)'!$B" &amp; DA$72)=$Z171,INDIRECT("'SpxSp (step-d)'!$" &amp; 'SpxSp (step-d)'!$AD$16 &amp; DA$72),"")</f>
        <v/>
      </c>
      <c r="DB171" s="1317" t="str">
        <f ca="1">IF(INDIRECT("'SpxSp (step-d)'!$B" &amp; DB$72)=$Z171,INDIRECT("'SpxSp (step-d)'!$" &amp; 'SpxSp (step-d)'!$AD$16 &amp; DB$72),"")</f>
        <v/>
      </c>
      <c r="DC171" s="1317" t="str">
        <f ca="1">IF(INDIRECT("'SpxSp (step-d)'!$B" &amp; DC$72)=$Z171,INDIRECT("'SpxSp (step-d)'!$" &amp; 'SpxSp (step-d)'!$AD$16 &amp; DC$72),"")</f>
        <v/>
      </c>
      <c r="DD171" s="1317" t="str">
        <f ca="1">IF(INDIRECT("'SpxSp (step-d)'!$B" &amp; DD$72)=$Z171,INDIRECT("'SpxSp (step-d)'!$" &amp; 'SpxSp (step-d)'!$AD$16 &amp; DD$72),"")</f>
        <v/>
      </c>
      <c r="DE171" s="1317" t="str">
        <f ca="1">IF(INDIRECT("'SpxSp (step-d)'!$B" &amp; DE$72)=$Z171,INDIRECT("'SpxSp (step-d)'!$" &amp; 'SpxSp (step-d)'!$AD$16 &amp; DE$72),"")</f>
        <v/>
      </c>
      <c r="DF171" s="1317" t="str">
        <f ca="1">IF(INDIRECT("'SpxSp (step-d)'!$B" &amp; DF$72)=$Z171,INDIRECT("'SpxSp (step-d)'!$" &amp; 'SpxSp (step-d)'!$AD$16 &amp; DF$72),"")</f>
        <v/>
      </c>
      <c r="DG171" s="1317" t="str">
        <f ca="1">IF(INDIRECT("'SpxSp (step-d)'!$B" &amp; DG$72)=$Z171,INDIRECT("'SpxSp (step-d)'!$" &amp; 'SpxSp (step-d)'!$AD$16 &amp; DG$72),"")</f>
        <v/>
      </c>
      <c r="DH171" s="1317" t="str">
        <f ca="1">IF(INDIRECT("'SpxSp (step-d)'!$B" &amp; DH$72)=$Z171,INDIRECT("'SpxSp (step-d)'!$" &amp; 'SpxSp (step-d)'!$AD$16 &amp; DH$72),"")</f>
        <v/>
      </c>
      <c r="DI171" s="1317" t="str">
        <f ca="1">IF(INDIRECT("'SpxSp (step-d)'!$B" &amp; DI$72)=$Z171,INDIRECT("'SpxSp (step-d)'!$" &amp; 'SpxSp (step-d)'!$AD$16 &amp; DI$72),"")</f>
        <v/>
      </c>
      <c r="DJ171" s="1317" t="str">
        <f ca="1">IF(INDIRECT("'SpxSp (step-d)'!$B" &amp; DJ$72)=$Z171,INDIRECT("'SpxSp (step-d)'!$" &amp; 'SpxSp (step-d)'!$AD$16 &amp; DJ$72),"")</f>
        <v/>
      </c>
      <c r="DK171" s="1317" t="str">
        <f ca="1">IF(INDIRECT("'SpxSp (step-d)'!$B" &amp; DK$72)=$Z171,INDIRECT("'SpxSp (step-d)'!$" &amp; 'SpxSp (step-d)'!$AD$16 &amp; DK$72),"")</f>
        <v/>
      </c>
      <c r="DL171" s="1317" t="str">
        <f ca="1">IF(INDIRECT("'SpxSp (step-d)'!$B" &amp; DL$72)=$Z171,INDIRECT("'SpxSp (step-d)'!$" &amp; 'SpxSp (step-d)'!$AD$16 &amp; DL$72),"")</f>
        <v/>
      </c>
      <c r="DM171" s="1317" t="str">
        <f ca="1">IF(INDIRECT("'SpxSp (step-d)'!$B" &amp; DM$72)=$Z171,INDIRECT("'SpxSp (step-d)'!$" &amp; 'SpxSp (step-d)'!$AD$16 &amp; DM$72),"")</f>
        <v/>
      </c>
      <c r="DO171" s="1246" t="s">
        <v>1200</v>
      </c>
    </row>
    <row r="172" spans="26:119" ht="20" x14ac:dyDescent="0.2">
      <c r="Z172" s="1317" t="str">
        <f t="shared" ref="Z172:AA172" si="136">Z117</f>
        <v/>
      </c>
      <c r="AA172" s="1317" t="str">
        <f t="shared" si="136"/>
        <v/>
      </c>
      <c r="BM172" s="178" t="str">
        <f>IFERROR(VLOOKUP(Z172,'SpxSp (step-d)'!B$18:I$67,6,FALSE),"")</f>
        <v/>
      </c>
      <c r="BN172" s="178">
        <v>45</v>
      </c>
      <c r="BO172" s="1316" t="str">
        <f t="shared" ca="1" si="92"/>
        <v/>
      </c>
      <c r="BP172" s="1317" t="str">
        <f ca="1">IF(INDIRECT("'SpxSp (step-d)'!$B" &amp; BP$72)=$Z172,INDIRECT("'SpxSp (step-d)'!$" &amp; 'SpxSp (step-d)'!$AD$16 &amp; BP$72),"")</f>
        <v/>
      </c>
      <c r="BQ172" s="1317" t="str">
        <f ca="1">IF(INDIRECT("'SpxSp (step-d)'!$B" &amp; BQ$72)=$Z172,INDIRECT("'SpxSp (step-d)'!$" &amp; 'SpxSp (step-d)'!$AD$16 &amp; BQ$72),"")</f>
        <v/>
      </c>
      <c r="BR172" s="1317" t="str">
        <f ca="1">IF(INDIRECT("'SpxSp (step-d)'!$B" &amp; BR$72)=$Z172,INDIRECT("'SpxSp (step-d)'!$" &amp; 'SpxSp (step-d)'!$AD$16 &amp; BR$72),"")</f>
        <v/>
      </c>
      <c r="BS172" s="1317" t="str">
        <f ca="1">IF(INDIRECT("'SpxSp (step-d)'!$B" &amp; BS$72)=$Z172,INDIRECT("'SpxSp (step-d)'!$" &amp; 'SpxSp (step-d)'!$AD$16 &amp; BS$72),"")</f>
        <v/>
      </c>
      <c r="BT172" s="1317" t="str">
        <f ca="1">IF(INDIRECT("'SpxSp (step-d)'!$B" &amp; BT$72)=$Z172,INDIRECT("'SpxSp (step-d)'!$" &amp; 'SpxSp (step-d)'!$AD$16 &amp; BT$72),"")</f>
        <v/>
      </c>
      <c r="BU172" s="1317" t="str">
        <f ca="1">IF(INDIRECT("'SpxSp (step-d)'!$B" &amp; BU$72)=$Z172,INDIRECT("'SpxSp (step-d)'!$" &amp; 'SpxSp (step-d)'!$AD$16 &amp; BU$72),"")</f>
        <v/>
      </c>
      <c r="BV172" s="1317" t="str">
        <f ca="1">IF(INDIRECT("'SpxSp (step-d)'!$B" &amp; BV$72)=$Z172,INDIRECT("'SpxSp (step-d)'!$" &amp; 'SpxSp (step-d)'!$AD$16 &amp; BV$72),"")</f>
        <v/>
      </c>
      <c r="BW172" s="1317" t="str">
        <f ca="1">IF(INDIRECT("'SpxSp (step-d)'!$B" &amp; BW$72)=$Z172,INDIRECT("'SpxSp (step-d)'!$" &amp; 'SpxSp (step-d)'!$AD$16 &amp; BW$72),"")</f>
        <v/>
      </c>
      <c r="BX172" s="1317" t="str">
        <f ca="1">IF(INDIRECT("'SpxSp (step-d)'!$B" &amp; BX$72)=$Z172,INDIRECT("'SpxSp (step-d)'!$" &amp; 'SpxSp (step-d)'!$AD$16 &amp; BX$72),"")</f>
        <v/>
      </c>
      <c r="BY172" s="1317" t="str">
        <f ca="1">IF(INDIRECT("'SpxSp (step-d)'!$B" &amp; BY$72)=$Z172,INDIRECT("'SpxSp (step-d)'!$" &amp; 'SpxSp (step-d)'!$AD$16 &amp; BY$72),"")</f>
        <v/>
      </c>
      <c r="BZ172" s="1317" t="str">
        <f ca="1">IF(INDIRECT("'SpxSp (step-d)'!$B" &amp; BZ$72)=$Z172,INDIRECT("'SpxSp (step-d)'!$" &amp; 'SpxSp (step-d)'!$AD$16 &amp; BZ$72),"")</f>
        <v/>
      </c>
      <c r="CA172" s="1317" t="str">
        <f ca="1">IF(INDIRECT("'SpxSp (step-d)'!$B" &amp; CA$72)=$Z172,INDIRECT("'SpxSp (step-d)'!$" &amp; 'SpxSp (step-d)'!$AD$16 &amp; CA$72),"")</f>
        <v/>
      </c>
      <c r="CB172" s="1317" t="str">
        <f ca="1">IF(INDIRECT("'SpxSp (step-d)'!$B" &amp; CB$72)=$Z172,INDIRECT("'SpxSp (step-d)'!$" &amp; 'SpxSp (step-d)'!$AD$16 &amp; CB$72),"")</f>
        <v/>
      </c>
      <c r="CC172" s="1317" t="str">
        <f ca="1">IF(INDIRECT("'SpxSp (step-d)'!$B" &amp; CC$72)=$Z172,INDIRECT("'SpxSp (step-d)'!$" &amp; 'SpxSp (step-d)'!$AD$16 &amp; CC$72),"")</f>
        <v/>
      </c>
      <c r="CD172" s="1317" t="str">
        <f ca="1">IF(INDIRECT("'SpxSp (step-d)'!$B" &amp; CD$72)=$Z172,INDIRECT("'SpxSp (step-d)'!$" &amp; 'SpxSp (step-d)'!$AD$16 &amp; CD$72),"")</f>
        <v/>
      </c>
      <c r="CE172" s="1317" t="str">
        <f ca="1">IF(INDIRECT("'SpxSp (step-d)'!$B" &amp; CE$72)=$Z172,INDIRECT("'SpxSp (step-d)'!$" &amp; 'SpxSp (step-d)'!$AD$16 &amp; CE$72),"")</f>
        <v/>
      </c>
      <c r="CF172" s="1317" t="str">
        <f ca="1">IF(INDIRECT("'SpxSp (step-d)'!$B" &amp; CF$72)=$Z172,INDIRECT("'SpxSp (step-d)'!$" &amp; 'SpxSp (step-d)'!$AD$16 &amp; CF$72),"")</f>
        <v/>
      </c>
      <c r="CG172" s="1317" t="str">
        <f ca="1">IF(INDIRECT("'SpxSp (step-d)'!$B" &amp; CG$72)=$Z172,INDIRECT("'SpxSp (step-d)'!$" &amp; 'SpxSp (step-d)'!$AD$16 &amp; CG$72),"")</f>
        <v/>
      </c>
      <c r="CH172" s="1317" t="str">
        <f ca="1">IF(INDIRECT("'SpxSp (step-d)'!$B" &amp; CH$72)=$Z172,INDIRECT("'SpxSp (step-d)'!$" &amp; 'SpxSp (step-d)'!$AD$16 &amp; CH$72),"")</f>
        <v/>
      </c>
      <c r="CI172" s="1317" t="str">
        <f ca="1">IF(INDIRECT("'SpxSp (step-d)'!$B" &amp; CI$72)=$Z172,INDIRECT("'SpxSp (step-d)'!$" &amp; 'SpxSp (step-d)'!$AD$16 &amp; CI$72),"")</f>
        <v/>
      </c>
      <c r="CJ172" s="1317" t="str">
        <f ca="1">IF(INDIRECT("'SpxSp (step-d)'!$B" &amp; CJ$72)=$Z172,INDIRECT("'SpxSp (step-d)'!$" &amp; 'SpxSp (step-d)'!$AD$16 &amp; CJ$72),"")</f>
        <v/>
      </c>
      <c r="CK172" s="1317" t="str">
        <f ca="1">IF(INDIRECT("'SpxSp (step-d)'!$B" &amp; CK$72)=$Z172,INDIRECT("'SpxSp (step-d)'!$" &amp; 'SpxSp (step-d)'!$AD$16 &amp; CK$72),"")</f>
        <v/>
      </c>
      <c r="CL172" s="1317" t="str">
        <f ca="1">IF(INDIRECT("'SpxSp (step-d)'!$B" &amp; CL$72)=$Z172,INDIRECT("'SpxSp (step-d)'!$" &amp; 'SpxSp (step-d)'!$AD$16 &amp; CL$72),"")</f>
        <v/>
      </c>
      <c r="CM172" s="1317" t="str">
        <f ca="1">IF(INDIRECT("'SpxSp (step-d)'!$B" &amp; CM$72)=$Z172,INDIRECT("'SpxSp (step-d)'!$" &amp; 'SpxSp (step-d)'!$AD$16 &amp; CM$72),"")</f>
        <v/>
      </c>
      <c r="CN172" s="1317" t="str">
        <f ca="1">IF(INDIRECT("'SpxSp (step-d)'!$B" &amp; CN$72)=$Z172,INDIRECT("'SpxSp (step-d)'!$" &amp; 'SpxSp (step-d)'!$AD$16 &amp; CN$72),"")</f>
        <v/>
      </c>
      <c r="CO172" s="1317" t="str">
        <f ca="1">IF(INDIRECT("'SpxSp (step-d)'!$B" &amp; CO$72)=$Z172,INDIRECT("'SpxSp (step-d)'!$" &amp; 'SpxSp (step-d)'!$AD$16 &amp; CO$72),"")</f>
        <v/>
      </c>
      <c r="CP172" s="1317" t="str">
        <f ca="1">IF(INDIRECT("'SpxSp (step-d)'!$B" &amp; CP$72)=$Z172,INDIRECT("'SpxSp (step-d)'!$" &amp; 'SpxSp (step-d)'!$AD$16 &amp; CP$72),"")</f>
        <v/>
      </c>
      <c r="CQ172" s="1317" t="str">
        <f ca="1">IF(INDIRECT("'SpxSp (step-d)'!$B" &amp; CQ$72)=$Z172,INDIRECT("'SpxSp (step-d)'!$" &amp; 'SpxSp (step-d)'!$AD$16 &amp; CQ$72),"")</f>
        <v/>
      </c>
      <c r="CR172" s="1317" t="str">
        <f ca="1">IF(INDIRECT("'SpxSp (step-d)'!$B" &amp; CR$72)=$Z172,INDIRECT("'SpxSp (step-d)'!$" &amp; 'SpxSp (step-d)'!$AD$16 &amp; CR$72),"")</f>
        <v/>
      </c>
      <c r="CS172" s="1317" t="str">
        <f ca="1">IF(INDIRECT("'SpxSp (step-d)'!$B" &amp; CS$72)=$Z172,INDIRECT("'SpxSp (step-d)'!$" &amp; 'SpxSp (step-d)'!$AD$16 &amp; CS$72),"")</f>
        <v/>
      </c>
      <c r="CT172" s="1317" t="str">
        <f ca="1">IF(INDIRECT("'SpxSp (step-d)'!$B" &amp; CT$72)=$Z172,INDIRECT("'SpxSp (step-d)'!$" &amp; 'SpxSp (step-d)'!$AD$16 &amp; CT$72),"")</f>
        <v/>
      </c>
      <c r="CU172" s="1317" t="str">
        <f ca="1">IF(INDIRECT("'SpxSp (step-d)'!$B" &amp; CU$72)=$Z172,INDIRECT("'SpxSp (step-d)'!$" &amp; 'SpxSp (step-d)'!$AD$16 &amp; CU$72),"")</f>
        <v/>
      </c>
      <c r="CV172" s="1317" t="str">
        <f ca="1">IF(INDIRECT("'SpxSp (step-d)'!$B" &amp; CV$72)=$Z172,INDIRECT("'SpxSp (step-d)'!$" &amp; 'SpxSp (step-d)'!$AD$16 &amp; CV$72),"")</f>
        <v/>
      </c>
      <c r="CW172" s="1317" t="str">
        <f ca="1">IF(INDIRECT("'SpxSp (step-d)'!$B" &amp; CW$72)=$Z172,INDIRECT("'SpxSp (step-d)'!$" &amp; 'SpxSp (step-d)'!$AD$16 &amp; CW$72),"")</f>
        <v/>
      </c>
      <c r="CX172" s="1317" t="str">
        <f ca="1">IF(INDIRECT("'SpxSp (step-d)'!$B" &amp; CX$72)=$Z172,INDIRECT("'SpxSp (step-d)'!$" &amp; 'SpxSp (step-d)'!$AD$16 &amp; CX$72),"")</f>
        <v/>
      </c>
      <c r="CY172" s="1317" t="str">
        <f ca="1">IF(INDIRECT("'SpxSp (step-d)'!$B" &amp; CY$72)=$Z172,INDIRECT("'SpxSp (step-d)'!$" &amp; 'SpxSp (step-d)'!$AD$16 &amp; CY$72),"")</f>
        <v/>
      </c>
      <c r="CZ172" s="1317" t="str">
        <f ca="1">IF(INDIRECT("'SpxSp (step-d)'!$B" &amp; CZ$72)=$Z172,INDIRECT("'SpxSp (step-d)'!$" &amp; 'SpxSp (step-d)'!$AD$16 &amp; CZ$72),"")</f>
        <v/>
      </c>
      <c r="DA172" s="1317" t="str">
        <f ca="1">IF(INDIRECT("'SpxSp (step-d)'!$B" &amp; DA$72)=$Z172,INDIRECT("'SpxSp (step-d)'!$" &amp; 'SpxSp (step-d)'!$AD$16 &amp; DA$72),"")</f>
        <v/>
      </c>
      <c r="DB172" s="1317" t="str">
        <f ca="1">IF(INDIRECT("'SpxSp (step-d)'!$B" &amp; DB$72)=$Z172,INDIRECT("'SpxSp (step-d)'!$" &amp; 'SpxSp (step-d)'!$AD$16 &amp; DB$72),"")</f>
        <v/>
      </c>
      <c r="DC172" s="1317" t="str">
        <f ca="1">IF(INDIRECT("'SpxSp (step-d)'!$B" &amp; DC$72)=$Z172,INDIRECT("'SpxSp (step-d)'!$" &amp; 'SpxSp (step-d)'!$AD$16 &amp; DC$72),"")</f>
        <v/>
      </c>
      <c r="DD172" s="1317" t="str">
        <f ca="1">IF(INDIRECT("'SpxSp (step-d)'!$B" &amp; DD$72)=$Z172,INDIRECT("'SpxSp (step-d)'!$" &amp; 'SpxSp (step-d)'!$AD$16 &amp; DD$72),"")</f>
        <v/>
      </c>
      <c r="DE172" s="1317" t="str">
        <f ca="1">IF(INDIRECT("'SpxSp (step-d)'!$B" &amp; DE$72)=$Z172,INDIRECT("'SpxSp (step-d)'!$" &amp; 'SpxSp (step-d)'!$AD$16 &amp; DE$72),"")</f>
        <v/>
      </c>
      <c r="DF172" s="1317" t="str">
        <f ca="1">IF(INDIRECT("'SpxSp (step-d)'!$B" &amp; DF$72)=$Z172,INDIRECT("'SpxSp (step-d)'!$" &amp; 'SpxSp (step-d)'!$AD$16 &amp; DF$72),"")</f>
        <v/>
      </c>
      <c r="DG172" s="1317" t="str">
        <f ca="1">IF(INDIRECT("'SpxSp (step-d)'!$B" &amp; DG$72)=$Z172,INDIRECT("'SpxSp (step-d)'!$" &amp; 'SpxSp (step-d)'!$AD$16 &amp; DG$72),"")</f>
        <v/>
      </c>
      <c r="DH172" s="1317" t="str">
        <f ca="1">IF(INDIRECT("'SpxSp (step-d)'!$B" &amp; DH$72)=$Z172,INDIRECT("'SpxSp (step-d)'!$" &amp; 'SpxSp (step-d)'!$AD$16 &amp; DH$72),"")</f>
        <v/>
      </c>
      <c r="DI172" s="1317" t="str">
        <f ca="1">IF(INDIRECT("'SpxSp (step-d)'!$B" &amp; DI$72)=$Z172,INDIRECT("'SpxSp (step-d)'!$" &amp; 'SpxSp (step-d)'!$AD$16 &amp; DI$72),"")</f>
        <v/>
      </c>
      <c r="DJ172" s="1317" t="str">
        <f ca="1">IF(INDIRECT("'SpxSp (step-d)'!$B" &amp; DJ$72)=$Z172,INDIRECT("'SpxSp (step-d)'!$" &amp; 'SpxSp (step-d)'!$AD$16 &amp; DJ$72),"")</f>
        <v/>
      </c>
      <c r="DK172" s="1317" t="str">
        <f ca="1">IF(INDIRECT("'SpxSp (step-d)'!$B" &amp; DK$72)=$Z172,INDIRECT("'SpxSp (step-d)'!$" &amp; 'SpxSp (step-d)'!$AD$16 &amp; DK$72),"")</f>
        <v/>
      </c>
      <c r="DL172" s="1317" t="str">
        <f ca="1">IF(INDIRECT("'SpxSp (step-d)'!$B" &amp; DL$72)=$Z172,INDIRECT("'SpxSp (step-d)'!$" &amp; 'SpxSp (step-d)'!$AD$16 &amp; DL$72),"")</f>
        <v/>
      </c>
      <c r="DM172" s="1317" t="str">
        <f ca="1">IF(INDIRECT("'SpxSp (step-d)'!$B" &amp; DM$72)=$Z172,INDIRECT("'SpxSp (step-d)'!$" &amp; 'SpxSp (step-d)'!$AD$16 &amp; DM$72),"")</f>
        <v/>
      </c>
      <c r="DO172" s="1246" t="s">
        <v>1200</v>
      </c>
    </row>
    <row r="173" spans="26:119" ht="20" x14ac:dyDescent="0.2">
      <c r="Z173" s="1317" t="str">
        <f t="shared" ref="Z173:AA173" si="137">Z118</f>
        <v/>
      </c>
      <c r="AA173" s="1317" t="str">
        <f t="shared" si="137"/>
        <v/>
      </c>
      <c r="BM173" s="178" t="str">
        <f>IFERROR(VLOOKUP(Z173,'SpxSp (step-d)'!B$18:I$67,6,FALSE),"")</f>
        <v/>
      </c>
      <c r="BN173" s="178">
        <v>46</v>
      </c>
      <c r="BO173" s="1316" t="str">
        <f t="shared" ca="1" si="92"/>
        <v/>
      </c>
      <c r="BP173" s="1317" t="str">
        <f ca="1">IF(INDIRECT("'SpxSp (step-d)'!$B" &amp; BP$72)=$Z173,INDIRECT("'SpxSp (step-d)'!$" &amp; 'SpxSp (step-d)'!$AD$16 &amp; BP$72),"")</f>
        <v/>
      </c>
      <c r="BQ173" s="1317" t="str">
        <f ca="1">IF(INDIRECT("'SpxSp (step-d)'!$B" &amp; BQ$72)=$Z173,INDIRECT("'SpxSp (step-d)'!$" &amp; 'SpxSp (step-d)'!$AD$16 &amp; BQ$72),"")</f>
        <v/>
      </c>
      <c r="BR173" s="1317" t="str">
        <f ca="1">IF(INDIRECT("'SpxSp (step-d)'!$B" &amp; BR$72)=$Z173,INDIRECT("'SpxSp (step-d)'!$" &amp; 'SpxSp (step-d)'!$AD$16 &amp; BR$72),"")</f>
        <v/>
      </c>
      <c r="BS173" s="1317" t="str">
        <f ca="1">IF(INDIRECT("'SpxSp (step-d)'!$B" &amp; BS$72)=$Z173,INDIRECT("'SpxSp (step-d)'!$" &amp; 'SpxSp (step-d)'!$AD$16 &amp; BS$72),"")</f>
        <v/>
      </c>
      <c r="BT173" s="1317" t="str">
        <f ca="1">IF(INDIRECT("'SpxSp (step-d)'!$B" &amp; BT$72)=$Z173,INDIRECT("'SpxSp (step-d)'!$" &amp; 'SpxSp (step-d)'!$AD$16 &amp; BT$72),"")</f>
        <v/>
      </c>
      <c r="BU173" s="1317" t="str">
        <f ca="1">IF(INDIRECT("'SpxSp (step-d)'!$B" &amp; BU$72)=$Z173,INDIRECT("'SpxSp (step-d)'!$" &amp; 'SpxSp (step-d)'!$AD$16 &amp; BU$72),"")</f>
        <v/>
      </c>
      <c r="BV173" s="1317" t="str">
        <f ca="1">IF(INDIRECT("'SpxSp (step-d)'!$B" &amp; BV$72)=$Z173,INDIRECT("'SpxSp (step-d)'!$" &amp; 'SpxSp (step-d)'!$AD$16 &amp; BV$72),"")</f>
        <v/>
      </c>
      <c r="BW173" s="1317" t="str">
        <f ca="1">IF(INDIRECT("'SpxSp (step-d)'!$B" &amp; BW$72)=$Z173,INDIRECT("'SpxSp (step-d)'!$" &amp; 'SpxSp (step-d)'!$AD$16 &amp; BW$72),"")</f>
        <v/>
      </c>
      <c r="BX173" s="1317" t="str">
        <f ca="1">IF(INDIRECT("'SpxSp (step-d)'!$B" &amp; BX$72)=$Z173,INDIRECT("'SpxSp (step-d)'!$" &amp; 'SpxSp (step-d)'!$AD$16 &amp; BX$72),"")</f>
        <v/>
      </c>
      <c r="BY173" s="1317" t="str">
        <f ca="1">IF(INDIRECT("'SpxSp (step-d)'!$B" &amp; BY$72)=$Z173,INDIRECT("'SpxSp (step-d)'!$" &amp; 'SpxSp (step-d)'!$AD$16 &amp; BY$72),"")</f>
        <v/>
      </c>
      <c r="BZ173" s="1317" t="str">
        <f ca="1">IF(INDIRECT("'SpxSp (step-d)'!$B" &amp; BZ$72)=$Z173,INDIRECT("'SpxSp (step-d)'!$" &amp; 'SpxSp (step-d)'!$AD$16 &amp; BZ$72),"")</f>
        <v/>
      </c>
      <c r="CA173" s="1317" t="str">
        <f ca="1">IF(INDIRECT("'SpxSp (step-d)'!$B" &amp; CA$72)=$Z173,INDIRECT("'SpxSp (step-d)'!$" &amp; 'SpxSp (step-d)'!$AD$16 &amp; CA$72),"")</f>
        <v/>
      </c>
      <c r="CB173" s="1317" t="str">
        <f ca="1">IF(INDIRECT("'SpxSp (step-d)'!$B" &amp; CB$72)=$Z173,INDIRECT("'SpxSp (step-d)'!$" &amp; 'SpxSp (step-d)'!$AD$16 &amp; CB$72),"")</f>
        <v/>
      </c>
      <c r="CC173" s="1317" t="str">
        <f ca="1">IF(INDIRECT("'SpxSp (step-d)'!$B" &amp; CC$72)=$Z173,INDIRECT("'SpxSp (step-d)'!$" &amp; 'SpxSp (step-d)'!$AD$16 &amp; CC$72),"")</f>
        <v/>
      </c>
      <c r="CD173" s="1317" t="str">
        <f ca="1">IF(INDIRECT("'SpxSp (step-d)'!$B" &amp; CD$72)=$Z173,INDIRECT("'SpxSp (step-d)'!$" &amp; 'SpxSp (step-d)'!$AD$16 &amp; CD$72),"")</f>
        <v/>
      </c>
      <c r="CE173" s="1317" t="str">
        <f ca="1">IF(INDIRECT("'SpxSp (step-d)'!$B" &amp; CE$72)=$Z173,INDIRECT("'SpxSp (step-d)'!$" &amp; 'SpxSp (step-d)'!$AD$16 &amp; CE$72),"")</f>
        <v/>
      </c>
      <c r="CF173" s="1317" t="str">
        <f ca="1">IF(INDIRECT("'SpxSp (step-d)'!$B" &amp; CF$72)=$Z173,INDIRECT("'SpxSp (step-d)'!$" &amp; 'SpxSp (step-d)'!$AD$16 &amp; CF$72),"")</f>
        <v/>
      </c>
      <c r="CG173" s="1317" t="str">
        <f ca="1">IF(INDIRECT("'SpxSp (step-d)'!$B" &amp; CG$72)=$Z173,INDIRECT("'SpxSp (step-d)'!$" &amp; 'SpxSp (step-d)'!$AD$16 &amp; CG$72),"")</f>
        <v/>
      </c>
      <c r="CH173" s="1317" t="str">
        <f ca="1">IF(INDIRECT("'SpxSp (step-d)'!$B" &amp; CH$72)=$Z173,INDIRECT("'SpxSp (step-d)'!$" &amp; 'SpxSp (step-d)'!$AD$16 &amp; CH$72),"")</f>
        <v/>
      </c>
      <c r="CI173" s="1317" t="str">
        <f ca="1">IF(INDIRECT("'SpxSp (step-d)'!$B" &amp; CI$72)=$Z173,INDIRECT("'SpxSp (step-d)'!$" &amp; 'SpxSp (step-d)'!$AD$16 &amp; CI$72),"")</f>
        <v/>
      </c>
      <c r="CJ173" s="1317" t="str">
        <f ca="1">IF(INDIRECT("'SpxSp (step-d)'!$B" &amp; CJ$72)=$Z173,INDIRECT("'SpxSp (step-d)'!$" &amp; 'SpxSp (step-d)'!$AD$16 &amp; CJ$72),"")</f>
        <v/>
      </c>
      <c r="CK173" s="1317" t="str">
        <f ca="1">IF(INDIRECT("'SpxSp (step-d)'!$B" &amp; CK$72)=$Z173,INDIRECT("'SpxSp (step-d)'!$" &amp; 'SpxSp (step-d)'!$AD$16 &amp; CK$72),"")</f>
        <v/>
      </c>
      <c r="CL173" s="1317" t="str">
        <f ca="1">IF(INDIRECT("'SpxSp (step-d)'!$B" &amp; CL$72)=$Z173,INDIRECT("'SpxSp (step-d)'!$" &amp; 'SpxSp (step-d)'!$AD$16 &amp; CL$72),"")</f>
        <v/>
      </c>
      <c r="CM173" s="1317" t="str">
        <f ca="1">IF(INDIRECT("'SpxSp (step-d)'!$B" &amp; CM$72)=$Z173,INDIRECT("'SpxSp (step-d)'!$" &amp; 'SpxSp (step-d)'!$AD$16 &amp; CM$72),"")</f>
        <v/>
      </c>
      <c r="CN173" s="1317" t="str">
        <f ca="1">IF(INDIRECT("'SpxSp (step-d)'!$B" &amp; CN$72)=$Z173,INDIRECT("'SpxSp (step-d)'!$" &amp; 'SpxSp (step-d)'!$AD$16 &amp; CN$72),"")</f>
        <v/>
      </c>
      <c r="CO173" s="1317" t="str">
        <f ca="1">IF(INDIRECT("'SpxSp (step-d)'!$B" &amp; CO$72)=$Z173,INDIRECT("'SpxSp (step-d)'!$" &amp; 'SpxSp (step-d)'!$AD$16 &amp; CO$72),"")</f>
        <v/>
      </c>
      <c r="CP173" s="1317" t="str">
        <f ca="1">IF(INDIRECT("'SpxSp (step-d)'!$B" &amp; CP$72)=$Z173,INDIRECT("'SpxSp (step-d)'!$" &amp; 'SpxSp (step-d)'!$AD$16 &amp; CP$72),"")</f>
        <v/>
      </c>
      <c r="CQ173" s="1317" t="str">
        <f ca="1">IF(INDIRECT("'SpxSp (step-d)'!$B" &amp; CQ$72)=$Z173,INDIRECT("'SpxSp (step-d)'!$" &amp; 'SpxSp (step-d)'!$AD$16 &amp; CQ$72),"")</f>
        <v/>
      </c>
      <c r="CR173" s="1317" t="str">
        <f ca="1">IF(INDIRECT("'SpxSp (step-d)'!$B" &amp; CR$72)=$Z173,INDIRECT("'SpxSp (step-d)'!$" &amp; 'SpxSp (step-d)'!$AD$16 &amp; CR$72),"")</f>
        <v/>
      </c>
      <c r="CS173" s="1317" t="str">
        <f ca="1">IF(INDIRECT("'SpxSp (step-d)'!$B" &amp; CS$72)=$Z173,INDIRECT("'SpxSp (step-d)'!$" &amp; 'SpxSp (step-d)'!$AD$16 &amp; CS$72),"")</f>
        <v/>
      </c>
      <c r="CT173" s="1317" t="str">
        <f ca="1">IF(INDIRECT("'SpxSp (step-d)'!$B" &amp; CT$72)=$Z173,INDIRECT("'SpxSp (step-d)'!$" &amp; 'SpxSp (step-d)'!$AD$16 &amp; CT$72),"")</f>
        <v/>
      </c>
      <c r="CU173" s="1317" t="str">
        <f ca="1">IF(INDIRECT("'SpxSp (step-d)'!$B" &amp; CU$72)=$Z173,INDIRECT("'SpxSp (step-d)'!$" &amp; 'SpxSp (step-d)'!$AD$16 &amp; CU$72),"")</f>
        <v/>
      </c>
      <c r="CV173" s="1317" t="str">
        <f ca="1">IF(INDIRECT("'SpxSp (step-d)'!$B" &amp; CV$72)=$Z173,INDIRECT("'SpxSp (step-d)'!$" &amp; 'SpxSp (step-d)'!$AD$16 &amp; CV$72),"")</f>
        <v/>
      </c>
      <c r="CW173" s="1317" t="str">
        <f ca="1">IF(INDIRECT("'SpxSp (step-d)'!$B" &amp; CW$72)=$Z173,INDIRECT("'SpxSp (step-d)'!$" &amp; 'SpxSp (step-d)'!$AD$16 &amp; CW$72),"")</f>
        <v/>
      </c>
      <c r="CX173" s="1317" t="str">
        <f ca="1">IF(INDIRECT("'SpxSp (step-d)'!$B" &amp; CX$72)=$Z173,INDIRECT("'SpxSp (step-d)'!$" &amp; 'SpxSp (step-d)'!$AD$16 &amp; CX$72),"")</f>
        <v/>
      </c>
      <c r="CY173" s="1317" t="str">
        <f ca="1">IF(INDIRECT("'SpxSp (step-d)'!$B" &amp; CY$72)=$Z173,INDIRECT("'SpxSp (step-d)'!$" &amp; 'SpxSp (step-d)'!$AD$16 &amp; CY$72),"")</f>
        <v/>
      </c>
      <c r="CZ173" s="1317" t="str">
        <f ca="1">IF(INDIRECT("'SpxSp (step-d)'!$B" &amp; CZ$72)=$Z173,INDIRECT("'SpxSp (step-d)'!$" &amp; 'SpxSp (step-d)'!$AD$16 &amp; CZ$72),"")</f>
        <v/>
      </c>
      <c r="DA173" s="1317" t="str">
        <f ca="1">IF(INDIRECT("'SpxSp (step-d)'!$B" &amp; DA$72)=$Z173,INDIRECT("'SpxSp (step-d)'!$" &amp; 'SpxSp (step-d)'!$AD$16 &amp; DA$72),"")</f>
        <v/>
      </c>
      <c r="DB173" s="1317" t="str">
        <f ca="1">IF(INDIRECT("'SpxSp (step-d)'!$B" &amp; DB$72)=$Z173,INDIRECT("'SpxSp (step-d)'!$" &amp; 'SpxSp (step-d)'!$AD$16 &amp; DB$72),"")</f>
        <v/>
      </c>
      <c r="DC173" s="1317" t="str">
        <f ca="1">IF(INDIRECT("'SpxSp (step-d)'!$B" &amp; DC$72)=$Z173,INDIRECT("'SpxSp (step-d)'!$" &amp; 'SpxSp (step-d)'!$AD$16 &amp; DC$72),"")</f>
        <v/>
      </c>
      <c r="DD173" s="1317" t="str">
        <f ca="1">IF(INDIRECT("'SpxSp (step-d)'!$B" &amp; DD$72)=$Z173,INDIRECT("'SpxSp (step-d)'!$" &amp; 'SpxSp (step-d)'!$AD$16 &amp; DD$72),"")</f>
        <v/>
      </c>
      <c r="DE173" s="1317" t="str">
        <f ca="1">IF(INDIRECT("'SpxSp (step-d)'!$B" &amp; DE$72)=$Z173,INDIRECT("'SpxSp (step-d)'!$" &amp; 'SpxSp (step-d)'!$AD$16 &amp; DE$72),"")</f>
        <v/>
      </c>
      <c r="DF173" s="1317" t="str">
        <f ca="1">IF(INDIRECT("'SpxSp (step-d)'!$B" &amp; DF$72)=$Z173,INDIRECT("'SpxSp (step-d)'!$" &amp; 'SpxSp (step-d)'!$AD$16 &amp; DF$72),"")</f>
        <v/>
      </c>
      <c r="DG173" s="1317" t="str">
        <f ca="1">IF(INDIRECT("'SpxSp (step-d)'!$B" &amp; DG$72)=$Z173,INDIRECT("'SpxSp (step-d)'!$" &amp; 'SpxSp (step-d)'!$AD$16 &amp; DG$72),"")</f>
        <v/>
      </c>
      <c r="DH173" s="1317" t="str">
        <f ca="1">IF(INDIRECT("'SpxSp (step-d)'!$B" &amp; DH$72)=$Z173,INDIRECT("'SpxSp (step-d)'!$" &amp; 'SpxSp (step-d)'!$AD$16 &amp; DH$72),"")</f>
        <v/>
      </c>
      <c r="DI173" s="1317" t="str">
        <f ca="1">IF(INDIRECT("'SpxSp (step-d)'!$B" &amp; DI$72)=$Z173,INDIRECT("'SpxSp (step-d)'!$" &amp; 'SpxSp (step-d)'!$AD$16 &amp; DI$72),"")</f>
        <v/>
      </c>
      <c r="DJ173" s="1317" t="str">
        <f ca="1">IF(INDIRECT("'SpxSp (step-d)'!$B" &amp; DJ$72)=$Z173,INDIRECT("'SpxSp (step-d)'!$" &amp; 'SpxSp (step-d)'!$AD$16 &amp; DJ$72),"")</f>
        <v/>
      </c>
      <c r="DK173" s="1317" t="str">
        <f ca="1">IF(INDIRECT("'SpxSp (step-d)'!$B" &amp; DK$72)=$Z173,INDIRECT("'SpxSp (step-d)'!$" &amp; 'SpxSp (step-d)'!$AD$16 &amp; DK$72),"")</f>
        <v/>
      </c>
      <c r="DL173" s="1317" t="str">
        <f ca="1">IF(INDIRECT("'SpxSp (step-d)'!$B" &amp; DL$72)=$Z173,INDIRECT("'SpxSp (step-d)'!$" &amp; 'SpxSp (step-d)'!$AD$16 &amp; DL$72),"")</f>
        <v/>
      </c>
      <c r="DM173" s="1317" t="str">
        <f ca="1">IF(INDIRECT("'SpxSp (step-d)'!$B" &amp; DM$72)=$Z173,INDIRECT("'SpxSp (step-d)'!$" &amp; 'SpxSp (step-d)'!$AD$16 &amp; DM$72),"")</f>
        <v/>
      </c>
      <c r="DO173" s="1246" t="s">
        <v>1200</v>
      </c>
    </row>
    <row r="174" spans="26:119" ht="20" x14ac:dyDescent="0.2">
      <c r="Z174" s="1317" t="str">
        <f t="shared" ref="Z174:AA174" si="138">Z119</f>
        <v/>
      </c>
      <c r="AA174" s="1317" t="str">
        <f t="shared" si="138"/>
        <v/>
      </c>
      <c r="BM174" s="178" t="str">
        <f>IFERROR(VLOOKUP(Z174,'SpxSp (step-d)'!B$18:I$67,6,FALSE),"")</f>
        <v/>
      </c>
      <c r="BN174" s="178">
        <v>47</v>
      </c>
      <c r="BO174" s="1316" t="str">
        <f t="shared" ca="1" si="92"/>
        <v/>
      </c>
      <c r="BP174" s="1317" t="str">
        <f ca="1">IF(INDIRECT("'SpxSp (step-d)'!$B" &amp; BP$72)=$Z174,INDIRECT("'SpxSp (step-d)'!$" &amp; 'SpxSp (step-d)'!$AD$16 &amp; BP$72),"")</f>
        <v/>
      </c>
      <c r="BQ174" s="1317" t="str">
        <f ca="1">IF(INDIRECT("'SpxSp (step-d)'!$B" &amp; BQ$72)=$Z174,INDIRECT("'SpxSp (step-d)'!$" &amp; 'SpxSp (step-d)'!$AD$16 &amp; BQ$72),"")</f>
        <v/>
      </c>
      <c r="BR174" s="1317" t="str">
        <f ca="1">IF(INDIRECT("'SpxSp (step-d)'!$B" &amp; BR$72)=$Z174,INDIRECT("'SpxSp (step-d)'!$" &amp; 'SpxSp (step-d)'!$AD$16 &amp; BR$72),"")</f>
        <v/>
      </c>
      <c r="BS174" s="1317" t="str">
        <f ca="1">IF(INDIRECT("'SpxSp (step-d)'!$B" &amp; BS$72)=$Z174,INDIRECT("'SpxSp (step-d)'!$" &amp; 'SpxSp (step-d)'!$AD$16 &amp; BS$72),"")</f>
        <v/>
      </c>
      <c r="BT174" s="1317" t="str">
        <f ca="1">IF(INDIRECT("'SpxSp (step-d)'!$B" &amp; BT$72)=$Z174,INDIRECT("'SpxSp (step-d)'!$" &amp; 'SpxSp (step-d)'!$AD$16 &amp; BT$72),"")</f>
        <v/>
      </c>
      <c r="BU174" s="1317" t="str">
        <f ca="1">IF(INDIRECT("'SpxSp (step-d)'!$B" &amp; BU$72)=$Z174,INDIRECT("'SpxSp (step-d)'!$" &amp; 'SpxSp (step-d)'!$AD$16 &amp; BU$72),"")</f>
        <v/>
      </c>
      <c r="BV174" s="1317" t="str">
        <f ca="1">IF(INDIRECT("'SpxSp (step-d)'!$B" &amp; BV$72)=$Z174,INDIRECT("'SpxSp (step-d)'!$" &amp; 'SpxSp (step-d)'!$AD$16 &amp; BV$72),"")</f>
        <v/>
      </c>
      <c r="BW174" s="1317" t="str">
        <f ca="1">IF(INDIRECT("'SpxSp (step-d)'!$B" &amp; BW$72)=$Z174,INDIRECT("'SpxSp (step-d)'!$" &amp; 'SpxSp (step-d)'!$AD$16 &amp; BW$72),"")</f>
        <v/>
      </c>
      <c r="BX174" s="1317" t="str">
        <f ca="1">IF(INDIRECT("'SpxSp (step-d)'!$B" &amp; BX$72)=$Z174,INDIRECT("'SpxSp (step-d)'!$" &amp; 'SpxSp (step-d)'!$AD$16 &amp; BX$72),"")</f>
        <v/>
      </c>
      <c r="BY174" s="1317" t="str">
        <f ca="1">IF(INDIRECT("'SpxSp (step-d)'!$B" &amp; BY$72)=$Z174,INDIRECT("'SpxSp (step-d)'!$" &amp; 'SpxSp (step-d)'!$AD$16 &amp; BY$72),"")</f>
        <v/>
      </c>
      <c r="BZ174" s="1317" t="str">
        <f ca="1">IF(INDIRECT("'SpxSp (step-d)'!$B" &amp; BZ$72)=$Z174,INDIRECT("'SpxSp (step-d)'!$" &amp; 'SpxSp (step-d)'!$AD$16 &amp; BZ$72),"")</f>
        <v/>
      </c>
      <c r="CA174" s="1317" t="str">
        <f ca="1">IF(INDIRECT("'SpxSp (step-d)'!$B" &amp; CA$72)=$Z174,INDIRECT("'SpxSp (step-d)'!$" &amp; 'SpxSp (step-d)'!$AD$16 &amp; CA$72),"")</f>
        <v/>
      </c>
      <c r="CB174" s="1317" t="str">
        <f ca="1">IF(INDIRECT("'SpxSp (step-d)'!$B" &amp; CB$72)=$Z174,INDIRECT("'SpxSp (step-d)'!$" &amp; 'SpxSp (step-d)'!$AD$16 &amp; CB$72),"")</f>
        <v/>
      </c>
      <c r="CC174" s="1317" t="str">
        <f ca="1">IF(INDIRECT("'SpxSp (step-d)'!$B" &amp; CC$72)=$Z174,INDIRECT("'SpxSp (step-d)'!$" &amp; 'SpxSp (step-d)'!$AD$16 &amp; CC$72),"")</f>
        <v/>
      </c>
      <c r="CD174" s="1317" t="str">
        <f ca="1">IF(INDIRECT("'SpxSp (step-d)'!$B" &amp; CD$72)=$Z174,INDIRECT("'SpxSp (step-d)'!$" &amp; 'SpxSp (step-d)'!$AD$16 &amp; CD$72),"")</f>
        <v/>
      </c>
      <c r="CE174" s="1317" t="str">
        <f ca="1">IF(INDIRECT("'SpxSp (step-d)'!$B" &amp; CE$72)=$Z174,INDIRECT("'SpxSp (step-d)'!$" &amp; 'SpxSp (step-d)'!$AD$16 &amp; CE$72),"")</f>
        <v/>
      </c>
      <c r="CF174" s="1317" t="str">
        <f ca="1">IF(INDIRECT("'SpxSp (step-d)'!$B" &amp; CF$72)=$Z174,INDIRECT("'SpxSp (step-d)'!$" &amp; 'SpxSp (step-d)'!$AD$16 &amp; CF$72),"")</f>
        <v/>
      </c>
      <c r="CG174" s="1317" t="str">
        <f ca="1">IF(INDIRECT("'SpxSp (step-d)'!$B" &amp; CG$72)=$Z174,INDIRECT("'SpxSp (step-d)'!$" &amp; 'SpxSp (step-d)'!$AD$16 &amp; CG$72),"")</f>
        <v/>
      </c>
      <c r="CH174" s="1317" t="str">
        <f ca="1">IF(INDIRECT("'SpxSp (step-d)'!$B" &amp; CH$72)=$Z174,INDIRECT("'SpxSp (step-d)'!$" &amp; 'SpxSp (step-d)'!$AD$16 &amp; CH$72),"")</f>
        <v/>
      </c>
      <c r="CI174" s="1317" t="str">
        <f ca="1">IF(INDIRECT("'SpxSp (step-d)'!$B" &amp; CI$72)=$Z174,INDIRECT("'SpxSp (step-d)'!$" &amp; 'SpxSp (step-d)'!$AD$16 &amp; CI$72),"")</f>
        <v/>
      </c>
      <c r="CJ174" s="1317" t="str">
        <f ca="1">IF(INDIRECT("'SpxSp (step-d)'!$B" &amp; CJ$72)=$Z174,INDIRECT("'SpxSp (step-d)'!$" &amp; 'SpxSp (step-d)'!$AD$16 &amp; CJ$72),"")</f>
        <v/>
      </c>
      <c r="CK174" s="1317" t="str">
        <f ca="1">IF(INDIRECT("'SpxSp (step-d)'!$B" &amp; CK$72)=$Z174,INDIRECT("'SpxSp (step-d)'!$" &amp; 'SpxSp (step-d)'!$AD$16 &amp; CK$72),"")</f>
        <v/>
      </c>
      <c r="CL174" s="1317" t="str">
        <f ca="1">IF(INDIRECT("'SpxSp (step-d)'!$B" &amp; CL$72)=$Z174,INDIRECT("'SpxSp (step-d)'!$" &amp; 'SpxSp (step-d)'!$AD$16 &amp; CL$72),"")</f>
        <v/>
      </c>
      <c r="CM174" s="1317" t="str">
        <f ca="1">IF(INDIRECT("'SpxSp (step-d)'!$B" &amp; CM$72)=$Z174,INDIRECT("'SpxSp (step-d)'!$" &amp; 'SpxSp (step-d)'!$AD$16 &amp; CM$72),"")</f>
        <v/>
      </c>
      <c r="CN174" s="1317" t="str">
        <f ca="1">IF(INDIRECT("'SpxSp (step-d)'!$B" &amp; CN$72)=$Z174,INDIRECT("'SpxSp (step-d)'!$" &amp; 'SpxSp (step-d)'!$AD$16 &amp; CN$72),"")</f>
        <v/>
      </c>
      <c r="CO174" s="1317" t="str">
        <f ca="1">IF(INDIRECT("'SpxSp (step-d)'!$B" &amp; CO$72)=$Z174,INDIRECT("'SpxSp (step-d)'!$" &amp; 'SpxSp (step-d)'!$AD$16 &amp; CO$72),"")</f>
        <v/>
      </c>
      <c r="CP174" s="1317" t="str">
        <f ca="1">IF(INDIRECT("'SpxSp (step-d)'!$B" &amp; CP$72)=$Z174,INDIRECT("'SpxSp (step-d)'!$" &amp; 'SpxSp (step-d)'!$AD$16 &amp; CP$72),"")</f>
        <v/>
      </c>
      <c r="CQ174" s="1317" t="str">
        <f ca="1">IF(INDIRECT("'SpxSp (step-d)'!$B" &amp; CQ$72)=$Z174,INDIRECT("'SpxSp (step-d)'!$" &amp; 'SpxSp (step-d)'!$AD$16 &amp; CQ$72),"")</f>
        <v/>
      </c>
      <c r="CR174" s="1317" t="str">
        <f ca="1">IF(INDIRECT("'SpxSp (step-d)'!$B" &amp; CR$72)=$Z174,INDIRECT("'SpxSp (step-d)'!$" &amp; 'SpxSp (step-d)'!$AD$16 &amp; CR$72),"")</f>
        <v/>
      </c>
      <c r="CS174" s="1317" t="str">
        <f ca="1">IF(INDIRECT("'SpxSp (step-d)'!$B" &amp; CS$72)=$Z174,INDIRECT("'SpxSp (step-d)'!$" &amp; 'SpxSp (step-d)'!$AD$16 &amp; CS$72),"")</f>
        <v/>
      </c>
      <c r="CT174" s="1317" t="str">
        <f ca="1">IF(INDIRECT("'SpxSp (step-d)'!$B" &amp; CT$72)=$Z174,INDIRECT("'SpxSp (step-d)'!$" &amp; 'SpxSp (step-d)'!$AD$16 &amp; CT$72),"")</f>
        <v/>
      </c>
      <c r="CU174" s="1317" t="str">
        <f ca="1">IF(INDIRECT("'SpxSp (step-d)'!$B" &amp; CU$72)=$Z174,INDIRECT("'SpxSp (step-d)'!$" &amp; 'SpxSp (step-d)'!$AD$16 &amp; CU$72),"")</f>
        <v/>
      </c>
      <c r="CV174" s="1317" t="str">
        <f ca="1">IF(INDIRECT("'SpxSp (step-d)'!$B" &amp; CV$72)=$Z174,INDIRECT("'SpxSp (step-d)'!$" &amp; 'SpxSp (step-d)'!$AD$16 &amp; CV$72),"")</f>
        <v/>
      </c>
      <c r="CW174" s="1317" t="str">
        <f ca="1">IF(INDIRECT("'SpxSp (step-d)'!$B" &amp; CW$72)=$Z174,INDIRECT("'SpxSp (step-d)'!$" &amp; 'SpxSp (step-d)'!$AD$16 &amp; CW$72),"")</f>
        <v/>
      </c>
      <c r="CX174" s="1317" t="str">
        <f ca="1">IF(INDIRECT("'SpxSp (step-d)'!$B" &amp; CX$72)=$Z174,INDIRECT("'SpxSp (step-d)'!$" &amp; 'SpxSp (step-d)'!$AD$16 &amp; CX$72),"")</f>
        <v/>
      </c>
      <c r="CY174" s="1317" t="str">
        <f ca="1">IF(INDIRECT("'SpxSp (step-d)'!$B" &amp; CY$72)=$Z174,INDIRECT("'SpxSp (step-d)'!$" &amp; 'SpxSp (step-d)'!$AD$16 &amp; CY$72),"")</f>
        <v/>
      </c>
      <c r="CZ174" s="1317" t="str">
        <f ca="1">IF(INDIRECT("'SpxSp (step-d)'!$B" &amp; CZ$72)=$Z174,INDIRECT("'SpxSp (step-d)'!$" &amp; 'SpxSp (step-d)'!$AD$16 &amp; CZ$72),"")</f>
        <v/>
      </c>
      <c r="DA174" s="1317" t="str">
        <f ca="1">IF(INDIRECT("'SpxSp (step-d)'!$B" &amp; DA$72)=$Z174,INDIRECT("'SpxSp (step-d)'!$" &amp; 'SpxSp (step-d)'!$AD$16 &amp; DA$72),"")</f>
        <v/>
      </c>
      <c r="DB174" s="1317" t="str">
        <f ca="1">IF(INDIRECT("'SpxSp (step-d)'!$B" &amp; DB$72)=$Z174,INDIRECT("'SpxSp (step-d)'!$" &amp; 'SpxSp (step-d)'!$AD$16 &amp; DB$72),"")</f>
        <v/>
      </c>
      <c r="DC174" s="1317" t="str">
        <f ca="1">IF(INDIRECT("'SpxSp (step-d)'!$B" &amp; DC$72)=$Z174,INDIRECT("'SpxSp (step-d)'!$" &amp; 'SpxSp (step-d)'!$AD$16 &amp; DC$72),"")</f>
        <v/>
      </c>
      <c r="DD174" s="1317" t="str">
        <f ca="1">IF(INDIRECT("'SpxSp (step-d)'!$B" &amp; DD$72)=$Z174,INDIRECT("'SpxSp (step-d)'!$" &amp; 'SpxSp (step-d)'!$AD$16 &amp; DD$72),"")</f>
        <v/>
      </c>
      <c r="DE174" s="1317" t="str">
        <f ca="1">IF(INDIRECT("'SpxSp (step-d)'!$B" &amp; DE$72)=$Z174,INDIRECT("'SpxSp (step-d)'!$" &amp; 'SpxSp (step-d)'!$AD$16 &amp; DE$72),"")</f>
        <v/>
      </c>
      <c r="DF174" s="1317" t="str">
        <f ca="1">IF(INDIRECT("'SpxSp (step-d)'!$B" &amp; DF$72)=$Z174,INDIRECT("'SpxSp (step-d)'!$" &amp; 'SpxSp (step-d)'!$AD$16 &amp; DF$72),"")</f>
        <v/>
      </c>
      <c r="DG174" s="1317" t="str">
        <f ca="1">IF(INDIRECT("'SpxSp (step-d)'!$B" &amp; DG$72)=$Z174,INDIRECT("'SpxSp (step-d)'!$" &amp; 'SpxSp (step-d)'!$AD$16 &amp; DG$72),"")</f>
        <v/>
      </c>
      <c r="DH174" s="1317" t="str">
        <f ca="1">IF(INDIRECT("'SpxSp (step-d)'!$B" &amp; DH$72)=$Z174,INDIRECT("'SpxSp (step-d)'!$" &amp; 'SpxSp (step-d)'!$AD$16 &amp; DH$72),"")</f>
        <v/>
      </c>
      <c r="DI174" s="1317" t="str">
        <f ca="1">IF(INDIRECT("'SpxSp (step-d)'!$B" &amp; DI$72)=$Z174,INDIRECT("'SpxSp (step-d)'!$" &amp; 'SpxSp (step-d)'!$AD$16 &amp; DI$72),"")</f>
        <v/>
      </c>
      <c r="DJ174" s="1317" t="str">
        <f ca="1">IF(INDIRECT("'SpxSp (step-d)'!$B" &amp; DJ$72)=$Z174,INDIRECT("'SpxSp (step-d)'!$" &amp; 'SpxSp (step-d)'!$AD$16 &amp; DJ$72),"")</f>
        <v/>
      </c>
      <c r="DK174" s="1317" t="str">
        <f ca="1">IF(INDIRECT("'SpxSp (step-d)'!$B" &amp; DK$72)=$Z174,INDIRECT("'SpxSp (step-d)'!$" &amp; 'SpxSp (step-d)'!$AD$16 &amp; DK$72),"")</f>
        <v/>
      </c>
      <c r="DL174" s="1317" t="str">
        <f ca="1">IF(INDIRECT("'SpxSp (step-d)'!$B" &amp; DL$72)=$Z174,INDIRECT("'SpxSp (step-d)'!$" &amp; 'SpxSp (step-d)'!$AD$16 &amp; DL$72),"")</f>
        <v/>
      </c>
      <c r="DM174" s="1317" t="str">
        <f ca="1">IF(INDIRECT("'SpxSp (step-d)'!$B" &amp; DM$72)=$Z174,INDIRECT("'SpxSp (step-d)'!$" &amp; 'SpxSp (step-d)'!$AD$16 &amp; DM$72),"")</f>
        <v/>
      </c>
      <c r="DO174" s="1246" t="s">
        <v>1200</v>
      </c>
    </row>
    <row r="175" spans="26:119" ht="20" x14ac:dyDescent="0.2">
      <c r="Z175" s="1317" t="str">
        <f t="shared" ref="Z175:AA175" si="139">Z120</f>
        <v/>
      </c>
      <c r="AA175" s="1317" t="str">
        <f t="shared" si="139"/>
        <v/>
      </c>
      <c r="BM175" s="178" t="str">
        <f>IFERROR(VLOOKUP(Z175,'SpxSp (step-d)'!B$18:I$67,6,FALSE),"")</f>
        <v/>
      </c>
      <c r="BN175" s="178">
        <v>48</v>
      </c>
      <c r="BO175" s="1316" t="str">
        <f t="shared" ca="1" si="92"/>
        <v/>
      </c>
      <c r="BP175" s="1317" t="str">
        <f ca="1">IF(INDIRECT("'SpxSp (step-d)'!$B" &amp; BP$72)=$Z175,INDIRECT("'SpxSp (step-d)'!$" &amp; 'SpxSp (step-d)'!$AD$16 &amp; BP$72),"")</f>
        <v/>
      </c>
      <c r="BQ175" s="1317" t="str">
        <f ca="1">IF(INDIRECT("'SpxSp (step-d)'!$B" &amp; BQ$72)=$Z175,INDIRECT("'SpxSp (step-d)'!$" &amp; 'SpxSp (step-d)'!$AD$16 &amp; BQ$72),"")</f>
        <v/>
      </c>
      <c r="BR175" s="1317" t="str">
        <f ca="1">IF(INDIRECT("'SpxSp (step-d)'!$B" &amp; BR$72)=$Z175,INDIRECT("'SpxSp (step-d)'!$" &amp; 'SpxSp (step-d)'!$AD$16 &amp; BR$72),"")</f>
        <v/>
      </c>
      <c r="BS175" s="1317" t="str">
        <f ca="1">IF(INDIRECT("'SpxSp (step-d)'!$B" &amp; BS$72)=$Z175,INDIRECT("'SpxSp (step-d)'!$" &amp; 'SpxSp (step-d)'!$AD$16 &amp; BS$72),"")</f>
        <v/>
      </c>
      <c r="BT175" s="1317" t="str">
        <f ca="1">IF(INDIRECT("'SpxSp (step-d)'!$B" &amp; BT$72)=$Z175,INDIRECT("'SpxSp (step-d)'!$" &amp; 'SpxSp (step-d)'!$AD$16 &amp; BT$72),"")</f>
        <v/>
      </c>
      <c r="BU175" s="1317" t="str">
        <f ca="1">IF(INDIRECT("'SpxSp (step-d)'!$B" &amp; BU$72)=$Z175,INDIRECT("'SpxSp (step-d)'!$" &amp; 'SpxSp (step-d)'!$AD$16 &amp; BU$72),"")</f>
        <v/>
      </c>
      <c r="BV175" s="1317" t="str">
        <f ca="1">IF(INDIRECT("'SpxSp (step-d)'!$B" &amp; BV$72)=$Z175,INDIRECT("'SpxSp (step-d)'!$" &amp; 'SpxSp (step-d)'!$AD$16 &amp; BV$72),"")</f>
        <v/>
      </c>
      <c r="BW175" s="1317" t="str">
        <f ca="1">IF(INDIRECT("'SpxSp (step-d)'!$B" &amp; BW$72)=$Z175,INDIRECT("'SpxSp (step-d)'!$" &amp; 'SpxSp (step-d)'!$AD$16 &amp; BW$72),"")</f>
        <v/>
      </c>
      <c r="BX175" s="1317" t="str">
        <f ca="1">IF(INDIRECT("'SpxSp (step-d)'!$B" &amp; BX$72)=$Z175,INDIRECT("'SpxSp (step-d)'!$" &amp; 'SpxSp (step-d)'!$AD$16 &amp; BX$72),"")</f>
        <v/>
      </c>
      <c r="BY175" s="1317" t="str">
        <f ca="1">IF(INDIRECT("'SpxSp (step-d)'!$B" &amp; BY$72)=$Z175,INDIRECT("'SpxSp (step-d)'!$" &amp; 'SpxSp (step-d)'!$AD$16 &amp; BY$72),"")</f>
        <v/>
      </c>
      <c r="BZ175" s="1317" t="str">
        <f ca="1">IF(INDIRECT("'SpxSp (step-d)'!$B" &amp; BZ$72)=$Z175,INDIRECT("'SpxSp (step-d)'!$" &amp; 'SpxSp (step-d)'!$AD$16 &amp; BZ$72),"")</f>
        <v/>
      </c>
      <c r="CA175" s="1317" t="str">
        <f ca="1">IF(INDIRECT("'SpxSp (step-d)'!$B" &amp; CA$72)=$Z175,INDIRECT("'SpxSp (step-d)'!$" &amp; 'SpxSp (step-d)'!$AD$16 &amp; CA$72),"")</f>
        <v/>
      </c>
      <c r="CB175" s="1317" t="str">
        <f ca="1">IF(INDIRECT("'SpxSp (step-d)'!$B" &amp; CB$72)=$Z175,INDIRECT("'SpxSp (step-d)'!$" &amp; 'SpxSp (step-d)'!$AD$16 &amp; CB$72),"")</f>
        <v/>
      </c>
      <c r="CC175" s="1317" t="str">
        <f ca="1">IF(INDIRECT("'SpxSp (step-d)'!$B" &amp; CC$72)=$Z175,INDIRECT("'SpxSp (step-d)'!$" &amp; 'SpxSp (step-d)'!$AD$16 &amp; CC$72),"")</f>
        <v/>
      </c>
      <c r="CD175" s="1317" t="str">
        <f ca="1">IF(INDIRECT("'SpxSp (step-d)'!$B" &amp; CD$72)=$Z175,INDIRECT("'SpxSp (step-d)'!$" &amp; 'SpxSp (step-d)'!$AD$16 &amp; CD$72),"")</f>
        <v/>
      </c>
      <c r="CE175" s="1317" t="str">
        <f ca="1">IF(INDIRECT("'SpxSp (step-d)'!$B" &amp; CE$72)=$Z175,INDIRECT("'SpxSp (step-d)'!$" &amp; 'SpxSp (step-d)'!$AD$16 &amp; CE$72),"")</f>
        <v/>
      </c>
      <c r="CF175" s="1317" t="str">
        <f ca="1">IF(INDIRECT("'SpxSp (step-d)'!$B" &amp; CF$72)=$Z175,INDIRECT("'SpxSp (step-d)'!$" &amp; 'SpxSp (step-d)'!$AD$16 &amp; CF$72),"")</f>
        <v/>
      </c>
      <c r="CG175" s="1317" t="str">
        <f ca="1">IF(INDIRECT("'SpxSp (step-d)'!$B" &amp; CG$72)=$Z175,INDIRECT("'SpxSp (step-d)'!$" &amp; 'SpxSp (step-d)'!$AD$16 &amp; CG$72),"")</f>
        <v/>
      </c>
      <c r="CH175" s="1317" t="str">
        <f ca="1">IF(INDIRECT("'SpxSp (step-d)'!$B" &amp; CH$72)=$Z175,INDIRECT("'SpxSp (step-d)'!$" &amp; 'SpxSp (step-d)'!$AD$16 &amp; CH$72),"")</f>
        <v/>
      </c>
      <c r="CI175" s="1317" t="str">
        <f ca="1">IF(INDIRECT("'SpxSp (step-d)'!$B" &amp; CI$72)=$Z175,INDIRECT("'SpxSp (step-d)'!$" &amp; 'SpxSp (step-d)'!$AD$16 &amp; CI$72),"")</f>
        <v/>
      </c>
      <c r="CJ175" s="1317" t="str">
        <f ca="1">IF(INDIRECT("'SpxSp (step-d)'!$B" &amp; CJ$72)=$Z175,INDIRECT("'SpxSp (step-d)'!$" &amp; 'SpxSp (step-d)'!$AD$16 &amp; CJ$72),"")</f>
        <v/>
      </c>
      <c r="CK175" s="1317" t="str">
        <f ca="1">IF(INDIRECT("'SpxSp (step-d)'!$B" &amp; CK$72)=$Z175,INDIRECT("'SpxSp (step-d)'!$" &amp; 'SpxSp (step-d)'!$AD$16 &amp; CK$72),"")</f>
        <v/>
      </c>
      <c r="CL175" s="1317" t="str">
        <f ca="1">IF(INDIRECT("'SpxSp (step-d)'!$B" &amp; CL$72)=$Z175,INDIRECT("'SpxSp (step-d)'!$" &amp; 'SpxSp (step-d)'!$AD$16 &amp; CL$72),"")</f>
        <v/>
      </c>
      <c r="CM175" s="1317" t="str">
        <f ca="1">IF(INDIRECT("'SpxSp (step-d)'!$B" &amp; CM$72)=$Z175,INDIRECT("'SpxSp (step-d)'!$" &amp; 'SpxSp (step-d)'!$AD$16 &amp; CM$72),"")</f>
        <v/>
      </c>
      <c r="CN175" s="1317" t="str">
        <f ca="1">IF(INDIRECT("'SpxSp (step-d)'!$B" &amp; CN$72)=$Z175,INDIRECT("'SpxSp (step-d)'!$" &amp; 'SpxSp (step-d)'!$AD$16 &amp; CN$72),"")</f>
        <v/>
      </c>
      <c r="CO175" s="1317" t="str">
        <f ca="1">IF(INDIRECT("'SpxSp (step-d)'!$B" &amp; CO$72)=$Z175,INDIRECT("'SpxSp (step-d)'!$" &amp; 'SpxSp (step-d)'!$AD$16 &amp; CO$72),"")</f>
        <v/>
      </c>
      <c r="CP175" s="1317" t="str">
        <f ca="1">IF(INDIRECT("'SpxSp (step-d)'!$B" &amp; CP$72)=$Z175,INDIRECT("'SpxSp (step-d)'!$" &amp; 'SpxSp (step-d)'!$AD$16 &amp; CP$72),"")</f>
        <v/>
      </c>
      <c r="CQ175" s="1317" t="str">
        <f ca="1">IF(INDIRECT("'SpxSp (step-d)'!$B" &amp; CQ$72)=$Z175,INDIRECT("'SpxSp (step-d)'!$" &amp; 'SpxSp (step-d)'!$AD$16 &amp; CQ$72),"")</f>
        <v/>
      </c>
      <c r="CR175" s="1317" t="str">
        <f ca="1">IF(INDIRECT("'SpxSp (step-d)'!$B" &amp; CR$72)=$Z175,INDIRECT("'SpxSp (step-d)'!$" &amp; 'SpxSp (step-d)'!$AD$16 &amp; CR$72),"")</f>
        <v/>
      </c>
      <c r="CS175" s="1317" t="str">
        <f ca="1">IF(INDIRECT("'SpxSp (step-d)'!$B" &amp; CS$72)=$Z175,INDIRECT("'SpxSp (step-d)'!$" &amp; 'SpxSp (step-d)'!$AD$16 &amp; CS$72),"")</f>
        <v/>
      </c>
      <c r="CT175" s="1317" t="str">
        <f ca="1">IF(INDIRECT("'SpxSp (step-d)'!$B" &amp; CT$72)=$Z175,INDIRECT("'SpxSp (step-d)'!$" &amp; 'SpxSp (step-d)'!$AD$16 &amp; CT$72),"")</f>
        <v/>
      </c>
      <c r="CU175" s="1317" t="str">
        <f ca="1">IF(INDIRECT("'SpxSp (step-d)'!$B" &amp; CU$72)=$Z175,INDIRECT("'SpxSp (step-d)'!$" &amp; 'SpxSp (step-d)'!$AD$16 &amp; CU$72),"")</f>
        <v/>
      </c>
      <c r="CV175" s="1317" t="str">
        <f ca="1">IF(INDIRECT("'SpxSp (step-d)'!$B" &amp; CV$72)=$Z175,INDIRECT("'SpxSp (step-d)'!$" &amp; 'SpxSp (step-d)'!$AD$16 &amp; CV$72),"")</f>
        <v/>
      </c>
      <c r="CW175" s="1317" t="str">
        <f ca="1">IF(INDIRECT("'SpxSp (step-d)'!$B" &amp; CW$72)=$Z175,INDIRECT("'SpxSp (step-d)'!$" &amp; 'SpxSp (step-d)'!$AD$16 &amp; CW$72),"")</f>
        <v/>
      </c>
      <c r="CX175" s="1317" t="str">
        <f ca="1">IF(INDIRECT("'SpxSp (step-d)'!$B" &amp; CX$72)=$Z175,INDIRECT("'SpxSp (step-d)'!$" &amp; 'SpxSp (step-d)'!$AD$16 &amp; CX$72),"")</f>
        <v/>
      </c>
      <c r="CY175" s="1317" t="str">
        <f ca="1">IF(INDIRECT("'SpxSp (step-d)'!$B" &amp; CY$72)=$Z175,INDIRECT("'SpxSp (step-d)'!$" &amp; 'SpxSp (step-d)'!$AD$16 &amp; CY$72),"")</f>
        <v/>
      </c>
      <c r="CZ175" s="1317" t="str">
        <f ca="1">IF(INDIRECT("'SpxSp (step-d)'!$B" &amp; CZ$72)=$Z175,INDIRECT("'SpxSp (step-d)'!$" &amp; 'SpxSp (step-d)'!$AD$16 &amp; CZ$72),"")</f>
        <v/>
      </c>
      <c r="DA175" s="1317" t="str">
        <f ca="1">IF(INDIRECT("'SpxSp (step-d)'!$B" &amp; DA$72)=$Z175,INDIRECT("'SpxSp (step-d)'!$" &amp; 'SpxSp (step-d)'!$AD$16 &amp; DA$72),"")</f>
        <v/>
      </c>
      <c r="DB175" s="1317" t="str">
        <f ca="1">IF(INDIRECT("'SpxSp (step-d)'!$B" &amp; DB$72)=$Z175,INDIRECT("'SpxSp (step-d)'!$" &amp; 'SpxSp (step-d)'!$AD$16 &amp; DB$72),"")</f>
        <v/>
      </c>
      <c r="DC175" s="1317" t="str">
        <f ca="1">IF(INDIRECT("'SpxSp (step-d)'!$B" &amp; DC$72)=$Z175,INDIRECT("'SpxSp (step-d)'!$" &amp; 'SpxSp (step-d)'!$AD$16 &amp; DC$72),"")</f>
        <v/>
      </c>
      <c r="DD175" s="1317" t="str">
        <f ca="1">IF(INDIRECT("'SpxSp (step-d)'!$B" &amp; DD$72)=$Z175,INDIRECT("'SpxSp (step-d)'!$" &amp; 'SpxSp (step-d)'!$AD$16 &amp; DD$72),"")</f>
        <v/>
      </c>
      <c r="DE175" s="1317" t="str">
        <f ca="1">IF(INDIRECT("'SpxSp (step-d)'!$B" &amp; DE$72)=$Z175,INDIRECT("'SpxSp (step-d)'!$" &amp; 'SpxSp (step-d)'!$AD$16 &amp; DE$72),"")</f>
        <v/>
      </c>
      <c r="DF175" s="1317" t="str">
        <f ca="1">IF(INDIRECT("'SpxSp (step-d)'!$B" &amp; DF$72)=$Z175,INDIRECT("'SpxSp (step-d)'!$" &amp; 'SpxSp (step-d)'!$AD$16 &amp; DF$72),"")</f>
        <v/>
      </c>
      <c r="DG175" s="1317" t="str">
        <f ca="1">IF(INDIRECT("'SpxSp (step-d)'!$B" &amp; DG$72)=$Z175,INDIRECT("'SpxSp (step-d)'!$" &amp; 'SpxSp (step-d)'!$AD$16 &amp; DG$72),"")</f>
        <v/>
      </c>
      <c r="DH175" s="1317" t="str">
        <f ca="1">IF(INDIRECT("'SpxSp (step-d)'!$B" &amp; DH$72)=$Z175,INDIRECT("'SpxSp (step-d)'!$" &amp; 'SpxSp (step-d)'!$AD$16 &amp; DH$72),"")</f>
        <v/>
      </c>
      <c r="DI175" s="1317" t="str">
        <f ca="1">IF(INDIRECT("'SpxSp (step-d)'!$B" &amp; DI$72)=$Z175,INDIRECT("'SpxSp (step-d)'!$" &amp; 'SpxSp (step-d)'!$AD$16 &amp; DI$72),"")</f>
        <v/>
      </c>
      <c r="DJ175" s="1317" t="str">
        <f ca="1">IF(INDIRECT("'SpxSp (step-d)'!$B" &amp; DJ$72)=$Z175,INDIRECT("'SpxSp (step-d)'!$" &amp; 'SpxSp (step-d)'!$AD$16 &amp; DJ$72),"")</f>
        <v/>
      </c>
      <c r="DK175" s="1317" t="str">
        <f ca="1">IF(INDIRECT("'SpxSp (step-d)'!$B" &amp; DK$72)=$Z175,INDIRECT("'SpxSp (step-d)'!$" &amp; 'SpxSp (step-d)'!$AD$16 &amp; DK$72),"")</f>
        <v/>
      </c>
      <c r="DL175" s="1317" t="str">
        <f ca="1">IF(INDIRECT("'SpxSp (step-d)'!$B" &amp; DL$72)=$Z175,INDIRECT("'SpxSp (step-d)'!$" &amp; 'SpxSp (step-d)'!$AD$16 &amp; DL$72),"")</f>
        <v/>
      </c>
      <c r="DM175" s="1317" t="str">
        <f ca="1">IF(INDIRECT("'SpxSp (step-d)'!$B" &amp; DM$72)=$Z175,INDIRECT("'SpxSp (step-d)'!$" &amp; 'SpxSp (step-d)'!$AD$16 &amp; DM$72),"")</f>
        <v/>
      </c>
      <c r="DO175" s="1246" t="s">
        <v>1200</v>
      </c>
    </row>
    <row r="176" spans="26:119" ht="20" x14ac:dyDescent="0.2">
      <c r="Z176" s="1317" t="str">
        <f t="shared" ref="Z176:AA176" si="140">Z121</f>
        <v/>
      </c>
      <c r="AA176" s="1317" t="str">
        <f t="shared" si="140"/>
        <v/>
      </c>
      <c r="BM176" s="178" t="str">
        <f>IFERROR(VLOOKUP(Z176,'SpxSp (step-d)'!B$18:I$67,6,FALSE),"")</f>
        <v/>
      </c>
      <c r="BN176" s="178">
        <v>49</v>
      </c>
      <c r="BO176" s="1316" t="str">
        <f t="shared" ca="1" si="92"/>
        <v/>
      </c>
      <c r="BP176" s="1317" t="str">
        <f ca="1">IF(INDIRECT("'SpxSp (step-d)'!$B" &amp; BP$72)=$Z176,INDIRECT("'SpxSp (step-d)'!$" &amp; 'SpxSp (step-d)'!$AD$16 &amp; BP$72),"")</f>
        <v/>
      </c>
      <c r="BQ176" s="1317" t="str">
        <f ca="1">IF(INDIRECT("'SpxSp (step-d)'!$B" &amp; BQ$72)=$Z176,INDIRECT("'SpxSp (step-d)'!$" &amp; 'SpxSp (step-d)'!$AD$16 &amp; BQ$72),"")</f>
        <v/>
      </c>
      <c r="BR176" s="1317" t="str">
        <f ca="1">IF(INDIRECT("'SpxSp (step-d)'!$B" &amp; BR$72)=$Z176,INDIRECT("'SpxSp (step-d)'!$" &amp; 'SpxSp (step-d)'!$AD$16 &amp; BR$72),"")</f>
        <v/>
      </c>
      <c r="BS176" s="1317" t="str">
        <f ca="1">IF(INDIRECT("'SpxSp (step-d)'!$B" &amp; BS$72)=$Z176,INDIRECT("'SpxSp (step-d)'!$" &amp; 'SpxSp (step-d)'!$AD$16 &amp; BS$72),"")</f>
        <v/>
      </c>
      <c r="BT176" s="1317" t="str">
        <f ca="1">IF(INDIRECT("'SpxSp (step-d)'!$B" &amp; BT$72)=$Z176,INDIRECT("'SpxSp (step-d)'!$" &amp; 'SpxSp (step-d)'!$AD$16 &amp; BT$72),"")</f>
        <v/>
      </c>
      <c r="BU176" s="1317" t="str">
        <f ca="1">IF(INDIRECT("'SpxSp (step-d)'!$B" &amp; BU$72)=$Z176,INDIRECT("'SpxSp (step-d)'!$" &amp; 'SpxSp (step-d)'!$AD$16 &amp; BU$72),"")</f>
        <v/>
      </c>
      <c r="BV176" s="1317" t="str">
        <f ca="1">IF(INDIRECT("'SpxSp (step-d)'!$B" &amp; BV$72)=$Z176,INDIRECT("'SpxSp (step-d)'!$" &amp; 'SpxSp (step-d)'!$AD$16 &amp; BV$72),"")</f>
        <v/>
      </c>
      <c r="BW176" s="1317" t="str">
        <f ca="1">IF(INDIRECT("'SpxSp (step-d)'!$B" &amp; BW$72)=$Z176,INDIRECT("'SpxSp (step-d)'!$" &amp; 'SpxSp (step-d)'!$AD$16 &amp; BW$72),"")</f>
        <v/>
      </c>
      <c r="BX176" s="1317" t="str">
        <f ca="1">IF(INDIRECT("'SpxSp (step-d)'!$B" &amp; BX$72)=$Z176,INDIRECT("'SpxSp (step-d)'!$" &amp; 'SpxSp (step-d)'!$AD$16 &amp; BX$72),"")</f>
        <v/>
      </c>
      <c r="BY176" s="1317" t="str">
        <f ca="1">IF(INDIRECT("'SpxSp (step-d)'!$B" &amp; BY$72)=$Z176,INDIRECT("'SpxSp (step-d)'!$" &amp; 'SpxSp (step-d)'!$AD$16 &amp; BY$72),"")</f>
        <v/>
      </c>
      <c r="BZ176" s="1317" t="str">
        <f ca="1">IF(INDIRECT("'SpxSp (step-d)'!$B" &amp; BZ$72)=$Z176,INDIRECT("'SpxSp (step-d)'!$" &amp; 'SpxSp (step-d)'!$AD$16 &amp; BZ$72),"")</f>
        <v/>
      </c>
      <c r="CA176" s="1317" t="str">
        <f ca="1">IF(INDIRECT("'SpxSp (step-d)'!$B" &amp; CA$72)=$Z176,INDIRECT("'SpxSp (step-d)'!$" &amp; 'SpxSp (step-d)'!$AD$16 &amp; CA$72),"")</f>
        <v/>
      </c>
      <c r="CB176" s="1317" t="str">
        <f ca="1">IF(INDIRECT("'SpxSp (step-d)'!$B" &amp; CB$72)=$Z176,INDIRECT("'SpxSp (step-d)'!$" &amp; 'SpxSp (step-d)'!$AD$16 &amp; CB$72),"")</f>
        <v/>
      </c>
      <c r="CC176" s="1317" t="str">
        <f ca="1">IF(INDIRECT("'SpxSp (step-d)'!$B" &amp; CC$72)=$Z176,INDIRECT("'SpxSp (step-d)'!$" &amp; 'SpxSp (step-d)'!$AD$16 &amp; CC$72),"")</f>
        <v/>
      </c>
      <c r="CD176" s="1317" t="str">
        <f ca="1">IF(INDIRECT("'SpxSp (step-d)'!$B" &amp; CD$72)=$Z176,INDIRECT("'SpxSp (step-d)'!$" &amp; 'SpxSp (step-d)'!$AD$16 &amp; CD$72),"")</f>
        <v/>
      </c>
      <c r="CE176" s="1317" t="str">
        <f ca="1">IF(INDIRECT("'SpxSp (step-d)'!$B" &amp; CE$72)=$Z176,INDIRECT("'SpxSp (step-d)'!$" &amp; 'SpxSp (step-d)'!$AD$16 &amp; CE$72),"")</f>
        <v/>
      </c>
      <c r="CF176" s="1317" t="str">
        <f ca="1">IF(INDIRECT("'SpxSp (step-d)'!$B" &amp; CF$72)=$Z176,INDIRECT("'SpxSp (step-d)'!$" &amp; 'SpxSp (step-d)'!$AD$16 &amp; CF$72),"")</f>
        <v/>
      </c>
      <c r="CG176" s="1317" t="str">
        <f ca="1">IF(INDIRECT("'SpxSp (step-d)'!$B" &amp; CG$72)=$Z176,INDIRECT("'SpxSp (step-d)'!$" &amp; 'SpxSp (step-d)'!$AD$16 &amp; CG$72),"")</f>
        <v/>
      </c>
      <c r="CH176" s="1317" t="str">
        <f ca="1">IF(INDIRECT("'SpxSp (step-d)'!$B" &amp; CH$72)=$Z176,INDIRECT("'SpxSp (step-d)'!$" &amp; 'SpxSp (step-d)'!$AD$16 &amp; CH$72),"")</f>
        <v/>
      </c>
      <c r="CI176" s="1317" t="str">
        <f ca="1">IF(INDIRECT("'SpxSp (step-d)'!$B" &amp; CI$72)=$Z176,INDIRECT("'SpxSp (step-d)'!$" &amp; 'SpxSp (step-d)'!$AD$16 &amp; CI$72),"")</f>
        <v/>
      </c>
      <c r="CJ176" s="1317" t="str">
        <f ca="1">IF(INDIRECT("'SpxSp (step-d)'!$B" &amp; CJ$72)=$Z176,INDIRECT("'SpxSp (step-d)'!$" &amp; 'SpxSp (step-d)'!$AD$16 &amp; CJ$72),"")</f>
        <v/>
      </c>
      <c r="CK176" s="1317" t="str">
        <f ca="1">IF(INDIRECT("'SpxSp (step-d)'!$B" &amp; CK$72)=$Z176,INDIRECT("'SpxSp (step-d)'!$" &amp; 'SpxSp (step-d)'!$AD$16 &amp; CK$72),"")</f>
        <v/>
      </c>
      <c r="CL176" s="1317" t="str">
        <f ca="1">IF(INDIRECT("'SpxSp (step-d)'!$B" &amp; CL$72)=$Z176,INDIRECT("'SpxSp (step-d)'!$" &amp; 'SpxSp (step-d)'!$AD$16 &amp; CL$72),"")</f>
        <v/>
      </c>
      <c r="CM176" s="1317" t="str">
        <f ca="1">IF(INDIRECT("'SpxSp (step-d)'!$B" &amp; CM$72)=$Z176,INDIRECT("'SpxSp (step-d)'!$" &amp; 'SpxSp (step-d)'!$AD$16 &amp; CM$72),"")</f>
        <v/>
      </c>
      <c r="CN176" s="1317" t="str">
        <f ca="1">IF(INDIRECT("'SpxSp (step-d)'!$B" &amp; CN$72)=$Z176,INDIRECT("'SpxSp (step-d)'!$" &amp; 'SpxSp (step-d)'!$AD$16 &amp; CN$72),"")</f>
        <v/>
      </c>
      <c r="CO176" s="1317" t="str">
        <f ca="1">IF(INDIRECT("'SpxSp (step-d)'!$B" &amp; CO$72)=$Z176,INDIRECT("'SpxSp (step-d)'!$" &amp; 'SpxSp (step-d)'!$AD$16 &amp; CO$72),"")</f>
        <v/>
      </c>
      <c r="CP176" s="1317" t="str">
        <f ca="1">IF(INDIRECT("'SpxSp (step-d)'!$B" &amp; CP$72)=$Z176,INDIRECT("'SpxSp (step-d)'!$" &amp; 'SpxSp (step-d)'!$AD$16 &amp; CP$72),"")</f>
        <v/>
      </c>
      <c r="CQ176" s="1317" t="str">
        <f ca="1">IF(INDIRECT("'SpxSp (step-d)'!$B" &amp; CQ$72)=$Z176,INDIRECT("'SpxSp (step-d)'!$" &amp; 'SpxSp (step-d)'!$AD$16 &amp; CQ$72),"")</f>
        <v/>
      </c>
      <c r="CR176" s="1317" t="str">
        <f ca="1">IF(INDIRECT("'SpxSp (step-d)'!$B" &amp; CR$72)=$Z176,INDIRECT("'SpxSp (step-d)'!$" &amp; 'SpxSp (step-d)'!$AD$16 &amp; CR$72),"")</f>
        <v/>
      </c>
      <c r="CS176" s="1317" t="str">
        <f ca="1">IF(INDIRECT("'SpxSp (step-d)'!$B" &amp; CS$72)=$Z176,INDIRECT("'SpxSp (step-d)'!$" &amp; 'SpxSp (step-d)'!$AD$16 &amp; CS$72),"")</f>
        <v/>
      </c>
      <c r="CT176" s="1317" t="str">
        <f ca="1">IF(INDIRECT("'SpxSp (step-d)'!$B" &amp; CT$72)=$Z176,INDIRECT("'SpxSp (step-d)'!$" &amp; 'SpxSp (step-d)'!$AD$16 &amp; CT$72),"")</f>
        <v/>
      </c>
      <c r="CU176" s="1317" t="str">
        <f ca="1">IF(INDIRECT("'SpxSp (step-d)'!$B" &amp; CU$72)=$Z176,INDIRECT("'SpxSp (step-d)'!$" &amp; 'SpxSp (step-d)'!$AD$16 &amp; CU$72),"")</f>
        <v/>
      </c>
      <c r="CV176" s="1317" t="str">
        <f ca="1">IF(INDIRECT("'SpxSp (step-d)'!$B" &amp; CV$72)=$Z176,INDIRECT("'SpxSp (step-d)'!$" &amp; 'SpxSp (step-d)'!$AD$16 &amp; CV$72),"")</f>
        <v/>
      </c>
      <c r="CW176" s="1317" t="str">
        <f ca="1">IF(INDIRECT("'SpxSp (step-d)'!$B" &amp; CW$72)=$Z176,INDIRECT("'SpxSp (step-d)'!$" &amp; 'SpxSp (step-d)'!$AD$16 &amp; CW$72),"")</f>
        <v/>
      </c>
      <c r="CX176" s="1317" t="str">
        <f ca="1">IF(INDIRECT("'SpxSp (step-d)'!$B" &amp; CX$72)=$Z176,INDIRECT("'SpxSp (step-d)'!$" &amp; 'SpxSp (step-d)'!$AD$16 &amp; CX$72),"")</f>
        <v/>
      </c>
      <c r="CY176" s="1317" t="str">
        <f ca="1">IF(INDIRECT("'SpxSp (step-d)'!$B" &amp; CY$72)=$Z176,INDIRECT("'SpxSp (step-d)'!$" &amp; 'SpxSp (step-d)'!$AD$16 &amp; CY$72),"")</f>
        <v/>
      </c>
      <c r="CZ176" s="1317" t="str">
        <f ca="1">IF(INDIRECT("'SpxSp (step-d)'!$B" &amp; CZ$72)=$Z176,INDIRECT("'SpxSp (step-d)'!$" &amp; 'SpxSp (step-d)'!$AD$16 &amp; CZ$72),"")</f>
        <v/>
      </c>
      <c r="DA176" s="1317" t="str">
        <f ca="1">IF(INDIRECT("'SpxSp (step-d)'!$B" &amp; DA$72)=$Z176,INDIRECT("'SpxSp (step-d)'!$" &amp; 'SpxSp (step-d)'!$AD$16 &amp; DA$72),"")</f>
        <v/>
      </c>
      <c r="DB176" s="1317" t="str">
        <f ca="1">IF(INDIRECT("'SpxSp (step-d)'!$B" &amp; DB$72)=$Z176,INDIRECT("'SpxSp (step-d)'!$" &amp; 'SpxSp (step-d)'!$AD$16 &amp; DB$72),"")</f>
        <v/>
      </c>
      <c r="DC176" s="1317" t="str">
        <f ca="1">IF(INDIRECT("'SpxSp (step-d)'!$B" &amp; DC$72)=$Z176,INDIRECT("'SpxSp (step-d)'!$" &amp; 'SpxSp (step-d)'!$AD$16 &amp; DC$72),"")</f>
        <v/>
      </c>
      <c r="DD176" s="1317" t="str">
        <f ca="1">IF(INDIRECT("'SpxSp (step-d)'!$B" &amp; DD$72)=$Z176,INDIRECT("'SpxSp (step-d)'!$" &amp; 'SpxSp (step-d)'!$AD$16 &amp; DD$72),"")</f>
        <v/>
      </c>
      <c r="DE176" s="1317" t="str">
        <f ca="1">IF(INDIRECT("'SpxSp (step-d)'!$B" &amp; DE$72)=$Z176,INDIRECT("'SpxSp (step-d)'!$" &amp; 'SpxSp (step-d)'!$AD$16 &amp; DE$72),"")</f>
        <v/>
      </c>
      <c r="DF176" s="1317" t="str">
        <f ca="1">IF(INDIRECT("'SpxSp (step-d)'!$B" &amp; DF$72)=$Z176,INDIRECT("'SpxSp (step-d)'!$" &amp; 'SpxSp (step-d)'!$AD$16 &amp; DF$72),"")</f>
        <v/>
      </c>
      <c r="DG176" s="1317" t="str">
        <f ca="1">IF(INDIRECT("'SpxSp (step-d)'!$B" &amp; DG$72)=$Z176,INDIRECT("'SpxSp (step-d)'!$" &amp; 'SpxSp (step-d)'!$AD$16 &amp; DG$72),"")</f>
        <v/>
      </c>
      <c r="DH176" s="1317" t="str">
        <f ca="1">IF(INDIRECT("'SpxSp (step-d)'!$B" &amp; DH$72)=$Z176,INDIRECT("'SpxSp (step-d)'!$" &amp; 'SpxSp (step-d)'!$AD$16 &amp; DH$72),"")</f>
        <v/>
      </c>
      <c r="DI176" s="1317" t="str">
        <f ca="1">IF(INDIRECT("'SpxSp (step-d)'!$B" &amp; DI$72)=$Z176,INDIRECT("'SpxSp (step-d)'!$" &amp; 'SpxSp (step-d)'!$AD$16 &amp; DI$72),"")</f>
        <v/>
      </c>
      <c r="DJ176" s="1317" t="str">
        <f ca="1">IF(INDIRECT("'SpxSp (step-d)'!$B" &amp; DJ$72)=$Z176,INDIRECT("'SpxSp (step-d)'!$" &amp; 'SpxSp (step-d)'!$AD$16 &amp; DJ$72),"")</f>
        <v/>
      </c>
      <c r="DK176" s="1317" t="str">
        <f ca="1">IF(INDIRECT("'SpxSp (step-d)'!$B" &amp; DK$72)=$Z176,INDIRECT("'SpxSp (step-d)'!$" &amp; 'SpxSp (step-d)'!$AD$16 &amp; DK$72),"")</f>
        <v/>
      </c>
      <c r="DL176" s="1317" t="str">
        <f ca="1">IF(INDIRECT("'SpxSp (step-d)'!$B" &amp; DL$72)=$Z176,INDIRECT("'SpxSp (step-d)'!$" &amp; 'SpxSp (step-d)'!$AD$16 &amp; DL$72),"")</f>
        <v/>
      </c>
      <c r="DM176" s="1317" t="str">
        <f ca="1">IF(INDIRECT("'SpxSp (step-d)'!$B" &amp; DM$72)=$Z176,INDIRECT("'SpxSp (step-d)'!$" &amp; 'SpxSp (step-d)'!$AD$16 &amp; DM$72),"")</f>
        <v/>
      </c>
      <c r="DO176" s="1246" t="s">
        <v>1200</v>
      </c>
    </row>
    <row r="177" spans="26:119" ht="20" x14ac:dyDescent="0.2">
      <c r="Z177" s="1317" t="str">
        <f t="shared" ref="Z177:AA177" si="141">Z122</f>
        <v/>
      </c>
      <c r="AA177" s="1317" t="str">
        <f t="shared" si="141"/>
        <v/>
      </c>
      <c r="BM177" s="178" t="str">
        <f>IFERROR(VLOOKUP(Z177,'SpxSp (step-d)'!B$18:I$67,6,FALSE),"")</f>
        <v/>
      </c>
      <c r="BN177" s="178">
        <v>50</v>
      </c>
      <c r="BO177" s="1316" t="str">
        <f t="shared" ca="1" si="92"/>
        <v/>
      </c>
      <c r="BP177" s="1317" t="str">
        <f ca="1">IF(INDIRECT("'SpxSp (step-d)'!$B" &amp; BP$72)=$Z177,INDIRECT("'SpxSp (step-d)'!$" &amp; 'SpxSp (step-d)'!$AD$16 &amp; BP$72),"")</f>
        <v/>
      </c>
      <c r="BQ177" s="1317" t="str">
        <f ca="1">IF(INDIRECT("'SpxSp (step-d)'!$B" &amp; BQ$72)=$Z177,INDIRECT("'SpxSp (step-d)'!$" &amp; 'SpxSp (step-d)'!$AD$16 &amp; BQ$72),"")</f>
        <v/>
      </c>
      <c r="BR177" s="1317" t="str">
        <f ca="1">IF(INDIRECT("'SpxSp (step-d)'!$B" &amp; BR$72)=$Z177,INDIRECT("'SpxSp (step-d)'!$" &amp; 'SpxSp (step-d)'!$AD$16 &amp; BR$72),"")</f>
        <v/>
      </c>
      <c r="BS177" s="1317" t="str">
        <f ca="1">IF(INDIRECT("'SpxSp (step-d)'!$B" &amp; BS$72)=$Z177,INDIRECT("'SpxSp (step-d)'!$" &amp; 'SpxSp (step-d)'!$AD$16 &amp; BS$72),"")</f>
        <v/>
      </c>
      <c r="BT177" s="1317" t="str">
        <f ca="1">IF(INDIRECT("'SpxSp (step-d)'!$B" &amp; BT$72)=$Z177,INDIRECT("'SpxSp (step-d)'!$" &amp; 'SpxSp (step-d)'!$AD$16 &amp; BT$72),"")</f>
        <v/>
      </c>
      <c r="BU177" s="1317" t="str">
        <f ca="1">IF(INDIRECT("'SpxSp (step-d)'!$B" &amp; BU$72)=$Z177,INDIRECT("'SpxSp (step-d)'!$" &amp; 'SpxSp (step-d)'!$AD$16 &amp; BU$72),"")</f>
        <v/>
      </c>
      <c r="BV177" s="1317" t="str">
        <f ca="1">IF(INDIRECT("'SpxSp (step-d)'!$B" &amp; BV$72)=$Z177,INDIRECT("'SpxSp (step-d)'!$" &amp; 'SpxSp (step-d)'!$AD$16 &amp; BV$72),"")</f>
        <v/>
      </c>
      <c r="BW177" s="1317" t="str">
        <f ca="1">IF(INDIRECT("'SpxSp (step-d)'!$B" &amp; BW$72)=$Z177,INDIRECT("'SpxSp (step-d)'!$" &amp; 'SpxSp (step-d)'!$AD$16 &amp; BW$72),"")</f>
        <v/>
      </c>
      <c r="BX177" s="1317" t="str">
        <f ca="1">IF(INDIRECT("'SpxSp (step-d)'!$B" &amp; BX$72)=$Z177,INDIRECT("'SpxSp (step-d)'!$" &amp; 'SpxSp (step-d)'!$AD$16 &amp; BX$72),"")</f>
        <v/>
      </c>
      <c r="BY177" s="1317" t="str">
        <f ca="1">IF(INDIRECT("'SpxSp (step-d)'!$B" &amp; BY$72)=$Z177,INDIRECT("'SpxSp (step-d)'!$" &amp; 'SpxSp (step-d)'!$AD$16 &amp; BY$72),"")</f>
        <v/>
      </c>
      <c r="BZ177" s="1317" t="str">
        <f ca="1">IF(INDIRECT("'SpxSp (step-d)'!$B" &amp; BZ$72)=$Z177,INDIRECT("'SpxSp (step-d)'!$" &amp; 'SpxSp (step-d)'!$AD$16 &amp; BZ$72),"")</f>
        <v/>
      </c>
      <c r="CA177" s="1317" t="str">
        <f ca="1">IF(INDIRECT("'SpxSp (step-d)'!$B" &amp; CA$72)=$Z177,INDIRECT("'SpxSp (step-d)'!$" &amp; 'SpxSp (step-d)'!$AD$16 &amp; CA$72),"")</f>
        <v/>
      </c>
      <c r="CB177" s="1317" t="str">
        <f ca="1">IF(INDIRECT("'SpxSp (step-d)'!$B" &amp; CB$72)=$Z177,INDIRECT("'SpxSp (step-d)'!$" &amp; 'SpxSp (step-d)'!$AD$16 &amp; CB$72),"")</f>
        <v/>
      </c>
      <c r="CC177" s="1317" t="str">
        <f ca="1">IF(INDIRECT("'SpxSp (step-d)'!$B" &amp; CC$72)=$Z177,INDIRECT("'SpxSp (step-d)'!$" &amp; 'SpxSp (step-d)'!$AD$16 &amp; CC$72),"")</f>
        <v/>
      </c>
      <c r="CD177" s="1317" t="str">
        <f ca="1">IF(INDIRECT("'SpxSp (step-d)'!$B" &amp; CD$72)=$Z177,INDIRECT("'SpxSp (step-d)'!$" &amp; 'SpxSp (step-d)'!$AD$16 &amp; CD$72),"")</f>
        <v/>
      </c>
      <c r="CE177" s="1317" t="str">
        <f ca="1">IF(INDIRECT("'SpxSp (step-d)'!$B" &amp; CE$72)=$Z177,INDIRECT("'SpxSp (step-d)'!$" &amp; 'SpxSp (step-d)'!$AD$16 &amp; CE$72),"")</f>
        <v/>
      </c>
      <c r="CF177" s="1317" t="str">
        <f ca="1">IF(INDIRECT("'SpxSp (step-d)'!$B" &amp; CF$72)=$Z177,INDIRECT("'SpxSp (step-d)'!$" &amp; 'SpxSp (step-d)'!$AD$16 &amp; CF$72),"")</f>
        <v/>
      </c>
      <c r="CG177" s="1317" t="str">
        <f ca="1">IF(INDIRECT("'SpxSp (step-d)'!$B" &amp; CG$72)=$Z177,INDIRECT("'SpxSp (step-d)'!$" &amp; 'SpxSp (step-d)'!$AD$16 &amp; CG$72),"")</f>
        <v/>
      </c>
      <c r="CH177" s="1317" t="str">
        <f ca="1">IF(INDIRECT("'SpxSp (step-d)'!$B" &amp; CH$72)=$Z177,INDIRECT("'SpxSp (step-d)'!$" &amp; 'SpxSp (step-d)'!$AD$16 &amp; CH$72),"")</f>
        <v/>
      </c>
      <c r="CI177" s="1317" t="str">
        <f ca="1">IF(INDIRECT("'SpxSp (step-d)'!$B" &amp; CI$72)=$Z177,INDIRECT("'SpxSp (step-d)'!$" &amp; 'SpxSp (step-d)'!$AD$16 &amp; CI$72),"")</f>
        <v/>
      </c>
      <c r="CJ177" s="1317" t="str">
        <f ca="1">IF(INDIRECT("'SpxSp (step-d)'!$B" &amp; CJ$72)=$Z177,INDIRECT("'SpxSp (step-d)'!$" &amp; 'SpxSp (step-d)'!$AD$16 &amp; CJ$72),"")</f>
        <v/>
      </c>
      <c r="CK177" s="1317" t="str">
        <f ca="1">IF(INDIRECT("'SpxSp (step-d)'!$B" &amp; CK$72)=$Z177,INDIRECT("'SpxSp (step-d)'!$" &amp; 'SpxSp (step-d)'!$AD$16 &amp; CK$72),"")</f>
        <v/>
      </c>
      <c r="CL177" s="1317" t="str">
        <f ca="1">IF(INDIRECT("'SpxSp (step-d)'!$B" &amp; CL$72)=$Z177,INDIRECT("'SpxSp (step-d)'!$" &amp; 'SpxSp (step-d)'!$AD$16 &amp; CL$72),"")</f>
        <v/>
      </c>
      <c r="CM177" s="1317" t="str">
        <f ca="1">IF(INDIRECT("'SpxSp (step-d)'!$B" &amp; CM$72)=$Z177,INDIRECT("'SpxSp (step-d)'!$" &amp; 'SpxSp (step-d)'!$AD$16 &amp; CM$72),"")</f>
        <v/>
      </c>
      <c r="CN177" s="1317" t="str">
        <f ca="1">IF(INDIRECT("'SpxSp (step-d)'!$B" &amp; CN$72)=$Z177,INDIRECT("'SpxSp (step-d)'!$" &amp; 'SpxSp (step-d)'!$AD$16 &amp; CN$72),"")</f>
        <v/>
      </c>
      <c r="CO177" s="1317" t="str">
        <f ca="1">IF(INDIRECT("'SpxSp (step-d)'!$B" &amp; CO$72)=$Z177,INDIRECT("'SpxSp (step-d)'!$" &amp; 'SpxSp (step-d)'!$AD$16 &amp; CO$72),"")</f>
        <v/>
      </c>
      <c r="CP177" s="1317" t="str">
        <f ca="1">IF(INDIRECT("'SpxSp (step-d)'!$B" &amp; CP$72)=$Z177,INDIRECT("'SpxSp (step-d)'!$" &amp; 'SpxSp (step-d)'!$AD$16 &amp; CP$72),"")</f>
        <v/>
      </c>
      <c r="CQ177" s="1317" t="str">
        <f ca="1">IF(INDIRECT("'SpxSp (step-d)'!$B" &amp; CQ$72)=$Z177,INDIRECT("'SpxSp (step-d)'!$" &amp; 'SpxSp (step-d)'!$AD$16 &amp; CQ$72),"")</f>
        <v/>
      </c>
      <c r="CR177" s="1317" t="str">
        <f ca="1">IF(INDIRECT("'SpxSp (step-d)'!$B" &amp; CR$72)=$Z177,INDIRECT("'SpxSp (step-d)'!$" &amp; 'SpxSp (step-d)'!$AD$16 &amp; CR$72),"")</f>
        <v/>
      </c>
      <c r="CS177" s="1317" t="str">
        <f ca="1">IF(INDIRECT("'SpxSp (step-d)'!$B" &amp; CS$72)=$Z177,INDIRECT("'SpxSp (step-d)'!$" &amp; 'SpxSp (step-d)'!$AD$16 &amp; CS$72),"")</f>
        <v/>
      </c>
      <c r="CT177" s="1317" t="str">
        <f ca="1">IF(INDIRECT("'SpxSp (step-d)'!$B" &amp; CT$72)=$Z177,INDIRECT("'SpxSp (step-d)'!$" &amp; 'SpxSp (step-d)'!$AD$16 &amp; CT$72),"")</f>
        <v/>
      </c>
      <c r="CU177" s="1317" t="str">
        <f ca="1">IF(INDIRECT("'SpxSp (step-d)'!$B" &amp; CU$72)=$Z177,INDIRECT("'SpxSp (step-d)'!$" &amp; 'SpxSp (step-d)'!$AD$16 &amp; CU$72),"")</f>
        <v/>
      </c>
      <c r="CV177" s="1317" t="str">
        <f ca="1">IF(INDIRECT("'SpxSp (step-d)'!$B" &amp; CV$72)=$Z177,INDIRECT("'SpxSp (step-d)'!$" &amp; 'SpxSp (step-d)'!$AD$16 &amp; CV$72),"")</f>
        <v/>
      </c>
      <c r="CW177" s="1317" t="str">
        <f ca="1">IF(INDIRECT("'SpxSp (step-d)'!$B" &amp; CW$72)=$Z177,INDIRECT("'SpxSp (step-d)'!$" &amp; 'SpxSp (step-d)'!$AD$16 &amp; CW$72),"")</f>
        <v/>
      </c>
      <c r="CX177" s="1317" t="str">
        <f ca="1">IF(INDIRECT("'SpxSp (step-d)'!$B" &amp; CX$72)=$Z177,INDIRECT("'SpxSp (step-d)'!$" &amp; 'SpxSp (step-d)'!$AD$16 &amp; CX$72),"")</f>
        <v/>
      </c>
      <c r="CY177" s="1317" t="str">
        <f ca="1">IF(INDIRECT("'SpxSp (step-d)'!$B" &amp; CY$72)=$Z177,INDIRECT("'SpxSp (step-d)'!$" &amp; 'SpxSp (step-d)'!$AD$16 &amp; CY$72),"")</f>
        <v/>
      </c>
      <c r="CZ177" s="1317" t="str">
        <f ca="1">IF(INDIRECT("'SpxSp (step-d)'!$B" &amp; CZ$72)=$Z177,INDIRECT("'SpxSp (step-d)'!$" &amp; 'SpxSp (step-d)'!$AD$16 &amp; CZ$72),"")</f>
        <v/>
      </c>
      <c r="DA177" s="1317" t="str">
        <f ca="1">IF(INDIRECT("'SpxSp (step-d)'!$B" &amp; DA$72)=$Z177,INDIRECT("'SpxSp (step-d)'!$" &amp; 'SpxSp (step-d)'!$AD$16 &amp; DA$72),"")</f>
        <v/>
      </c>
      <c r="DB177" s="1317" t="str">
        <f ca="1">IF(INDIRECT("'SpxSp (step-d)'!$B" &amp; DB$72)=$Z177,INDIRECT("'SpxSp (step-d)'!$" &amp; 'SpxSp (step-d)'!$AD$16 &amp; DB$72),"")</f>
        <v/>
      </c>
      <c r="DC177" s="1317" t="str">
        <f ca="1">IF(INDIRECT("'SpxSp (step-d)'!$B" &amp; DC$72)=$Z177,INDIRECT("'SpxSp (step-d)'!$" &amp; 'SpxSp (step-d)'!$AD$16 &amp; DC$72),"")</f>
        <v/>
      </c>
      <c r="DD177" s="1317" t="str">
        <f ca="1">IF(INDIRECT("'SpxSp (step-d)'!$B" &amp; DD$72)=$Z177,INDIRECT("'SpxSp (step-d)'!$" &amp; 'SpxSp (step-d)'!$AD$16 &amp; DD$72),"")</f>
        <v/>
      </c>
      <c r="DE177" s="1317" t="str">
        <f ca="1">IF(INDIRECT("'SpxSp (step-d)'!$B" &amp; DE$72)=$Z177,INDIRECT("'SpxSp (step-d)'!$" &amp; 'SpxSp (step-d)'!$AD$16 &amp; DE$72),"")</f>
        <v/>
      </c>
      <c r="DF177" s="1317" t="str">
        <f ca="1">IF(INDIRECT("'SpxSp (step-d)'!$B" &amp; DF$72)=$Z177,INDIRECT("'SpxSp (step-d)'!$" &amp; 'SpxSp (step-d)'!$AD$16 &amp; DF$72),"")</f>
        <v/>
      </c>
      <c r="DG177" s="1317" t="str">
        <f ca="1">IF(INDIRECT("'SpxSp (step-d)'!$B" &amp; DG$72)=$Z177,INDIRECT("'SpxSp (step-d)'!$" &amp; 'SpxSp (step-d)'!$AD$16 &amp; DG$72),"")</f>
        <v/>
      </c>
      <c r="DH177" s="1317" t="str">
        <f ca="1">IF(INDIRECT("'SpxSp (step-d)'!$B" &amp; DH$72)=$Z177,INDIRECT("'SpxSp (step-d)'!$" &amp; 'SpxSp (step-d)'!$AD$16 &amp; DH$72),"")</f>
        <v/>
      </c>
      <c r="DI177" s="1317" t="str">
        <f ca="1">IF(INDIRECT("'SpxSp (step-d)'!$B" &amp; DI$72)=$Z177,INDIRECT("'SpxSp (step-d)'!$" &amp; 'SpxSp (step-d)'!$AD$16 &amp; DI$72),"")</f>
        <v/>
      </c>
      <c r="DJ177" s="1317" t="str">
        <f ca="1">IF(INDIRECT("'SpxSp (step-d)'!$B" &amp; DJ$72)=$Z177,INDIRECT("'SpxSp (step-d)'!$" &amp; 'SpxSp (step-d)'!$AD$16 &amp; DJ$72),"")</f>
        <v/>
      </c>
      <c r="DK177" s="1317" t="str">
        <f ca="1">IF(INDIRECT("'SpxSp (step-d)'!$B" &amp; DK$72)=$Z177,INDIRECT("'SpxSp (step-d)'!$" &amp; 'SpxSp (step-d)'!$AD$16 &amp; DK$72),"")</f>
        <v/>
      </c>
      <c r="DL177" s="1317" t="str">
        <f ca="1">IF(INDIRECT("'SpxSp (step-d)'!$B" &amp; DL$72)=$Z177,INDIRECT("'SpxSp (step-d)'!$" &amp; 'SpxSp (step-d)'!$AD$16 &amp; DL$72),"")</f>
        <v/>
      </c>
      <c r="DM177" s="1317" t="str">
        <f ca="1">IF(INDIRECT("'SpxSp (step-d)'!$B" &amp; DM$72)=$Z177,INDIRECT("'SpxSp (step-d)'!$" &amp; 'SpxSp (step-d)'!$AD$16 &amp; DM$72),"")</f>
        <v/>
      </c>
      <c r="DO177" s="1246" t="s">
        <v>1200</v>
      </c>
    </row>
  </sheetData>
  <sheetProtection sheet="1" objects="1" scenarios="1" formatRows="0"/>
  <mergeCells count="71">
    <mergeCell ref="G1:U1"/>
    <mergeCell ref="K11:M11"/>
    <mergeCell ref="O11:R11"/>
    <mergeCell ref="G3:U3"/>
    <mergeCell ref="G11:I11"/>
    <mergeCell ref="BE5:BF5"/>
    <mergeCell ref="BE14:BF14"/>
    <mergeCell ref="AR11:AS11"/>
    <mergeCell ref="B31:F31"/>
    <mergeCell ref="B32:F32"/>
    <mergeCell ref="P13:P14"/>
    <mergeCell ref="Q13:Q14"/>
    <mergeCell ref="AU14:AX14"/>
    <mergeCell ref="AZ14:BB14"/>
    <mergeCell ref="AR14:AS14"/>
    <mergeCell ref="G13:G14"/>
    <mergeCell ref="H13:H14"/>
    <mergeCell ref="K13:K14"/>
    <mergeCell ref="L13:L14"/>
    <mergeCell ref="O13:O14"/>
    <mergeCell ref="B33:F33"/>
    <mergeCell ref="B13:C13"/>
    <mergeCell ref="B16:F16"/>
    <mergeCell ref="B40:F40"/>
    <mergeCell ref="B41:F41"/>
    <mergeCell ref="B29:F29"/>
    <mergeCell ref="B30:F30"/>
    <mergeCell ref="B42:F42"/>
    <mergeCell ref="B43:F43"/>
    <mergeCell ref="B34:F34"/>
    <mergeCell ref="B35:F35"/>
    <mergeCell ref="B36:F36"/>
    <mergeCell ref="B37:F37"/>
    <mergeCell ref="B38:F38"/>
    <mergeCell ref="B39:F39"/>
    <mergeCell ref="B62:F62"/>
    <mergeCell ref="B63:F63"/>
    <mergeCell ref="B54:F54"/>
    <mergeCell ref="B55:F55"/>
    <mergeCell ref="B56:F56"/>
    <mergeCell ref="B57:F57"/>
    <mergeCell ref="B58:F58"/>
    <mergeCell ref="B59:F59"/>
    <mergeCell ref="B60:F60"/>
    <mergeCell ref="B61:F61"/>
    <mergeCell ref="B49:F49"/>
    <mergeCell ref="B50:F50"/>
    <mergeCell ref="B51:F51"/>
    <mergeCell ref="B52:F52"/>
    <mergeCell ref="B53:F53"/>
    <mergeCell ref="B44:F44"/>
    <mergeCell ref="B45:F45"/>
    <mergeCell ref="B46:F46"/>
    <mergeCell ref="B47:F47"/>
    <mergeCell ref="B48:F48"/>
    <mergeCell ref="B64:F64"/>
    <mergeCell ref="B65:F65"/>
    <mergeCell ref="B66:F66"/>
    <mergeCell ref="B67:F67"/>
    <mergeCell ref="G17:U17"/>
    <mergeCell ref="B18:F18"/>
    <mergeCell ref="B19:F19"/>
    <mergeCell ref="B20:F20"/>
    <mergeCell ref="B21:F21"/>
    <mergeCell ref="B22:F22"/>
    <mergeCell ref="B23:F23"/>
    <mergeCell ref="B24:F24"/>
    <mergeCell ref="B25:F25"/>
    <mergeCell ref="B26:F26"/>
    <mergeCell ref="B27:F27"/>
    <mergeCell ref="B28:F28"/>
  </mergeCells>
  <conditionalFormatting sqref="I18:I67">
    <cfRule type="containsText" dxfId="431" priority="6" operator="containsText" text="Pass">
      <formula>NOT(ISERROR(SEARCH("Pass",I18)))</formula>
    </cfRule>
  </conditionalFormatting>
  <conditionalFormatting sqref="M18:M67">
    <cfRule type="cellIs" dxfId="430" priority="4" operator="equal">
      <formula>"Pass"</formula>
    </cfRule>
    <cfRule type="cellIs" dxfId="429" priority="5" operator="equal">
      <formula>"Fail"</formula>
    </cfRule>
  </conditionalFormatting>
  <conditionalFormatting sqref="R18:R67">
    <cfRule type="cellIs" dxfId="428" priority="2" operator="equal">
      <formula>"Pass"</formula>
    </cfRule>
    <cfRule type="cellIs" dxfId="427" priority="3" operator="equal">
      <formula>"Fail"</formula>
    </cfRule>
  </conditionalFormatting>
  <conditionalFormatting sqref="AU11">
    <cfRule type="cellIs" dxfId="424" priority="7" operator="equal">
      <formula>FALSE</formula>
    </cfRule>
    <cfRule type="cellIs" dxfId="423" priority="8" operator="equal">
      <formula>TRUE</formula>
    </cfRule>
  </conditionalFormatting>
  <conditionalFormatting sqref="AW11">
    <cfRule type="cellIs" dxfId="420" priority="9" operator="equal">
      <formula>FALSE</formula>
    </cfRule>
    <cfRule type="cellIs" dxfId="419" priority="10" operator="equal">
      <formula>TRUE</formula>
    </cfRule>
  </conditionalFormatting>
  <conditionalFormatting sqref="AZ18:AZ67">
    <cfRule type="containsText" dxfId="418" priority="21" operator="containsText" text="Pass">
      <formula>NOT(ISERROR(SEARCH("Pass",AZ18)))</formula>
    </cfRule>
    <cfRule type="containsText" dxfId="417" priority="23" operator="containsText" text="Fail">
      <formula>NOT(ISERROR(SEARCH("Fail",AZ18)))</formula>
    </cfRule>
  </conditionalFormatting>
  <conditionalFormatting sqref="BF7">
    <cfRule type="cellIs" dxfId="414" priority="11" operator="equal">
      <formula>FALSE</formula>
    </cfRule>
    <cfRule type="cellIs" dxfId="413" priority="12" operator="equal">
      <formula>TRUE</formula>
    </cfRule>
  </conditionalFormatting>
  <conditionalFormatting sqref="BH18:BI67">
    <cfRule type="containsText" dxfId="412" priority="13" operator="containsText" text="Pass">
      <formula>NOT(ISERROR(SEARCH("Pass",BH18)))</formula>
    </cfRule>
    <cfRule type="containsText" dxfId="411" priority="14" operator="containsText" text="Fail">
      <formula>NOT(ISERROR(SEARCH("Fail",BH18)))</formula>
    </cfRule>
  </conditionalFormatting>
  <hyperlinks>
    <hyperlink ref="BF71" location="'Space by Space (step-a)'!V12" display="'Space by Space (step-a)'!V12" xr:uid="{00000000-0004-0000-0100-000000000000}"/>
  </hyperlink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D7BE3A41-7189-4FF1-BB4B-9018220DD43F}">
            <xm:f>NOT(ISERROR(SEARCH("Fail",I18)))</xm:f>
            <xm:f>"Fail"</xm:f>
            <x14:dxf>
              <font>
                <color rgb="FF9C0006"/>
              </font>
              <fill>
                <patternFill>
                  <bgColor rgb="FFFFC7CE"/>
                </patternFill>
              </fill>
            </x14:dxf>
          </x14:cfRule>
          <xm:sqref>I18:I67</xm:sqref>
        </x14:conditionalFormatting>
        <x14:conditionalFormatting xmlns:xm="http://schemas.microsoft.com/office/excel/2006/main">
          <x14:cfRule type="containsText" priority="26" operator="containsText" id="{D698D474-2664-4A06-AAF8-5C95691C73E1}">
            <xm:f>NOT(ISERROR(SEARCH("Pass",AS18)))</xm:f>
            <xm:f>"Pass"</xm:f>
            <x14:dxf>
              <font>
                <color rgb="FF006100"/>
              </font>
              <fill>
                <patternFill>
                  <bgColor rgb="FFC6EFCE"/>
                </patternFill>
              </fill>
            </x14:dxf>
          </x14:cfRule>
          <x14:cfRule type="containsText" priority="28" operator="containsText" id="{F3507539-40DD-4A71-9169-D35D95C08D9E}">
            <xm:f>NOT(ISERROR(SEARCH("Fail",AS18)))</xm:f>
            <xm:f>"Fail"</xm:f>
            <x14:dxf>
              <font>
                <color rgb="FF9C0006"/>
              </font>
              <fill>
                <patternFill>
                  <bgColor rgb="FFFFC7CE"/>
                </patternFill>
              </fill>
            </x14:dxf>
          </x14:cfRule>
          <xm:sqref>AS18:AS67</xm:sqref>
        </x14:conditionalFormatting>
        <x14:conditionalFormatting xmlns:xm="http://schemas.microsoft.com/office/excel/2006/main">
          <x14:cfRule type="containsText" priority="24" operator="containsText" id="{A61DED81-05E9-4E0F-9EA4-6C641892BB57}">
            <xm:f>NOT(ISERROR(SEARCH("Pass",AV18)))</xm:f>
            <xm:f>"Pass"</xm:f>
            <x14:dxf>
              <font>
                <color rgb="FF006100"/>
              </font>
              <fill>
                <patternFill>
                  <bgColor rgb="FFC6EFCE"/>
                </patternFill>
              </fill>
            </x14:dxf>
          </x14:cfRule>
          <x14:cfRule type="containsText" priority="25" operator="containsText" id="{619DFD4A-0FEA-4EAE-9850-394655EB7A40}">
            <xm:f>NOT(ISERROR(SEARCH("Fail",AV18)))</xm:f>
            <xm:f>"Fail"</xm:f>
            <x14:dxf>
              <font>
                <color rgb="FF9C0006"/>
              </font>
              <fill>
                <patternFill>
                  <bgColor rgb="FFFFC7CE"/>
                </patternFill>
              </fill>
            </x14:dxf>
          </x14:cfRule>
          <xm:sqref>AV18:AX67</xm:sqref>
        </x14:conditionalFormatting>
        <x14:conditionalFormatting xmlns:xm="http://schemas.microsoft.com/office/excel/2006/main">
          <x14:cfRule type="containsText" priority="15" operator="containsText" id="{B9746F97-0C2E-47FC-834D-4E75AE9068AE}">
            <xm:f>NOT(ISERROR(SEARCH("Pass",BA18)))</xm:f>
            <xm:f>"Pass"</xm:f>
            <x14:dxf>
              <font>
                <color rgb="FF006100"/>
              </font>
              <fill>
                <patternFill>
                  <bgColor rgb="FFC6EFCE"/>
                </patternFill>
              </fill>
            </x14:dxf>
          </x14:cfRule>
          <x14:cfRule type="containsText" priority="16" operator="containsText" id="{EBD28C54-76EE-4A01-B681-4FE314A31283}">
            <xm:f>NOT(ISERROR(SEARCH("Fail",BA18)))</xm:f>
            <xm:f>"Fail"</xm:f>
            <x14:dxf>
              <font>
                <color rgb="FF9C0006"/>
              </font>
              <fill>
                <patternFill>
                  <bgColor rgb="FFFFC7CE"/>
                </patternFill>
              </fill>
            </x14:dxf>
          </x14:cfRule>
          <xm:sqref>BA18:BD67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B1:R177"/>
  <sheetViews>
    <sheetView showGridLines="0" workbookViewId="0">
      <pane xSplit="6" ySplit="16" topLeftCell="G17" activePane="bottomRight" state="frozen"/>
      <selection pane="topRight" activeCell="G1" sqref="G1"/>
      <selection pane="bottomLeft" activeCell="A17" sqref="A17"/>
      <selection pane="bottomRight" activeCell="G17" sqref="G17"/>
    </sheetView>
  </sheetViews>
  <sheetFormatPr defaultColWidth="9.1796875" defaultRowHeight="10" x14ac:dyDescent="0.2"/>
  <cols>
    <col min="1" max="1" width="2.7265625" style="178" customWidth="1"/>
    <col min="2" max="5" width="11.54296875" style="178" customWidth="1"/>
    <col min="6" max="6" width="2.54296875" style="178" customWidth="1"/>
    <col min="7" max="7" width="13.7265625" style="178" customWidth="1"/>
    <col min="8" max="11" width="10.54296875" style="178" customWidth="1"/>
    <col min="12" max="12" width="0.453125" style="1248" customWidth="1"/>
    <col min="13" max="13" width="25.54296875" style="178" customWidth="1"/>
    <col min="14" max="14" width="60.54296875" style="178" customWidth="1"/>
    <col min="15" max="16" width="10.54296875" style="178" customWidth="1"/>
    <col min="17" max="17" width="10.54296875" style="178" hidden="1" customWidth="1"/>
    <col min="18" max="18" width="0" style="178" hidden="1" customWidth="1"/>
    <col min="19" max="16384" width="9.1796875" style="178"/>
  </cols>
  <sheetData>
    <row r="1" spans="2:14" ht="15" customHeight="1" x14ac:dyDescent="0.3">
      <c r="H1" s="1472" t="str">
        <f>'Main Compliance Page'!K1</f>
        <v>ASHRAE/IES 90.1-2019 Lighting Compliance Documentation (v4.0)</v>
      </c>
      <c r="I1" s="1472"/>
      <c r="J1" s="1472"/>
      <c r="K1" s="1472"/>
      <c r="L1" s="1472"/>
      <c r="M1" s="1472"/>
      <c r="N1" s="1472"/>
    </row>
    <row r="2" spans="2:14" ht="5.15" customHeight="1" x14ac:dyDescent="0.3">
      <c r="H2" s="1242"/>
      <c r="I2" s="1242"/>
      <c r="J2" s="1242"/>
      <c r="K2" s="1242"/>
      <c r="L2" s="1242"/>
      <c r="M2" s="1242"/>
      <c r="N2" s="1242"/>
    </row>
    <row r="3" spans="2:14" ht="15" customHeight="1" x14ac:dyDescent="0.3">
      <c r="H3" s="1472" t="s">
        <v>1211</v>
      </c>
      <c r="I3" s="1472"/>
      <c r="J3" s="1472"/>
      <c r="K3" s="1472"/>
      <c r="L3" s="1472"/>
      <c r="M3" s="1472"/>
      <c r="N3" s="1472"/>
    </row>
    <row r="4" spans="2:14" ht="5.15" customHeight="1" x14ac:dyDescent="0.3">
      <c r="H4" s="1242"/>
      <c r="I4" s="1242"/>
      <c r="J4" s="1242"/>
      <c r="K4" s="1242"/>
      <c r="L4" s="1242"/>
      <c r="M4" s="1242"/>
      <c r="N4" s="1242"/>
    </row>
    <row r="5" spans="2:14" ht="15" customHeight="1" x14ac:dyDescent="0.2"/>
    <row r="6" spans="2:14" ht="5.15" customHeight="1" x14ac:dyDescent="0.2"/>
    <row r="7" spans="2:14" ht="15" customHeight="1" x14ac:dyDescent="0.2"/>
    <row r="8" spans="2:14" ht="5.15" customHeight="1" x14ac:dyDescent="0.2"/>
    <row r="9" spans="2:14" ht="15" customHeight="1" x14ac:dyDescent="0.2"/>
    <row r="10" spans="2:14" ht="5.15" customHeight="1" thickBot="1" x14ac:dyDescent="0.25"/>
    <row r="11" spans="2:14" ht="15" customHeight="1" x14ac:dyDescent="0.2">
      <c r="H11" s="1476" t="s">
        <v>1212</v>
      </c>
      <c r="I11" s="1477"/>
      <c r="J11" s="1477"/>
      <c r="K11" s="1478"/>
      <c r="L11" s="1253"/>
      <c r="M11" s="1492" t="e">
        <f>'Main Compliance Page'!M67</f>
        <v>#N/A</v>
      </c>
      <c r="N11" s="1493"/>
    </row>
    <row r="12" spans="2:14" ht="5.15" customHeight="1" x14ac:dyDescent="0.2">
      <c r="H12" s="1256"/>
      <c r="I12" s="1247"/>
      <c r="J12" s="1247"/>
      <c r="K12" s="1257"/>
      <c r="M12" s="1494"/>
      <c r="N12" s="1495"/>
    </row>
    <row r="13" spans="2:14" ht="15" customHeight="1" x14ac:dyDescent="0.25">
      <c r="B13" s="1458" t="str">
        <f>'SpxSp (step-a)'!B13:C13</f>
        <v>90.1-2019</v>
      </c>
      <c r="C13" s="1458"/>
      <c r="H13" s="1487">
        <f>SUM(H18:H67)</f>
        <v>0</v>
      </c>
      <c r="I13" s="1485">
        <f>SUM(I18:I67)</f>
        <v>0</v>
      </c>
      <c r="J13" s="1485">
        <f>SUM(J18:J67)</f>
        <v>0</v>
      </c>
      <c r="K13" s="1257"/>
      <c r="M13" s="1494"/>
      <c r="N13" s="1495"/>
    </row>
    <row r="14" spans="2:14" ht="10.5" thickBot="1" x14ac:dyDescent="0.25">
      <c r="H14" s="1488"/>
      <c r="I14" s="1486"/>
      <c r="J14" s="1486"/>
      <c r="K14" s="1344"/>
      <c r="M14" s="1496"/>
      <c r="N14" s="1497"/>
    </row>
    <row r="15" spans="2:14" ht="5.15" customHeight="1" thickBot="1" x14ac:dyDescent="0.25"/>
    <row r="16" spans="2:14" ht="21.5" thickBot="1" x14ac:dyDescent="0.25">
      <c r="B16" s="1489" t="s">
        <v>1013</v>
      </c>
      <c r="C16" s="1490"/>
      <c r="D16" s="1490"/>
      <c r="E16" s="1490"/>
      <c r="F16" s="1491"/>
      <c r="G16" s="1345"/>
      <c r="H16" s="1273" t="s">
        <v>857</v>
      </c>
      <c r="I16" s="1274" t="s">
        <v>1202</v>
      </c>
      <c r="J16" s="1346" t="s">
        <v>1128</v>
      </c>
      <c r="K16" s="1275" t="s">
        <v>878</v>
      </c>
      <c r="L16" s="1276"/>
      <c r="M16" s="1280" t="s">
        <v>851</v>
      </c>
      <c r="N16" s="1281" t="s">
        <v>1199</v>
      </c>
    </row>
    <row r="17" spans="2:18" ht="1" customHeight="1" thickBot="1" x14ac:dyDescent="0.25">
      <c r="B17" s="1291"/>
      <c r="C17" s="1292"/>
      <c r="D17" s="1292"/>
      <c r="E17" s="1292"/>
      <c r="F17" s="1247"/>
      <c r="G17" s="1347"/>
      <c r="H17" s="1456"/>
      <c r="I17" s="1456"/>
      <c r="J17" s="1456"/>
      <c r="K17" s="1456"/>
      <c r="L17" s="1456"/>
      <c r="M17" s="1456"/>
      <c r="N17" s="1457"/>
    </row>
    <row r="18" spans="2:18" ht="40" x14ac:dyDescent="0.2">
      <c r="B18" s="1479" t="str">
        <f>'Ext Area Schedule'!AT16</f>
        <v/>
      </c>
      <c r="C18" s="1480"/>
      <c r="D18" s="1480"/>
      <c r="E18" s="1480"/>
      <c r="F18" s="1481"/>
      <c r="G18" s="1348" t="str">
        <f>IF(B18="","",VLOOKUP(B18,'Ext Area Schedule'!AT$16:AY$115,6,FALSE))</f>
        <v/>
      </c>
      <c r="H18" s="1349" t="str">
        <f>IF($G18="Tradable",VLOOKUP($B18,ExteriorTradableData!$B$10:$AN$59,5,FALSE),IF($G18="Nontradable",VLOOKUP($B18,ExteriorNontradableData!$B$10:$AM$59,5,FALSE),""))</f>
        <v/>
      </c>
      <c r="I18" s="1350" t="str">
        <f>IF($G18="Tradable",VLOOKUP($B18,ExteriorTradableData!$B$10:$AN$59,17,FALSE),IF($G18="Nontradable",VLOOKUP($B18,ExteriorNontradableData!$B$10:$AM$59,17,FALSE),""))</f>
        <v/>
      </c>
      <c r="J18" s="1350" t="str">
        <f>IF($G18="Tradable",VLOOKUP($B18,ExteriorTradableData!$B$10:$AN$59,18,FALSE),IF($G18="Nontradable",VLOOKUP($B18,ExteriorNontradableData!$B$10:$AM$59,20,FALSE),""))</f>
        <v/>
      </c>
      <c r="K18" s="1295" t="str">
        <f>IF($G18="Tradable",VLOOKUP($B18,ExteriorTradableData!$B$10:$AN$59,36,FALSE),IF($G18="Nontradable",VLOOKUP($B18,ExteriorNontradableData!$B$10:$AM$59,37,FALSE),""))</f>
        <v/>
      </c>
      <c r="L18" s="1296"/>
      <c r="M18" s="1300" t="str">
        <f>IF($G18="Tradable",VLOOKUP($B18,ExteriorTradableData!$B$10:$AN$59,38,FALSE),IF($G18="Nontradable",VLOOKUP($B18,ExteriorNontradableData!$B$10:$AS$59,39,FALSE),""))</f>
        <v/>
      </c>
      <c r="N18" s="1301" t="str">
        <f>IF($G18="Tradable",VLOOKUP($B18,ExteriorTradableData!$B$10:$AT$59,43,FALSE),IF($G18="Nontradable",VLOOKUP($B18,ExteriorNontradableData!$B$10:$AS$59,44,FALSE),""))</f>
        <v/>
      </c>
      <c r="R18" s="1246" t="s">
        <v>1201</v>
      </c>
    </row>
    <row r="19" spans="2:18" ht="40" x14ac:dyDescent="0.2">
      <c r="B19" s="1479" t="str">
        <f>'Ext Area Schedule'!AT17</f>
        <v/>
      </c>
      <c r="C19" s="1480"/>
      <c r="D19" s="1480"/>
      <c r="E19" s="1480"/>
      <c r="F19" s="1481"/>
      <c r="G19" s="1351" t="str">
        <f>IF(B19="","",VLOOKUP(B19,'Ext Area Schedule'!AT$16:AY$115,6,FALSE))</f>
        <v/>
      </c>
      <c r="H19" s="1305" t="str">
        <f>IF($G19="Tradable",VLOOKUP($B19,ExteriorTradableData!$B$10:$AN$59,5,FALSE),IF($G19="Nontradable",VLOOKUP($B19,ExteriorNontradableData!$B$10:$AM$59,5,FALSE),""))</f>
        <v/>
      </c>
      <c r="I19" s="1290" t="str">
        <f>IF($G19="Tradable",VLOOKUP($B19,ExteriorTradableData!$B$10:$AN$59,17,FALSE),IF($G19="Nontradable",VLOOKUP($B19,ExteriorNontradableData!$B$10:$AM$59,17,FALSE),""))</f>
        <v/>
      </c>
      <c r="J19" s="1352" t="str">
        <f>IF($G19="Tradable",VLOOKUP($B19,ExteriorTradableData!$B$10:$AN$59,18,FALSE),IF($G19="Nontradable",VLOOKUP($B19,ExteriorNontradableData!$B$10:$AM$59,20,FALSE),""))</f>
        <v/>
      </c>
      <c r="K19" s="1321" t="str">
        <f>IF($G19="Tradable",VLOOKUP($B19,ExteriorTradableData!$B$10:$AN$59,36,FALSE),IF($G19="Nontradable",VLOOKUP($B19,ExteriorNontradableData!$B$10:$AM$59,37,FALSE),""))</f>
        <v/>
      </c>
      <c r="L19" s="1296"/>
      <c r="M19" s="1325" t="str">
        <f>IF($G19="Tradable",VLOOKUP($B19,ExteriorTradableData!$B$10:$AN$59,38,FALSE),IF($G19="Nontradable",VLOOKUP($B19,ExteriorNontradableData!$B$10:$AS$59,39,FALSE),""))</f>
        <v/>
      </c>
      <c r="N19" s="1326" t="str">
        <f>IF($G19="Tradable",VLOOKUP($B19,ExteriorTradableData!$B$10:$AT$59,43,FALSE),IF($G19="Nontradable",VLOOKUP($B19,ExteriorNontradableData!$B$10:$AS$59,44,FALSE),""))</f>
        <v/>
      </c>
      <c r="R19" s="1246" t="s">
        <v>1201</v>
      </c>
    </row>
    <row r="20" spans="2:18" ht="40" x14ac:dyDescent="0.2">
      <c r="B20" s="1479" t="str">
        <f>'Ext Area Schedule'!AT18</f>
        <v/>
      </c>
      <c r="C20" s="1480"/>
      <c r="D20" s="1480"/>
      <c r="E20" s="1480"/>
      <c r="F20" s="1481"/>
      <c r="G20" s="1351" t="str">
        <f>IF(B20="","",VLOOKUP(B20,'Ext Area Schedule'!AT$16:AY$115,6,FALSE))</f>
        <v/>
      </c>
      <c r="H20" s="1305" t="str">
        <f>IF($G20="Tradable",VLOOKUP($B20,ExteriorTradableData!$B$10:$AN$59,5,FALSE),IF($G20="Nontradable",VLOOKUP($B20,ExteriorNontradableData!$B$10:$AM$59,5,FALSE),""))</f>
        <v/>
      </c>
      <c r="I20" s="1290" t="str">
        <f>IF($G20="Tradable",VLOOKUP($B20,ExteriorTradableData!$B$10:$AN$59,17,FALSE),IF($G20="Nontradable",VLOOKUP($B20,ExteriorNontradableData!$B$10:$AM$59,17,FALSE),""))</f>
        <v/>
      </c>
      <c r="J20" s="1352" t="str">
        <f>IF($G20="Tradable",VLOOKUP($B20,ExteriorTradableData!$B$10:$AN$59,18,FALSE),IF($G20="Nontradable",VLOOKUP($B20,ExteriorNontradableData!$B$10:$AM$59,20,FALSE),""))</f>
        <v/>
      </c>
      <c r="K20" s="1321" t="str">
        <f>IF($G20="Tradable",VLOOKUP($B20,ExteriorTradableData!$B$10:$AN$59,36,FALSE),IF($G20="Nontradable",VLOOKUP($B20,ExteriorNontradableData!$B$10:$AM$59,37,FALSE),""))</f>
        <v/>
      </c>
      <c r="L20" s="1296"/>
      <c r="M20" s="1325" t="str">
        <f>IF($G20="Tradable",VLOOKUP($B20,ExteriorTradableData!$B$10:$AN$59,38,FALSE),IF($G20="Nontradable",VLOOKUP($B20,ExteriorNontradableData!$B$10:$AS$59,39,FALSE),""))</f>
        <v/>
      </c>
      <c r="N20" s="1326" t="str">
        <f>IF($G20="Tradable",VLOOKUP($B20,ExteriorTradableData!$B$10:$AT$59,43,FALSE),IF($G20="Nontradable",VLOOKUP($B20,ExteriorNontradableData!$B$10:$AS$59,44,FALSE),""))</f>
        <v/>
      </c>
      <c r="R20" s="1246" t="s">
        <v>1201</v>
      </c>
    </row>
    <row r="21" spans="2:18" ht="40" x14ac:dyDescent="0.2">
      <c r="B21" s="1479" t="str">
        <f>'Ext Area Schedule'!AT19</f>
        <v/>
      </c>
      <c r="C21" s="1480"/>
      <c r="D21" s="1480"/>
      <c r="E21" s="1480"/>
      <c r="F21" s="1481"/>
      <c r="G21" s="1351" t="str">
        <f>IF(B21="","",VLOOKUP(B21,'Ext Area Schedule'!AT$16:AY$115,6,FALSE))</f>
        <v/>
      </c>
      <c r="H21" s="1305" t="str">
        <f>IF($G21="Tradable",VLOOKUP($B21,ExteriorTradableData!$B$10:$AN$59,5,FALSE),IF($G21="Nontradable",VLOOKUP($B21,ExteriorNontradableData!$B$10:$AM$59,5,FALSE),""))</f>
        <v/>
      </c>
      <c r="I21" s="1290" t="str">
        <f>IF($G21="Tradable",VLOOKUP($B21,ExteriorTradableData!$B$10:$AN$59,17,FALSE),IF($G21="Nontradable",VLOOKUP($B21,ExteriorNontradableData!$B$10:$AM$59,17,FALSE),""))</f>
        <v/>
      </c>
      <c r="J21" s="1352" t="str">
        <f>IF($G21="Tradable",VLOOKUP($B21,ExteriorTradableData!$B$10:$AN$59,18,FALSE),IF($G21="Nontradable",VLOOKUP($B21,ExteriorNontradableData!$B$10:$AM$59,20,FALSE),""))</f>
        <v/>
      </c>
      <c r="K21" s="1321" t="str">
        <f>IF($G21="Tradable",VLOOKUP($B21,ExteriorTradableData!$B$10:$AN$59,36,FALSE),IF($G21="Nontradable",VLOOKUP($B21,ExteriorNontradableData!$B$10:$AM$59,37,FALSE),""))</f>
        <v/>
      </c>
      <c r="L21" s="1296"/>
      <c r="M21" s="1325" t="str">
        <f>IF($G21="Tradable",VLOOKUP($B21,ExteriorTradableData!$B$10:$AN$59,38,FALSE),IF($G21="Nontradable",VLOOKUP($B21,ExteriorNontradableData!$B$10:$AS$59,39,FALSE),""))</f>
        <v/>
      </c>
      <c r="N21" s="1326" t="str">
        <f>IF($G21="Tradable",VLOOKUP($B21,ExteriorTradableData!$B$10:$AT$59,43,FALSE),IF($G21="Nontradable",VLOOKUP($B21,ExteriorNontradableData!$B$10:$AS$59,44,FALSE),""))</f>
        <v/>
      </c>
      <c r="R21" s="1246" t="s">
        <v>1201</v>
      </c>
    </row>
    <row r="22" spans="2:18" ht="40" x14ac:dyDescent="0.2">
      <c r="B22" s="1479" t="str">
        <f>'Ext Area Schedule'!AT20</f>
        <v/>
      </c>
      <c r="C22" s="1480"/>
      <c r="D22" s="1480"/>
      <c r="E22" s="1480"/>
      <c r="F22" s="1481"/>
      <c r="G22" s="1351" t="str">
        <f>IF(B22="","",VLOOKUP(B22,'Ext Area Schedule'!AT$16:AY$115,6,FALSE))</f>
        <v/>
      </c>
      <c r="H22" s="1305" t="str">
        <f>IF($G22="Tradable",VLOOKUP($B22,ExteriorTradableData!$B$10:$AN$59,5,FALSE),IF($G22="Nontradable",VLOOKUP($B22,ExteriorNontradableData!$B$10:$AM$59,5,FALSE),""))</f>
        <v/>
      </c>
      <c r="I22" s="1290" t="str">
        <f>IF($G22="Tradable",VLOOKUP($B22,ExteriorTradableData!$B$10:$AN$59,17,FALSE),IF($G22="Nontradable",VLOOKUP($B22,ExteriorNontradableData!$B$10:$AM$59,17,FALSE),""))</f>
        <v/>
      </c>
      <c r="J22" s="1352" t="str">
        <f>IF($G22="Tradable",VLOOKUP($B22,ExteriorTradableData!$B$10:$AN$59,18,FALSE),IF($G22="Nontradable",VLOOKUP($B22,ExteriorNontradableData!$B$10:$AM$59,20,FALSE),""))</f>
        <v/>
      </c>
      <c r="K22" s="1321" t="str">
        <f>IF($G22="Tradable",VLOOKUP($B22,ExteriorTradableData!$B$10:$AN$59,36,FALSE),IF($G22="Nontradable",VLOOKUP($B22,ExteriorNontradableData!$B$10:$AM$59,37,FALSE),""))</f>
        <v/>
      </c>
      <c r="L22" s="1296"/>
      <c r="M22" s="1325" t="str">
        <f>IF($G22="Tradable",VLOOKUP($B22,ExteriorTradableData!$B$10:$AN$59,38,FALSE),IF($G22="Nontradable",VLOOKUP($B22,ExteriorNontradableData!$B$10:$AS$59,39,FALSE),""))</f>
        <v/>
      </c>
      <c r="N22" s="1326" t="str">
        <f>IF($G22="Tradable",VLOOKUP($B22,ExteriorTradableData!$B$10:$AT$59,43,FALSE),IF($G22="Nontradable",VLOOKUP($B22,ExteriorNontradableData!$B$10:$AS$59,44,FALSE),""))</f>
        <v/>
      </c>
      <c r="R22" s="1246" t="s">
        <v>1201</v>
      </c>
    </row>
    <row r="23" spans="2:18" ht="40" x14ac:dyDescent="0.2">
      <c r="B23" s="1479" t="str">
        <f>'Ext Area Schedule'!AT21</f>
        <v/>
      </c>
      <c r="C23" s="1480"/>
      <c r="D23" s="1480"/>
      <c r="E23" s="1480"/>
      <c r="F23" s="1481"/>
      <c r="G23" s="1351" t="str">
        <f>IF(B23="","",VLOOKUP(B23,'Ext Area Schedule'!AT$16:AY$115,6,FALSE))</f>
        <v/>
      </c>
      <c r="H23" s="1305" t="str">
        <f>IF($G23="Tradable",VLOOKUP($B23,ExteriorTradableData!$B$10:$AN$59,5,FALSE),IF($G23="Nontradable",VLOOKUP($B23,ExteriorNontradableData!$B$10:$AM$59,5,FALSE),""))</f>
        <v/>
      </c>
      <c r="I23" s="1290" t="str">
        <f>IF($G23="Tradable",VLOOKUP($B23,ExteriorTradableData!$B$10:$AN$59,17,FALSE),IF($G23="Nontradable",VLOOKUP($B23,ExteriorNontradableData!$B$10:$AM$59,17,FALSE),""))</f>
        <v/>
      </c>
      <c r="J23" s="1352" t="str">
        <f>IF($G23="Tradable",VLOOKUP($B23,ExteriorTradableData!$B$10:$AN$59,18,FALSE),IF($G23="Nontradable",VLOOKUP($B23,ExteriorNontradableData!$B$10:$AM$59,20,FALSE),""))</f>
        <v/>
      </c>
      <c r="K23" s="1321" t="str">
        <f>IF($G23="Tradable",VLOOKUP($B23,ExteriorTradableData!$B$10:$AN$59,36,FALSE),IF($G23="Nontradable",VLOOKUP($B23,ExteriorNontradableData!$B$10:$AM$59,37,FALSE),""))</f>
        <v/>
      </c>
      <c r="L23" s="1296"/>
      <c r="M23" s="1325" t="str">
        <f>IF($G23="Tradable",VLOOKUP($B23,ExteriorTradableData!$B$10:$AN$59,38,FALSE),IF($G23="Nontradable",VLOOKUP($B23,ExteriorNontradableData!$B$10:$AS$59,39,FALSE),""))</f>
        <v/>
      </c>
      <c r="N23" s="1326" t="str">
        <f>IF($G23="Tradable",VLOOKUP($B23,ExteriorTradableData!$B$10:$AT$59,43,FALSE),IF($G23="Nontradable",VLOOKUP($B23,ExteriorNontradableData!$B$10:$AS$59,44,FALSE),""))</f>
        <v/>
      </c>
      <c r="R23" s="1246" t="s">
        <v>1201</v>
      </c>
    </row>
    <row r="24" spans="2:18" ht="40" x14ac:dyDescent="0.2">
      <c r="B24" s="1479" t="str">
        <f>'Ext Area Schedule'!AT22</f>
        <v/>
      </c>
      <c r="C24" s="1480"/>
      <c r="D24" s="1480"/>
      <c r="E24" s="1480"/>
      <c r="F24" s="1481"/>
      <c r="G24" s="1351" t="str">
        <f>IF(B24="","",VLOOKUP(B24,'Ext Area Schedule'!AT$16:AY$115,6,FALSE))</f>
        <v/>
      </c>
      <c r="H24" s="1305" t="str">
        <f>IF($G24="Tradable",VLOOKUP($B24,ExteriorTradableData!$B$10:$AN$59,5,FALSE),IF($G24="Nontradable",VLOOKUP($B24,ExteriorNontradableData!$B$10:$AM$59,5,FALSE),""))</f>
        <v/>
      </c>
      <c r="I24" s="1290" t="str">
        <f>IF($G24="Tradable",VLOOKUP($B24,ExteriorTradableData!$B$10:$AN$59,17,FALSE),IF($G24="Nontradable",VLOOKUP($B24,ExteriorNontradableData!$B$10:$AM$59,17,FALSE),""))</f>
        <v/>
      </c>
      <c r="J24" s="1352" t="str">
        <f>IF($G24="Tradable",VLOOKUP($B24,ExteriorTradableData!$B$10:$AN$59,18,FALSE),IF($G24="Nontradable",VLOOKUP($B24,ExteriorNontradableData!$B$10:$AM$59,20,FALSE),""))</f>
        <v/>
      </c>
      <c r="K24" s="1321" t="str">
        <f>IF($G24="Tradable",VLOOKUP($B24,ExteriorTradableData!$B$10:$AN$59,36,FALSE),IF($G24="Nontradable",VLOOKUP($B24,ExteriorNontradableData!$B$10:$AM$59,37,FALSE),""))</f>
        <v/>
      </c>
      <c r="L24" s="1296"/>
      <c r="M24" s="1325" t="str">
        <f>IF($G24="Tradable",VLOOKUP($B24,ExteriorTradableData!$B$10:$AN$59,38,FALSE),IF($G24="Nontradable",VLOOKUP($B24,ExteriorNontradableData!$B$10:$AS$59,39,FALSE),""))</f>
        <v/>
      </c>
      <c r="N24" s="1326" t="str">
        <f>IF($G24="Tradable",VLOOKUP($B24,ExteriorTradableData!$B$10:$AT$59,43,FALSE),IF($G24="Nontradable",VLOOKUP($B24,ExteriorNontradableData!$B$10:$AS$59,44,FALSE),""))</f>
        <v/>
      </c>
      <c r="R24" s="1246" t="s">
        <v>1201</v>
      </c>
    </row>
    <row r="25" spans="2:18" ht="40" x14ac:dyDescent="0.2">
      <c r="B25" s="1479" t="str">
        <f>'Ext Area Schedule'!AT23</f>
        <v/>
      </c>
      <c r="C25" s="1480"/>
      <c r="D25" s="1480"/>
      <c r="E25" s="1480"/>
      <c r="F25" s="1481"/>
      <c r="G25" s="1351" t="str">
        <f>IF(B25="","",VLOOKUP(B25,'Ext Area Schedule'!AT$16:AY$115,6,FALSE))</f>
        <v/>
      </c>
      <c r="H25" s="1305" t="str">
        <f>IF($G25="Tradable",VLOOKUP($B25,ExteriorTradableData!$B$10:$AN$59,5,FALSE),IF($G25="Nontradable",VLOOKUP($B25,ExteriorNontradableData!$B$10:$AM$59,5,FALSE),""))</f>
        <v/>
      </c>
      <c r="I25" s="1290" t="str">
        <f>IF($G25="Tradable",VLOOKUP($B25,ExteriorTradableData!$B$10:$AN$59,17,FALSE),IF($G25="Nontradable",VLOOKUP($B25,ExteriorNontradableData!$B$10:$AM$59,17,FALSE),""))</f>
        <v/>
      </c>
      <c r="J25" s="1352" t="str">
        <f>IF($G25="Tradable",VLOOKUP($B25,ExteriorTradableData!$B$10:$AN$59,18,FALSE),IF($G25="Nontradable",VLOOKUP($B25,ExteriorNontradableData!$B$10:$AM$59,20,FALSE),""))</f>
        <v/>
      </c>
      <c r="K25" s="1321" t="str">
        <f>IF($G25="Tradable",VLOOKUP($B25,ExteriorTradableData!$B$10:$AN$59,36,FALSE),IF($G25="Nontradable",VLOOKUP($B25,ExteriorNontradableData!$B$10:$AM$59,37,FALSE),""))</f>
        <v/>
      </c>
      <c r="L25" s="1296"/>
      <c r="M25" s="1325" t="str">
        <f>IF($G25="Tradable",VLOOKUP($B25,ExteriorTradableData!$B$10:$AN$59,38,FALSE),IF($G25="Nontradable",VLOOKUP($B25,ExteriorNontradableData!$B$10:$AS$59,39,FALSE),""))</f>
        <v/>
      </c>
      <c r="N25" s="1326" t="str">
        <f>IF($G25="Tradable",VLOOKUP($B25,ExteriorTradableData!$B$10:$AT$59,43,FALSE),IF($G25="Nontradable",VLOOKUP($B25,ExteriorNontradableData!$B$10:$AS$59,44,FALSE),""))</f>
        <v/>
      </c>
      <c r="R25" s="1246" t="s">
        <v>1201</v>
      </c>
    </row>
    <row r="26" spans="2:18" ht="40" x14ac:dyDescent="0.2">
      <c r="B26" s="1479" t="str">
        <f>'Ext Area Schedule'!AT24</f>
        <v/>
      </c>
      <c r="C26" s="1480"/>
      <c r="D26" s="1480"/>
      <c r="E26" s="1480"/>
      <c r="F26" s="1481"/>
      <c r="G26" s="1351" t="str">
        <f>IF(B26="","",VLOOKUP(B26,'Ext Area Schedule'!AT$16:AY$115,6,FALSE))</f>
        <v/>
      </c>
      <c r="H26" s="1305" t="str">
        <f>IF($G26="Tradable",VLOOKUP($B26,ExteriorTradableData!$B$10:$AN$59,5,FALSE),IF($G26="Nontradable",VLOOKUP($B26,ExteriorNontradableData!$B$10:$AM$59,5,FALSE),""))</f>
        <v/>
      </c>
      <c r="I26" s="1290" t="str">
        <f>IF($G26="Tradable",VLOOKUP($B26,ExteriorTradableData!$B$10:$AN$59,17,FALSE),IF($G26="Nontradable",VLOOKUP($B26,ExteriorNontradableData!$B$10:$AM$59,17,FALSE),""))</f>
        <v/>
      </c>
      <c r="J26" s="1352" t="str">
        <f>IF($G26="Tradable",VLOOKUP($B26,ExteriorTradableData!$B$10:$AN$59,18,FALSE),IF($G26="Nontradable",VLOOKUP($B26,ExteriorNontradableData!$B$10:$AM$59,20,FALSE),""))</f>
        <v/>
      </c>
      <c r="K26" s="1321" t="str">
        <f>IF($G26="Tradable",VLOOKUP($B26,ExteriorTradableData!$B$10:$AN$59,36,FALSE),IF($G26="Nontradable",VLOOKUP($B26,ExteriorNontradableData!$B$10:$AM$59,37,FALSE),""))</f>
        <v/>
      </c>
      <c r="L26" s="1296"/>
      <c r="M26" s="1325" t="str">
        <f>IF($G26="Tradable",VLOOKUP($B26,ExteriorTradableData!$B$10:$AN$59,38,FALSE),IF($G26="Nontradable",VLOOKUP($B26,ExteriorNontradableData!$B$10:$AS$59,39,FALSE),""))</f>
        <v/>
      </c>
      <c r="N26" s="1326" t="str">
        <f>IF($G26="Tradable",VLOOKUP($B26,ExteriorTradableData!$B$10:$AT$59,43,FALSE),IF($G26="Nontradable",VLOOKUP($B26,ExteriorNontradableData!$B$10:$AS$59,44,FALSE),""))</f>
        <v/>
      </c>
      <c r="R26" s="1246" t="s">
        <v>1201</v>
      </c>
    </row>
    <row r="27" spans="2:18" ht="40" x14ac:dyDescent="0.2">
      <c r="B27" s="1479" t="str">
        <f>'Ext Area Schedule'!AT25</f>
        <v/>
      </c>
      <c r="C27" s="1480"/>
      <c r="D27" s="1480"/>
      <c r="E27" s="1480"/>
      <c r="F27" s="1481"/>
      <c r="G27" s="1351" t="str">
        <f>IF(B27="","",VLOOKUP(B27,'Ext Area Schedule'!AT$16:AY$115,6,FALSE))</f>
        <v/>
      </c>
      <c r="H27" s="1305" t="str">
        <f>IF($G27="Tradable",VLOOKUP($B27,ExteriorTradableData!$B$10:$AN$59,5,FALSE),IF($G27="Nontradable",VLOOKUP($B27,ExteriorNontradableData!$B$10:$AM$59,5,FALSE),""))</f>
        <v/>
      </c>
      <c r="I27" s="1290" t="str">
        <f>IF($G27="Tradable",VLOOKUP($B27,ExteriorTradableData!$B$10:$AN$59,17,FALSE),IF($G27="Nontradable",VLOOKUP($B27,ExteriorNontradableData!$B$10:$AM$59,17,FALSE),""))</f>
        <v/>
      </c>
      <c r="J27" s="1352" t="str">
        <f>IF($G27="Tradable",VLOOKUP($B27,ExteriorTradableData!$B$10:$AN$59,18,FALSE),IF($G27="Nontradable",VLOOKUP($B27,ExteriorNontradableData!$B$10:$AM$59,20,FALSE),""))</f>
        <v/>
      </c>
      <c r="K27" s="1321" t="str">
        <f>IF($G27="Tradable",VLOOKUP($B27,ExteriorTradableData!$B$10:$AN$59,36,FALSE),IF($G27="Nontradable",VLOOKUP($B27,ExteriorNontradableData!$B$10:$AM$59,37,FALSE),""))</f>
        <v/>
      </c>
      <c r="L27" s="1296"/>
      <c r="M27" s="1325" t="str">
        <f>IF($G27="Tradable",VLOOKUP($B27,ExteriorTradableData!$B$10:$AN$59,38,FALSE),IF($G27="Nontradable",VLOOKUP($B27,ExteriorNontradableData!$B$10:$AS$59,39,FALSE),""))</f>
        <v/>
      </c>
      <c r="N27" s="1326" t="str">
        <f>IF($G27="Tradable",VLOOKUP($B27,ExteriorTradableData!$B$10:$AT$59,43,FALSE),IF($G27="Nontradable",VLOOKUP($B27,ExteriorNontradableData!$B$10:$AS$59,44,FALSE),""))</f>
        <v/>
      </c>
      <c r="R27" s="1246" t="s">
        <v>1201</v>
      </c>
    </row>
    <row r="28" spans="2:18" ht="40" x14ac:dyDescent="0.2">
      <c r="B28" s="1479" t="str">
        <f>'Ext Area Schedule'!AT26</f>
        <v/>
      </c>
      <c r="C28" s="1480"/>
      <c r="D28" s="1480"/>
      <c r="E28" s="1480"/>
      <c r="F28" s="1481"/>
      <c r="G28" s="1351" t="str">
        <f>IF(B28="","",VLOOKUP(B28,'Ext Area Schedule'!AT$16:AY$115,6,FALSE))</f>
        <v/>
      </c>
      <c r="H28" s="1305" t="str">
        <f>IF($G28="Tradable",VLOOKUP($B28,ExteriorTradableData!$B$10:$AN$59,5,FALSE),IF($G28="Nontradable",VLOOKUP($B28,ExteriorNontradableData!$B$10:$AM$59,5,FALSE),""))</f>
        <v/>
      </c>
      <c r="I28" s="1290" t="str">
        <f>IF($G28="Tradable",VLOOKUP($B28,ExteriorTradableData!$B$10:$AN$59,17,FALSE),IF($G28="Nontradable",VLOOKUP($B28,ExteriorNontradableData!$B$10:$AM$59,17,FALSE),""))</f>
        <v/>
      </c>
      <c r="J28" s="1352" t="str">
        <f>IF($G28="Tradable",VLOOKUP($B28,ExteriorTradableData!$B$10:$AN$59,18,FALSE),IF($G28="Nontradable",VLOOKUP($B28,ExteriorNontradableData!$B$10:$AM$59,20,FALSE),""))</f>
        <v/>
      </c>
      <c r="K28" s="1321" t="str">
        <f>IF($G28="Tradable",VLOOKUP($B28,ExteriorTradableData!$B$10:$AN$59,36,FALSE),IF($G28="Nontradable",VLOOKUP($B28,ExteriorNontradableData!$B$10:$AM$59,37,FALSE),""))</f>
        <v/>
      </c>
      <c r="L28" s="1296"/>
      <c r="M28" s="1325" t="str">
        <f>IF($G28="Tradable",VLOOKUP($B28,ExteriorTradableData!$B$10:$AN$59,38,FALSE),IF($G28="Nontradable",VLOOKUP($B28,ExteriorNontradableData!$B$10:$AS$59,39,FALSE),""))</f>
        <v/>
      </c>
      <c r="N28" s="1326" t="str">
        <f>IF($G28="Tradable",VLOOKUP($B28,ExteriorTradableData!$B$10:$AT$59,43,FALSE),IF($G28="Nontradable",VLOOKUP($B28,ExteriorNontradableData!$B$10:$AS$59,44,FALSE),""))</f>
        <v/>
      </c>
      <c r="R28" s="1246" t="s">
        <v>1201</v>
      </c>
    </row>
    <row r="29" spans="2:18" ht="40" x14ac:dyDescent="0.2">
      <c r="B29" s="1479" t="str">
        <f>'Ext Area Schedule'!AT27</f>
        <v/>
      </c>
      <c r="C29" s="1480"/>
      <c r="D29" s="1480"/>
      <c r="E29" s="1480"/>
      <c r="F29" s="1481"/>
      <c r="G29" s="1351" t="str">
        <f>IF(B29="","",VLOOKUP(B29,'Ext Area Schedule'!AT$16:AY$115,6,FALSE))</f>
        <v/>
      </c>
      <c r="H29" s="1305" t="str">
        <f>IF($G29="Tradable",VLOOKUP($B29,ExteriorTradableData!$B$10:$AN$59,5,FALSE),IF($G29="Nontradable",VLOOKUP($B29,ExteriorNontradableData!$B$10:$AM$59,5,FALSE),""))</f>
        <v/>
      </c>
      <c r="I29" s="1290" t="str">
        <f>IF($G29="Tradable",VLOOKUP($B29,ExteriorTradableData!$B$10:$AN$59,17,FALSE),IF($G29="Nontradable",VLOOKUP($B29,ExteriorNontradableData!$B$10:$AM$59,17,FALSE),""))</f>
        <v/>
      </c>
      <c r="J29" s="1352" t="str">
        <f>IF($G29="Tradable",VLOOKUP($B29,ExteriorTradableData!$B$10:$AN$59,18,FALSE),IF($G29="Nontradable",VLOOKUP($B29,ExteriorNontradableData!$B$10:$AM$59,20,FALSE),""))</f>
        <v/>
      </c>
      <c r="K29" s="1321" t="str">
        <f>IF($G29="Tradable",VLOOKUP($B29,ExteriorTradableData!$B$10:$AN$59,36,FALSE),IF($G29="Nontradable",VLOOKUP($B29,ExteriorNontradableData!$B$10:$AM$59,37,FALSE),""))</f>
        <v/>
      </c>
      <c r="L29" s="1296"/>
      <c r="M29" s="1325" t="str">
        <f>IF($G29="Tradable",VLOOKUP($B29,ExteriorTradableData!$B$10:$AN$59,38,FALSE),IF($G29="Nontradable",VLOOKUP($B29,ExteriorNontradableData!$B$10:$AS$59,39,FALSE),""))</f>
        <v/>
      </c>
      <c r="N29" s="1326" t="str">
        <f>IF($G29="Tradable",VLOOKUP($B29,ExteriorTradableData!$B$10:$AT$59,43,FALSE),IF($G29="Nontradable",VLOOKUP($B29,ExteriorNontradableData!$B$10:$AS$59,44,FALSE),""))</f>
        <v/>
      </c>
      <c r="R29" s="1246" t="s">
        <v>1201</v>
      </c>
    </row>
    <row r="30" spans="2:18" ht="40" x14ac:dyDescent="0.2">
      <c r="B30" s="1479" t="str">
        <f>'Ext Area Schedule'!AT28</f>
        <v/>
      </c>
      <c r="C30" s="1480"/>
      <c r="D30" s="1480"/>
      <c r="E30" s="1480"/>
      <c r="F30" s="1481"/>
      <c r="G30" s="1351" t="str">
        <f>IF(B30="","",VLOOKUP(B30,'Ext Area Schedule'!AT$16:AY$115,6,FALSE))</f>
        <v/>
      </c>
      <c r="H30" s="1305" t="str">
        <f>IF($G30="Tradable",VLOOKUP($B30,ExteriorTradableData!$B$10:$AN$59,5,FALSE),IF($G30="Nontradable",VLOOKUP($B30,ExteriorNontradableData!$B$10:$AM$59,5,FALSE),""))</f>
        <v/>
      </c>
      <c r="I30" s="1290" t="str">
        <f>IF($G30="Tradable",VLOOKUP($B30,ExteriorTradableData!$B$10:$AN$59,17,FALSE),IF($G30="Nontradable",VLOOKUP($B30,ExteriorNontradableData!$B$10:$AM$59,17,FALSE),""))</f>
        <v/>
      </c>
      <c r="J30" s="1352" t="str">
        <f>IF($G30="Tradable",VLOOKUP($B30,ExteriorTradableData!$B$10:$AN$59,18,FALSE),IF($G30="Nontradable",VLOOKUP($B30,ExteriorNontradableData!$B$10:$AM$59,20,FALSE),""))</f>
        <v/>
      </c>
      <c r="K30" s="1321" t="str">
        <f>IF($G30="Tradable",VLOOKUP($B30,ExteriorTradableData!$B$10:$AN$59,36,FALSE),IF($G30="Nontradable",VLOOKUP($B30,ExteriorNontradableData!$B$10:$AM$59,37,FALSE),""))</f>
        <v/>
      </c>
      <c r="L30" s="1296"/>
      <c r="M30" s="1325" t="str">
        <f>IF($G30="Tradable",VLOOKUP($B30,ExteriorTradableData!$B$10:$AN$59,38,FALSE),IF($G30="Nontradable",VLOOKUP($B30,ExteriorNontradableData!$B$10:$AS$59,39,FALSE),""))</f>
        <v/>
      </c>
      <c r="N30" s="1326" t="str">
        <f>IF($G30="Tradable",VLOOKUP($B30,ExteriorTradableData!$B$10:$AT$59,43,FALSE),IF($G30="Nontradable",VLOOKUP($B30,ExteriorNontradableData!$B$10:$AS$59,44,FALSE),""))</f>
        <v/>
      </c>
      <c r="R30" s="1246" t="s">
        <v>1201</v>
      </c>
    </row>
    <row r="31" spans="2:18" ht="40" x14ac:dyDescent="0.2">
      <c r="B31" s="1479" t="str">
        <f>'Ext Area Schedule'!AT29</f>
        <v/>
      </c>
      <c r="C31" s="1480"/>
      <c r="D31" s="1480"/>
      <c r="E31" s="1480"/>
      <c r="F31" s="1481"/>
      <c r="G31" s="1351" t="str">
        <f>IF(B31="","",VLOOKUP(B31,'Ext Area Schedule'!AT$16:AY$115,6,FALSE))</f>
        <v/>
      </c>
      <c r="H31" s="1305" t="str">
        <f>IF($G31="Tradable",VLOOKUP($B31,ExteriorTradableData!$B$10:$AN$59,5,FALSE),IF($G31="Nontradable",VLOOKUP($B31,ExteriorNontradableData!$B$10:$AM$59,5,FALSE),""))</f>
        <v/>
      </c>
      <c r="I31" s="1290" t="str">
        <f>IF($G31="Tradable",VLOOKUP($B31,ExteriorTradableData!$B$10:$AN$59,17,FALSE),IF($G31="Nontradable",VLOOKUP($B31,ExteriorNontradableData!$B$10:$AM$59,17,FALSE),""))</f>
        <v/>
      </c>
      <c r="J31" s="1352" t="str">
        <f>IF($G31="Tradable",VLOOKUP($B31,ExteriorTradableData!$B$10:$AN$59,18,FALSE),IF($G31="Nontradable",VLOOKUP($B31,ExteriorNontradableData!$B$10:$AM$59,20,FALSE),""))</f>
        <v/>
      </c>
      <c r="K31" s="1321" t="str">
        <f>IF($G31="Tradable",VLOOKUP($B31,ExteriorTradableData!$B$10:$AN$59,36,FALSE),IF($G31="Nontradable",VLOOKUP($B31,ExteriorNontradableData!$B$10:$AM$59,37,FALSE),""))</f>
        <v/>
      </c>
      <c r="L31" s="1296"/>
      <c r="M31" s="1325" t="str">
        <f>IF($G31="Tradable",VLOOKUP($B31,ExteriorTradableData!$B$10:$AN$59,38,FALSE),IF($G31="Nontradable",VLOOKUP($B31,ExteriorNontradableData!$B$10:$AS$59,39,FALSE),""))</f>
        <v/>
      </c>
      <c r="N31" s="1326" t="str">
        <f>IF($G31="Tradable",VLOOKUP($B31,ExteriorTradableData!$B$10:$AT$59,43,FALSE),IF($G31="Nontradable",VLOOKUP($B31,ExteriorNontradableData!$B$10:$AS$59,44,FALSE),""))</f>
        <v/>
      </c>
      <c r="R31" s="1246" t="s">
        <v>1201</v>
      </c>
    </row>
    <row r="32" spans="2:18" ht="40" x14ac:dyDescent="0.2">
      <c r="B32" s="1479" t="str">
        <f>'Ext Area Schedule'!AT30</f>
        <v/>
      </c>
      <c r="C32" s="1480"/>
      <c r="D32" s="1480"/>
      <c r="E32" s="1480"/>
      <c r="F32" s="1481"/>
      <c r="G32" s="1351" t="str">
        <f>IF(B32="","",VLOOKUP(B32,'Ext Area Schedule'!AT$16:AY$115,6,FALSE))</f>
        <v/>
      </c>
      <c r="H32" s="1305" t="str">
        <f>IF($G32="Tradable",VLOOKUP($B32,ExteriorTradableData!$B$10:$AN$59,5,FALSE),IF($G32="Nontradable",VLOOKUP($B32,ExteriorNontradableData!$B$10:$AM$59,5,FALSE),""))</f>
        <v/>
      </c>
      <c r="I32" s="1290" t="str">
        <f>IF($G32="Tradable",VLOOKUP($B32,ExteriorTradableData!$B$10:$AN$59,17,FALSE),IF($G32="Nontradable",VLOOKUP($B32,ExteriorNontradableData!$B$10:$AM$59,17,FALSE),""))</f>
        <v/>
      </c>
      <c r="J32" s="1352" t="str">
        <f>IF($G32="Tradable",VLOOKUP($B32,ExteriorTradableData!$B$10:$AN$59,18,FALSE),IF($G32="Nontradable",VLOOKUP($B32,ExteriorNontradableData!$B$10:$AM$59,20,FALSE),""))</f>
        <v/>
      </c>
      <c r="K32" s="1321" t="str">
        <f>IF($G32="Tradable",VLOOKUP($B32,ExteriorTradableData!$B$10:$AN$59,36,FALSE),IF($G32="Nontradable",VLOOKUP($B32,ExteriorNontradableData!$B$10:$AM$59,37,FALSE),""))</f>
        <v/>
      </c>
      <c r="L32" s="1296"/>
      <c r="M32" s="1325" t="str">
        <f>IF($G32="Tradable",VLOOKUP($B32,ExteriorTradableData!$B$10:$AN$59,38,FALSE),IF($G32="Nontradable",VLOOKUP($B32,ExteriorNontradableData!$B$10:$AS$59,39,FALSE),""))</f>
        <v/>
      </c>
      <c r="N32" s="1326" t="str">
        <f>IF($G32="Tradable",VLOOKUP($B32,ExteriorTradableData!$B$10:$AT$59,43,FALSE),IF($G32="Nontradable",VLOOKUP($B32,ExteriorNontradableData!$B$10:$AS$59,44,FALSE),""))</f>
        <v/>
      </c>
      <c r="R32" s="1246" t="s">
        <v>1201</v>
      </c>
    </row>
    <row r="33" spans="2:18" ht="40" x14ac:dyDescent="0.2">
      <c r="B33" s="1479" t="str">
        <f>'Ext Area Schedule'!AT31</f>
        <v/>
      </c>
      <c r="C33" s="1480"/>
      <c r="D33" s="1480"/>
      <c r="E33" s="1480"/>
      <c r="F33" s="1481"/>
      <c r="G33" s="1351" t="str">
        <f>IF(B33="","",VLOOKUP(B33,'Ext Area Schedule'!AT$16:AY$115,6,FALSE))</f>
        <v/>
      </c>
      <c r="H33" s="1305" t="str">
        <f>IF($G33="Tradable",VLOOKUP($B33,ExteriorTradableData!$B$10:$AN$59,5,FALSE),IF($G33="Nontradable",VLOOKUP($B33,ExteriorNontradableData!$B$10:$AM$59,5,FALSE),""))</f>
        <v/>
      </c>
      <c r="I33" s="1290" t="str">
        <f>IF($G33="Tradable",VLOOKUP($B33,ExteriorTradableData!$B$10:$AN$59,17,FALSE),IF($G33="Nontradable",VLOOKUP($B33,ExteriorNontradableData!$B$10:$AM$59,17,FALSE),""))</f>
        <v/>
      </c>
      <c r="J33" s="1352" t="str">
        <f>IF($G33="Tradable",VLOOKUP($B33,ExteriorTradableData!$B$10:$AN$59,18,FALSE),IF($G33="Nontradable",VLOOKUP($B33,ExteriorNontradableData!$B$10:$AM$59,20,FALSE),""))</f>
        <v/>
      </c>
      <c r="K33" s="1321" t="str">
        <f>IF($G33="Tradable",VLOOKUP($B33,ExteriorTradableData!$B$10:$AN$59,36,FALSE),IF($G33="Nontradable",VLOOKUP($B33,ExteriorNontradableData!$B$10:$AM$59,37,FALSE),""))</f>
        <v/>
      </c>
      <c r="L33" s="1296"/>
      <c r="M33" s="1325" t="str">
        <f>IF($G33="Tradable",VLOOKUP($B33,ExteriorTradableData!$B$10:$AN$59,38,FALSE),IF($G33="Nontradable",VLOOKUP($B33,ExteriorNontradableData!$B$10:$AS$59,39,FALSE),""))</f>
        <v/>
      </c>
      <c r="N33" s="1326" t="str">
        <f>IF($G33="Tradable",VLOOKUP($B33,ExteriorTradableData!$B$10:$AT$59,43,FALSE),IF($G33="Nontradable",VLOOKUP($B33,ExteriorNontradableData!$B$10:$AS$59,44,FALSE),""))</f>
        <v/>
      </c>
      <c r="R33" s="1246" t="s">
        <v>1201</v>
      </c>
    </row>
    <row r="34" spans="2:18" ht="40" x14ac:dyDescent="0.2">
      <c r="B34" s="1479" t="str">
        <f>'Ext Area Schedule'!AT32</f>
        <v/>
      </c>
      <c r="C34" s="1480"/>
      <c r="D34" s="1480"/>
      <c r="E34" s="1480"/>
      <c r="F34" s="1481"/>
      <c r="G34" s="1351" t="str">
        <f>IF(B34="","",VLOOKUP(B34,'Ext Area Schedule'!AT$16:AY$115,6,FALSE))</f>
        <v/>
      </c>
      <c r="H34" s="1305" t="str">
        <f>IF($G34="Tradable",VLOOKUP($B34,ExteriorTradableData!$B$10:$AN$59,5,FALSE),IF($G34="Nontradable",VLOOKUP($B34,ExteriorNontradableData!$B$10:$AM$59,5,FALSE),""))</f>
        <v/>
      </c>
      <c r="I34" s="1290" t="str">
        <f>IF($G34="Tradable",VLOOKUP($B34,ExteriorTradableData!$B$10:$AN$59,17,FALSE),IF($G34="Nontradable",VLOOKUP($B34,ExteriorNontradableData!$B$10:$AM$59,17,FALSE),""))</f>
        <v/>
      </c>
      <c r="J34" s="1352" t="str">
        <f>IF($G34="Tradable",VLOOKUP($B34,ExteriorTradableData!$B$10:$AN$59,18,FALSE),IF($G34="Nontradable",VLOOKUP($B34,ExteriorNontradableData!$B$10:$AM$59,20,FALSE),""))</f>
        <v/>
      </c>
      <c r="K34" s="1321" t="str">
        <f>IF($G34="Tradable",VLOOKUP($B34,ExteriorTradableData!$B$10:$AN$59,36,FALSE),IF($G34="Nontradable",VLOOKUP($B34,ExteriorNontradableData!$B$10:$AM$59,37,FALSE),""))</f>
        <v/>
      </c>
      <c r="L34" s="1296"/>
      <c r="M34" s="1325" t="str">
        <f>IF($G34="Tradable",VLOOKUP($B34,ExteriorTradableData!$B$10:$AN$59,38,FALSE),IF($G34="Nontradable",VLOOKUP($B34,ExteriorNontradableData!$B$10:$AS$59,39,FALSE),""))</f>
        <v/>
      </c>
      <c r="N34" s="1326" t="str">
        <f>IF($G34="Tradable",VLOOKUP($B34,ExteriorTradableData!$B$10:$AT$59,43,FALSE),IF($G34="Nontradable",VLOOKUP($B34,ExteriorNontradableData!$B$10:$AS$59,44,FALSE),""))</f>
        <v/>
      </c>
      <c r="R34" s="1246" t="s">
        <v>1201</v>
      </c>
    </row>
    <row r="35" spans="2:18" ht="40" x14ac:dyDescent="0.2">
      <c r="B35" s="1479" t="str">
        <f>'Ext Area Schedule'!AT33</f>
        <v/>
      </c>
      <c r="C35" s="1480"/>
      <c r="D35" s="1480"/>
      <c r="E35" s="1480"/>
      <c r="F35" s="1481"/>
      <c r="G35" s="1351" t="str">
        <f>IF(B35="","",VLOOKUP(B35,'Ext Area Schedule'!AT$16:AY$115,6,FALSE))</f>
        <v/>
      </c>
      <c r="H35" s="1305" t="str">
        <f>IF($G35="Tradable",VLOOKUP($B35,ExteriorTradableData!$B$10:$AN$59,5,FALSE),IF($G35="Nontradable",VLOOKUP($B35,ExteriorNontradableData!$B$10:$AM$59,5,FALSE),""))</f>
        <v/>
      </c>
      <c r="I35" s="1290" t="str">
        <f>IF($G35="Tradable",VLOOKUP($B35,ExteriorTradableData!$B$10:$AN$59,17,FALSE),IF($G35="Nontradable",VLOOKUP($B35,ExteriorNontradableData!$B$10:$AM$59,17,FALSE),""))</f>
        <v/>
      </c>
      <c r="J35" s="1352" t="str">
        <f>IF($G35="Tradable",VLOOKUP($B35,ExteriorTradableData!$B$10:$AN$59,18,FALSE),IF($G35="Nontradable",VLOOKUP($B35,ExteriorNontradableData!$B$10:$AM$59,20,FALSE),""))</f>
        <v/>
      </c>
      <c r="K35" s="1321" t="str">
        <f>IF($G35="Tradable",VLOOKUP($B35,ExteriorTradableData!$B$10:$AN$59,36,FALSE),IF($G35="Nontradable",VLOOKUP($B35,ExteriorNontradableData!$B$10:$AM$59,37,FALSE),""))</f>
        <v/>
      </c>
      <c r="L35" s="1296"/>
      <c r="M35" s="1325" t="str">
        <f>IF($G35="Tradable",VLOOKUP($B35,ExteriorTradableData!$B$10:$AN$59,38,FALSE),IF($G35="Nontradable",VLOOKUP($B35,ExteriorNontradableData!$B$10:$AS$59,39,FALSE),""))</f>
        <v/>
      </c>
      <c r="N35" s="1326" t="str">
        <f>IF($G35="Tradable",VLOOKUP($B35,ExteriorTradableData!$B$10:$AT$59,43,FALSE),IF($G35="Nontradable",VLOOKUP($B35,ExteriorNontradableData!$B$10:$AS$59,44,FALSE),""))</f>
        <v/>
      </c>
      <c r="R35" s="1246" t="s">
        <v>1201</v>
      </c>
    </row>
    <row r="36" spans="2:18" ht="40" x14ac:dyDescent="0.2">
      <c r="B36" s="1479" t="str">
        <f>'Ext Area Schedule'!AT34</f>
        <v/>
      </c>
      <c r="C36" s="1480"/>
      <c r="D36" s="1480"/>
      <c r="E36" s="1480"/>
      <c r="F36" s="1481"/>
      <c r="G36" s="1351" t="str">
        <f>IF(B36="","",VLOOKUP(B36,'Ext Area Schedule'!AT$16:AY$115,6,FALSE))</f>
        <v/>
      </c>
      <c r="H36" s="1305" t="str">
        <f>IF($G36="Tradable",VLOOKUP($B36,ExteriorTradableData!$B$10:$AN$59,5,FALSE),IF($G36="Nontradable",VLOOKUP($B36,ExteriorNontradableData!$B$10:$AM$59,5,FALSE),""))</f>
        <v/>
      </c>
      <c r="I36" s="1290" t="str">
        <f>IF($G36="Tradable",VLOOKUP($B36,ExteriorTradableData!$B$10:$AN$59,17,FALSE),IF($G36="Nontradable",VLOOKUP($B36,ExteriorNontradableData!$B$10:$AM$59,17,FALSE),""))</f>
        <v/>
      </c>
      <c r="J36" s="1352" t="str">
        <f>IF($G36="Tradable",VLOOKUP($B36,ExteriorTradableData!$B$10:$AN$59,18,FALSE),IF($G36="Nontradable",VLOOKUP($B36,ExteriorNontradableData!$B$10:$AM$59,20,FALSE),""))</f>
        <v/>
      </c>
      <c r="K36" s="1321" t="str">
        <f>IF($G36="Tradable",VLOOKUP($B36,ExteriorTradableData!$B$10:$AN$59,36,FALSE),IF($G36="Nontradable",VLOOKUP($B36,ExteriorNontradableData!$B$10:$AM$59,37,FALSE),""))</f>
        <v/>
      </c>
      <c r="L36" s="1296"/>
      <c r="M36" s="1325" t="str">
        <f>IF($G36="Tradable",VLOOKUP($B36,ExteriorTradableData!$B$10:$AN$59,38,FALSE),IF($G36="Nontradable",VLOOKUP($B36,ExteriorNontradableData!$B$10:$AS$59,39,FALSE),""))</f>
        <v/>
      </c>
      <c r="N36" s="1326" t="str">
        <f>IF($G36="Tradable",VLOOKUP($B36,ExteriorTradableData!$B$10:$AT$59,43,FALSE),IF($G36="Nontradable",VLOOKUP($B36,ExteriorNontradableData!$B$10:$AS$59,44,FALSE),""))</f>
        <v/>
      </c>
      <c r="R36" s="1246" t="s">
        <v>1201</v>
      </c>
    </row>
    <row r="37" spans="2:18" ht="40" x14ac:dyDescent="0.2">
      <c r="B37" s="1479" t="str">
        <f>'Ext Area Schedule'!AT35</f>
        <v/>
      </c>
      <c r="C37" s="1480"/>
      <c r="D37" s="1480"/>
      <c r="E37" s="1480"/>
      <c r="F37" s="1481"/>
      <c r="G37" s="1351" t="str">
        <f>IF(B37="","",VLOOKUP(B37,'Ext Area Schedule'!AT$16:AY$115,6,FALSE))</f>
        <v/>
      </c>
      <c r="H37" s="1305" t="str">
        <f>IF($G37="Tradable",VLOOKUP($B37,ExteriorTradableData!$B$10:$AN$59,5,FALSE),IF($G37="Nontradable",VLOOKUP($B37,ExteriorNontradableData!$B$10:$AM$59,5,FALSE),""))</f>
        <v/>
      </c>
      <c r="I37" s="1290" t="str">
        <f>IF($G37="Tradable",VLOOKUP($B37,ExteriorTradableData!$B$10:$AN$59,17,FALSE),IF($G37="Nontradable",VLOOKUP($B37,ExteriorNontradableData!$B$10:$AM$59,17,FALSE),""))</f>
        <v/>
      </c>
      <c r="J37" s="1352" t="str">
        <f>IF($G37="Tradable",VLOOKUP($B37,ExteriorTradableData!$B$10:$AN$59,18,FALSE),IF($G37="Nontradable",VLOOKUP($B37,ExteriorNontradableData!$B$10:$AM$59,20,FALSE),""))</f>
        <v/>
      </c>
      <c r="K37" s="1321" t="str">
        <f>IF($G37="Tradable",VLOOKUP($B37,ExteriorTradableData!$B$10:$AN$59,36,FALSE),IF($G37="Nontradable",VLOOKUP($B37,ExteriorNontradableData!$B$10:$AM$59,37,FALSE),""))</f>
        <v/>
      </c>
      <c r="L37" s="1296"/>
      <c r="M37" s="1325" t="str">
        <f>IF($G37="Tradable",VLOOKUP($B37,ExteriorTradableData!$B$10:$AN$59,38,FALSE),IF($G37="Nontradable",VLOOKUP($B37,ExteriorNontradableData!$B$10:$AS$59,39,FALSE),""))</f>
        <v/>
      </c>
      <c r="N37" s="1326" t="str">
        <f>IF($G37="Tradable",VLOOKUP($B37,ExteriorTradableData!$B$10:$AT$59,43,FALSE),IF($G37="Nontradable",VLOOKUP($B37,ExteriorNontradableData!$B$10:$AS$59,44,FALSE),""))</f>
        <v/>
      </c>
      <c r="R37" s="1246" t="s">
        <v>1201</v>
      </c>
    </row>
    <row r="38" spans="2:18" ht="40" x14ac:dyDescent="0.2">
      <c r="B38" s="1479" t="str">
        <f>'Ext Area Schedule'!AT36</f>
        <v/>
      </c>
      <c r="C38" s="1480"/>
      <c r="D38" s="1480"/>
      <c r="E38" s="1480"/>
      <c r="F38" s="1481"/>
      <c r="G38" s="1351" t="str">
        <f>IF(B38="","",VLOOKUP(B38,'Ext Area Schedule'!AT$16:AY$115,6,FALSE))</f>
        <v/>
      </c>
      <c r="H38" s="1305" t="str">
        <f>IF($G38="Tradable",VLOOKUP($B38,ExteriorTradableData!$B$10:$AN$59,5,FALSE),IF($G38="Nontradable",VLOOKUP($B38,ExteriorNontradableData!$B$10:$AM$59,5,FALSE),""))</f>
        <v/>
      </c>
      <c r="I38" s="1290" t="str">
        <f>IF($G38="Tradable",VLOOKUP($B38,ExteriorTradableData!$B$10:$AN$59,17,FALSE),IF($G38="Nontradable",VLOOKUP($B38,ExteriorNontradableData!$B$10:$AM$59,17,FALSE),""))</f>
        <v/>
      </c>
      <c r="J38" s="1352" t="str">
        <f>IF($G38="Tradable",VLOOKUP($B38,ExteriorTradableData!$B$10:$AN$59,18,FALSE),IF($G38="Nontradable",VLOOKUP($B38,ExteriorNontradableData!$B$10:$AM$59,20,FALSE),""))</f>
        <v/>
      </c>
      <c r="K38" s="1321" t="str">
        <f>IF($G38="Tradable",VLOOKUP($B38,ExteriorTradableData!$B$10:$AN$59,36,FALSE),IF($G38="Nontradable",VLOOKUP($B38,ExteriorNontradableData!$B$10:$AM$59,37,FALSE),""))</f>
        <v/>
      </c>
      <c r="L38" s="1296"/>
      <c r="M38" s="1325" t="str">
        <f>IF($G38="Tradable",VLOOKUP($B38,ExteriorTradableData!$B$10:$AN$59,38,FALSE),IF($G38="Nontradable",VLOOKUP($B38,ExteriorNontradableData!$B$10:$AS$59,39,FALSE),""))</f>
        <v/>
      </c>
      <c r="N38" s="1326" t="str">
        <f>IF($G38="Tradable",VLOOKUP($B38,ExteriorTradableData!$B$10:$AT$59,43,FALSE),IF($G38="Nontradable",VLOOKUP($B38,ExteriorNontradableData!$B$10:$AS$59,44,FALSE),""))</f>
        <v/>
      </c>
      <c r="R38" s="1246" t="s">
        <v>1201</v>
      </c>
    </row>
    <row r="39" spans="2:18" ht="40" x14ac:dyDescent="0.2">
      <c r="B39" s="1479" t="str">
        <f>'Ext Area Schedule'!AT37</f>
        <v/>
      </c>
      <c r="C39" s="1480"/>
      <c r="D39" s="1480"/>
      <c r="E39" s="1480"/>
      <c r="F39" s="1481"/>
      <c r="G39" s="1351" t="str">
        <f>IF(B39="","",VLOOKUP(B39,'Ext Area Schedule'!AT$16:AY$115,6,FALSE))</f>
        <v/>
      </c>
      <c r="H39" s="1305" t="str">
        <f>IF($G39="Tradable",VLOOKUP($B39,ExteriorTradableData!$B$10:$AN$59,5,FALSE),IF($G39="Nontradable",VLOOKUP($B39,ExteriorNontradableData!$B$10:$AM$59,5,FALSE),""))</f>
        <v/>
      </c>
      <c r="I39" s="1290" t="str">
        <f>IF($G39="Tradable",VLOOKUP($B39,ExteriorTradableData!$B$10:$AN$59,17,FALSE),IF($G39="Nontradable",VLOOKUP($B39,ExteriorNontradableData!$B$10:$AM$59,17,FALSE),""))</f>
        <v/>
      </c>
      <c r="J39" s="1352" t="str">
        <f>IF($G39="Tradable",VLOOKUP($B39,ExteriorTradableData!$B$10:$AN$59,18,FALSE),IF($G39="Nontradable",VLOOKUP($B39,ExteriorNontradableData!$B$10:$AM$59,20,FALSE),""))</f>
        <v/>
      </c>
      <c r="K39" s="1321" t="str">
        <f>IF($G39="Tradable",VLOOKUP($B39,ExteriorTradableData!$B$10:$AN$59,36,FALSE),IF($G39="Nontradable",VLOOKUP($B39,ExteriorNontradableData!$B$10:$AM$59,37,FALSE),""))</f>
        <v/>
      </c>
      <c r="L39" s="1296"/>
      <c r="M39" s="1325" t="str">
        <f>IF($G39="Tradable",VLOOKUP($B39,ExteriorTradableData!$B$10:$AN$59,38,FALSE),IF($G39="Nontradable",VLOOKUP($B39,ExteriorNontradableData!$B$10:$AS$59,39,FALSE),""))</f>
        <v/>
      </c>
      <c r="N39" s="1326" t="str">
        <f>IF($G39="Tradable",VLOOKUP($B39,ExteriorTradableData!$B$10:$AT$59,43,FALSE),IF($G39="Nontradable",VLOOKUP($B39,ExteriorNontradableData!$B$10:$AS$59,44,FALSE),""))</f>
        <v/>
      </c>
      <c r="R39" s="1246" t="s">
        <v>1201</v>
      </c>
    </row>
    <row r="40" spans="2:18" ht="40" x14ac:dyDescent="0.2">
      <c r="B40" s="1479" t="str">
        <f>'Ext Area Schedule'!AT38</f>
        <v/>
      </c>
      <c r="C40" s="1480"/>
      <c r="D40" s="1480"/>
      <c r="E40" s="1480"/>
      <c r="F40" s="1481"/>
      <c r="G40" s="1351" t="str">
        <f>IF(B40="","",VLOOKUP(B40,'Ext Area Schedule'!AT$16:AY$115,6,FALSE))</f>
        <v/>
      </c>
      <c r="H40" s="1305" t="str">
        <f>IF($G40="Tradable",VLOOKUP($B40,ExteriorTradableData!$B$10:$AN$59,5,FALSE),IF($G40="Nontradable",VLOOKUP($B40,ExteriorNontradableData!$B$10:$AM$59,5,FALSE),""))</f>
        <v/>
      </c>
      <c r="I40" s="1290" t="str">
        <f>IF($G40="Tradable",VLOOKUP($B40,ExteriorTradableData!$B$10:$AN$59,17,FALSE),IF($G40="Nontradable",VLOOKUP($B40,ExteriorNontradableData!$B$10:$AM$59,17,FALSE),""))</f>
        <v/>
      </c>
      <c r="J40" s="1352" t="str">
        <f>IF($G40="Tradable",VLOOKUP($B40,ExteriorTradableData!$B$10:$AN$59,18,FALSE),IF($G40="Nontradable",VLOOKUP($B40,ExteriorNontradableData!$B$10:$AM$59,20,FALSE),""))</f>
        <v/>
      </c>
      <c r="K40" s="1321" t="str">
        <f>IF($G40="Tradable",VLOOKUP($B40,ExteriorTradableData!$B$10:$AN$59,36,FALSE),IF($G40="Nontradable",VLOOKUP($B40,ExteriorNontradableData!$B$10:$AM$59,37,FALSE),""))</f>
        <v/>
      </c>
      <c r="L40" s="1296"/>
      <c r="M40" s="1325" t="str">
        <f>IF($G40="Tradable",VLOOKUP($B40,ExteriorTradableData!$B$10:$AN$59,38,FALSE),IF($G40="Nontradable",VLOOKUP($B40,ExteriorNontradableData!$B$10:$AS$59,39,FALSE),""))</f>
        <v/>
      </c>
      <c r="N40" s="1326" t="str">
        <f>IF($G40="Tradable",VLOOKUP($B40,ExteriorTradableData!$B$10:$AT$59,43,FALSE),IF($G40="Nontradable",VLOOKUP($B40,ExteriorNontradableData!$B$10:$AS$59,44,FALSE),""))</f>
        <v/>
      </c>
      <c r="R40" s="1246" t="s">
        <v>1201</v>
      </c>
    </row>
    <row r="41" spans="2:18" ht="40" x14ac:dyDescent="0.2">
      <c r="B41" s="1479" t="str">
        <f>'Ext Area Schedule'!AT39</f>
        <v/>
      </c>
      <c r="C41" s="1480"/>
      <c r="D41" s="1480"/>
      <c r="E41" s="1480"/>
      <c r="F41" s="1481"/>
      <c r="G41" s="1351" t="str">
        <f>IF(B41="","",VLOOKUP(B41,'Ext Area Schedule'!AT$16:AY$115,6,FALSE))</f>
        <v/>
      </c>
      <c r="H41" s="1305" t="str">
        <f>IF($G41="Tradable",VLOOKUP($B41,ExteriorTradableData!$B$10:$AN$59,5,FALSE),IF($G41="Nontradable",VLOOKUP($B41,ExteriorNontradableData!$B$10:$AM$59,5,FALSE),""))</f>
        <v/>
      </c>
      <c r="I41" s="1290" t="str">
        <f>IF($G41="Tradable",VLOOKUP($B41,ExteriorTradableData!$B$10:$AN$59,17,FALSE),IF($G41="Nontradable",VLOOKUP($B41,ExteriorNontradableData!$B$10:$AM$59,17,FALSE),""))</f>
        <v/>
      </c>
      <c r="J41" s="1352" t="str">
        <f>IF($G41="Tradable",VLOOKUP($B41,ExteriorTradableData!$B$10:$AN$59,18,FALSE),IF($G41="Nontradable",VLOOKUP($B41,ExteriorNontradableData!$B$10:$AM$59,20,FALSE),""))</f>
        <v/>
      </c>
      <c r="K41" s="1321" t="str">
        <f>IF($G41="Tradable",VLOOKUP($B41,ExteriorTradableData!$B$10:$AN$59,36,FALSE),IF($G41="Nontradable",VLOOKUP($B41,ExteriorNontradableData!$B$10:$AM$59,37,FALSE),""))</f>
        <v/>
      </c>
      <c r="L41" s="1296"/>
      <c r="M41" s="1325" t="str">
        <f>IF($G41="Tradable",VLOOKUP($B41,ExteriorTradableData!$B$10:$AN$59,38,FALSE),IF($G41="Nontradable",VLOOKUP($B41,ExteriorNontradableData!$B$10:$AS$59,39,FALSE),""))</f>
        <v/>
      </c>
      <c r="N41" s="1326" t="str">
        <f>IF($G41="Tradable",VLOOKUP($B41,ExteriorTradableData!$B$10:$AT$59,43,FALSE),IF($G41="Nontradable",VLOOKUP($B41,ExteriorNontradableData!$B$10:$AS$59,44,FALSE),""))</f>
        <v/>
      </c>
      <c r="R41" s="1246" t="s">
        <v>1201</v>
      </c>
    </row>
    <row r="42" spans="2:18" ht="40" x14ac:dyDescent="0.2">
      <c r="B42" s="1479" t="str">
        <f>'Ext Area Schedule'!AT40</f>
        <v/>
      </c>
      <c r="C42" s="1480"/>
      <c r="D42" s="1480"/>
      <c r="E42" s="1480"/>
      <c r="F42" s="1481"/>
      <c r="G42" s="1351" t="str">
        <f>IF(B42="","",VLOOKUP(B42,'Ext Area Schedule'!AT$16:AY$115,6,FALSE))</f>
        <v/>
      </c>
      <c r="H42" s="1305" t="str">
        <f>IF($G42="Tradable",VLOOKUP($B42,ExteriorTradableData!$B$10:$AN$59,5,FALSE),IF($G42="Nontradable",VLOOKUP($B42,ExteriorNontradableData!$B$10:$AM$59,5,FALSE),""))</f>
        <v/>
      </c>
      <c r="I42" s="1290" t="str">
        <f>IF($G42="Tradable",VLOOKUP($B42,ExteriorTradableData!$B$10:$AN$59,17,FALSE),IF($G42="Nontradable",VLOOKUP($B42,ExteriorNontradableData!$B$10:$AM$59,17,FALSE),""))</f>
        <v/>
      </c>
      <c r="J42" s="1352" t="str">
        <f>IF($G42="Tradable",VLOOKUP($B42,ExteriorTradableData!$B$10:$AN$59,18,FALSE),IF($G42="Nontradable",VLOOKUP($B42,ExteriorNontradableData!$B$10:$AM$59,20,FALSE),""))</f>
        <v/>
      </c>
      <c r="K42" s="1321" t="str">
        <f>IF($G42="Tradable",VLOOKUP($B42,ExteriorTradableData!$B$10:$AN$59,36,FALSE),IF($G42="Nontradable",VLOOKUP($B42,ExteriorNontradableData!$B$10:$AM$59,37,FALSE),""))</f>
        <v/>
      </c>
      <c r="L42" s="1296"/>
      <c r="M42" s="1325" t="str">
        <f>IF($G42="Tradable",VLOOKUP($B42,ExteriorTradableData!$B$10:$AN$59,38,FALSE),IF($G42="Nontradable",VLOOKUP($B42,ExteriorNontradableData!$B$10:$AS$59,39,FALSE),""))</f>
        <v/>
      </c>
      <c r="N42" s="1326" t="str">
        <f>IF($G42="Tradable",VLOOKUP($B42,ExteriorTradableData!$B$10:$AT$59,43,FALSE),IF($G42="Nontradable",VLOOKUP($B42,ExteriorNontradableData!$B$10:$AS$59,44,FALSE),""))</f>
        <v/>
      </c>
      <c r="R42" s="1246" t="s">
        <v>1201</v>
      </c>
    </row>
    <row r="43" spans="2:18" ht="40" x14ac:dyDescent="0.2">
      <c r="B43" s="1479" t="str">
        <f>'Ext Area Schedule'!AT41</f>
        <v/>
      </c>
      <c r="C43" s="1480"/>
      <c r="D43" s="1480"/>
      <c r="E43" s="1480"/>
      <c r="F43" s="1481"/>
      <c r="G43" s="1351" t="str">
        <f>IF(B43="","",VLOOKUP(B43,'Ext Area Schedule'!AT$16:AY$115,6,FALSE))</f>
        <v/>
      </c>
      <c r="H43" s="1305" t="str">
        <f>IF($G43="Tradable",VLOOKUP($B43,ExteriorTradableData!$B$10:$AN$59,5,FALSE),IF($G43="Nontradable",VLOOKUP($B43,ExteriorNontradableData!$B$10:$AM$59,5,FALSE),""))</f>
        <v/>
      </c>
      <c r="I43" s="1290" t="str">
        <f>IF($G43="Tradable",VLOOKUP($B43,ExteriorTradableData!$B$10:$AN$59,17,FALSE),IF($G43="Nontradable",VLOOKUP($B43,ExteriorNontradableData!$B$10:$AM$59,17,FALSE),""))</f>
        <v/>
      </c>
      <c r="J43" s="1352" t="str">
        <f>IF($G43="Tradable",VLOOKUP($B43,ExteriorTradableData!$B$10:$AN$59,18,FALSE),IF($G43="Nontradable",VLOOKUP($B43,ExteriorNontradableData!$B$10:$AM$59,20,FALSE),""))</f>
        <v/>
      </c>
      <c r="K43" s="1321" t="str">
        <f>IF($G43="Tradable",VLOOKUP($B43,ExteriorTradableData!$B$10:$AN$59,36,FALSE),IF($G43="Nontradable",VLOOKUP($B43,ExteriorNontradableData!$B$10:$AM$59,37,FALSE),""))</f>
        <v/>
      </c>
      <c r="L43" s="1296"/>
      <c r="M43" s="1325" t="str">
        <f>IF($G43="Tradable",VLOOKUP($B43,ExteriorTradableData!$B$10:$AN$59,38,FALSE),IF($G43="Nontradable",VLOOKUP($B43,ExteriorNontradableData!$B$10:$AS$59,39,FALSE),""))</f>
        <v/>
      </c>
      <c r="N43" s="1326" t="str">
        <f>IF($G43="Tradable",VLOOKUP($B43,ExteriorTradableData!$B$10:$AT$59,43,FALSE),IF($G43="Nontradable",VLOOKUP($B43,ExteriorNontradableData!$B$10:$AS$59,44,FALSE),""))</f>
        <v/>
      </c>
      <c r="R43" s="1246" t="s">
        <v>1201</v>
      </c>
    </row>
    <row r="44" spans="2:18" ht="40" x14ac:dyDescent="0.2">
      <c r="B44" s="1479" t="str">
        <f>'Ext Area Schedule'!AT42</f>
        <v/>
      </c>
      <c r="C44" s="1480"/>
      <c r="D44" s="1480"/>
      <c r="E44" s="1480"/>
      <c r="F44" s="1481"/>
      <c r="G44" s="1351" t="str">
        <f>IF(B44="","",VLOOKUP(B44,'Ext Area Schedule'!AT$16:AY$115,6,FALSE))</f>
        <v/>
      </c>
      <c r="H44" s="1305" t="str">
        <f>IF($G44="Tradable",VLOOKUP($B44,ExteriorTradableData!$B$10:$AN$59,5,FALSE),IF($G44="Nontradable",VLOOKUP($B44,ExteriorNontradableData!$B$10:$AM$59,5,FALSE),""))</f>
        <v/>
      </c>
      <c r="I44" s="1290" t="str">
        <f>IF($G44="Tradable",VLOOKUP($B44,ExteriorTradableData!$B$10:$AN$59,17,FALSE),IF($G44="Nontradable",VLOOKUP($B44,ExteriorNontradableData!$B$10:$AM$59,17,FALSE),""))</f>
        <v/>
      </c>
      <c r="J44" s="1352" t="str">
        <f>IF($G44="Tradable",VLOOKUP($B44,ExteriorTradableData!$B$10:$AN$59,18,FALSE),IF($G44="Nontradable",VLOOKUP($B44,ExteriorNontradableData!$B$10:$AM$59,20,FALSE),""))</f>
        <v/>
      </c>
      <c r="K44" s="1321" t="str">
        <f>IF($G44="Tradable",VLOOKUP($B44,ExteriorTradableData!$B$10:$AN$59,36,FALSE),IF($G44="Nontradable",VLOOKUP($B44,ExteriorNontradableData!$B$10:$AM$59,37,FALSE),""))</f>
        <v/>
      </c>
      <c r="L44" s="1296"/>
      <c r="M44" s="1325" t="str">
        <f>IF($G44="Tradable",VLOOKUP($B44,ExteriorTradableData!$B$10:$AN$59,38,FALSE),IF($G44="Nontradable",VLOOKUP($B44,ExteriorNontradableData!$B$10:$AS$59,39,FALSE),""))</f>
        <v/>
      </c>
      <c r="N44" s="1326" t="str">
        <f>IF($G44="Tradable",VLOOKUP($B44,ExteriorTradableData!$B$10:$AT$59,43,FALSE),IF($G44="Nontradable",VLOOKUP($B44,ExteriorNontradableData!$B$10:$AS$59,44,FALSE),""))</f>
        <v/>
      </c>
      <c r="R44" s="1246" t="s">
        <v>1201</v>
      </c>
    </row>
    <row r="45" spans="2:18" ht="40" x14ac:dyDescent="0.2">
      <c r="B45" s="1479" t="str">
        <f>'Ext Area Schedule'!AT43</f>
        <v/>
      </c>
      <c r="C45" s="1480"/>
      <c r="D45" s="1480"/>
      <c r="E45" s="1480"/>
      <c r="F45" s="1481"/>
      <c r="G45" s="1351" t="str">
        <f>IF(B45="","",VLOOKUP(B45,'Ext Area Schedule'!AT$16:AY$115,6,FALSE))</f>
        <v/>
      </c>
      <c r="H45" s="1305" t="str">
        <f>IF($G45="Tradable",VLOOKUP($B45,ExteriorTradableData!$B$10:$AN$59,5,FALSE),IF($G45="Nontradable",VLOOKUP($B45,ExteriorNontradableData!$B$10:$AM$59,5,FALSE),""))</f>
        <v/>
      </c>
      <c r="I45" s="1290" t="str">
        <f>IF($G45="Tradable",VLOOKUP($B45,ExteriorTradableData!$B$10:$AN$59,17,FALSE),IF($G45="Nontradable",VLOOKUP($B45,ExteriorNontradableData!$B$10:$AM$59,17,FALSE),""))</f>
        <v/>
      </c>
      <c r="J45" s="1352" t="str">
        <f>IF($G45="Tradable",VLOOKUP($B45,ExteriorTradableData!$B$10:$AN$59,18,FALSE),IF($G45="Nontradable",VLOOKUP($B45,ExteriorNontradableData!$B$10:$AM$59,20,FALSE),""))</f>
        <v/>
      </c>
      <c r="K45" s="1321" t="str">
        <f>IF($G45="Tradable",VLOOKUP($B45,ExteriorTradableData!$B$10:$AN$59,36,FALSE),IF($G45="Nontradable",VLOOKUP($B45,ExteriorNontradableData!$B$10:$AM$59,37,FALSE),""))</f>
        <v/>
      </c>
      <c r="L45" s="1296"/>
      <c r="M45" s="1325" t="str">
        <f>IF($G45="Tradable",VLOOKUP($B45,ExteriorTradableData!$B$10:$AN$59,38,FALSE),IF($G45="Nontradable",VLOOKUP($B45,ExteriorNontradableData!$B$10:$AS$59,39,FALSE),""))</f>
        <v/>
      </c>
      <c r="N45" s="1326" t="str">
        <f>IF($G45="Tradable",VLOOKUP($B45,ExteriorTradableData!$B$10:$AT$59,43,FALSE),IF($G45="Nontradable",VLOOKUP($B45,ExteriorNontradableData!$B$10:$AS$59,44,FALSE),""))</f>
        <v/>
      </c>
      <c r="R45" s="1246" t="s">
        <v>1201</v>
      </c>
    </row>
    <row r="46" spans="2:18" ht="40" x14ac:dyDescent="0.2">
      <c r="B46" s="1479" t="str">
        <f>'Ext Area Schedule'!AT44</f>
        <v/>
      </c>
      <c r="C46" s="1480"/>
      <c r="D46" s="1480"/>
      <c r="E46" s="1480"/>
      <c r="F46" s="1481"/>
      <c r="G46" s="1351" t="str">
        <f>IF(B46="","",VLOOKUP(B46,'Ext Area Schedule'!AT$16:AY$115,6,FALSE))</f>
        <v/>
      </c>
      <c r="H46" s="1305" t="str">
        <f>IF($G46="Tradable",VLOOKUP($B46,ExteriorTradableData!$B$10:$AN$59,5,FALSE),IF($G46="Nontradable",VLOOKUP($B46,ExteriorNontradableData!$B$10:$AM$59,5,FALSE),""))</f>
        <v/>
      </c>
      <c r="I46" s="1290" t="str">
        <f>IF($G46="Tradable",VLOOKUP($B46,ExteriorTradableData!$B$10:$AN$59,17,FALSE),IF($G46="Nontradable",VLOOKUP($B46,ExteriorNontradableData!$B$10:$AM$59,17,FALSE),""))</f>
        <v/>
      </c>
      <c r="J46" s="1352" t="str">
        <f>IF($G46="Tradable",VLOOKUP($B46,ExteriorTradableData!$B$10:$AN$59,18,FALSE),IF($G46="Nontradable",VLOOKUP($B46,ExteriorNontradableData!$B$10:$AM$59,20,FALSE),""))</f>
        <v/>
      </c>
      <c r="K46" s="1321" t="str">
        <f>IF($G46="Tradable",VLOOKUP($B46,ExteriorTradableData!$B$10:$AN$59,36,FALSE),IF($G46="Nontradable",VLOOKUP($B46,ExteriorNontradableData!$B$10:$AM$59,37,FALSE),""))</f>
        <v/>
      </c>
      <c r="L46" s="1296"/>
      <c r="M46" s="1325" t="str">
        <f>IF($G46="Tradable",VLOOKUP($B46,ExteriorTradableData!$B$10:$AN$59,38,FALSE),IF($G46="Nontradable",VLOOKUP($B46,ExteriorNontradableData!$B$10:$AS$59,39,FALSE),""))</f>
        <v/>
      </c>
      <c r="N46" s="1326" t="str">
        <f>IF($G46="Tradable",VLOOKUP($B46,ExteriorTradableData!$B$10:$AT$59,43,FALSE),IF($G46="Nontradable",VLOOKUP($B46,ExteriorNontradableData!$B$10:$AS$59,44,FALSE),""))</f>
        <v/>
      </c>
      <c r="R46" s="1246" t="s">
        <v>1201</v>
      </c>
    </row>
    <row r="47" spans="2:18" ht="40" x14ac:dyDescent="0.2">
      <c r="B47" s="1479" t="str">
        <f>'Ext Area Schedule'!AT45</f>
        <v/>
      </c>
      <c r="C47" s="1480"/>
      <c r="D47" s="1480"/>
      <c r="E47" s="1480"/>
      <c r="F47" s="1481"/>
      <c r="G47" s="1351" t="str">
        <f>IF(B47="","",VLOOKUP(B47,'Ext Area Schedule'!AT$16:AY$115,6,FALSE))</f>
        <v/>
      </c>
      <c r="H47" s="1305" t="str">
        <f>IF($G47="Tradable",VLOOKUP($B47,ExteriorTradableData!$B$10:$AN$59,5,FALSE),IF($G47="Nontradable",VLOOKUP($B47,ExteriorNontradableData!$B$10:$AM$59,5,FALSE),""))</f>
        <v/>
      </c>
      <c r="I47" s="1290" t="str">
        <f>IF($G47="Tradable",VLOOKUP($B47,ExteriorTradableData!$B$10:$AN$59,17,FALSE),IF($G47="Nontradable",VLOOKUP($B47,ExteriorNontradableData!$B$10:$AM$59,17,FALSE),""))</f>
        <v/>
      </c>
      <c r="J47" s="1352" t="str">
        <f>IF($G47="Tradable",VLOOKUP($B47,ExteriorTradableData!$B$10:$AN$59,18,FALSE),IF($G47="Nontradable",VLOOKUP($B47,ExteriorNontradableData!$B$10:$AM$59,20,FALSE),""))</f>
        <v/>
      </c>
      <c r="K47" s="1321" t="str">
        <f>IF($G47="Tradable",VLOOKUP($B47,ExteriorTradableData!$B$10:$AN$59,36,FALSE),IF($G47="Nontradable",VLOOKUP($B47,ExteriorNontradableData!$B$10:$AM$59,37,FALSE),""))</f>
        <v/>
      </c>
      <c r="L47" s="1296"/>
      <c r="M47" s="1325" t="str">
        <f>IF($G47="Tradable",VLOOKUP($B47,ExteriorTradableData!$B$10:$AN$59,38,FALSE),IF($G47="Nontradable",VLOOKUP($B47,ExteriorNontradableData!$B$10:$AS$59,39,FALSE),""))</f>
        <v/>
      </c>
      <c r="N47" s="1326" t="str">
        <f>IF($G47="Tradable",VLOOKUP($B47,ExteriorTradableData!$B$10:$AT$59,43,FALSE),IF($G47="Nontradable",VLOOKUP($B47,ExteriorNontradableData!$B$10:$AS$59,44,FALSE),""))</f>
        <v/>
      </c>
      <c r="R47" s="1246" t="s">
        <v>1201</v>
      </c>
    </row>
    <row r="48" spans="2:18" ht="40" x14ac:dyDescent="0.2">
      <c r="B48" s="1479" t="str">
        <f>'Ext Area Schedule'!AT46</f>
        <v/>
      </c>
      <c r="C48" s="1480"/>
      <c r="D48" s="1480"/>
      <c r="E48" s="1480"/>
      <c r="F48" s="1481"/>
      <c r="G48" s="1351" t="str">
        <f>IF(B48="","",VLOOKUP(B48,'Ext Area Schedule'!AT$16:AY$115,6,FALSE))</f>
        <v/>
      </c>
      <c r="H48" s="1305" t="str">
        <f>IF($G48="Tradable",VLOOKUP($B48,ExteriorTradableData!$B$10:$AN$59,5,FALSE),IF($G48="Nontradable",VLOOKUP($B48,ExteriorNontradableData!$B$10:$AM$59,5,FALSE),""))</f>
        <v/>
      </c>
      <c r="I48" s="1290" t="str">
        <f>IF($G48="Tradable",VLOOKUP($B48,ExteriorTradableData!$B$10:$AN$59,17,FALSE),IF($G48="Nontradable",VLOOKUP($B48,ExteriorNontradableData!$B$10:$AM$59,17,FALSE),""))</f>
        <v/>
      </c>
      <c r="J48" s="1352" t="str">
        <f>IF($G48="Tradable",VLOOKUP($B48,ExteriorTradableData!$B$10:$AN$59,18,FALSE),IF($G48="Nontradable",VLOOKUP($B48,ExteriorNontradableData!$B$10:$AM$59,20,FALSE),""))</f>
        <v/>
      </c>
      <c r="K48" s="1321" t="str">
        <f>IF($G48="Tradable",VLOOKUP($B48,ExteriorTradableData!$B$10:$AN$59,36,FALSE),IF($G48="Nontradable",VLOOKUP($B48,ExteriorNontradableData!$B$10:$AM$59,37,FALSE),""))</f>
        <v/>
      </c>
      <c r="L48" s="1296"/>
      <c r="M48" s="1325" t="str">
        <f>IF($G48="Tradable",VLOOKUP($B48,ExteriorTradableData!$B$10:$AN$59,38,FALSE),IF($G48="Nontradable",VLOOKUP($B48,ExteriorNontradableData!$B$10:$AS$59,39,FALSE),""))</f>
        <v/>
      </c>
      <c r="N48" s="1326" t="str">
        <f>IF($G48="Tradable",VLOOKUP($B48,ExteriorTradableData!$B$10:$AT$59,43,FALSE),IF($G48="Nontradable",VLOOKUP($B48,ExteriorNontradableData!$B$10:$AS$59,44,FALSE),""))</f>
        <v/>
      </c>
      <c r="R48" s="1246" t="s">
        <v>1201</v>
      </c>
    </row>
    <row r="49" spans="2:18" ht="40" x14ac:dyDescent="0.2">
      <c r="B49" s="1479" t="str">
        <f>'Ext Area Schedule'!AT47</f>
        <v/>
      </c>
      <c r="C49" s="1480"/>
      <c r="D49" s="1480"/>
      <c r="E49" s="1480"/>
      <c r="F49" s="1481"/>
      <c r="G49" s="1351" t="str">
        <f>IF(B49="","",VLOOKUP(B49,'Ext Area Schedule'!AT$16:AY$115,6,FALSE))</f>
        <v/>
      </c>
      <c r="H49" s="1305" t="str">
        <f>IF($G49="Tradable",VLOOKUP($B49,ExteriorTradableData!$B$10:$AN$59,5,FALSE),IF($G49="Nontradable",VLOOKUP($B49,ExteriorNontradableData!$B$10:$AM$59,5,FALSE),""))</f>
        <v/>
      </c>
      <c r="I49" s="1290" t="str">
        <f>IF($G49="Tradable",VLOOKUP($B49,ExteriorTradableData!$B$10:$AN$59,17,FALSE),IF($G49="Nontradable",VLOOKUP($B49,ExteriorNontradableData!$B$10:$AM$59,17,FALSE),""))</f>
        <v/>
      </c>
      <c r="J49" s="1352" t="str">
        <f>IF($G49="Tradable",VLOOKUP($B49,ExteriorTradableData!$B$10:$AN$59,18,FALSE),IF($G49="Nontradable",VLOOKUP($B49,ExteriorNontradableData!$B$10:$AM$59,20,FALSE),""))</f>
        <v/>
      </c>
      <c r="K49" s="1321" t="str">
        <f>IF($G49="Tradable",VLOOKUP($B49,ExteriorTradableData!$B$10:$AN$59,36,FALSE),IF($G49="Nontradable",VLOOKUP($B49,ExteriorNontradableData!$B$10:$AM$59,37,FALSE),""))</f>
        <v/>
      </c>
      <c r="L49" s="1296"/>
      <c r="M49" s="1325" t="str">
        <f>IF($G49="Tradable",VLOOKUP($B49,ExteriorTradableData!$B$10:$AN$59,38,FALSE),IF($G49="Nontradable",VLOOKUP($B49,ExteriorNontradableData!$B$10:$AS$59,39,FALSE),""))</f>
        <v/>
      </c>
      <c r="N49" s="1326" t="str">
        <f>IF($G49="Tradable",VLOOKUP($B49,ExteriorTradableData!$B$10:$AT$59,43,FALSE),IF($G49="Nontradable",VLOOKUP($B49,ExteriorNontradableData!$B$10:$AS$59,44,FALSE),""))</f>
        <v/>
      </c>
      <c r="R49" s="1246" t="s">
        <v>1201</v>
      </c>
    </row>
    <row r="50" spans="2:18" ht="40" x14ac:dyDescent="0.2">
      <c r="B50" s="1479" t="str">
        <f>'Ext Area Schedule'!AT48</f>
        <v/>
      </c>
      <c r="C50" s="1480"/>
      <c r="D50" s="1480"/>
      <c r="E50" s="1480"/>
      <c r="F50" s="1481"/>
      <c r="G50" s="1351" t="str">
        <f>IF(B50="","",VLOOKUP(B50,'Ext Area Schedule'!AT$16:AY$115,6,FALSE))</f>
        <v/>
      </c>
      <c r="H50" s="1305" t="str">
        <f>IF($G50="Tradable",VLOOKUP($B50,ExteriorTradableData!$B$10:$AN$59,5,FALSE),IF($G50="Nontradable",VLOOKUP($B50,ExteriorNontradableData!$B$10:$AM$59,5,FALSE),""))</f>
        <v/>
      </c>
      <c r="I50" s="1290" t="str">
        <f>IF($G50="Tradable",VLOOKUP($B50,ExteriorTradableData!$B$10:$AN$59,17,FALSE),IF($G50="Nontradable",VLOOKUP($B50,ExteriorNontradableData!$B$10:$AM$59,17,FALSE),""))</f>
        <v/>
      </c>
      <c r="J50" s="1352" t="str">
        <f>IF($G50="Tradable",VLOOKUP($B50,ExteriorTradableData!$B$10:$AN$59,18,FALSE),IF($G50="Nontradable",VLOOKUP($B50,ExteriorNontradableData!$B$10:$AM$59,20,FALSE),""))</f>
        <v/>
      </c>
      <c r="K50" s="1321" t="str">
        <f>IF($G50="Tradable",VLOOKUP($B50,ExteriorTradableData!$B$10:$AN$59,36,FALSE),IF($G50="Nontradable",VLOOKUP($B50,ExteriorNontradableData!$B$10:$AM$59,37,FALSE),""))</f>
        <v/>
      </c>
      <c r="L50" s="1296"/>
      <c r="M50" s="1325" t="str">
        <f>IF($G50="Tradable",VLOOKUP($B50,ExteriorTradableData!$B$10:$AN$59,38,FALSE),IF($G50="Nontradable",VLOOKUP($B50,ExteriorNontradableData!$B$10:$AS$59,39,FALSE),""))</f>
        <v/>
      </c>
      <c r="N50" s="1326" t="str">
        <f>IF($G50="Tradable",VLOOKUP($B50,ExteriorTradableData!$B$10:$AT$59,43,FALSE),IF($G50="Nontradable",VLOOKUP($B50,ExteriorNontradableData!$B$10:$AS$59,44,FALSE),""))</f>
        <v/>
      </c>
      <c r="R50" s="1246" t="s">
        <v>1201</v>
      </c>
    </row>
    <row r="51" spans="2:18" ht="40" x14ac:dyDescent="0.2">
      <c r="B51" s="1479" t="str">
        <f>'Ext Area Schedule'!AT49</f>
        <v/>
      </c>
      <c r="C51" s="1480"/>
      <c r="D51" s="1480"/>
      <c r="E51" s="1480"/>
      <c r="F51" s="1481"/>
      <c r="G51" s="1351" t="str">
        <f>IF(B51="","",VLOOKUP(B51,'Ext Area Schedule'!AT$16:AY$115,6,FALSE))</f>
        <v/>
      </c>
      <c r="H51" s="1305" t="str">
        <f>IF($G51="Tradable",VLOOKUP($B51,ExteriorTradableData!$B$10:$AN$59,5,FALSE),IF($G51="Nontradable",VLOOKUP($B51,ExteriorNontradableData!$B$10:$AM$59,5,FALSE),""))</f>
        <v/>
      </c>
      <c r="I51" s="1290" t="str">
        <f>IF($G51="Tradable",VLOOKUP($B51,ExteriorTradableData!$B$10:$AN$59,17,FALSE),IF($G51="Nontradable",VLOOKUP($B51,ExteriorNontradableData!$B$10:$AM$59,17,FALSE),""))</f>
        <v/>
      </c>
      <c r="J51" s="1352" t="str">
        <f>IF($G51="Tradable",VLOOKUP($B51,ExteriorTradableData!$B$10:$AN$59,18,FALSE),IF($G51="Nontradable",VLOOKUP($B51,ExteriorNontradableData!$B$10:$AM$59,20,FALSE),""))</f>
        <v/>
      </c>
      <c r="K51" s="1321" t="str">
        <f>IF($G51="Tradable",VLOOKUP($B51,ExteriorTradableData!$B$10:$AN$59,36,FALSE),IF($G51="Nontradable",VLOOKUP($B51,ExteriorNontradableData!$B$10:$AM$59,37,FALSE),""))</f>
        <v/>
      </c>
      <c r="L51" s="1296"/>
      <c r="M51" s="1325" t="str">
        <f>IF($G51="Tradable",VLOOKUP($B51,ExteriorTradableData!$B$10:$AN$59,38,FALSE),IF($G51="Nontradable",VLOOKUP($B51,ExteriorNontradableData!$B$10:$AS$59,39,FALSE),""))</f>
        <v/>
      </c>
      <c r="N51" s="1326" t="str">
        <f>IF($G51="Tradable",VLOOKUP($B51,ExteriorTradableData!$B$10:$AT$59,43,FALSE),IF($G51="Nontradable",VLOOKUP($B51,ExteriorNontradableData!$B$10:$AS$59,44,FALSE),""))</f>
        <v/>
      </c>
      <c r="R51" s="1246" t="s">
        <v>1201</v>
      </c>
    </row>
    <row r="52" spans="2:18" ht="40" x14ac:dyDescent="0.2">
      <c r="B52" s="1479" t="str">
        <f>'Ext Area Schedule'!AT50</f>
        <v/>
      </c>
      <c r="C52" s="1480"/>
      <c r="D52" s="1480"/>
      <c r="E52" s="1480"/>
      <c r="F52" s="1481"/>
      <c r="G52" s="1351" t="str">
        <f>IF(B52="","",VLOOKUP(B52,'Ext Area Schedule'!AT$16:AY$115,6,FALSE))</f>
        <v/>
      </c>
      <c r="H52" s="1305" t="str">
        <f>IF($G52="Tradable",VLOOKUP($B52,ExteriorTradableData!$B$10:$AN$59,5,FALSE),IF($G52="Nontradable",VLOOKUP($B52,ExteriorNontradableData!$B$10:$AM$59,5,FALSE),""))</f>
        <v/>
      </c>
      <c r="I52" s="1290" t="str">
        <f>IF($G52="Tradable",VLOOKUP($B52,ExteriorTradableData!$B$10:$AN$59,17,FALSE),IF($G52="Nontradable",VLOOKUP($B52,ExteriorNontradableData!$B$10:$AM$59,17,FALSE),""))</f>
        <v/>
      </c>
      <c r="J52" s="1352" t="str">
        <f>IF($G52="Tradable",VLOOKUP($B52,ExteriorTradableData!$B$10:$AN$59,18,FALSE),IF($G52="Nontradable",VLOOKUP($B52,ExteriorNontradableData!$B$10:$AM$59,20,FALSE),""))</f>
        <v/>
      </c>
      <c r="K52" s="1321" t="str">
        <f>IF($G52="Tradable",VLOOKUP($B52,ExteriorTradableData!$B$10:$AN$59,36,FALSE),IF($G52="Nontradable",VLOOKUP($B52,ExteriorNontradableData!$B$10:$AM$59,37,FALSE),""))</f>
        <v/>
      </c>
      <c r="L52" s="1296"/>
      <c r="M52" s="1325" t="str">
        <f>IF($G52="Tradable",VLOOKUP($B52,ExteriorTradableData!$B$10:$AN$59,38,FALSE),IF($G52="Nontradable",VLOOKUP($B52,ExteriorNontradableData!$B$10:$AS$59,39,FALSE),""))</f>
        <v/>
      </c>
      <c r="N52" s="1326" t="str">
        <f>IF($G52="Tradable",VLOOKUP($B52,ExteriorTradableData!$B$10:$AT$59,43,FALSE),IF($G52="Nontradable",VLOOKUP($B52,ExteriorNontradableData!$B$10:$AS$59,44,FALSE),""))</f>
        <v/>
      </c>
      <c r="R52" s="1246" t="s">
        <v>1201</v>
      </c>
    </row>
    <row r="53" spans="2:18" ht="40" x14ac:dyDescent="0.2">
      <c r="B53" s="1479" t="str">
        <f>'Ext Area Schedule'!AT51</f>
        <v/>
      </c>
      <c r="C53" s="1480"/>
      <c r="D53" s="1480"/>
      <c r="E53" s="1480"/>
      <c r="F53" s="1481"/>
      <c r="G53" s="1351" t="str">
        <f>IF(B53="","",VLOOKUP(B53,'Ext Area Schedule'!AT$16:AY$115,6,FALSE))</f>
        <v/>
      </c>
      <c r="H53" s="1305" t="str">
        <f>IF($G53="Tradable",VLOOKUP($B53,ExteriorTradableData!$B$10:$AN$59,5,FALSE),IF($G53="Nontradable",VLOOKUP($B53,ExteriorNontradableData!$B$10:$AM$59,5,FALSE),""))</f>
        <v/>
      </c>
      <c r="I53" s="1290" t="str">
        <f>IF($G53="Tradable",VLOOKUP($B53,ExteriorTradableData!$B$10:$AN$59,17,FALSE),IF($G53="Nontradable",VLOOKUP($B53,ExteriorNontradableData!$B$10:$AM$59,17,FALSE),""))</f>
        <v/>
      </c>
      <c r="J53" s="1352" t="str">
        <f>IF($G53="Tradable",VLOOKUP($B53,ExteriorTradableData!$B$10:$AN$59,18,FALSE),IF($G53="Nontradable",VLOOKUP($B53,ExteriorNontradableData!$B$10:$AM$59,20,FALSE),""))</f>
        <v/>
      </c>
      <c r="K53" s="1321" t="str">
        <f>IF($G53="Tradable",VLOOKUP($B53,ExteriorTradableData!$B$10:$AN$59,36,FALSE),IF($G53="Nontradable",VLOOKUP($B53,ExteriorNontradableData!$B$10:$AM$59,37,FALSE),""))</f>
        <v/>
      </c>
      <c r="L53" s="1296"/>
      <c r="M53" s="1325" t="str">
        <f>IF($G53="Tradable",VLOOKUP($B53,ExteriorTradableData!$B$10:$AN$59,38,FALSE),IF($G53="Nontradable",VLOOKUP($B53,ExteriorNontradableData!$B$10:$AS$59,39,FALSE),""))</f>
        <v/>
      </c>
      <c r="N53" s="1326" t="str">
        <f>IF($G53="Tradable",VLOOKUP($B53,ExteriorTradableData!$B$10:$AT$59,43,FALSE),IF($G53="Nontradable",VLOOKUP($B53,ExteriorNontradableData!$B$10:$AS$59,44,FALSE),""))</f>
        <v/>
      </c>
      <c r="R53" s="1246" t="s">
        <v>1201</v>
      </c>
    </row>
    <row r="54" spans="2:18" ht="40" x14ac:dyDescent="0.2">
      <c r="B54" s="1479" t="str">
        <f>'Ext Area Schedule'!AT52</f>
        <v/>
      </c>
      <c r="C54" s="1480"/>
      <c r="D54" s="1480"/>
      <c r="E54" s="1480"/>
      <c r="F54" s="1481"/>
      <c r="G54" s="1351" t="str">
        <f>IF(B54="","",VLOOKUP(B54,'Ext Area Schedule'!AT$16:AY$115,6,FALSE))</f>
        <v/>
      </c>
      <c r="H54" s="1305" t="str">
        <f>IF($G54="Tradable",VLOOKUP($B54,ExteriorTradableData!$B$10:$AN$59,5,FALSE),IF($G54="Nontradable",VLOOKUP($B54,ExteriorNontradableData!$B$10:$AM$59,5,FALSE),""))</f>
        <v/>
      </c>
      <c r="I54" s="1290" t="str">
        <f>IF($G54="Tradable",VLOOKUP($B54,ExteriorTradableData!$B$10:$AN$59,17,FALSE),IF($G54="Nontradable",VLOOKUP($B54,ExteriorNontradableData!$B$10:$AM$59,17,FALSE),""))</f>
        <v/>
      </c>
      <c r="J54" s="1352" t="str">
        <f>IF($G54="Tradable",VLOOKUP($B54,ExteriorTradableData!$B$10:$AN$59,18,FALSE),IF($G54="Nontradable",VLOOKUP($B54,ExteriorNontradableData!$B$10:$AM$59,20,FALSE),""))</f>
        <v/>
      </c>
      <c r="K54" s="1321" t="str">
        <f>IF($G54="Tradable",VLOOKUP($B54,ExteriorTradableData!$B$10:$AN$59,36,FALSE),IF($G54="Nontradable",VLOOKUP($B54,ExteriorNontradableData!$B$10:$AM$59,37,FALSE),""))</f>
        <v/>
      </c>
      <c r="L54" s="1296"/>
      <c r="M54" s="1325" t="str">
        <f>IF($G54="Tradable",VLOOKUP($B54,ExteriorTradableData!$B$10:$AN$59,38,FALSE),IF($G54="Nontradable",VLOOKUP($B54,ExteriorNontradableData!$B$10:$AS$59,39,FALSE),""))</f>
        <v/>
      </c>
      <c r="N54" s="1326" t="str">
        <f>IF($G54="Tradable",VLOOKUP($B54,ExteriorTradableData!$B$10:$AT$59,43,FALSE),IF($G54="Nontradable",VLOOKUP($B54,ExteriorNontradableData!$B$10:$AS$59,44,FALSE),""))</f>
        <v/>
      </c>
      <c r="R54" s="1246" t="s">
        <v>1201</v>
      </c>
    </row>
    <row r="55" spans="2:18" ht="40" x14ac:dyDescent="0.2">
      <c r="B55" s="1479" t="str">
        <f>'Ext Area Schedule'!AT53</f>
        <v/>
      </c>
      <c r="C55" s="1480"/>
      <c r="D55" s="1480"/>
      <c r="E55" s="1480"/>
      <c r="F55" s="1481"/>
      <c r="G55" s="1351" t="str">
        <f>IF(B55="","",VLOOKUP(B55,'Ext Area Schedule'!AT$16:AY$115,6,FALSE))</f>
        <v/>
      </c>
      <c r="H55" s="1305" t="str">
        <f>IF($G55="Tradable",VLOOKUP($B55,ExteriorTradableData!$B$10:$AN$59,5,FALSE),IF($G55="Nontradable",VLOOKUP($B55,ExteriorNontradableData!$B$10:$AM$59,5,FALSE),""))</f>
        <v/>
      </c>
      <c r="I55" s="1290" t="str">
        <f>IF($G55="Tradable",VLOOKUP($B55,ExteriorTradableData!$B$10:$AN$59,17,FALSE),IF($G55="Nontradable",VLOOKUP($B55,ExteriorNontradableData!$B$10:$AM$59,17,FALSE),""))</f>
        <v/>
      </c>
      <c r="J55" s="1352" t="str">
        <f>IF($G55="Tradable",VLOOKUP($B55,ExteriorTradableData!$B$10:$AN$59,18,FALSE),IF($G55="Nontradable",VLOOKUP($B55,ExteriorNontradableData!$B$10:$AM$59,20,FALSE),""))</f>
        <v/>
      </c>
      <c r="K55" s="1321" t="str">
        <f>IF($G55="Tradable",VLOOKUP($B55,ExteriorTradableData!$B$10:$AN$59,36,FALSE),IF($G55="Nontradable",VLOOKUP($B55,ExteriorNontradableData!$B$10:$AM$59,37,FALSE),""))</f>
        <v/>
      </c>
      <c r="L55" s="1296"/>
      <c r="M55" s="1325" t="str">
        <f>IF($G55="Tradable",VLOOKUP($B55,ExteriorTradableData!$B$10:$AN$59,38,FALSE),IF($G55="Nontradable",VLOOKUP($B55,ExteriorNontradableData!$B$10:$AS$59,39,FALSE),""))</f>
        <v/>
      </c>
      <c r="N55" s="1326" t="str">
        <f>IF($G55="Tradable",VLOOKUP($B55,ExteriorTradableData!$B$10:$AT$59,43,FALSE),IF($G55="Nontradable",VLOOKUP($B55,ExteriorNontradableData!$B$10:$AS$59,44,FALSE),""))</f>
        <v/>
      </c>
      <c r="R55" s="1246" t="s">
        <v>1201</v>
      </c>
    </row>
    <row r="56" spans="2:18" ht="40" x14ac:dyDescent="0.2">
      <c r="B56" s="1479" t="str">
        <f>'Ext Area Schedule'!AT54</f>
        <v/>
      </c>
      <c r="C56" s="1480"/>
      <c r="D56" s="1480"/>
      <c r="E56" s="1480"/>
      <c r="F56" s="1481"/>
      <c r="G56" s="1351" t="str">
        <f>IF(B56="","",VLOOKUP(B56,'Ext Area Schedule'!AT$16:AY$115,6,FALSE))</f>
        <v/>
      </c>
      <c r="H56" s="1305" t="str">
        <f>IF($G56="Tradable",VLOOKUP($B56,ExteriorTradableData!$B$10:$AN$59,5,FALSE),IF($G56="Nontradable",VLOOKUP($B56,ExteriorNontradableData!$B$10:$AM$59,5,FALSE),""))</f>
        <v/>
      </c>
      <c r="I56" s="1290" t="str">
        <f>IF($G56="Tradable",VLOOKUP($B56,ExteriorTradableData!$B$10:$AN$59,17,FALSE),IF($G56="Nontradable",VLOOKUP($B56,ExteriorNontradableData!$B$10:$AM$59,17,FALSE),""))</f>
        <v/>
      </c>
      <c r="J56" s="1352" t="str">
        <f>IF($G56="Tradable",VLOOKUP($B56,ExteriorTradableData!$B$10:$AN$59,18,FALSE),IF($G56="Nontradable",VLOOKUP($B56,ExteriorNontradableData!$B$10:$AM$59,20,FALSE),""))</f>
        <v/>
      </c>
      <c r="K56" s="1321" t="str">
        <f>IF($G56="Tradable",VLOOKUP($B56,ExteriorTradableData!$B$10:$AN$59,36,FALSE),IF($G56="Nontradable",VLOOKUP($B56,ExteriorNontradableData!$B$10:$AM$59,37,FALSE),""))</f>
        <v/>
      </c>
      <c r="L56" s="1296"/>
      <c r="M56" s="1325" t="str">
        <f>IF($G56="Tradable",VLOOKUP($B56,ExteriorTradableData!$B$10:$AN$59,38,FALSE),IF($G56="Nontradable",VLOOKUP($B56,ExteriorNontradableData!$B$10:$AS$59,39,FALSE),""))</f>
        <v/>
      </c>
      <c r="N56" s="1326" t="str">
        <f>IF($G56="Tradable",VLOOKUP($B56,ExteriorTradableData!$B$10:$AT$59,43,FALSE),IF($G56="Nontradable",VLOOKUP($B56,ExteriorNontradableData!$B$10:$AS$59,44,FALSE),""))</f>
        <v/>
      </c>
      <c r="R56" s="1246" t="s">
        <v>1201</v>
      </c>
    </row>
    <row r="57" spans="2:18" ht="40" x14ac:dyDescent="0.2">
      <c r="B57" s="1479" t="str">
        <f>'Ext Area Schedule'!AT55</f>
        <v/>
      </c>
      <c r="C57" s="1480"/>
      <c r="D57" s="1480"/>
      <c r="E57" s="1480"/>
      <c r="F57" s="1481"/>
      <c r="G57" s="1351" t="str">
        <f>IF(B57="","",VLOOKUP(B57,'Ext Area Schedule'!AT$16:AY$115,6,FALSE))</f>
        <v/>
      </c>
      <c r="H57" s="1305" t="str">
        <f>IF($G57="Tradable",VLOOKUP($B57,ExteriorTradableData!$B$10:$AN$59,5,FALSE),IF($G57="Nontradable",VLOOKUP($B57,ExteriorNontradableData!$B$10:$AM$59,5,FALSE),""))</f>
        <v/>
      </c>
      <c r="I57" s="1290" t="str">
        <f>IF($G57="Tradable",VLOOKUP($B57,ExteriorTradableData!$B$10:$AN$59,17,FALSE),IF($G57="Nontradable",VLOOKUP($B57,ExteriorNontradableData!$B$10:$AM$59,17,FALSE),""))</f>
        <v/>
      </c>
      <c r="J57" s="1352" t="str">
        <f>IF($G57="Tradable",VLOOKUP($B57,ExteriorTradableData!$B$10:$AN$59,18,FALSE),IF($G57="Nontradable",VLOOKUP($B57,ExteriorNontradableData!$B$10:$AM$59,20,FALSE),""))</f>
        <v/>
      </c>
      <c r="K57" s="1321" t="str">
        <f>IF($G57="Tradable",VLOOKUP($B57,ExteriorTradableData!$B$10:$AN$59,36,FALSE),IF($G57="Nontradable",VLOOKUP($B57,ExteriorNontradableData!$B$10:$AM$59,37,FALSE),""))</f>
        <v/>
      </c>
      <c r="L57" s="1296"/>
      <c r="M57" s="1325" t="str">
        <f>IF($G57="Tradable",VLOOKUP($B57,ExteriorTradableData!$B$10:$AN$59,38,FALSE),IF($G57="Nontradable",VLOOKUP($B57,ExteriorNontradableData!$B$10:$AS$59,39,FALSE),""))</f>
        <v/>
      </c>
      <c r="N57" s="1326" t="str">
        <f>IF($G57="Tradable",VLOOKUP($B57,ExteriorTradableData!$B$10:$AT$59,43,FALSE),IF($G57="Nontradable",VLOOKUP($B57,ExteriorNontradableData!$B$10:$AS$59,44,FALSE),""))</f>
        <v/>
      </c>
      <c r="R57" s="1246" t="s">
        <v>1201</v>
      </c>
    </row>
    <row r="58" spans="2:18" ht="40" x14ac:dyDescent="0.2">
      <c r="B58" s="1479" t="str">
        <f>'Ext Area Schedule'!AT56</f>
        <v/>
      </c>
      <c r="C58" s="1480"/>
      <c r="D58" s="1480"/>
      <c r="E58" s="1480"/>
      <c r="F58" s="1481"/>
      <c r="G58" s="1351" t="str">
        <f>IF(B58="","",VLOOKUP(B58,'Ext Area Schedule'!AT$16:AY$115,6,FALSE))</f>
        <v/>
      </c>
      <c r="H58" s="1305" t="str">
        <f>IF($G58="Tradable",VLOOKUP($B58,ExteriorTradableData!$B$10:$AN$59,5,FALSE),IF($G58="Nontradable",VLOOKUP($B58,ExteriorNontradableData!$B$10:$AM$59,5,FALSE),""))</f>
        <v/>
      </c>
      <c r="I58" s="1290" t="str">
        <f>IF($G58="Tradable",VLOOKUP($B58,ExteriorTradableData!$B$10:$AN$59,17,FALSE),IF($G58="Nontradable",VLOOKUP($B58,ExteriorNontradableData!$B$10:$AM$59,17,FALSE),""))</f>
        <v/>
      </c>
      <c r="J58" s="1352" t="str">
        <f>IF($G58="Tradable",VLOOKUP($B58,ExteriorTradableData!$B$10:$AN$59,18,FALSE),IF($G58="Nontradable",VLOOKUP($B58,ExteriorNontradableData!$B$10:$AM$59,20,FALSE),""))</f>
        <v/>
      </c>
      <c r="K58" s="1321" t="str">
        <f>IF($G58="Tradable",VLOOKUP($B58,ExteriorTradableData!$B$10:$AN$59,36,FALSE),IF($G58="Nontradable",VLOOKUP($B58,ExteriorNontradableData!$B$10:$AM$59,37,FALSE),""))</f>
        <v/>
      </c>
      <c r="L58" s="1296"/>
      <c r="M58" s="1325" t="str">
        <f>IF($G58="Tradable",VLOOKUP($B58,ExteriorTradableData!$B$10:$AN$59,38,FALSE),IF($G58="Nontradable",VLOOKUP($B58,ExteriorNontradableData!$B$10:$AS$59,39,FALSE),""))</f>
        <v/>
      </c>
      <c r="N58" s="1326" t="str">
        <f>IF($G58="Tradable",VLOOKUP($B58,ExteriorTradableData!$B$10:$AT$59,43,FALSE),IF($G58="Nontradable",VLOOKUP($B58,ExteriorNontradableData!$B$10:$AS$59,44,FALSE),""))</f>
        <v/>
      </c>
      <c r="R58" s="1246" t="s">
        <v>1201</v>
      </c>
    </row>
    <row r="59" spans="2:18" ht="40" x14ac:dyDescent="0.2">
      <c r="B59" s="1479" t="str">
        <f>'Ext Area Schedule'!AT57</f>
        <v/>
      </c>
      <c r="C59" s="1480"/>
      <c r="D59" s="1480"/>
      <c r="E59" s="1480"/>
      <c r="F59" s="1481"/>
      <c r="G59" s="1351" t="str">
        <f>IF(B59="","",VLOOKUP(B59,'Ext Area Schedule'!AT$16:AY$115,6,FALSE))</f>
        <v/>
      </c>
      <c r="H59" s="1305" t="str">
        <f>IF($G59="Tradable",VLOOKUP($B59,ExteriorTradableData!$B$10:$AN$59,5,FALSE),IF($G59="Nontradable",VLOOKUP($B59,ExteriorNontradableData!$B$10:$AM$59,5,FALSE),""))</f>
        <v/>
      </c>
      <c r="I59" s="1290" t="str">
        <f>IF($G59="Tradable",VLOOKUP($B59,ExteriorTradableData!$B$10:$AN$59,17,FALSE),IF($G59="Nontradable",VLOOKUP($B59,ExteriorNontradableData!$B$10:$AM$59,17,FALSE),""))</f>
        <v/>
      </c>
      <c r="J59" s="1352" t="str">
        <f>IF($G59="Tradable",VLOOKUP($B59,ExteriorTradableData!$B$10:$AN$59,18,FALSE),IF($G59="Nontradable",VLOOKUP($B59,ExteriorNontradableData!$B$10:$AM$59,20,FALSE),""))</f>
        <v/>
      </c>
      <c r="K59" s="1321" t="str">
        <f>IF($G59="Tradable",VLOOKUP($B59,ExteriorTradableData!$B$10:$AN$59,36,FALSE),IF($G59="Nontradable",VLOOKUP($B59,ExteriorNontradableData!$B$10:$AM$59,37,FALSE),""))</f>
        <v/>
      </c>
      <c r="L59" s="1296"/>
      <c r="M59" s="1325" t="str">
        <f>IF($G59="Tradable",VLOOKUP($B59,ExteriorTradableData!$B$10:$AN$59,38,FALSE),IF($G59="Nontradable",VLOOKUP($B59,ExteriorNontradableData!$B$10:$AS$59,39,FALSE),""))</f>
        <v/>
      </c>
      <c r="N59" s="1326" t="str">
        <f>IF($G59="Tradable",VLOOKUP($B59,ExteriorTradableData!$B$10:$AT$59,43,FALSE),IF($G59="Nontradable",VLOOKUP($B59,ExteriorNontradableData!$B$10:$AS$59,44,FALSE),""))</f>
        <v/>
      </c>
      <c r="R59" s="1246" t="s">
        <v>1201</v>
      </c>
    </row>
    <row r="60" spans="2:18" ht="40" x14ac:dyDescent="0.2">
      <c r="B60" s="1479" t="str">
        <f>'Ext Area Schedule'!AT58</f>
        <v/>
      </c>
      <c r="C60" s="1480"/>
      <c r="D60" s="1480"/>
      <c r="E60" s="1480"/>
      <c r="F60" s="1481"/>
      <c r="G60" s="1351" t="str">
        <f>IF(B60="","",VLOOKUP(B60,'Ext Area Schedule'!AT$16:AY$115,6,FALSE))</f>
        <v/>
      </c>
      <c r="H60" s="1305" t="str">
        <f>IF($G60="Tradable",VLOOKUP($B60,ExteriorTradableData!$B$10:$AN$59,5,FALSE),IF($G60="Nontradable",VLOOKUP($B60,ExteriorNontradableData!$B$10:$AM$59,5,FALSE),""))</f>
        <v/>
      </c>
      <c r="I60" s="1290" t="str">
        <f>IF($G60="Tradable",VLOOKUP($B60,ExteriorTradableData!$B$10:$AN$59,17,FALSE),IF($G60="Nontradable",VLOOKUP($B60,ExteriorNontradableData!$B$10:$AM$59,17,FALSE),""))</f>
        <v/>
      </c>
      <c r="J60" s="1352" t="str">
        <f>IF($G60="Tradable",VLOOKUP($B60,ExteriorTradableData!$B$10:$AN$59,18,FALSE),IF($G60="Nontradable",VLOOKUP($B60,ExteriorNontradableData!$B$10:$AM$59,20,FALSE),""))</f>
        <v/>
      </c>
      <c r="K60" s="1321" t="str">
        <f>IF($G60="Tradable",VLOOKUP($B60,ExteriorTradableData!$B$10:$AN$59,36,FALSE),IF($G60="Nontradable",VLOOKUP($B60,ExteriorNontradableData!$B$10:$AM$59,37,FALSE),""))</f>
        <v/>
      </c>
      <c r="L60" s="1296"/>
      <c r="M60" s="1325" t="str">
        <f>IF($G60="Tradable",VLOOKUP($B60,ExteriorTradableData!$B$10:$AN$59,38,FALSE),IF($G60="Nontradable",VLOOKUP($B60,ExteriorNontradableData!$B$10:$AS$59,39,FALSE),""))</f>
        <v/>
      </c>
      <c r="N60" s="1326" t="str">
        <f>IF($G60="Tradable",VLOOKUP($B60,ExteriorTradableData!$B$10:$AT$59,43,FALSE),IF($G60="Nontradable",VLOOKUP($B60,ExteriorNontradableData!$B$10:$AS$59,44,FALSE),""))</f>
        <v/>
      </c>
      <c r="R60" s="1246" t="s">
        <v>1201</v>
      </c>
    </row>
    <row r="61" spans="2:18" ht="40" x14ac:dyDescent="0.2">
      <c r="B61" s="1479" t="str">
        <f>'Ext Area Schedule'!AT59</f>
        <v/>
      </c>
      <c r="C61" s="1480"/>
      <c r="D61" s="1480"/>
      <c r="E61" s="1480"/>
      <c r="F61" s="1481"/>
      <c r="G61" s="1351" t="str">
        <f>IF(B61="","",VLOOKUP(B61,'Ext Area Schedule'!AT$16:AY$115,6,FALSE))</f>
        <v/>
      </c>
      <c r="H61" s="1305" t="str">
        <f>IF($G61="Tradable",VLOOKUP($B61,ExteriorTradableData!$B$10:$AN$59,5,FALSE),IF($G61="Nontradable",VLOOKUP($B61,ExteriorNontradableData!$B$10:$AM$59,5,FALSE),""))</f>
        <v/>
      </c>
      <c r="I61" s="1290" t="str">
        <f>IF($G61="Tradable",VLOOKUP($B61,ExteriorTradableData!$B$10:$AN$59,17,FALSE),IF($G61="Nontradable",VLOOKUP($B61,ExteriorNontradableData!$B$10:$AM$59,17,FALSE),""))</f>
        <v/>
      </c>
      <c r="J61" s="1352" t="str">
        <f>IF($G61="Tradable",VLOOKUP($B61,ExteriorTradableData!$B$10:$AN$59,18,FALSE),IF($G61="Nontradable",VLOOKUP($B61,ExteriorNontradableData!$B$10:$AM$59,20,FALSE),""))</f>
        <v/>
      </c>
      <c r="K61" s="1321" t="str">
        <f>IF($G61="Tradable",VLOOKUP($B61,ExteriorTradableData!$B$10:$AN$59,36,FALSE),IF($G61="Nontradable",VLOOKUP($B61,ExteriorNontradableData!$B$10:$AM$59,37,FALSE),""))</f>
        <v/>
      </c>
      <c r="L61" s="1296"/>
      <c r="M61" s="1325" t="str">
        <f>IF($G61="Tradable",VLOOKUP($B61,ExteriorTradableData!$B$10:$AN$59,38,FALSE),IF($G61="Nontradable",VLOOKUP($B61,ExteriorNontradableData!$B$10:$AS$59,39,FALSE),""))</f>
        <v/>
      </c>
      <c r="N61" s="1326" t="str">
        <f>IF($G61="Tradable",VLOOKUP($B61,ExteriorTradableData!$B$10:$AT$59,43,FALSE),IF($G61="Nontradable",VLOOKUP($B61,ExteriorNontradableData!$B$10:$AS$59,44,FALSE),""))</f>
        <v/>
      </c>
      <c r="R61" s="1246" t="s">
        <v>1201</v>
      </c>
    </row>
    <row r="62" spans="2:18" ht="40" x14ac:dyDescent="0.2">
      <c r="B62" s="1479" t="str">
        <f>'Ext Area Schedule'!AT60</f>
        <v/>
      </c>
      <c r="C62" s="1480"/>
      <c r="D62" s="1480"/>
      <c r="E62" s="1480"/>
      <c r="F62" s="1481"/>
      <c r="G62" s="1351" t="str">
        <f>IF(B62="","",VLOOKUP(B62,'Ext Area Schedule'!AT$16:AY$115,6,FALSE))</f>
        <v/>
      </c>
      <c r="H62" s="1305" t="str">
        <f>IF($G62="Tradable",VLOOKUP($B62,ExteriorTradableData!$B$10:$AN$59,5,FALSE),IF($G62="Nontradable",VLOOKUP($B62,ExteriorNontradableData!$B$10:$AM$59,5,FALSE),""))</f>
        <v/>
      </c>
      <c r="I62" s="1290" t="str">
        <f>IF($G62="Tradable",VLOOKUP($B62,ExteriorTradableData!$B$10:$AN$59,17,FALSE),IF($G62="Nontradable",VLOOKUP($B62,ExteriorNontradableData!$B$10:$AM$59,17,FALSE),""))</f>
        <v/>
      </c>
      <c r="J62" s="1352" t="str">
        <f>IF($G62="Tradable",VLOOKUP($B62,ExteriorTradableData!$B$10:$AN$59,18,FALSE),IF($G62="Nontradable",VLOOKUP($B62,ExteriorNontradableData!$B$10:$AM$59,20,FALSE),""))</f>
        <v/>
      </c>
      <c r="K62" s="1321" t="str">
        <f>IF($G62="Tradable",VLOOKUP($B62,ExteriorTradableData!$B$10:$AN$59,36,FALSE),IF($G62="Nontradable",VLOOKUP($B62,ExteriorNontradableData!$B$10:$AM$59,37,FALSE),""))</f>
        <v/>
      </c>
      <c r="L62" s="1296"/>
      <c r="M62" s="1325" t="str">
        <f>IF($G62="Tradable",VLOOKUP($B62,ExteriorTradableData!$B$10:$AN$59,38,FALSE),IF($G62="Nontradable",VLOOKUP($B62,ExteriorNontradableData!$B$10:$AS$59,39,FALSE),""))</f>
        <v/>
      </c>
      <c r="N62" s="1326" t="str">
        <f>IF($G62="Tradable",VLOOKUP($B62,ExteriorTradableData!$B$10:$AT$59,43,FALSE),IF($G62="Nontradable",VLOOKUP($B62,ExteriorNontradableData!$B$10:$AS$59,44,FALSE),""))</f>
        <v/>
      </c>
      <c r="R62" s="1246" t="s">
        <v>1201</v>
      </c>
    </row>
    <row r="63" spans="2:18" ht="40" x14ac:dyDescent="0.2">
      <c r="B63" s="1479" t="str">
        <f>'Ext Area Schedule'!AT61</f>
        <v/>
      </c>
      <c r="C63" s="1480"/>
      <c r="D63" s="1480"/>
      <c r="E63" s="1480"/>
      <c r="F63" s="1481"/>
      <c r="G63" s="1351" t="str">
        <f>IF(B63="","",VLOOKUP(B63,'Ext Area Schedule'!AT$16:AY$115,6,FALSE))</f>
        <v/>
      </c>
      <c r="H63" s="1305" t="str">
        <f>IF($G63="Tradable",VLOOKUP($B63,ExteriorTradableData!$B$10:$AN$59,5,FALSE),IF($G63="Nontradable",VLOOKUP($B63,ExteriorNontradableData!$B$10:$AM$59,5,FALSE),""))</f>
        <v/>
      </c>
      <c r="I63" s="1290" t="str">
        <f>IF($G63="Tradable",VLOOKUP($B63,ExteriorTradableData!$B$10:$AN$59,17,FALSE),IF($G63="Nontradable",VLOOKUP($B63,ExteriorNontradableData!$B$10:$AM$59,17,FALSE),""))</f>
        <v/>
      </c>
      <c r="J63" s="1352" t="str">
        <f>IF($G63="Tradable",VLOOKUP($B63,ExteriorTradableData!$B$10:$AN$59,18,FALSE),IF($G63="Nontradable",VLOOKUP($B63,ExteriorNontradableData!$B$10:$AM$59,20,FALSE),""))</f>
        <v/>
      </c>
      <c r="K63" s="1321" t="str">
        <f>IF($G63="Tradable",VLOOKUP($B63,ExteriorTradableData!$B$10:$AN$59,36,FALSE),IF($G63="Nontradable",VLOOKUP($B63,ExteriorNontradableData!$B$10:$AM$59,37,FALSE),""))</f>
        <v/>
      </c>
      <c r="L63" s="1296"/>
      <c r="M63" s="1325" t="str">
        <f>IF($G63="Tradable",VLOOKUP($B63,ExteriorTradableData!$B$10:$AN$59,38,FALSE),IF($G63="Nontradable",VLOOKUP($B63,ExteriorNontradableData!$B$10:$AS$59,39,FALSE),""))</f>
        <v/>
      </c>
      <c r="N63" s="1326" t="str">
        <f>IF($G63="Tradable",VLOOKUP($B63,ExteriorTradableData!$B$10:$AT$59,43,FALSE),IF($G63="Nontradable",VLOOKUP($B63,ExteriorNontradableData!$B$10:$AS$59,44,FALSE),""))</f>
        <v/>
      </c>
      <c r="R63" s="1246" t="s">
        <v>1201</v>
      </c>
    </row>
    <row r="64" spans="2:18" ht="40" x14ac:dyDescent="0.2">
      <c r="B64" s="1479" t="str">
        <f>'Ext Area Schedule'!AT62</f>
        <v/>
      </c>
      <c r="C64" s="1480"/>
      <c r="D64" s="1480"/>
      <c r="E64" s="1480"/>
      <c r="F64" s="1481"/>
      <c r="G64" s="1351" t="str">
        <f>IF(B64="","",VLOOKUP(B64,'Ext Area Schedule'!AT$16:AY$115,6,FALSE))</f>
        <v/>
      </c>
      <c r="H64" s="1305" t="str">
        <f>IF($G64="Tradable",VLOOKUP($B64,ExteriorTradableData!$B$10:$AN$59,5,FALSE),IF($G64="Nontradable",VLOOKUP($B64,ExteriorNontradableData!$B$10:$AM$59,5,FALSE),""))</f>
        <v/>
      </c>
      <c r="I64" s="1290" t="str">
        <f>IF($G64="Tradable",VLOOKUP($B64,ExteriorTradableData!$B$10:$AN$59,17,FALSE),IF($G64="Nontradable",VLOOKUP($B64,ExteriorNontradableData!$B$10:$AM$59,17,FALSE),""))</f>
        <v/>
      </c>
      <c r="J64" s="1352" t="str">
        <f>IF($G64="Tradable",VLOOKUP($B64,ExteriorTradableData!$B$10:$AN$59,18,FALSE),IF($G64="Nontradable",VLOOKUP($B64,ExteriorNontradableData!$B$10:$AM$59,20,FALSE),""))</f>
        <v/>
      </c>
      <c r="K64" s="1321" t="str">
        <f>IF($G64="Tradable",VLOOKUP($B64,ExteriorTradableData!$B$10:$AN$59,36,FALSE),IF($G64="Nontradable",VLOOKUP($B64,ExteriorNontradableData!$B$10:$AM$59,37,FALSE),""))</f>
        <v/>
      </c>
      <c r="L64" s="1296"/>
      <c r="M64" s="1325" t="str">
        <f>IF($G64="Tradable",VLOOKUP($B64,ExteriorTradableData!$B$10:$AN$59,38,FALSE),IF($G64="Nontradable",VLOOKUP($B64,ExteriorNontradableData!$B$10:$AS$59,39,FALSE),""))</f>
        <v/>
      </c>
      <c r="N64" s="1326" t="str">
        <f>IF($G64="Tradable",VLOOKUP($B64,ExteriorTradableData!$B$10:$AT$59,43,FALSE),IF($G64="Nontradable",VLOOKUP($B64,ExteriorNontradableData!$B$10:$AS$59,44,FALSE),""))</f>
        <v/>
      </c>
      <c r="R64" s="1246" t="s">
        <v>1201</v>
      </c>
    </row>
    <row r="65" spans="2:18" ht="40" x14ac:dyDescent="0.2">
      <c r="B65" s="1479" t="str">
        <f>'Ext Area Schedule'!AT63</f>
        <v/>
      </c>
      <c r="C65" s="1480"/>
      <c r="D65" s="1480"/>
      <c r="E65" s="1480"/>
      <c r="F65" s="1481"/>
      <c r="G65" s="1351" t="str">
        <f>IF(B65="","",VLOOKUP(B65,'Ext Area Schedule'!AT$16:AY$115,6,FALSE))</f>
        <v/>
      </c>
      <c r="H65" s="1305" t="str">
        <f>IF($G65="Tradable",VLOOKUP($B65,ExteriorTradableData!$B$10:$AN$59,5,FALSE),IF($G65="Nontradable",VLOOKUP($B65,ExteriorNontradableData!$B$10:$AM$59,5,FALSE),""))</f>
        <v/>
      </c>
      <c r="I65" s="1290" t="str">
        <f>IF($G65="Tradable",VLOOKUP($B65,ExteriorTradableData!$B$10:$AN$59,17,FALSE),IF($G65="Nontradable",VLOOKUP($B65,ExteriorNontradableData!$B$10:$AM$59,17,FALSE),""))</f>
        <v/>
      </c>
      <c r="J65" s="1352" t="str">
        <f>IF($G65="Tradable",VLOOKUP($B65,ExteriorTradableData!$B$10:$AN$59,18,FALSE),IF($G65="Nontradable",VLOOKUP($B65,ExteriorNontradableData!$B$10:$AM$59,20,FALSE),""))</f>
        <v/>
      </c>
      <c r="K65" s="1321" t="str">
        <f>IF($G65="Tradable",VLOOKUP($B65,ExteriorTradableData!$B$10:$AN$59,36,FALSE),IF($G65="Nontradable",VLOOKUP($B65,ExteriorNontradableData!$B$10:$AM$59,37,FALSE),""))</f>
        <v/>
      </c>
      <c r="L65" s="1296"/>
      <c r="M65" s="1325" t="str">
        <f>IF($G65="Tradable",VLOOKUP($B65,ExteriorTradableData!$B$10:$AN$59,38,FALSE),IF($G65="Nontradable",VLOOKUP($B65,ExteriorNontradableData!$B$10:$AS$59,39,FALSE),""))</f>
        <v/>
      </c>
      <c r="N65" s="1326" t="str">
        <f>IF($G65="Tradable",VLOOKUP($B65,ExteriorTradableData!$B$10:$AT$59,43,FALSE),IF($G65="Nontradable",VLOOKUP($B65,ExteriorNontradableData!$B$10:$AS$59,44,FALSE),""))</f>
        <v/>
      </c>
      <c r="R65" s="1246" t="s">
        <v>1201</v>
      </c>
    </row>
    <row r="66" spans="2:18" ht="40" x14ac:dyDescent="0.2">
      <c r="B66" s="1479" t="str">
        <f>'Ext Area Schedule'!AT64</f>
        <v/>
      </c>
      <c r="C66" s="1480"/>
      <c r="D66" s="1480"/>
      <c r="E66" s="1480"/>
      <c r="F66" s="1481"/>
      <c r="G66" s="1351" t="str">
        <f>IF(B66="","",VLOOKUP(B66,'Ext Area Schedule'!AT$16:AY$115,6,FALSE))</f>
        <v/>
      </c>
      <c r="H66" s="1305" t="str">
        <f>IF($G66="Tradable",VLOOKUP($B66,ExteriorTradableData!$B$10:$AN$59,5,FALSE),IF($G66="Nontradable",VLOOKUP($B66,ExteriorNontradableData!$B$10:$AM$59,5,FALSE),""))</f>
        <v/>
      </c>
      <c r="I66" s="1290" t="str">
        <f>IF($G66="Tradable",VLOOKUP($B66,ExteriorTradableData!$B$10:$AN$59,17,FALSE),IF($G66="Nontradable",VLOOKUP($B66,ExteriorNontradableData!$B$10:$AM$59,17,FALSE),""))</f>
        <v/>
      </c>
      <c r="J66" s="1352" t="str">
        <f>IF($G66="Tradable",VLOOKUP($B66,ExteriorTradableData!$B$10:$AN$59,18,FALSE),IF($G66="Nontradable",VLOOKUP($B66,ExteriorNontradableData!$B$10:$AM$59,20,FALSE),""))</f>
        <v/>
      </c>
      <c r="K66" s="1321" t="str">
        <f>IF($G66="Tradable",VLOOKUP($B66,ExteriorTradableData!$B$10:$AN$59,36,FALSE),IF($G66="Nontradable",VLOOKUP($B66,ExteriorNontradableData!$B$10:$AM$59,37,FALSE),""))</f>
        <v/>
      </c>
      <c r="L66" s="1296"/>
      <c r="M66" s="1325" t="str">
        <f>IF($G66="Tradable",VLOOKUP($B66,ExteriorTradableData!$B$10:$AN$59,38,FALSE),IF($G66="Nontradable",VLOOKUP($B66,ExteriorNontradableData!$B$10:$AS$59,39,FALSE),""))</f>
        <v/>
      </c>
      <c r="N66" s="1326" t="str">
        <f>IF($G66="Tradable",VLOOKUP($B66,ExteriorTradableData!$B$10:$AT$59,43,FALSE),IF($G66="Nontradable",VLOOKUP($B66,ExteriorNontradableData!$B$10:$AS$59,44,FALSE),""))</f>
        <v/>
      </c>
      <c r="R66" s="1246" t="s">
        <v>1201</v>
      </c>
    </row>
    <row r="67" spans="2:18" ht="40.5" thickBot="1" x14ac:dyDescent="0.25">
      <c r="B67" s="1482" t="str">
        <f>'Ext Area Schedule'!AT65</f>
        <v/>
      </c>
      <c r="C67" s="1483"/>
      <c r="D67" s="1483"/>
      <c r="E67" s="1483"/>
      <c r="F67" s="1484"/>
      <c r="G67" s="1353" t="str">
        <f>IF(B67="","",VLOOKUP(B67,'Ext Area Schedule'!AT$16:AY$115,6,FALSE))</f>
        <v/>
      </c>
      <c r="H67" s="1354" t="str">
        <f>IF($G67="Tradable",VLOOKUP($B67,ExteriorTradableData!$B$10:$AN$59,5,FALSE),IF($G67="Nontradable",VLOOKUP($B67,ExteriorNontradableData!$B$10:$AM$59,5,FALSE),""))</f>
        <v/>
      </c>
      <c r="I67" s="1355" t="str">
        <f>IF($G67="Tradable",VLOOKUP($B67,ExteriorTradableData!$B$10:$AN$59,17,FALSE),IF($G67="Nontradable",VLOOKUP($B67,ExteriorNontradableData!$B$10:$AM$59,17,FALSE),""))</f>
        <v/>
      </c>
      <c r="J67" s="1356" t="str">
        <f>IF($G67="Tradable",VLOOKUP($B67,ExteriorTradableData!$B$10:$AN$59,18,FALSE),IF($G67="Nontradable",VLOOKUP($B67,ExteriorNontradableData!$B$10:$AM$59,20,FALSE),""))</f>
        <v/>
      </c>
      <c r="K67" s="1329" t="str">
        <f>IF($G67="Tradable",VLOOKUP($B67,ExteriorTradableData!$B$10:$AN$59,36,FALSE),IF($G67="Nontradable",VLOOKUP($B67,ExteriorNontradableData!$B$10:$AM$59,37,FALSE),""))</f>
        <v/>
      </c>
      <c r="L67" s="1357"/>
      <c r="M67" s="1333" t="str">
        <f>IF($G67="Tradable",VLOOKUP($B67,ExteriorTradableData!$B$10:$AN$59,38,FALSE),IF($G67="Nontradable",VLOOKUP($B67,ExteriorNontradableData!$B$10:$AS$59,39,FALSE),""))</f>
        <v/>
      </c>
      <c r="N67" s="1334" t="str">
        <f>IF($G67="Tradable",VLOOKUP($B67,ExteriorTradableData!$B$10:$AT$59,43,FALSE),IF($G67="Nontradable",VLOOKUP($B67,ExteriorNontradableData!$B$10:$AS$59,44,FALSE),""))</f>
        <v/>
      </c>
      <c r="R67" s="1246" t="s">
        <v>1201</v>
      </c>
    </row>
    <row r="71" spans="2:18" x14ac:dyDescent="0.2">
      <c r="Q71" s="178" t="s">
        <v>167</v>
      </c>
    </row>
    <row r="73" spans="2:18" ht="20" x14ac:dyDescent="0.2">
      <c r="R73" s="1246" t="s">
        <v>1200</v>
      </c>
    </row>
    <row r="74" spans="2:18" ht="20" x14ac:dyDescent="0.2">
      <c r="R74" s="1246" t="s">
        <v>1200</v>
      </c>
    </row>
    <row r="75" spans="2:18" ht="20" x14ac:dyDescent="0.2">
      <c r="R75" s="1246" t="s">
        <v>1200</v>
      </c>
    </row>
    <row r="76" spans="2:18" ht="20" x14ac:dyDescent="0.2">
      <c r="R76" s="1246" t="s">
        <v>1200</v>
      </c>
    </row>
    <row r="77" spans="2:18" ht="20" x14ac:dyDescent="0.2">
      <c r="R77" s="1246" t="s">
        <v>1200</v>
      </c>
    </row>
    <row r="78" spans="2:18" ht="20" x14ac:dyDescent="0.2">
      <c r="R78" s="1246" t="s">
        <v>1200</v>
      </c>
    </row>
    <row r="79" spans="2:18" ht="20" x14ac:dyDescent="0.2">
      <c r="R79" s="1246" t="s">
        <v>1200</v>
      </c>
    </row>
    <row r="80" spans="2:18" ht="20" x14ac:dyDescent="0.2">
      <c r="R80" s="1246" t="s">
        <v>1200</v>
      </c>
    </row>
    <row r="81" spans="18:18" ht="20" x14ac:dyDescent="0.2">
      <c r="R81" s="1246" t="s">
        <v>1200</v>
      </c>
    </row>
    <row r="82" spans="18:18" ht="20" x14ac:dyDescent="0.2">
      <c r="R82" s="1246" t="s">
        <v>1200</v>
      </c>
    </row>
    <row r="83" spans="18:18" ht="20" x14ac:dyDescent="0.2">
      <c r="R83" s="1246" t="s">
        <v>1200</v>
      </c>
    </row>
    <row r="84" spans="18:18" ht="20" x14ac:dyDescent="0.2">
      <c r="R84" s="1246" t="s">
        <v>1200</v>
      </c>
    </row>
    <row r="85" spans="18:18" ht="20" x14ac:dyDescent="0.2">
      <c r="R85" s="1246" t="s">
        <v>1200</v>
      </c>
    </row>
    <row r="86" spans="18:18" ht="20" x14ac:dyDescent="0.2">
      <c r="R86" s="1246" t="s">
        <v>1200</v>
      </c>
    </row>
    <row r="87" spans="18:18" ht="20" x14ac:dyDescent="0.2">
      <c r="R87" s="1246" t="s">
        <v>1200</v>
      </c>
    </row>
    <row r="88" spans="18:18" ht="20" x14ac:dyDescent="0.2">
      <c r="R88" s="1246" t="s">
        <v>1200</v>
      </c>
    </row>
    <row r="89" spans="18:18" ht="20" x14ac:dyDescent="0.2">
      <c r="R89" s="1246" t="s">
        <v>1200</v>
      </c>
    </row>
    <row r="90" spans="18:18" ht="20" x14ac:dyDescent="0.2">
      <c r="R90" s="1246" t="s">
        <v>1200</v>
      </c>
    </row>
    <row r="91" spans="18:18" ht="20" x14ac:dyDescent="0.2">
      <c r="R91" s="1246" t="s">
        <v>1200</v>
      </c>
    </row>
    <row r="92" spans="18:18" ht="20" x14ac:dyDescent="0.2">
      <c r="R92" s="1246" t="s">
        <v>1200</v>
      </c>
    </row>
    <row r="93" spans="18:18" ht="20" x14ac:dyDescent="0.2">
      <c r="R93" s="1246" t="s">
        <v>1200</v>
      </c>
    </row>
    <row r="94" spans="18:18" ht="20" x14ac:dyDescent="0.2">
      <c r="R94" s="1246" t="s">
        <v>1200</v>
      </c>
    </row>
    <row r="95" spans="18:18" ht="20" x14ac:dyDescent="0.2">
      <c r="R95" s="1246" t="s">
        <v>1200</v>
      </c>
    </row>
    <row r="96" spans="18:18" ht="20" x14ac:dyDescent="0.2">
      <c r="R96" s="1246" t="s">
        <v>1200</v>
      </c>
    </row>
    <row r="97" spans="18:18" ht="20" x14ac:dyDescent="0.2">
      <c r="R97" s="1246" t="s">
        <v>1200</v>
      </c>
    </row>
    <row r="98" spans="18:18" ht="20" x14ac:dyDescent="0.2">
      <c r="R98" s="1246" t="s">
        <v>1200</v>
      </c>
    </row>
    <row r="99" spans="18:18" ht="20" x14ac:dyDescent="0.2">
      <c r="R99" s="1246" t="s">
        <v>1200</v>
      </c>
    </row>
    <row r="100" spans="18:18" ht="20" x14ac:dyDescent="0.2">
      <c r="R100" s="1246" t="s">
        <v>1200</v>
      </c>
    </row>
    <row r="101" spans="18:18" ht="20" x14ac:dyDescent="0.2">
      <c r="R101" s="1246" t="s">
        <v>1200</v>
      </c>
    </row>
    <row r="102" spans="18:18" ht="20" x14ac:dyDescent="0.2">
      <c r="R102" s="1246" t="s">
        <v>1200</v>
      </c>
    </row>
    <row r="103" spans="18:18" ht="20" x14ac:dyDescent="0.2">
      <c r="R103" s="1246" t="s">
        <v>1200</v>
      </c>
    </row>
    <row r="104" spans="18:18" ht="20" x14ac:dyDescent="0.2">
      <c r="R104" s="1246" t="s">
        <v>1200</v>
      </c>
    </row>
    <row r="105" spans="18:18" ht="20" x14ac:dyDescent="0.2">
      <c r="R105" s="1246" t="s">
        <v>1200</v>
      </c>
    </row>
    <row r="106" spans="18:18" ht="20" x14ac:dyDescent="0.2">
      <c r="R106" s="1246" t="s">
        <v>1200</v>
      </c>
    </row>
    <row r="107" spans="18:18" ht="20" x14ac:dyDescent="0.2">
      <c r="R107" s="1246" t="s">
        <v>1200</v>
      </c>
    </row>
    <row r="108" spans="18:18" ht="20" x14ac:dyDescent="0.2">
      <c r="R108" s="1246" t="s">
        <v>1200</v>
      </c>
    </row>
    <row r="109" spans="18:18" ht="20" x14ac:dyDescent="0.2">
      <c r="R109" s="1246" t="s">
        <v>1200</v>
      </c>
    </row>
    <row r="110" spans="18:18" ht="20" x14ac:dyDescent="0.2">
      <c r="R110" s="1246" t="s">
        <v>1200</v>
      </c>
    </row>
    <row r="111" spans="18:18" ht="20" x14ac:dyDescent="0.2">
      <c r="R111" s="1246" t="s">
        <v>1200</v>
      </c>
    </row>
    <row r="112" spans="18:18" ht="20" x14ac:dyDescent="0.2">
      <c r="R112" s="1246" t="s">
        <v>1200</v>
      </c>
    </row>
    <row r="113" spans="17:18" ht="20" x14ac:dyDescent="0.2">
      <c r="R113" s="1246" t="s">
        <v>1200</v>
      </c>
    </row>
    <row r="114" spans="17:18" ht="20" x14ac:dyDescent="0.2">
      <c r="R114" s="1246" t="s">
        <v>1200</v>
      </c>
    </row>
    <row r="115" spans="17:18" ht="20" x14ac:dyDescent="0.2">
      <c r="R115" s="1246" t="s">
        <v>1200</v>
      </c>
    </row>
    <row r="116" spans="17:18" ht="20" x14ac:dyDescent="0.2">
      <c r="R116" s="1246" t="s">
        <v>1200</v>
      </c>
    </row>
    <row r="117" spans="17:18" ht="20" x14ac:dyDescent="0.2">
      <c r="R117" s="1246" t="s">
        <v>1200</v>
      </c>
    </row>
    <row r="118" spans="17:18" ht="20" x14ac:dyDescent="0.2">
      <c r="R118" s="1246" t="s">
        <v>1200</v>
      </c>
    </row>
    <row r="119" spans="17:18" ht="20" x14ac:dyDescent="0.2">
      <c r="R119" s="1246" t="s">
        <v>1200</v>
      </c>
    </row>
    <row r="120" spans="17:18" ht="20" x14ac:dyDescent="0.2">
      <c r="R120" s="1246" t="s">
        <v>1200</v>
      </c>
    </row>
    <row r="121" spans="17:18" ht="20" x14ac:dyDescent="0.2">
      <c r="R121" s="1246" t="s">
        <v>1200</v>
      </c>
    </row>
    <row r="122" spans="17:18" ht="20" x14ac:dyDescent="0.2">
      <c r="R122" s="1246" t="s">
        <v>1200</v>
      </c>
    </row>
    <row r="126" spans="17:18" x14ac:dyDescent="0.2">
      <c r="Q126" s="178" t="s">
        <v>36</v>
      </c>
    </row>
    <row r="128" spans="17:18" ht="20" x14ac:dyDescent="0.2">
      <c r="R128" s="1246" t="s">
        <v>1200</v>
      </c>
    </row>
    <row r="129" spans="18:18" ht="20" x14ac:dyDescent="0.2">
      <c r="R129" s="1246" t="s">
        <v>1200</v>
      </c>
    </row>
    <row r="130" spans="18:18" ht="20" x14ac:dyDescent="0.2">
      <c r="R130" s="1246" t="s">
        <v>1200</v>
      </c>
    </row>
    <row r="131" spans="18:18" ht="20" x14ac:dyDescent="0.2">
      <c r="R131" s="1246" t="s">
        <v>1200</v>
      </c>
    </row>
    <row r="132" spans="18:18" ht="20" x14ac:dyDescent="0.2">
      <c r="R132" s="1246" t="s">
        <v>1200</v>
      </c>
    </row>
    <row r="133" spans="18:18" ht="20" x14ac:dyDescent="0.2">
      <c r="R133" s="1246" t="s">
        <v>1200</v>
      </c>
    </row>
    <row r="134" spans="18:18" ht="20" x14ac:dyDescent="0.2">
      <c r="R134" s="1246" t="s">
        <v>1200</v>
      </c>
    </row>
    <row r="135" spans="18:18" ht="20" x14ac:dyDescent="0.2">
      <c r="R135" s="1246" t="s">
        <v>1200</v>
      </c>
    </row>
    <row r="136" spans="18:18" ht="20" x14ac:dyDescent="0.2">
      <c r="R136" s="1246" t="s">
        <v>1200</v>
      </c>
    </row>
    <row r="137" spans="18:18" ht="20" x14ac:dyDescent="0.2">
      <c r="R137" s="1246" t="s">
        <v>1200</v>
      </c>
    </row>
    <row r="138" spans="18:18" ht="20" x14ac:dyDescent="0.2">
      <c r="R138" s="1246" t="s">
        <v>1200</v>
      </c>
    </row>
    <row r="139" spans="18:18" ht="20" x14ac:dyDescent="0.2">
      <c r="R139" s="1246" t="s">
        <v>1200</v>
      </c>
    </row>
    <row r="140" spans="18:18" ht="20" x14ac:dyDescent="0.2">
      <c r="R140" s="1246" t="s">
        <v>1200</v>
      </c>
    </row>
    <row r="141" spans="18:18" ht="20" x14ac:dyDescent="0.2">
      <c r="R141" s="1246" t="s">
        <v>1200</v>
      </c>
    </row>
    <row r="142" spans="18:18" ht="20" x14ac:dyDescent="0.2">
      <c r="R142" s="1246" t="s">
        <v>1200</v>
      </c>
    </row>
    <row r="143" spans="18:18" ht="20" x14ac:dyDescent="0.2">
      <c r="R143" s="1246" t="s">
        <v>1200</v>
      </c>
    </row>
    <row r="144" spans="18:18" ht="20" x14ac:dyDescent="0.2">
      <c r="R144" s="1246" t="s">
        <v>1200</v>
      </c>
    </row>
    <row r="145" spans="18:18" ht="20" x14ac:dyDescent="0.2">
      <c r="R145" s="1246" t="s">
        <v>1200</v>
      </c>
    </row>
    <row r="146" spans="18:18" ht="20" x14ac:dyDescent="0.2">
      <c r="R146" s="1246" t="s">
        <v>1200</v>
      </c>
    </row>
    <row r="147" spans="18:18" ht="20" x14ac:dyDescent="0.2">
      <c r="R147" s="1246" t="s">
        <v>1200</v>
      </c>
    </row>
    <row r="148" spans="18:18" ht="20" x14ac:dyDescent="0.2">
      <c r="R148" s="1246" t="s">
        <v>1200</v>
      </c>
    </row>
    <row r="149" spans="18:18" ht="20" x14ac:dyDescent="0.2">
      <c r="R149" s="1246" t="s">
        <v>1200</v>
      </c>
    </row>
    <row r="150" spans="18:18" ht="20" x14ac:dyDescent="0.2">
      <c r="R150" s="1246" t="s">
        <v>1200</v>
      </c>
    </row>
    <row r="151" spans="18:18" ht="20" x14ac:dyDescent="0.2">
      <c r="R151" s="1246" t="s">
        <v>1200</v>
      </c>
    </row>
    <row r="152" spans="18:18" ht="20" x14ac:dyDescent="0.2">
      <c r="R152" s="1246" t="s">
        <v>1200</v>
      </c>
    </row>
    <row r="153" spans="18:18" ht="20" x14ac:dyDescent="0.2">
      <c r="R153" s="1246" t="s">
        <v>1200</v>
      </c>
    </row>
    <row r="154" spans="18:18" ht="20" x14ac:dyDescent="0.2">
      <c r="R154" s="1246" t="s">
        <v>1200</v>
      </c>
    </row>
    <row r="155" spans="18:18" ht="20" x14ac:dyDescent="0.2">
      <c r="R155" s="1246" t="s">
        <v>1200</v>
      </c>
    </row>
    <row r="156" spans="18:18" ht="20" x14ac:dyDescent="0.2">
      <c r="R156" s="1246" t="s">
        <v>1200</v>
      </c>
    </row>
    <row r="157" spans="18:18" ht="20" x14ac:dyDescent="0.2">
      <c r="R157" s="1246" t="s">
        <v>1200</v>
      </c>
    </row>
    <row r="158" spans="18:18" ht="20" x14ac:dyDescent="0.2">
      <c r="R158" s="1246" t="s">
        <v>1200</v>
      </c>
    </row>
    <row r="159" spans="18:18" ht="20" x14ac:dyDescent="0.2">
      <c r="R159" s="1246" t="s">
        <v>1200</v>
      </c>
    </row>
    <row r="160" spans="18:18" ht="20" x14ac:dyDescent="0.2">
      <c r="R160" s="1246" t="s">
        <v>1200</v>
      </c>
    </row>
    <row r="161" spans="18:18" ht="20" x14ac:dyDescent="0.2">
      <c r="R161" s="1246" t="s">
        <v>1200</v>
      </c>
    </row>
    <row r="162" spans="18:18" ht="20" x14ac:dyDescent="0.2">
      <c r="R162" s="1246" t="s">
        <v>1200</v>
      </c>
    </row>
    <row r="163" spans="18:18" ht="20" x14ac:dyDescent="0.2">
      <c r="R163" s="1246" t="s">
        <v>1200</v>
      </c>
    </row>
    <row r="164" spans="18:18" ht="20" x14ac:dyDescent="0.2">
      <c r="R164" s="1246" t="s">
        <v>1200</v>
      </c>
    </row>
    <row r="165" spans="18:18" ht="20" x14ac:dyDescent="0.2">
      <c r="R165" s="1246" t="s">
        <v>1200</v>
      </c>
    </row>
    <row r="166" spans="18:18" ht="20" x14ac:dyDescent="0.2">
      <c r="R166" s="1246" t="s">
        <v>1200</v>
      </c>
    </row>
    <row r="167" spans="18:18" ht="20" x14ac:dyDescent="0.2">
      <c r="R167" s="1246" t="s">
        <v>1200</v>
      </c>
    </row>
    <row r="168" spans="18:18" ht="20" x14ac:dyDescent="0.2">
      <c r="R168" s="1246" t="s">
        <v>1200</v>
      </c>
    </row>
    <row r="169" spans="18:18" ht="20" x14ac:dyDescent="0.2">
      <c r="R169" s="1246" t="s">
        <v>1200</v>
      </c>
    </row>
    <row r="170" spans="18:18" ht="20" x14ac:dyDescent="0.2">
      <c r="R170" s="1246" t="s">
        <v>1200</v>
      </c>
    </row>
    <row r="171" spans="18:18" ht="20" x14ac:dyDescent="0.2">
      <c r="R171" s="1246" t="s">
        <v>1200</v>
      </c>
    </row>
    <row r="172" spans="18:18" ht="20" x14ac:dyDescent="0.2">
      <c r="R172" s="1246" t="s">
        <v>1200</v>
      </c>
    </row>
    <row r="173" spans="18:18" ht="20" x14ac:dyDescent="0.2">
      <c r="R173" s="1246" t="s">
        <v>1200</v>
      </c>
    </row>
    <row r="174" spans="18:18" ht="20" x14ac:dyDescent="0.2">
      <c r="R174" s="1246" t="s">
        <v>1200</v>
      </c>
    </row>
    <row r="175" spans="18:18" ht="20" x14ac:dyDescent="0.2">
      <c r="R175" s="1246" t="s">
        <v>1200</v>
      </c>
    </row>
    <row r="176" spans="18:18" ht="20" x14ac:dyDescent="0.2">
      <c r="R176" s="1246" t="s">
        <v>1200</v>
      </c>
    </row>
    <row r="177" spans="18:18" ht="20" x14ac:dyDescent="0.2">
      <c r="R177" s="1246" t="s">
        <v>1200</v>
      </c>
    </row>
  </sheetData>
  <sheetProtection sheet="1" objects="1" scenarios="1" formatRows="0"/>
  <mergeCells count="60">
    <mergeCell ref="B21:F21"/>
    <mergeCell ref="B13:C13"/>
    <mergeCell ref="H13:H14"/>
    <mergeCell ref="I13:I14"/>
    <mergeCell ref="H1:N1"/>
    <mergeCell ref="H3:N3"/>
    <mergeCell ref="H11:K11"/>
    <mergeCell ref="B16:F16"/>
    <mergeCell ref="H17:N17"/>
    <mergeCell ref="B18:F18"/>
    <mergeCell ref="B19:F19"/>
    <mergeCell ref="B20:F20"/>
    <mergeCell ref="M11:N14"/>
    <mergeCell ref="B33:F33"/>
    <mergeCell ref="B22:F22"/>
    <mergeCell ref="B23:F23"/>
    <mergeCell ref="B24:F24"/>
    <mergeCell ref="B25:F25"/>
    <mergeCell ref="B26:F26"/>
    <mergeCell ref="B27:F27"/>
    <mergeCell ref="B28:F28"/>
    <mergeCell ref="B29:F29"/>
    <mergeCell ref="B30:F30"/>
    <mergeCell ref="B31:F31"/>
    <mergeCell ref="B32:F32"/>
    <mergeCell ref="B45:F45"/>
    <mergeCell ref="B34:F34"/>
    <mergeCell ref="B35:F35"/>
    <mergeCell ref="B36:F36"/>
    <mergeCell ref="B37:F37"/>
    <mergeCell ref="B38:F38"/>
    <mergeCell ref="B39:F39"/>
    <mergeCell ref="B40:F40"/>
    <mergeCell ref="B41:F41"/>
    <mergeCell ref="B42:F42"/>
    <mergeCell ref="B43:F43"/>
    <mergeCell ref="B44:F44"/>
    <mergeCell ref="B57:F57"/>
    <mergeCell ref="B46:F46"/>
    <mergeCell ref="B47:F47"/>
    <mergeCell ref="B48:F48"/>
    <mergeCell ref="B49:F49"/>
    <mergeCell ref="B50:F50"/>
    <mergeCell ref="B51:F51"/>
    <mergeCell ref="B64:F64"/>
    <mergeCell ref="B65:F65"/>
    <mergeCell ref="B66:F66"/>
    <mergeCell ref="B67:F67"/>
    <mergeCell ref="J13:J14"/>
    <mergeCell ref="B58:F58"/>
    <mergeCell ref="B59:F59"/>
    <mergeCell ref="B60:F60"/>
    <mergeCell ref="B61:F61"/>
    <mergeCell ref="B62:F62"/>
    <mergeCell ref="B63:F63"/>
    <mergeCell ref="B52:F52"/>
    <mergeCell ref="B53:F53"/>
    <mergeCell ref="B54:F54"/>
    <mergeCell ref="B55:F55"/>
    <mergeCell ref="B56:F56"/>
  </mergeCells>
  <conditionalFormatting sqref="K18:K67">
    <cfRule type="containsText" dxfId="409" priority="6" operator="containsText" text="Pass">
      <formula>NOT(ISERROR(SEARCH("Pass",K18)))</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79378E1A-2569-476F-8383-E03C9C0B1012}">
            <xm:f>NOT(ISERROR(SEARCH("Fail",K18)))</xm:f>
            <xm:f>"Fail"</xm:f>
            <x14:dxf>
              <font>
                <color rgb="FF9C0006"/>
              </font>
              <fill>
                <patternFill>
                  <bgColor rgb="FFFFC7CE"/>
                </patternFill>
              </fill>
            </x14:dxf>
          </x14:cfRule>
          <xm:sqref>K18:K67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249977111117893"/>
    <pageSetUpPr fitToPage="1"/>
  </sheetPr>
  <dimension ref="A1:BR139"/>
  <sheetViews>
    <sheetView showGridLines="0" showRowColHeaders="0" workbookViewId="0">
      <pane xSplit="6" ySplit="15" topLeftCell="G16" activePane="bottomRight" state="frozen"/>
      <selection pane="topRight" activeCell="G1" sqref="G1"/>
      <selection pane="bottomLeft" activeCell="A16" sqref="A16"/>
      <selection pane="bottomRight" activeCell="L7" sqref="L7"/>
    </sheetView>
  </sheetViews>
  <sheetFormatPr defaultRowHeight="12.5" x14ac:dyDescent="0.25"/>
  <cols>
    <col min="1" max="1" width="2.54296875" customWidth="1"/>
    <col min="2" max="5" width="10.54296875" customWidth="1"/>
    <col min="6" max="6" width="2.54296875" customWidth="1"/>
    <col min="7" max="7" width="0.81640625" customWidth="1"/>
    <col min="8" max="8" width="2.26953125" hidden="1" customWidth="1"/>
    <col min="9" max="9" width="10.1796875" hidden="1" customWidth="1"/>
    <col min="10" max="10" width="25.54296875" style="2" customWidth="1"/>
    <col min="11" max="11" width="20.54296875" style="2" customWidth="1"/>
    <col min="12" max="12" width="15.54296875" style="2" customWidth="1"/>
    <col min="13" max="13" width="22.26953125" style="2" hidden="1" customWidth="1"/>
    <col min="14" max="14" width="13.81640625" customWidth="1"/>
    <col min="15" max="15" width="1.54296875" customWidth="1"/>
    <col min="16" max="16" width="9.54296875" customWidth="1"/>
    <col min="17" max="17" width="1.54296875" customWidth="1"/>
    <col min="18" max="18" width="23.453125" bestFit="1" customWidth="1"/>
    <col min="19" max="26" width="9.54296875" customWidth="1"/>
    <col min="27" max="27" width="3.81640625" customWidth="1"/>
    <col min="28" max="28" width="19.7265625" customWidth="1"/>
    <col min="29" max="38" width="10.54296875" hidden="1" customWidth="1"/>
    <col min="39" max="42" width="9.1796875" hidden="1" customWidth="1"/>
    <col min="43" max="44" width="9" hidden="1" customWidth="1"/>
    <col min="45" max="45" width="29.7265625" hidden="1" customWidth="1"/>
    <col min="46" max="46" width="9" style="535" hidden="1" customWidth="1"/>
    <col min="47" max="48" width="9" hidden="1" customWidth="1"/>
    <col min="49" max="49" width="28.7265625" hidden="1" customWidth="1"/>
    <col min="50" max="51" width="9" hidden="1" customWidth="1"/>
    <col min="52" max="63" width="9.1796875" hidden="1" customWidth="1"/>
    <col min="64" max="65" width="9" hidden="1" customWidth="1"/>
    <col min="66" max="66" width="10" hidden="1" customWidth="1"/>
    <col min="67" max="70" width="9" hidden="1" customWidth="1"/>
    <col min="71" max="71" width="9" customWidth="1"/>
  </cols>
  <sheetData>
    <row r="1" spans="1:70" ht="15" customHeight="1" x14ac:dyDescent="0.3">
      <c r="A1" s="42"/>
      <c r="B1" s="42"/>
      <c r="C1" s="42"/>
      <c r="D1" s="1498" t="s">
        <v>0</v>
      </c>
      <c r="E1" s="1498"/>
      <c r="F1" s="1498"/>
      <c r="G1" s="316"/>
      <c r="H1" s="316"/>
      <c r="I1" s="1472" t="str">
        <f>'Main Compliance Page'!K1</f>
        <v>ASHRAE/IES 90.1-2019 Lighting Compliance Documentation (v4.0)</v>
      </c>
      <c r="J1" s="1472"/>
      <c r="K1" s="1472"/>
      <c r="L1" s="1472"/>
      <c r="M1" s="1472"/>
      <c r="N1" s="1472"/>
      <c r="O1" s="145"/>
      <c r="P1" s="74"/>
      <c r="Q1" s="281"/>
      <c r="R1" s="74"/>
      <c r="S1" s="74"/>
      <c r="T1" s="217">
        <v>30</v>
      </c>
      <c r="U1" s="217"/>
      <c r="V1" s="74"/>
      <c r="W1" s="217">
        <v>0.8</v>
      </c>
      <c r="X1" s="217"/>
      <c r="Y1" s="74"/>
      <c r="Z1" s="74"/>
      <c r="AA1" s="74"/>
      <c r="AC1" s="74"/>
      <c r="AD1" s="74"/>
      <c r="AE1" s="74"/>
      <c r="AF1" s="74"/>
      <c r="AG1" s="74"/>
      <c r="AH1" s="74"/>
      <c r="AI1" s="74"/>
      <c r="AJ1" s="74"/>
      <c r="AK1" s="74"/>
      <c r="AL1" s="74"/>
      <c r="AM1" s="42"/>
      <c r="AN1" s="42"/>
      <c r="AO1" s="42"/>
      <c r="AP1" s="42"/>
      <c r="AQ1" s="42"/>
      <c r="AR1" s="42"/>
      <c r="AS1" s="42"/>
      <c r="AT1" s="532"/>
      <c r="AU1" s="42"/>
      <c r="AV1" s="42"/>
      <c r="AW1" s="42"/>
      <c r="AX1" s="42"/>
      <c r="AY1" s="42"/>
      <c r="AZ1" s="42"/>
      <c r="BA1" s="42"/>
      <c r="BB1" s="42"/>
      <c r="BC1" s="42"/>
    </row>
    <row r="2" spans="1:70" ht="5.15" customHeight="1" x14ac:dyDescent="0.3">
      <c r="A2" s="42"/>
      <c r="B2" s="42"/>
      <c r="C2" s="42"/>
      <c r="D2" s="526"/>
      <c r="E2" s="526"/>
      <c r="F2" s="526"/>
      <c r="G2" s="526"/>
      <c r="H2" s="526"/>
      <c r="I2" s="527"/>
      <c r="J2" s="527"/>
      <c r="K2" s="527"/>
      <c r="L2" s="527"/>
      <c r="M2" s="527"/>
      <c r="N2" s="527"/>
      <c r="O2" s="145"/>
      <c r="P2" s="74"/>
      <c r="Q2" s="281"/>
      <c r="R2" s="74"/>
      <c r="S2" s="74"/>
      <c r="T2" s="217"/>
      <c r="U2" s="217"/>
      <c r="V2" s="74"/>
      <c r="W2" s="217"/>
      <c r="X2" s="217"/>
      <c r="Y2" s="74"/>
      <c r="Z2" s="74"/>
      <c r="AA2" s="74"/>
      <c r="AC2" s="74"/>
      <c r="AD2" s="74"/>
      <c r="AE2" s="74"/>
      <c r="AF2" s="74"/>
      <c r="AG2" s="74"/>
      <c r="AH2" s="74"/>
      <c r="AI2" s="74"/>
      <c r="AJ2" s="74"/>
      <c r="AK2" s="74"/>
      <c r="AL2" s="74"/>
      <c r="AM2" s="42"/>
      <c r="AN2" s="42"/>
      <c r="AO2" s="42"/>
      <c r="AP2" s="42"/>
      <c r="AQ2" s="42"/>
      <c r="AR2" s="42"/>
      <c r="AS2" s="42"/>
      <c r="AT2" s="532"/>
      <c r="AU2" s="42"/>
      <c r="AV2" s="42"/>
      <c r="AW2" s="42"/>
      <c r="AX2" s="42"/>
      <c r="AY2" s="42"/>
      <c r="AZ2" s="42"/>
      <c r="BA2" s="42"/>
      <c r="BB2" s="42"/>
      <c r="BC2" s="42"/>
    </row>
    <row r="3" spans="1:70" ht="15" customHeight="1" x14ac:dyDescent="0.3">
      <c r="A3" s="42"/>
      <c r="B3" s="42"/>
      <c r="C3" s="42"/>
      <c r="D3" s="530"/>
      <c r="E3" s="530"/>
      <c r="F3" s="530"/>
      <c r="G3" s="312"/>
      <c r="H3" s="312"/>
      <c r="I3" s="1472" t="s">
        <v>66</v>
      </c>
      <c r="J3" s="1472"/>
      <c r="K3" s="1472"/>
      <c r="L3" s="1472"/>
      <c r="M3" s="1472"/>
      <c r="N3" s="1472"/>
      <c r="O3" s="145"/>
      <c r="Q3" s="281"/>
      <c r="AM3" s="42"/>
      <c r="AN3" s="42"/>
      <c r="AO3" s="42"/>
      <c r="AP3" s="42"/>
      <c r="AQ3" s="42"/>
      <c r="AR3" s="42"/>
      <c r="AS3" s="42"/>
      <c r="AT3" s="532"/>
      <c r="AU3" s="42"/>
      <c r="AV3" s="42"/>
      <c r="AW3" s="42"/>
      <c r="AX3" s="42"/>
      <c r="AY3" s="42"/>
      <c r="AZ3" s="42"/>
      <c r="BA3" s="42"/>
      <c r="BB3" s="42"/>
      <c r="BC3" s="42"/>
    </row>
    <row r="4" spans="1:70" ht="5.15" customHeight="1" thickBot="1" x14ac:dyDescent="0.35">
      <c r="A4" s="42"/>
      <c r="B4" s="42"/>
      <c r="C4" s="42"/>
      <c r="D4" s="523"/>
      <c r="E4" s="523"/>
      <c r="F4" s="523"/>
      <c r="G4" s="523"/>
      <c r="H4" s="523"/>
      <c r="I4" s="527"/>
      <c r="J4" s="527"/>
      <c r="K4" s="527"/>
      <c r="L4" s="527"/>
      <c r="M4" s="527"/>
      <c r="N4" s="527"/>
      <c r="O4" s="145"/>
      <c r="Q4" s="281"/>
      <c r="AM4" s="42"/>
      <c r="AN4" s="42"/>
      <c r="AO4" s="42"/>
      <c r="AP4" s="42"/>
      <c r="AQ4" s="42"/>
      <c r="AR4" s="42"/>
      <c r="AS4" s="42"/>
      <c r="AT4" s="532"/>
      <c r="AU4" s="42"/>
      <c r="AV4" s="42"/>
      <c r="AW4" s="42"/>
      <c r="AX4" s="42"/>
      <c r="AY4" s="42"/>
      <c r="AZ4" s="42"/>
      <c r="BA4" s="42"/>
      <c r="BB4" s="42"/>
      <c r="BC4" s="42"/>
    </row>
    <row r="5" spans="1:70" ht="15" customHeight="1" x14ac:dyDescent="0.25">
      <c r="A5" s="42"/>
      <c r="B5" s="42"/>
      <c r="C5" s="42"/>
      <c r="D5" s="530"/>
      <c r="E5" s="530"/>
      <c r="F5" s="530"/>
      <c r="G5" s="312"/>
      <c r="H5" s="312"/>
      <c r="I5" s="420"/>
      <c r="J5" s="145"/>
      <c r="K5" s="145"/>
      <c r="L5" s="145"/>
      <c r="M5" s="145"/>
      <c r="N5" s="145"/>
      <c r="O5" s="145"/>
      <c r="P5" s="74"/>
      <c r="Q5" s="145"/>
      <c r="R5" s="74"/>
      <c r="S5" s="1531" t="s">
        <v>67</v>
      </c>
      <c r="T5" s="1532"/>
      <c r="U5" s="1532"/>
      <c r="V5" s="1532"/>
      <c r="W5" s="1532"/>
      <c r="X5" s="1532"/>
      <c r="Y5" s="1532"/>
      <c r="Z5" s="1533"/>
      <c r="AA5" s="292"/>
      <c r="AB5" s="1527" t="s">
        <v>1142</v>
      </c>
      <c r="AC5" s="74"/>
      <c r="AD5" s="74"/>
      <c r="AE5" s="74"/>
      <c r="AF5" s="74"/>
      <c r="AG5" s="74"/>
      <c r="AH5" s="74"/>
      <c r="AI5" s="74"/>
      <c r="AJ5" s="74"/>
      <c r="AK5" s="74"/>
      <c r="AL5" s="74"/>
      <c r="AM5" s="533"/>
      <c r="AN5" s="533"/>
      <c r="AO5" s="42"/>
      <c r="AP5" s="74"/>
      <c r="AQ5" s="74"/>
      <c r="AR5" s="42"/>
      <c r="AS5" s="42"/>
      <c r="AT5" s="532"/>
      <c r="AU5" s="42"/>
      <c r="AV5" s="42"/>
      <c r="AW5" s="42"/>
      <c r="AX5" s="42"/>
      <c r="AY5" s="42"/>
      <c r="AZ5" s="42"/>
      <c r="BA5" s="42"/>
      <c r="BB5" s="42"/>
      <c r="BC5" s="42"/>
    </row>
    <row r="6" spans="1:70" ht="5.15" customHeight="1" thickBot="1" x14ac:dyDescent="0.3">
      <c r="A6" s="42"/>
      <c r="B6" s="42"/>
      <c r="C6" s="42"/>
      <c r="D6" s="523"/>
      <c r="E6" s="523"/>
      <c r="F6" s="523"/>
      <c r="G6" s="523"/>
      <c r="H6" s="523"/>
      <c r="I6" s="523"/>
      <c r="J6" s="1512" t="s">
        <v>1139</v>
      </c>
      <c r="K6" s="1512"/>
      <c r="L6" s="145"/>
      <c r="M6" s="145"/>
      <c r="N6" s="145"/>
      <c r="O6" s="145"/>
      <c r="P6" s="74"/>
      <c r="Q6" s="145"/>
      <c r="R6" s="74"/>
      <c r="S6" s="1534"/>
      <c r="T6" s="1535"/>
      <c r="U6" s="1535"/>
      <c r="V6" s="1535"/>
      <c r="W6" s="1535"/>
      <c r="X6" s="1535"/>
      <c r="Y6" s="1535"/>
      <c r="Z6" s="1536"/>
      <c r="AA6" s="292"/>
      <c r="AB6" s="1528"/>
      <c r="AC6" s="74"/>
      <c r="AD6" s="74"/>
      <c r="AE6" s="74"/>
      <c r="AF6" s="74"/>
      <c r="AG6" s="74"/>
      <c r="AH6" s="74"/>
      <c r="AI6" s="74"/>
      <c r="AJ6" s="74"/>
      <c r="AK6" s="74"/>
      <c r="AL6" s="74"/>
      <c r="AM6" s="533"/>
      <c r="AN6" s="533"/>
      <c r="AO6" s="42"/>
      <c r="AP6" s="74"/>
      <c r="AQ6" s="74"/>
      <c r="AR6" s="42"/>
      <c r="AS6" s="42"/>
      <c r="AT6" s="532"/>
      <c r="AU6" s="42"/>
      <c r="AV6" s="42"/>
      <c r="AW6" s="42"/>
      <c r="AX6" s="42"/>
      <c r="AY6" s="42"/>
      <c r="AZ6" s="42"/>
      <c r="BA6" s="42"/>
      <c r="BB6" s="42"/>
      <c r="BC6" s="42"/>
    </row>
    <row r="7" spans="1:70" ht="15" customHeight="1" thickBot="1" x14ac:dyDescent="0.3">
      <c r="A7" s="42"/>
      <c r="B7" s="42"/>
      <c r="C7" s="42"/>
      <c r="D7" s="74"/>
      <c r="E7" s="74"/>
      <c r="F7" s="74"/>
      <c r="G7" s="315"/>
      <c r="H7" s="315"/>
      <c r="J7" s="1512"/>
      <c r="K7" s="1512"/>
      <c r="L7" s="282" t="s">
        <v>69</v>
      </c>
      <c r="M7" s="325"/>
      <c r="N7" s="547" t="str">
        <f>IF(L7="Yes", "Compliant", "Not Compliant")</f>
        <v>Compliant</v>
      </c>
      <c r="O7" s="42"/>
      <c r="P7" s="310"/>
      <c r="Q7" s="42"/>
      <c r="R7" s="310"/>
      <c r="S7" s="1537"/>
      <c r="T7" s="1538"/>
      <c r="U7" s="1538"/>
      <c r="V7" s="1538"/>
      <c r="W7" s="1538"/>
      <c r="X7" s="1538"/>
      <c r="Y7" s="1538"/>
      <c r="Z7" s="1539"/>
      <c r="AB7" s="1529"/>
      <c r="AC7" s="310"/>
      <c r="AD7" s="310"/>
      <c r="AE7" s="310"/>
      <c r="AF7" s="310"/>
      <c r="AG7" s="310"/>
      <c r="AH7" s="310"/>
      <c r="AI7" s="310"/>
      <c r="AJ7" s="310"/>
      <c r="AK7" s="310"/>
      <c r="AL7" s="310"/>
      <c r="AM7" s="533"/>
      <c r="AN7" s="533"/>
      <c r="AO7" s="42"/>
      <c r="AP7" s="42"/>
      <c r="AQ7" s="43"/>
      <c r="AR7" s="42"/>
      <c r="AS7" s="42"/>
      <c r="AT7" s="532"/>
      <c r="AU7" s="42"/>
      <c r="AV7" s="42"/>
      <c r="AW7" s="42"/>
      <c r="AX7" s="42"/>
      <c r="AY7" s="42"/>
      <c r="AZ7" s="42"/>
      <c r="BA7" s="42"/>
      <c r="BB7" s="42"/>
      <c r="BC7" s="42"/>
    </row>
    <row r="8" spans="1:70" ht="5.15" customHeight="1" thickBot="1" x14ac:dyDescent="0.3">
      <c r="A8" s="42"/>
      <c r="B8" s="42"/>
      <c r="C8" s="42"/>
      <c r="D8" s="525"/>
      <c r="E8" s="525"/>
      <c r="F8" s="525"/>
      <c r="G8" s="525"/>
      <c r="H8" s="525"/>
      <c r="I8" s="529"/>
      <c r="J8" s="1512"/>
      <c r="K8" s="1512"/>
      <c r="L8" s="546"/>
      <c r="M8" s="532"/>
      <c r="N8" s="556"/>
      <c r="O8" s="42"/>
      <c r="P8" s="310"/>
      <c r="Q8" s="42"/>
      <c r="R8" s="310"/>
      <c r="Z8" s="7"/>
      <c r="AA8" s="555"/>
      <c r="AB8" s="1529"/>
      <c r="AC8" s="310"/>
      <c r="AD8" s="310"/>
      <c r="AE8" s="310"/>
      <c r="AF8" s="310"/>
      <c r="AG8" s="310"/>
      <c r="AH8" s="310"/>
      <c r="AI8" s="310"/>
      <c r="AJ8" s="310"/>
      <c r="AK8" s="310"/>
      <c r="AL8" s="310"/>
      <c r="AM8" s="533"/>
      <c r="AN8" s="533"/>
      <c r="AO8" s="42"/>
      <c r="AP8" s="42"/>
      <c r="AQ8" s="43"/>
      <c r="AR8" s="42"/>
      <c r="AS8" s="42"/>
      <c r="AT8" s="532"/>
      <c r="AU8" s="42"/>
      <c r="AV8" s="42"/>
      <c r="AW8" s="42"/>
      <c r="AX8" s="42"/>
      <c r="AY8" s="42"/>
      <c r="AZ8" s="42"/>
      <c r="BA8" s="42"/>
      <c r="BB8" s="42"/>
      <c r="BC8" s="42"/>
    </row>
    <row r="9" spans="1:70" ht="25" customHeight="1" thickBot="1" x14ac:dyDescent="0.3">
      <c r="A9" s="42"/>
      <c r="B9" s="42"/>
      <c r="C9" s="42"/>
      <c r="D9" s="204"/>
      <c r="E9" s="204"/>
      <c r="F9" s="204"/>
      <c r="G9" s="318"/>
      <c r="H9" s="421"/>
      <c r="I9" s="7"/>
      <c r="J9" s="545"/>
      <c r="K9" s="545"/>
      <c r="L9" s="545"/>
      <c r="M9" s="540"/>
      <c r="N9" s="7"/>
      <c r="O9" s="279"/>
      <c r="Q9" s="279"/>
      <c r="R9" s="310"/>
      <c r="S9" s="1517" t="s">
        <v>70</v>
      </c>
      <c r="T9" s="1518"/>
      <c r="U9" s="1519"/>
      <c r="V9" s="1517" t="s">
        <v>71</v>
      </c>
      <c r="W9" s="1519"/>
      <c r="X9" s="1517" t="s">
        <v>72</v>
      </c>
      <c r="Y9" s="1518"/>
      <c r="Z9" s="1519"/>
      <c r="AA9" s="1550" t="s">
        <v>68</v>
      </c>
      <c r="AB9" s="1530"/>
      <c r="AC9" s="310"/>
      <c r="AD9" s="310"/>
      <c r="AE9" s="310"/>
      <c r="AF9" s="310"/>
      <c r="AG9" s="310"/>
      <c r="AH9" s="310"/>
      <c r="AI9" s="310"/>
      <c r="AJ9" s="310"/>
      <c r="AK9" s="310"/>
      <c r="AL9" s="310"/>
      <c r="AM9" s="42"/>
      <c r="AN9" s="42"/>
      <c r="AO9" s="42"/>
      <c r="AP9" s="42"/>
      <c r="AQ9" s="42"/>
      <c r="AR9" s="42"/>
      <c r="AS9" s="42"/>
      <c r="AT9" s="532"/>
      <c r="AU9" s="42"/>
      <c r="AV9" s="42"/>
      <c r="AW9" s="42"/>
      <c r="AX9" s="42"/>
      <c r="AY9" s="42"/>
      <c r="AZ9" s="42"/>
      <c r="BA9" s="42"/>
      <c r="BB9" s="42"/>
      <c r="BC9" s="42"/>
    </row>
    <row r="10" spans="1:70" ht="5.15" customHeight="1" thickBot="1" x14ac:dyDescent="0.3">
      <c r="A10" s="42"/>
      <c r="B10" s="42"/>
      <c r="C10" s="42"/>
      <c r="D10" s="529"/>
      <c r="E10" s="529"/>
      <c r="F10" s="529"/>
      <c r="G10" s="529"/>
      <c r="H10" s="529"/>
      <c r="I10" s="529"/>
      <c r="J10" s="279"/>
      <c r="K10" s="538"/>
      <c r="L10" s="539"/>
      <c r="M10" s="540"/>
      <c r="N10" s="193"/>
      <c r="O10" s="279"/>
      <c r="Q10" s="279"/>
      <c r="R10" s="310"/>
      <c r="Z10" s="564"/>
      <c r="AA10" s="1551"/>
      <c r="AB10" s="563"/>
      <c r="AC10" s="310"/>
      <c r="AD10" s="310"/>
      <c r="AE10" s="310"/>
      <c r="AF10" s="310"/>
      <c r="AG10" s="310"/>
      <c r="AH10" s="310"/>
      <c r="AI10" s="310"/>
      <c r="AJ10" s="310"/>
      <c r="AK10" s="310"/>
      <c r="AL10" s="310"/>
      <c r="AM10" s="42"/>
      <c r="AN10" s="42"/>
      <c r="AO10" s="42"/>
      <c r="AP10" s="42"/>
      <c r="AQ10" s="42"/>
      <c r="AR10" s="42"/>
      <c r="AS10" s="42"/>
      <c r="AT10" s="532"/>
      <c r="AU10" s="42"/>
      <c r="AV10" s="42"/>
      <c r="AW10" s="42"/>
      <c r="AX10" s="42"/>
      <c r="AY10" s="42"/>
      <c r="AZ10" s="42"/>
      <c r="BA10" s="42"/>
      <c r="BB10" s="42"/>
      <c r="BC10" s="42"/>
    </row>
    <row r="11" spans="1:70" ht="15" customHeight="1" x14ac:dyDescent="0.25">
      <c r="A11" s="42"/>
      <c r="B11" s="42"/>
      <c r="C11" s="42"/>
      <c r="D11" s="1404"/>
      <c r="E11" s="1404"/>
      <c r="F11" s="1404"/>
      <c r="G11" s="315"/>
      <c r="H11" s="315"/>
      <c r="I11" s="1526"/>
      <c r="J11" s="1506" t="s">
        <v>883</v>
      </c>
      <c r="K11" s="1509" t="s">
        <v>882</v>
      </c>
      <c r="L11" s="1509" t="s">
        <v>74</v>
      </c>
      <c r="M11" s="568"/>
      <c r="N11" s="1540" t="s">
        <v>884</v>
      </c>
      <c r="P11" s="1543" t="s">
        <v>76</v>
      </c>
      <c r="R11" s="1546" t="s">
        <v>77</v>
      </c>
      <c r="S11" s="1523" t="s">
        <v>78</v>
      </c>
      <c r="T11" s="1523" t="s">
        <v>79</v>
      </c>
      <c r="U11" s="1500" t="s">
        <v>1141</v>
      </c>
      <c r="V11" s="1503" t="s">
        <v>80</v>
      </c>
      <c r="W11" s="1500" t="s">
        <v>1140</v>
      </c>
      <c r="X11" s="1503" t="s">
        <v>81</v>
      </c>
      <c r="Y11" s="1523" t="s">
        <v>80</v>
      </c>
      <c r="Z11" s="1500" t="s">
        <v>82</v>
      </c>
      <c r="AA11" s="1551"/>
      <c r="AB11" s="1547" t="s">
        <v>83</v>
      </c>
      <c r="AM11" s="42"/>
      <c r="AN11" s="42"/>
      <c r="AO11" s="42"/>
      <c r="AP11" s="42"/>
      <c r="AQ11" s="42"/>
      <c r="AR11" s="42"/>
      <c r="AS11" s="42"/>
      <c r="AT11" s="532"/>
      <c r="AU11" s="42"/>
      <c r="AV11" s="42"/>
      <c r="AW11" s="42"/>
      <c r="AX11" s="42"/>
      <c r="AY11" s="42"/>
      <c r="AZ11" s="42"/>
      <c r="BA11" s="42"/>
      <c r="BB11" s="42"/>
      <c r="BC11" s="42"/>
    </row>
    <row r="12" spans="1:70" ht="5.15" customHeight="1" x14ac:dyDescent="0.25">
      <c r="A12" s="42"/>
      <c r="B12" s="42"/>
      <c r="C12" s="42"/>
      <c r="D12" s="525"/>
      <c r="E12" s="525"/>
      <c r="F12" s="525"/>
      <c r="G12" s="525"/>
      <c r="H12" s="525"/>
      <c r="I12" s="1526"/>
      <c r="J12" s="1507"/>
      <c r="K12" s="1510"/>
      <c r="L12" s="1510"/>
      <c r="M12" s="454"/>
      <c r="N12" s="1541"/>
      <c r="P12" s="1544"/>
      <c r="R12" s="1507"/>
      <c r="S12" s="1524"/>
      <c r="T12" s="1524"/>
      <c r="U12" s="1501"/>
      <c r="V12" s="1504"/>
      <c r="W12" s="1501"/>
      <c r="X12" s="1504"/>
      <c r="Y12" s="1524"/>
      <c r="Z12" s="1501"/>
      <c r="AA12" s="1551"/>
      <c r="AB12" s="1548"/>
      <c r="AM12" s="42"/>
      <c r="AN12" s="42"/>
      <c r="AO12" s="42"/>
      <c r="AP12" s="42"/>
      <c r="AQ12" s="42"/>
      <c r="AR12" s="42"/>
      <c r="AS12" s="42"/>
      <c r="AT12" s="532"/>
      <c r="AU12" s="42"/>
      <c r="AV12" s="42"/>
      <c r="AW12" s="42"/>
      <c r="AX12" s="42"/>
      <c r="AY12" s="42"/>
      <c r="AZ12" s="42"/>
      <c r="BA12" s="42"/>
      <c r="BB12" s="42"/>
      <c r="BC12" s="42"/>
    </row>
    <row r="13" spans="1:70" ht="15" customHeight="1" x14ac:dyDescent="0.25">
      <c r="A13" s="42"/>
      <c r="B13" s="1520" t="str">
        <f>CONCATENATE("90.1-",Compliance_Version_Year)</f>
        <v>90.1-2019</v>
      </c>
      <c r="C13" s="1520"/>
      <c r="D13" s="525"/>
      <c r="E13" s="525"/>
      <c r="F13" s="525"/>
      <c r="G13" s="525"/>
      <c r="H13" s="525"/>
      <c r="I13" s="1526"/>
      <c r="J13" s="1507"/>
      <c r="K13" s="1510"/>
      <c r="L13" s="1510"/>
      <c r="M13" s="454"/>
      <c r="N13" s="1541"/>
      <c r="P13" s="1544"/>
      <c r="R13" s="1507"/>
      <c r="S13" s="1524"/>
      <c r="T13" s="1524"/>
      <c r="U13" s="1501"/>
      <c r="V13" s="1504"/>
      <c r="W13" s="1501"/>
      <c r="X13" s="1504"/>
      <c r="Y13" s="1524"/>
      <c r="Z13" s="1501"/>
      <c r="AA13" s="1551"/>
      <c r="AB13" s="1548"/>
      <c r="AM13" s="42"/>
      <c r="AN13" s="42"/>
      <c r="AO13" s="42"/>
      <c r="AP13" s="42"/>
      <c r="AQ13" s="42"/>
      <c r="AR13" s="42"/>
      <c r="AS13" s="42"/>
      <c r="AT13" s="532"/>
      <c r="AU13" s="42"/>
      <c r="AV13" s="42"/>
      <c r="AW13" s="42"/>
      <c r="AX13" s="42"/>
      <c r="AY13" s="42"/>
      <c r="AZ13" s="42"/>
      <c r="BA13" s="42"/>
      <c r="BB13" s="42"/>
      <c r="BC13" s="42"/>
    </row>
    <row r="14" spans="1:70" ht="5.15" customHeight="1" x14ac:dyDescent="0.25">
      <c r="A14" s="42"/>
      <c r="B14" s="42"/>
      <c r="C14" s="42"/>
      <c r="D14" s="525"/>
      <c r="E14" s="525"/>
      <c r="F14" s="525"/>
      <c r="G14" s="525"/>
      <c r="H14" s="525"/>
      <c r="I14" s="1526"/>
      <c r="J14" s="1507"/>
      <c r="K14" s="1510"/>
      <c r="L14" s="1510"/>
      <c r="M14" s="454"/>
      <c r="N14" s="1541"/>
      <c r="P14" s="1544"/>
      <c r="R14" s="1507"/>
      <c r="S14" s="1524"/>
      <c r="T14" s="1524"/>
      <c r="U14" s="1501"/>
      <c r="V14" s="1504"/>
      <c r="W14" s="1501"/>
      <c r="X14" s="1504"/>
      <c r="Y14" s="1524"/>
      <c r="Z14" s="1501"/>
      <c r="AA14" s="1551"/>
      <c r="AB14" s="1548"/>
      <c r="AM14" s="42"/>
      <c r="AN14" s="42"/>
      <c r="AO14" s="42"/>
      <c r="AP14" s="42"/>
      <c r="AQ14" s="42"/>
      <c r="AR14" s="42"/>
      <c r="AS14" s="42"/>
      <c r="AT14" s="532"/>
      <c r="AU14" s="42"/>
      <c r="AV14" s="42"/>
      <c r="AW14" s="42"/>
      <c r="AX14" s="42"/>
      <c r="AY14" s="42"/>
      <c r="AZ14" s="42"/>
      <c r="BA14" s="42"/>
      <c r="BB14" s="42"/>
      <c r="BC14" s="42"/>
    </row>
    <row r="15" spans="1:70" ht="15" customHeight="1" thickBot="1" x14ac:dyDescent="0.3">
      <c r="A15" s="42"/>
      <c r="D15" s="42"/>
      <c r="E15" s="42"/>
      <c r="F15" s="42"/>
      <c r="G15" s="42"/>
      <c r="H15" s="42"/>
      <c r="I15" s="1526"/>
      <c r="J15" s="1508"/>
      <c r="K15" s="1511"/>
      <c r="L15" s="1511"/>
      <c r="M15" s="569" t="s">
        <v>75</v>
      </c>
      <c r="N15" s="1542"/>
      <c r="O15" s="280"/>
      <c r="P15" s="1545"/>
      <c r="Q15" s="291"/>
      <c r="R15" s="1508"/>
      <c r="S15" s="1525"/>
      <c r="T15" s="1525"/>
      <c r="U15" s="1502"/>
      <c r="V15" s="1505"/>
      <c r="W15" s="1502"/>
      <c r="X15" s="1505"/>
      <c r="Y15" s="1525"/>
      <c r="Z15" s="1502"/>
      <c r="AA15" s="1551"/>
      <c r="AB15" s="1549"/>
      <c r="AC15" s="218"/>
      <c r="AD15" s="218"/>
      <c r="AE15" s="218" t="s">
        <v>84</v>
      </c>
      <c r="AF15" s="218" t="s">
        <v>85</v>
      </c>
      <c r="AG15" s="218" t="s">
        <v>86</v>
      </c>
      <c r="AH15" s="218" t="s">
        <v>87</v>
      </c>
      <c r="AI15" s="218" t="s">
        <v>88</v>
      </c>
      <c r="AJ15" s="218" t="s">
        <v>89</v>
      </c>
      <c r="AK15" s="218"/>
      <c r="AL15" s="218"/>
      <c r="AM15" s="42"/>
      <c r="AN15" s="42"/>
      <c r="AO15" s="42"/>
      <c r="AP15" s="42"/>
      <c r="AQ15" s="42"/>
      <c r="AR15" s="426">
        <f>COUNTIF(AR16:AR35,"=" &amp; 1)</f>
        <v>0</v>
      </c>
      <c r="AS15" s="95"/>
      <c r="AT15" s="531"/>
      <c r="AU15" s="95"/>
      <c r="AV15" s="95"/>
      <c r="AW15" s="95"/>
      <c r="AX15" s="95"/>
      <c r="AY15" s="95"/>
      <c r="AZ15" s="42"/>
      <c r="BA15" s="42"/>
      <c r="BB15" s="42"/>
      <c r="BC15" s="42"/>
      <c r="BL15" s="456" t="s">
        <v>848</v>
      </c>
      <c r="BM15" s="456" t="s">
        <v>73</v>
      </c>
      <c r="BN15" s="457" t="s">
        <v>644</v>
      </c>
      <c r="BO15" s="456" t="s">
        <v>74</v>
      </c>
      <c r="BP15" s="455" t="s">
        <v>847</v>
      </c>
      <c r="BR15" s="456" t="s">
        <v>76</v>
      </c>
    </row>
    <row r="16" spans="1:70" ht="12.75" customHeight="1" x14ac:dyDescent="0.3">
      <c r="A16" s="42"/>
      <c r="B16" s="50"/>
      <c r="C16" s="42"/>
      <c r="D16" s="42"/>
      <c r="E16" s="42"/>
      <c r="F16" s="42"/>
      <c r="G16" s="65"/>
      <c r="H16" s="987" t="str">
        <f t="shared" ref="H16:H31" si="0">IF(J16="","",CONCATENATE(J16," - ",K16))</f>
        <v/>
      </c>
      <c r="I16" s="990"/>
      <c r="J16" s="929"/>
      <c r="K16" s="565"/>
      <c r="L16" s="565"/>
      <c r="M16" s="566"/>
      <c r="N16" s="567"/>
      <c r="O16" s="195">
        <v>1</v>
      </c>
      <c r="P16" s="283" t="str">
        <f>IF(J16="","",IF(AD16&gt;0,AD16,N16))</f>
        <v/>
      </c>
      <c r="Q16" s="193"/>
      <c r="R16" s="557" t="str">
        <f t="shared" ref="R16:R22" si="1">AL16</f>
        <v/>
      </c>
      <c r="S16" s="558"/>
      <c r="T16" s="559"/>
      <c r="U16" s="560"/>
      <c r="V16" s="558"/>
      <c r="W16" s="561"/>
      <c r="X16" s="558" t="s">
        <v>15</v>
      </c>
      <c r="Y16" s="559"/>
      <c r="Z16" s="561"/>
      <c r="AA16" s="1231"/>
      <c r="AB16" s="562"/>
      <c r="AC16" s="5">
        <f t="shared" ref="AC16:AC21" si="2">IF(AL16="Line Voltage (min 30W/lf)",1,IF(AL16="Line Voltage (circuit breaker)",2,IF(AL16="Line Voltage (current limiter)",3,IF(AL16="Low Voltage Track",4,IF(AL16="Track (Installed Wattage)",5,0)))))</f>
        <v>0</v>
      </c>
      <c r="AD16" s="5">
        <f t="shared" ref="AD16:AD21" si="3">IF(AC16=1,AF16,IF(AC16=2,AH16,IF(AC16=3,AI16,IF(AC16=4,AB16,IF(AC16=5,AE16,0)))))</f>
        <v>0</v>
      </c>
      <c r="AE16" s="294">
        <f t="shared" ref="AE16:AE22" si="4">S16</f>
        <v>0</v>
      </c>
      <c r="AF16" s="294">
        <f t="shared" ref="AF16:AF22" si="5">T16*T$1</f>
        <v>0</v>
      </c>
      <c r="AG16" s="294">
        <f t="shared" ref="AG16:AG22" si="6">MAX(AE16:AF16)</f>
        <v>0</v>
      </c>
      <c r="AH16" s="294">
        <f t="shared" ref="AH16:AH22" si="7">V16*W16*W$1</f>
        <v>0</v>
      </c>
      <c r="AI16" s="294">
        <f t="shared" ref="AI16:AI22" si="8">IF(X16="Yes",Y16*Z16,0)</f>
        <v>0</v>
      </c>
      <c r="AJ16" s="294">
        <f t="shared" ref="AJ16:AJ22" si="9">AB16</f>
        <v>0</v>
      </c>
      <c r="AK16" s="294">
        <f t="shared" ref="AK16:AK22" si="10">IF(X16="Yes",MIN(AH16,AI16),IF(AJ16&gt;0,AJ16,MIN(AG16,AH16)))</f>
        <v>0</v>
      </c>
      <c r="AL16" s="295" t="str">
        <f t="shared" ref="AL16:AL22" si="11">IF(K16&lt;&gt;"Track","",IF(AND(K16="Track",AK16=0),"Yellow fields incomplete",IF(AB16&gt;0,"Low Voltage Track",IF(AND(X16="Yes",AI16&lt;AH16),"Line Voltage (current limiter)",IF(AK16=AH16,"Line Voltage (circuit breaker)",IF(AK16=AF16,"Line Voltage (min 30W/lf)","Track (Installed Wattage)"))))))</f>
        <v/>
      </c>
      <c r="AM16" s="95"/>
      <c r="AN16" s="95"/>
      <c r="AO16" s="42"/>
      <c r="AP16" s="42"/>
      <c r="AQ16" s="42"/>
      <c r="AR16" s="424">
        <f t="shared" ref="AR16:AR22" si="12">IF(AS16&lt;&gt;"",1,0)</f>
        <v>0</v>
      </c>
      <c r="AS16" s="425" t="str">
        <f>IFERROR(IF(ROWS(H$16:H16)&gt;COUNTA($H$16:$H$75),"",INDEX($H$16:$H$75,SMALL(IF($H$16:$H$75&lt;&gt;"",ROW($H$16:$H$75)-ROW($H$16)+1),ROWS($H$16:H16)))),"")</f>
        <v/>
      </c>
      <c r="AT16" s="424" t="str">
        <f t="shared" ref="AT16:AT47" si="13">IFERROR(VLOOKUP(AS16,$H$16:$P$75,9,FALSE),"")</f>
        <v/>
      </c>
      <c r="AU16" s="95"/>
      <c r="AV16" s="95"/>
      <c r="AW16" s="95"/>
      <c r="AX16" s="95"/>
      <c r="AY16" s="95"/>
      <c r="AZ16" s="42"/>
      <c r="BA16" s="42"/>
      <c r="BB16" s="42"/>
      <c r="BC16" s="42"/>
      <c r="BL16" s="454">
        <f t="shared" ref="BL16:BL47" si="14">IF(I16="",0,1)</f>
        <v>0</v>
      </c>
      <c r="BM16" s="454">
        <f t="shared" ref="BM16:BM26" si="15">IF(J16="",0,1)</f>
        <v>0</v>
      </c>
      <c r="BN16" s="454">
        <f t="shared" ref="BN16:BN26" si="16">IF(K16="",0,1)</f>
        <v>0</v>
      </c>
      <c r="BO16" s="454">
        <f t="shared" ref="BO16:BO26" si="17">IF(L16="",0,1)</f>
        <v>0</v>
      </c>
      <c r="BP16" s="454">
        <f t="shared" ref="BP16:BP26" si="18">IF(N16="",0,1)</f>
        <v>0</v>
      </c>
      <c r="BQ16" s="454">
        <f>SUM(BL16:BP16)</f>
        <v>0</v>
      </c>
      <c r="BR16" s="454">
        <f t="shared" ref="BR16:BR26" si="19">IF(P16="",0,1)</f>
        <v>0</v>
      </c>
    </row>
    <row r="17" spans="1:70" ht="13.15" customHeight="1" x14ac:dyDescent="0.3">
      <c r="A17" s="42"/>
      <c r="B17" s="94" t="s">
        <v>92</v>
      </c>
      <c r="C17" s="94"/>
      <c r="D17" s="42"/>
      <c r="E17" s="42"/>
      <c r="F17" s="42"/>
      <c r="G17" s="42"/>
      <c r="H17" s="987" t="str">
        <f t="shared" si="0"/>
        <v/>
      </c>
      <c r="I17" s="991"/>
      <c r="J17" s="930"/>
      <c r="K17" s="548"/>
      <c r="L17" s="548"/>
      <c r="M17" s="549"/>
      <c r="N17" s="550"/>
      <c r="O17" s="195">
        <v>2</v>
      </c>
      <c r="P17" s="283" t="str">
        <f t="shared" ref="P17:P22" si="20">IF(J17="","",IF(AD17&gt;0,AD17,N17))</f>
        <v/>
      </c>
      <c r="Q17" s="193"/>
      <c r="R17" s="283" t="str">
        <f t="shared" si="1"/>
        <v/>
      </c>
      <c r="S17" s="69"/>
      <c r="T17" s="367"/>
      <c r="U17" s="328"/>
      <c r="V17" s="69"/>
      <c r="W17" s="124"/>
      <c r="X17" s="69" t="s">
        <v>15</v>
      </c>
      <c r="Y17" s="554"/>
      <c r="Z17" s="124"/>
      <c r="AA17" s="1231"/>
      <c r="AB17" s="234"/>
      <c r="AC17" s="5">
        <f t="shared" si="2"/>
        <v>0</v>
      </c>
      <c r="AD17" s="5">
        <f t="shared" si="3"/>
        <v>0</v>
      </c>
      <c r="AE17" s="294">
        <f t="shared" si="4"/>
        <v>0</v>
      </c>
      <c r="AF17" s="294">
        <f t="shared" si="5"/>
        <v>0</v>
      </c>
      <c r="AG17" s="294">
        <f t="shared" si="6"/>
        <v>0</v>
      </c>
      <c r="AH17" s="294">
        <f t="shared" si="7"/>
        <v>0</v>
      </c>
      <c r="AI17" s="294">
        <f t="shared" si="8"/>
        <v>0</v>
      </c>
      <c r="AJ17" s="294">
        <f t="shared" si="9"/>
        <v>0</v>
      </c>
      <c r="AK17" s="294">
        <f t="shared" si="10"/>
        <v>0</v>
      </c>
      <c r="AL17" s="295" t="str">
        <f t="shared" si="11"/>
        <v/>
      </c>
      <c r="AM17" s="95"/>
      <c r="AN17" s="95"/>
      <c r="AO17" s="42"/>
      <c r="AP17" s="42"/>
      <c r="AQ17" s="42"/>
      <c r="AR17" s="424">
        <f t="shared" si="12"/>
        <v>0</v>
      </c>
      <c r="AS17" s="425" t="str">
        <f t="array" ref="AS17">IFERROR(IF(ROWS(H$16:H17)&gt;COUNTA($H$16:$H$75),"",INDEX($H$16:$H$75,SMALL(IF($H$16:$H$75&lt;&gt;"",ROW($H$16:$H$75)-ROW($H$16)+1),ROWS($H$16:H17)))),"")</f>
        <v/>
      </c>
      <c r="AT17" s="424" t="str">
        <f t="shared" si="13"/>
        <v/>
      </c>
      <c r="AU17" s="95"/>
      <c r="AV17" s="95"/>
      <c r="AW17" s="95"/>
      <c r="AX17" s="95"/>
      <c r="AY17" s="95"/>
      <c r="AZ17" s="42"/>
      <c r="BA17" s="42"/>
      <c r="BB17" s="42"/>
      <c r="BC17" s="42"/>
      <c r="BL17" s="454">
        <f t="shared" si="14"/>
        <v>0</v>
      </c>
      <c r="BM17" s="454">
        <f t="shared" si="15"/>
        <v>0</v>
      </c>
      <c r="BN17" s="454">
        <f t="shared" si="16"/>
        <v>0</v>
      </c>
      <c r="BO17" s="454">
        <f t="shared" si="17"/>
        <v>0</v>
      </c>
      <c r="BP17" s="454">
        <f t="shared" si="18"/>
        <v>0</v>
      </c>
      <c r="BQ17" s="454">
        <f t="shared" ref="BQ17:BQ26" si="21">SUM(BL17:BP17)</f>
        <v>0</v>
      </c>
      <c r="BR17" s="454">
        <f t="shared" si="19"/>
        <v>0</v>
      </c>
    </row>
    <row r="18" spans="1:70" x14ac:dyDescent="0.25">
      <c r="A18" s="42"/>
      <c r="B18" s="95" t="s">
        <v>41</v>
      </c>
      <c r="C18" s="42"/>
      <c r="D18" s="42"/>
      <c r="E18" s="42"/>
      <c r="F18" s="42"/>
      <c r="G18" s="42"/>
      <c r="H18" s="987" t="str">
        <f t="shared" si="0"/>
        <v/>
      </c>
      <c r="I18" s="991"/>
      <c r="J18" s="930"/>
      <c r="K18" s="548"/>
      <c r="L18" s="548"/>
      <c r="M18" s="549"/>
      <c r="N18" s="550"/>
      <c r="O18" s="195">
        <v>3</v>
      </c>
      <c r="P18" s="283" t="str">
        <f t="shared" si="20"/>
        <v/>
      </c>
      <c r="Q18" s="193"/>
      <c r="R18" s="283" t="str">
        <f t="shared" si="1"/>
        <v/>
      </c>
      <c r="S18" s="69">
        <v>120</v>
      </c>
      <c r="T18" s="367">
        <v>8</v>
      </c>
      <c r="U18" s="328"/>
      <c r="V18" s="69">
        <v>120</v>
      </c>
      <c r="W18" s="124">
        <v>15</v>
      </c>
      <c r="X18" s="69" t="s">
        <v>15</v>
      </c>
      <c r="Y18" s="554"/>
      <c r="Z18" s="124"/>
      <c r="AA18" s="1231"/>
      <c r="AB18" s="234"/>
      <c r="AC18" s="5">
        <f t="shared" si="2"/>
        <v>0</v>
      </c>
      <c r="AD18" s="5">
        <f t="shared" si="3"/>
        <v>0</v>
      </c>
      <c r="AE18" s="294">
        <f t="shared" si="4"/>
        <v>120</v>
      </c>
      <c r="AF18" s="294">
        <f t="shared" si="5"/>
        <v>240</v>
      </c>
      <c r="AG18" s="294">
        <f t="shared" si="6"/>
        <v>240</v>
      </c>
      <c r="AH18" s="294">
        <f t="shared" si="7"/>
        <v>1440</v>
      </c>
      <c r="AI18" s="294">
        <f t="shared" si="8"/>
        <v>0</v>
      </c>
      <c r="AJ18" s="294">
        <f t="shared" si="9"/>
        <v>0</v>
      </c>
      <c r="AK18" s="294">
        <f t="shared" si="10"/>
        <v>240</v>
      </c>
      <c r="AL18" s="295" t="str">
        <f t="shared" si="11"/>
        <v/>
      </c>
      <c r="AM18" s="95"/>
      <c r="AN18" s="95"/>
      <c r="AO18" s="42"/>
      <c r="AP18" s="42"/>
      <c r="AQ18" s="42"/>
      <c r="AR18" s="424">
        <f t="shared" si="12"/>
        <v>0</v>
      </c>
      <c r="AS18" s="425" t="str">
        <f t="array" ref="AS18">IFERROR(IF(ROWS(H$16:H18)&gt;COUNTA($H$16:$H$75),"",INDEX($H$16:$H$75,SMALL(IF($H$16:$H$75&lt;&gt;"",ROW($H$16:$H$75)-ROW($H$16)+1),ROWS($H$16:H18)))),"")</f>
        <v/>
      </c>
      <c r="AT18" s="424" t="str">
        <f t="shared" si="13"/>
        <v/>
      </c>
      <c r="AU18" s="95"/>
      <c r="AV18" s="95"/>
      <c r="AW18" s="95"/>
      <c r="AX18" s="95"/>
      <c r="AY18" s="95"/>
      <c r="AZ18" s="42"/>
      <c r="BA18" s="42"/>
      <c r="BB18" s="42"/>
      <c r="BC18" s="42"/>
      <c r="BL18" s="454">
        <f t="shared" si="14"/>
        <v>0</v>
      </c>
      <c r="BM18" s="454">
        <f t="shared" si="15"/>
        <v>0</v>
      </c>
      <c r="BN18" s="454">
        <f t="shared" si="16"/>
        <v>0</v>
      </c>
      <c r="BO18" s="454">
        <f t="shared" si="17"/>
        <v>0</v>
      </c>
      <c r="BP18" s="454">
        <f t="shared" si="18"/>
        <v>0</v>
      </c>
      <c r="BQ18" s="454">
        <f t="shared" si="21"/>
        <v>0</v>
      </c>
      <c r="BR18" s="454">
        <f t="shared" si="19"/>
        <v>0</v>
      </c>
    </row>
    <row r="19" spans="1:70" ht="12.75" customHeight="1" x14ac:dyDescent="0.3">
      <c r="A19" s="42"/>
      <c r="B19" s="1513" t="s">
        <v>44</v>
      </c>
      <c r="C19" s="1513"/>
      <c r="D19" s="1513"/>
      <c r="E19" s="1513"/>
      <c r="F19" s="42"/>
      <c r="G19" s="42"/>
      <c r="H19" s="987" t="str">
        <f t="shared" si="0"/>
        <v/>
      </c>
      <c r="I19" s="991"/>
      <c r="J19" s="930"/>
      <c r="K19" s="548"/>
      <c r="L19" s="548"/>
      <c r="M19" s="549"/>
      <c r="N19" s="550"/>
      <c r="O19" s="195">
        <v>4</v>
      </c>
      <c r="P19" s="283" t="str">
        <f t="shared" si="20"/>
        <v/>
      </c>
      <c r="Q19" s="193"/>
      <c r="R19" s="283" t="str">
        <f t="shared" si="1"/>
        <v/>
      </c>
      <c r="S19" s="69"/>
      <c r="T19" s="367"/>
      <c r="U19" s="328"/>
      <c r="V19" s="69"/>
      <c r="W19" s="124"/>
      <c r="X19" s="69" t="s">
        <v>15</v>
      </c>
      <c r="Y19" s="554"/>
      <c r="Z19" s="124"/>
      <c r="AA19" s="1231"/>
      <c r="AB19" s="234"/>
      <c r="AC19" s="5">
        <f t="shared" si="2"/>
        <v>0</v>
      </c>
      <c r="AD19" s="5">
        <f t="shared" si="3"/>
        <v>0</v>
      </c>
      <c r="AE19" s="294">
        <f t="shared" si="4"/>
        <v>0</v>
      </c>
      <c r="AF19" s="294">
        <f t="shared" si="5"/>
        <v>0</v>
      </c>
      <c r="AG19" s="294">
        <f t="shared" si="6"/>
        <v>0</v>
      </c>
      <c r="AH19" s="294">
        <f t="shared" si="7"/>
        <v>0</v>
      </c>
      <c r="AI19" s="294">
        <f t="shared" si="8"/>
        <v>0</v>
      </c>
      <c r="AJ19" s="294">
        <f t="shared" si="9"/>
        <v>0</v>
      </c>
      <c r="AK19" s="294">
        <f t="shared" si="10"/>
        <v>0</v>
      </c>
      <c r="AL19" s="295" t="str">
        <f t="shared" si="11"/>
        <v/>
      </c>
      <c r="AM19" s="95"/>
      <c r="AN19" s="95"/>
      <c r="AO19" s="42"/>
      <c r="AP19" s="42"/>
      <c r="AQ19" s="42"/>
      <c r="AR19" s="424">
        <f t="shared" si="12"/>
        <v>0</v>
      </c>
      <c r="AS19" s="425" t="str">
        <f t="array" ref="AS19">IFERROR(IF(ROWS(H$16:H19)&gt;COUNTA($H$16:$H$75),"",INDEX($H$16:$H$75,SMALL(IF($H$16:$H$75&lt;&gt;"",ROW($H$16:$H$75)-ROW($H$16)+1),ROWS($H$16:H19)))),"")</f>
        <v/>
      </c>
      <c r="AT19" s="424" t="str">
        <f t="shared" si="13"/>
        <v/>
      </c>
      <c r="AU19" s="95"/>
      <c r="AV19" s="95"/>
      <c r="AW19" s="95"/>
      <c r="AX19" s="95"/>
      <c r="AY19" s="95"/>
      <c r="AZ19" s="42"/>
      <c r="BA19" s="42"/>
      <c r="BB19" s="42"/>
      <c r="BC19" s="42"/>
      <c r="BE19">
        <f>S19</f>
        <v>0</v>
      </c>
      <c r="BF19">
        <f>U19</f>
        <v>0</v>
      </c>
      <c r="BG19">
        <f>V19*W19*0.8</f>
        <v>0</v>
      </c>
      <c r="BH19">
        <f>IF(X19="Yes",Y19*Z19,0)</f>
        <v>0</v>
      </c>
      <c r="BI19">
        <f>IF(X19="Yes",BH19,MIN(MAX(BE19:BF19),BG19))</f>
        <v>0</v>
      </c>
      <c r="BL19" s="454">
        <f t="shared" si="14"/>
        <v>0</v>
      </c>
      <c r="BM19" s="454">
        <f t="shared" si="15"/>
        <v>0</v>
      </c>
      <c r="BN19" s="454">
        <f t="shared" si="16"/>
        <v>0</v>
      </c>
      <c r="BO19" s="454">
        <f t="shared" si="17"/>
        <v>0</v>
      </c>
      <c r="BP19" s="454">
        <f t="shared" si="18"/>
        <v>0</v>
      </c>
      <c r="BQ19" s="454">
        <f t="shared" si="21"/>
        <v>0</v>
      </c>
      <c r="BR19" s="454">
        <f t="shared" si="19"/>
        <v>0</v>
      </c>
    </row>
    <row r="20" spans="1:70" ht="12.75" customHeight="1" x14ac:dyDescent="0.3">
      <c r="A20" s="42"/>
      <c r="B20" s="1514" t="s">
        <v>885</v>
      </c>
      <c r="C20" s="1514"/>
      <c r="D20" s="1514"/>
      <c r="E20" s="1514"/>
      <c r="F20" s="42"/>
      <c r="G20" s="42"/>
      <c r="H20" s="987" t="str">
        <f t="shared" si="0"/>
        <v/>
      </c>
      <c r="I20" s="991"/>
      <c r="J20" s="930"/>
      <c r="K20" s="548"/>
      <c r="L20" s="548"/>
      <c r="M20" s="549"/>
      <c r="N20" s="550"/>
      <c r="O20" s="195">
        <v>5</v>
      </c>
      <c r="P20" s="283" t="str">
        <f t="shared" si="20"/>
        <v/>
      </c>
      <c r="Q20" s="193"/>
      <c r="R20" s="283" t="str">
        <f t="shared" si="1"/>
        <v/>
      </c>
      <c r="S20" s="69"/>
      <c r="T20" s="367"/>
      <c r="U20" s="328"/>
      <c r="V20" s="69"/>
      <c r="W20" s="124"/>
      <c r="X20" s="69" t="s">
        <v>15</v>
      </c>
      <c r="Y20" s="554"/>
      <c r="Z20" s="124"/>
      <c r="AA20" s="1231"/>
      <c r="AB20" s="234"/>
      <c r="AC20" s="5">
        <f t="shared" si="2"/>
        <v>0</v>
      </c>
      <c r="AD20" s="5">
        <f t="shared" si="3"/>
        <v>0</v>
      </c>
      <c r="AE20" s="294">
        <f t="shared" si="4"/>
        <v>0</v>
      </c>
      <c r="AF20" s="294">
        <f t="shared" si="5"/>
        <v>0</v>
      </c>
      <c r="AG20" s="294">
        <f t="shared" si="6"/>
        <v>0</v>
      </c>
      <c r="AH20" s="294">
        <f t="shared" si="7"/>
        <v>0</v>
      </c>
      <c r="AI20" s="294">
        <f t="shared" si="8"/>
        <v>0</v>
      </c>
      <c r="AJ20" s="294">
        <f t="shared" si="9"/>
        <v>0</v>
      </c>
      <c r="AK20" s="294">
        <f t="shared" si="10"/>
        <v>0</v>
      </c>
      <c r="AL20" s="295" t="str">
        <f t="shared" si="11"/>
        <v/>
      </c>
      <c r="AM20" s="95"/>
      <c r="AN20" s="95"/>
      <c r="AO20" s="42"/>
      <c r="AP20" s="42"/>
      <c r="AQ20" s="42"/>
      <c r="AR20" s="424">
        <f t="shared" si="12"/>
        <v>0</v>
      </c>
      <c r="AS20" s="425" t="str">
        <f t="array" ref="AS20">IFERROR(IF(ROWS(H$16:H20)&gt;COUNTA($H$16:$H$75),"",INDEX($H$16:$H$75,SMALL(IF($H$16:$H$75&lt;&gt;"",ROW($H$16:$H$75)-ROW($H$16)+1),ROWS($H$16:H20)))),"")</f>
        <v/>
      </c>
      <c r="AT20" s="424" t="str">
        <f t="shared" si="13"/>
        <v/>
      </c>
      <c r="AU20" s="95"/>
      <c r="AV20" s="95"/>
      <c r="AW20" s="287"/>
      <c r="AX20" s="287"/>
      <c r="AY20" s="287"/>
      <c r="AZ20" s="97"/>
      <c r="BA20" s="42"/>
      <c r="BB20" s="42"/>
      <c r="BC20" s="42"/>
      <c r="BH20">
        <f>IF(X20="Yes",Y20*Z20,0)</f>
        <v>0</v>
      </c>
      <c r="BI20">
        <f>IF(X20="Yes",BH20,MAX(BE20:BF20))</f>
        <v>0</v>
      </c>
      <c r="BL20" s="454">
        <f t="shared" si="14"/>
        <v>0</v>
      </c>
      <c r="BM20" s="454">
        <f t="shared" si="15"/>
        <v>0</v>
      </c>
      <c r="BN20" s="454">
        <f t="shared" si="16"/>
        <v>0</v>
      </c>
      <c r="BO20" s="454">
        <f t="shared" si="17"/>
        <v>0</v>
      </c>
      <c r="BP20" s="454">
        <f t="shared" si="18"/>
        <v>0</v>
      </c>
      <c r="BQ20" s="454">
        <f t="shared" si="21"/>
        <v>0</v>
      </c>
      <c r="BR20" s="454">
        <f t="shared" si="19"/>
        <v>0</v>
      </c>
    </row>
    <row r="21" spans="1:70" ht="12.75" customHeight="1" x14ac:dyDescent="0.3">
      <c r="A21" s="42"/>
      <c r="B21" s="1515" t="s">
        <v>46</v>
      </c>
      <c r="C21" s="1515"/>
      <c r="D21" s="1515"/>
      <c r="E21" s="1515"/>
      <c r="F21" s="42"/>
      <c r="G21" s="42"/>
      <c r="H21" s="987" t="str">
        <f t="shared" si="0"/>
        <v/>
      </c>
      <c r="I21" s="991"/>
      <c r="J21" s="930"/>
      <c r="K21" s="548"/>
      <c r="L21" s="548"/>
      <c r="M21" s="549"/>
      <c r="N21" s="550"/>
      <c r="O21" s="195">
        <v>6</v>
      </c>
      <c r="P21" s="283" t="str">
        <f t="shared" si="20"/>
        <v/>
      </c>
      <c r="Q21" s="193"/>
      <c r="R21" s="283" t="str">
        <f t="shared" si="1"/>
        <v/>
      </c>
      <c r="S21" s="69"/>
      <c r="T21" s="367"/>
      <c r="U21" s="328"/>
      <c r="V21" s="69"/>
      <c r="W21" s="124"/>
      <c r="X21" s="69" t="s">
        <v>15</v>
      </c>
      <c r="Y21" s="554"/>
      <c r="Z21" s="124"/>
      <c r="AA21" s="1231"/>
      <c r="AB21" s="234"/>
      <c r="AC21" s="5">
        <f t="shared" si="2"/>
        <v>0</v>
      </c>
      <c r="AD21" s="5">
        <f t="shared" si="3"/>
        <v>0</v>
      </c>
      <c r="AE21" s="294">
        <f t="shared" si="4"/>
        <v>0</v>
      </c>
      <c r="AF21" s="294">
        <f t="shared" si="5"/>
        <v>0</v>
      </c>
      <c r="AG21" s="294">
        <f t="shared" si="6"/>
        <v>0</v>
      </c>
      <c r="AH21" s="294">
        <f t="shared" si="7"/>
        <v>0</v>
      </c>
      <c r="AI21" s="294">
        <f t="shared" si="8"/>
        <v>0</v>
      </c>
      <c r="AJ21" s="294">
        <f t="shared" si="9"/>
        <v>0</v>
      </c>
      <c r="AK21" s="294">
        <f t="shared" si="10"/>
        <v>0</v>
      </c>
      <c r="AL21" s="295" t="str">
        <f t="shared" si="11"/>
        <v/>
      </c>
      <c r="AM21" s="95"/>
      <c r="AN21" s="95"/>
      <c r="AO21" s="42"/>
      <c r="AP21" s="42"/>
      <c r="AQ21" s="42"/>
      <c r="AR21" s="424">
        <f t="shared" si="12"/>
        <v>0</v>
      </c>
      <c r="AS21" s="425" t="str">
        <f t="array" ref="AS21">IFERROR(IF(ROWS(H$16:H21)&gt;COUNTA($H$16:$H$75),"",INDEX($H$16:$H$75,SMALL(IF($H$16:$H$75&lt;&gt;"",ROW($H$16:$H$75)-ROW($H$16)+1),ROWS($H$16:H21)))),"")</f>
        <v/>
      </c>
      <c r="AT21" s="424" t="str">
        <f t="shared" si="13"/>
        <v/>
      </c>
      <c r="AU21" s="95"/>
      <c r="AV21" s="95"/>
      <c r="AW21" s="287"/>
      <c r="AX21" s="287"/>
      <c r="AY21" s="287"/>
      <c r="AZ21" s="97"/>
      <c r="BA21" s="42"/>
      <c r="BB21" s="42"/>
      <c r="BC21" s="42"/>
      <c r="BH21">
        <f>IF(X21="Yes",Y21*Z21,0)</f>
        <v>0</v>
      </c>
      <c r="BI21">
        <f>IF(X21="Yes",BH21,0)</f>
        <v>0</v>
      </c>
      <c r="BL21" s="454">
        <f t="shared" si="14"/>
        <v>0</v>
      </c>
      <c r="BM21" s="454">
        <f t="shared" si="15"/>
        <v>0</v>
      </c>
      <c r="BN21" s="454">
        <f t="shared" si="16"/>
        <v>0</v>
      </c>
      <c r="BO21" s="454">
        <f t="shared" si="17"/>
        <v>0</v>
      </c>
      <c r="BP21" s="454">
        <f t="shared" si="18"/>
        <v>0</v>
      </c>
      <c r="BQ21" s="454">
        <f t="shared" si="21"/>
        <v>0</v>
      </c>
      <c r="BR21" s="454">
        <f t="shared" si="19"/>
        <v>0</v>
      </c>
    </row>
    <row r="22" spans="1:70" ht="12.75" customHeight="1" x14ac:dyDescent="0.3">
      <c r="A22" s="42"/>
      <c r="B22" s="1516" t="s">
        <v>886</v>
      </c>
      <c r="C22" s="1516"/>
      <c r="D22" s="1516"/>
      <c r="E22" s="1516"/>
      <c r="F22" s="42"/>
      <c r="G22" s="42"/>
      <c r="H22" s="987" t="str">
        <f t="shared" si="0"/>
        <v/>
      </c>
      <c r="I22" s="991"/>
      <c r="J22" s="930"/>
      <c r="K22" s="548"/>
      <c r="L22" s="548"/>
      <c r="M22" s="549"/>
      <c r="N22" s="550"/>
      <c r="O22" s="195">
        <v>7</v>
      </c>
      <c r="P22" s="283" t="str">
        <f t="shared" si="20"/>
        <v/>
      </c>
      <c r="Q22" s="193"/>
      <c r="R22" s="283" t="str">
        <f t="shared" si="1"/>
        <v/>
      </c>
      <c r="S22" s="69"/>
      <c r="T22" s="367"/>
      <c r="U22" s="328"/>
      <c r="V22" s="69"/>
      <c r="W22" s="124"/>
      <c r="X22" s="69" t="s">
        <v>15</v>
      </c>
      <c r="Y22" s="554"/>
      <c r="Z22" s="124"/>
      <c r="AA22" s="1231"/>
      <c r="AB22" s="234"/>
      <c r="AC22" s="5">
        <f>IF(AL22="Line Voltage (min 30W/lf)",1,IF(AL22="Line Voltage (circuit breaker)",2,IF(AL22="Line Voltage (current limiter)",3,IF(AL22="Low Voltage Track",4,IF(AL22="Track (Installed Wattage)",5,0)))))</f>
        <v>0</v>
      </c>
      <c r="AD22" s="5">
        <f>IF(AC22=1,AF22,IF(AC22=2,AH22,IF(AC22=3,AI22,IF(AC22=4,AB22,IF(AC22=5,AE22,0)))))</f>
        <v>0</v>
      </c>
      <c r="AE22" s="294">
        <f t="shared" si="4"/>
        <v>0</v>
      </c>
      <c r="AF22" s="294">
        <f t="shared" si="5"/>
        <v>0</v>
      </c>
      <c r="AG22" s="294">
        <f t="shared" si="6"/>
        <v>0</v>
      </c>
      <c r="AH22" s="294">
        <f t="shared" si="7"/>
        <v>0</v>
      </c>
      <c r="AI22" s="294">
        <f t="shared" si="8"/>
        <v>0</v>
      </c>
      <c r="AJ22" s="294">
        <f t="shared" si="9"/>
        <v>0</v>
      </c>
      <c r="AK22" s="294">
        <f t="shared" si="10"/>
        <v>0</v>
      </c>
      <c r="AL22" s="295" t="str">
        <f t="shared" si="11"/>
        <v/>
      </c>
      <c r="AM22" s="95"/>
      <c r="AN22" s="95"/>
      <c r="AO22" s="42"/>
      <c r="AP22" s="42"/>
      <c r="AQ22" s="42"/>
      <c r="AR22" s="424">
        <f t="shared" si="12"/>
        <v>0</v>
      </c>
      <c r="AS22" s="425" t="str">
        <f t="array" ref="AS22">IFERROR(IF(ROWS(H$16:H22)&gt;COUNTA($H$16:$H$75),"",INDEX($H$16:$H$75,SMALL(IF($H$16:$H$75&lt;&gt;"",ROW($H$16:$H$75)-ROW($H$16)+1),ROWS($H$16:H22)))),"")</f>
        <v/>
      </c>
      <c r="AT22" s="424" t="str">
        <f t="shared" si="13"/>
        <v/>
      </c>
      <c r="AU22" s="95"/>
      <c r="AV22" s="287"/>
      <c r="AW22" s="287"/>
      <c r="AX22" s="287"/>
      <c r="AY22" s="287"/>
      <c r="AZ22" s="97"/>
      <c r="BA22" s="42"/>
      <c r="BB22" s="42"/>
      <c r="BC22" s="42"/>
      <c r="BH22">
        <f>IF(X22="Yes",Y22*Z22,0)</f>
        <v>0</v>
      </c>
      <c r="BI22">
        <f>IF(X22="Yes",BH22,0)</f>
        <v>0</v>
      </c>
      <c r="BL22" s="454">
        <f t="shared" si="14"/>
        <v>0</v>
      </c>
      <c r="BM22" s="454">
        <f t="shared" si="15"/>
        <v>0</v>
      </c>
      <c r="BN22" s="454">
        <f t="shared" si="16"/>
        <v>0</v>
      </c>
      <c r="BO22" s="454">
        <f t="shared" si="17"/>
        <v>0</v>
      </c>
      <c r="BP22" s="454">
        <f t="shared" si="18"/>
        <v>0</v>
      </c>
      <c r="BQ22" s="454">
        <f t="shared" si="21"/>
        <v>0</v>
      </c>
      <c r="BR22" s="454">
        <f t="shared" si="19"/>
        <v>0</v>
      </c>
    </row>
    <row r="23" spans="1:70" ht="12.75" customHeight="1" x14ac:dyDescent="0.25">
      <c r="A23" s="42"/>
      <c r="B23" s="311"/>
      <c r="C23" s="95"/>
      <c r="D23" s="42"/>
      <c r="E23" s="42"/>
      <c r="F23" s="42"/>
      <c r="G23" s="42"/>
      <c r="H23" s="987" t="str">
        <f t="shared" si="0"/>
        <v/>
      </c>
      <c r="I23" s="991"/>
      <c r="J23" s="930"/>
      <c r="K23" s="548"/>
      <c r="L23" s="548"/>
      <c r="M23" s="549"/>
      <c r="N23" s="550"/>
      <c r="O23" s="195">
        <v>8</v>
      </c>
      <c r="P23" s="283" t="str">
        <f>IF(J23="","",IF(AD23&gt;0,AD23,N23))</f>
        <v/>
      </c>
      <c r="Q23" s="193"/>
      <c r="R23" s="283" t="str">
        <f t="shared" ref="R23:R75" si="22">AL23</f>
        <v/>
      </c>
      <c r="S23" s="69"/>
      <c r="T23" s="367"/>
      <c r="U23" s="328"/>
      <c r="V23" s="69"/>
      <c r="W23" s="124"/>
      <c r="X23" s="69" t="s">
        <v>15</v>
      </c>
      <c r="Y23" s="554"/>
      <c r="Z23" s="124"/>
      <c r="AA23" s="1231"/>
      <c r="AB23" s="234"/>
      <c r="AC23" s="5">
        <f t="shared" ref="AC23:AC75" si="23">IF(AL23="Line Voltage (min 30W/lf)",1,IF(AL23="Line Voltage (circuit breaker)",2,IF(AL23="Line Voltage (current limiter)",3,IF(AL23="Low Voltage Track",4,IF(AL23="Track (Installed Wattage)",5,0)))))</f>
        <v>0</v>
      </c>
      <c r="AD23" s="5">
        <f t="shared" ref="AD23:AD75" si="24">IF(AC23=1,AF23,IF(AC23=2,AH23,IF(AC23=3,AI23,IF(AC23=4,AB23,IF(AC23=5,AE23,0)))))</f>
        <v>0</v>
      </c>
      <c r="AE23" s="294">
        <f t="shared" ref="AE23:AE75" si="25">S23</f>
        <v>0</v>
      </c>
      <c r="AF23" s="294">
        <f t="shared" ref="AF23:AF75" si="26">T23*T$1</f>
        <v>0</v>
      </c>
      <c r="AG23" s="294">
        <f t="shared" ref="AG23:AG75" si="27">MAX(AE23:AF23)</f>
        <v>0</v>
      </c>
      <c r="AH23" s="294">
        <f t="shared" ref="AH23:AH75" si="28">V23*W23*W$1</f>
        <v>0</v>
      </c>
      <c r="AI23" s="294">
        <f t="shared" ref="AI23:AI75" si="29">IF(X23="Yes",Y23*Z23,0)</f>
        <v>0</v>
      </c>
      <c r="AJ23" s="294">
        <f t="shared" ref="AJ23:AJ75" si="30">AB23</f>
        <v>0</v>
      </c>
      <c r="AK23" s="294">
        <f t="shared" ref="AK23:AK75" si="31">IF(X23="Yes",MIN(AH23,AI23),IF(AJ23&gt;0,AJ23,MIN(AG23,AH23)))</f>
        <v>0</v>
      </c>
      <c r="AL23" s="295" t="str">
        <f>IF(K23&lt;&gt;"Track","",IF(AND(K23="Track",AK23=0),"Yellow fields incomplete",IF(AB23&gt;0,"Low Voltage Track",IF(AND(X23="Yes",AI23&lt;AH23),"Line Voltage (current limiter)",IF(AK23=AH23,"Line Voltage (circuit breaker)",IF(AK23=AF23,"Line Voltage (min 30W/lf)","Track (Installed Wattage)"))))))</f>
        <v/>
      </c>
      <c r="AM23" s="95"/>
      <c r="AN23" s="95"/>
      <c r="AO23" s="42"/>
      <c r="AP23" s="42"/>
      <c r="AQ23" s="42"/>
      <c r="AR23" s="424">
        <f>IF(AS23&lt;&gt;"",1,0)</f>
        <v>0</v>
      </c>
      <c r="AS23" s="425" t="str">
        <f t="array" ref="AS23">IFERROR(IF(ROWS(H$16:H23)&gt;COUNTA($H$16:$H$75),"",INDEX($H$16:$H$75,SMALL(IF($H$16:$H$75&lt;&gt;"",ROW($H$16:$H$75)-ROW($H$16)+1),ROWS($H$16:H23)))),"")</f>
        <v/>
      </c>
      <c r="AT23" s="424" t="str">
        <f t="shared" si="13"/>
        <v/>
      </c>
      <c r="AU23" s="95"/>
      <c r="AV23" s="287"/>
      <c r="AW23" s="287"/>
      <c r="AX23" s="287"/>
      <c r="AY23" s="287"/>
      <c r="AZ23" s="97"/>
      <c r="BA23" s="42"/>
      <c r="BB23" s="42"/>
      <c r="BC23" s="42"/>
      <c r="BH23">
        <f>IF(X23="Yes",Y23*Z23,0)</f>
        <v>0</v>
      </c>
      <c r="BL23" s="454">
        <f t="shared" si="14"/>
        <v>0</v>
      </c>
      <c r="BM23" s="454">
        <f t="shared" si="15"/>
        <v>0</v>
      </c>
      <c r="BN23" s="454">
        <f t="shared" si="16"/>
        <v>0</v>
      </c>
      <c r="BO23" s="454">
        <f t="shared" si="17"/>
        <v>0</v>
      </c>
      <c r="BP23" s="454">
        <f t="shared" si="18"/>
        <v>0</v>
      </c>
      <c r="BQ23" s="454">
        <f t="shared" si="21"/>
        <v>0</v>
      </c>
      <c r="BR23" s="454">
        <f t="shared" si="19"/>
        <v>0</v>
      </c>
    </row>
    <row r="24" spans="1:70" ht="12.75" customHeight="1" x14ac:dyDescent="0.25">
      <c r="A24" s="42"/>
      <c r="B24" s="42"/>
      <c r="C24" s="42"/>
      <c r="D24" s="42"/>
      <c r="E24" s="42"/>
      <c r="F24" s="42"/>
      <c r="G24" s="42"/>
      <c r="H24" s="987" t="str">
        <f t="shared" si="0"/>
        <v/>
      </c>
      <c r="I24" s="991"/>
      <c r="J24" s="930"/>
      <c r="K24" s="548"/>
      <c r="L24" s="548"/>
      <c r="M24" s="549"/>
      <c r="N24" s="550"/>
      <c r="O24" s="195">
        <v>9</v>
      </c>
      <c r="P24" s="283" t="str">
        <f t="shared" ref="P24:P75" si="32">IF(J24="","",IF(AD24&gt;0,AD24,N24))</f>
        <v/>
      </c>
      <c r="Q24" s="193"/>
      <c r="R24" s="283" t="str">
        <f t="shared" si="22"/>
        <v/>
      </c>
      <c r="S24" s="69"/>
      <c r="T24" s="367"/>
      <c r="U24" s="328" t="str">
        <f t="shared" ref="U24:U75" si="33">IF(T24&gt;0,T24*30,"")</f>
        <v/>
      </c>
      <c r="V24" s="69"/>
      <c r="W24" s="124"/>
      <c r="X24" s="69" t="s">
        <v>15</v>
      </c>
      <c r="Y24" s="554"/>
      <c r="Z24" s="124"/>
      <c r="AA24" s="1231"/>
      <c r="AB24" s="234"/>
      <c r="AC24" s="5">
        <f t="shared" si="23"/>
        <v>0</v>
      </c>
      <c r="AD24" s="5">
        <f t="shared" si="24"/>
        <v>0</v>
      </c>
      <c r="AE24" s="294">
        <f t="shared" si="25"/>
        <v>0</v>
      </c>
      <c r="AF24" s="294">
        <f t="shared" si="26"/>
        <v>0</v>
      </c>
      <c r="AG24" s="294">
        <f t="shared" si="27"/>
        <v>0</v>
      </c>
      <c r="AH24" s="294">
        <f t="shared" si="28"/>
        <v>0</v>
      </c>
      <c r="AI24" s="294">
        <f t="shared" si="29"/>
        <v>0</v>
      </c>
      <c r="AJ24" s="294">
        <f t="shared" si="30"/>
        <v>0</v>
      </c>
      <c r="AK24" s="294">
        <f t="shared" si="31"/>
        <v>0</v>
      </c>
      <c r="AL24" s="295" t="str">
        <f t="shared" ref="AL24:AL75" si="34">IF(K24&lt;&gt;"Track","",IF(AND(K24="Track",AK24=0),"Yellow fields incomplete",IF(AB24&gt;0,"Low Voltage Track",IF(AND(X24="Yes",AI24&lt;AH24),"Line Voltage (current limiter)",IF(AK24=AH24,"Line Voltage (circuit breaker)",IF(AK24=AF24,"Line Voltage (min 30W/lf)","Track (Installed Wattage)"))))))</f>
        <v/>
      </c>
      <c r="AM24" s="95"/>
      <c r="AN24" s="95"/>
      <c r="AO24" s="42"/>
      <c r="AP24" s="42"/>
      <c r="AQ24" s="42"/>
      <c r="AR24" s="424">
        <f t="shared" ref="AR24:AR35" si="35">IF(AS24&lt;&gt;"",1,0)</f>
        <v>0</v>
      </c>
      <c r="AS24" s="425" t="str">
        <f t="array" ref="AS24">IFERROR(IF(ROWS(H$16:H24)&gt;COUNTA($H$16:$H$75),"",INDEX($H$16:$H$75,SMALL(IF($H$16:$H$75&lt;&gt;"",ROW($H$16:$H$75)-ROW($H$16)+1),ROWS($H$16:H24)))),"")</f>
        <v/>
      </c>
      <c r="AT24" s="424" t="str">
        <f t="shared" si="13"/>
        <v/>
      </c>
      <c r="AU24" s="95"/>
      <c r="AV24" s="287"/>
      <c r="AW24" s="287"/>
      <c r="AX24" s="287"/>
      <c r="AY24" s="287"/>
      <c r="AZ24" s="97"/>
      <c r="BA24" s="42"/>
      <c r="BB24" s="42"/>
      <c r="BC24" s="42"/>
      <c r="BL24" s="454">
        <f t="shared" si="14"/>
        <v>0</v>
      </c>
      <c r="BM24" s="454">
        <f t="shared" si="15"/>
        <v>0</v>
      </c>
      <c r="BN24" s="454">
        <f t="shared" si="16"/>
        <v>0</v>
      </c>
      <c r="BO24" s="454">
        <f t="shared" si="17"/>
        <v>0</v>
      </c>
      <c r="BP24" s="454">
        <f t="shared" si="18"/>
        <v>0</v>
      </c>
      <c r="BQ24" s="454">
        <f t="shared" si="21"/>
        <v>0</v>
      </c>
      <c r="BR24" s="454">
        <f t="shared" si="19"/>
        <v>0</v>
      </c>
    </row>
    <row r="25" spans="1:70" ht="12.75" customHeight="1" x14ac:dyDescent="0.25">
      <c r="A25" s="42"/>
      <c r="B25" s="42"/>
      <c r="C25" s="42"/>
      <c r="D25" s="42"/>
      <c r="E25" s="42"/>
      <c r="F25" s="42"/>
      <c r="G25" s="42"/>
      <c r="H25" s="987" t="str">
        <f t="shared" si="0"/>
        <v/>
      </c>
      <c r="I25" s="991"/>
      <c r="J25" s="930"/>
      <c r="K25" s="548"/>
      <c r="L25" s="548"/>
      <c r="M25" s="549"/>
      <c r="N25" s="550"/>
      <c r="O25" s="195">
        <v>10</v>
      </c>
      <c r="P25" s="283" t="str">
        <f t="shared" si="32"/>
        <v/>
      </c>
      <c r="Q25" s="193"/>
      <c r="R25" s="283" t="str">
        <f t="shared" si="22"/>
        <v/>
      </c>
      <c r="S25" s="69"/>
      <c r="T25" s="367"/>
      <c r="U25" s="328" t="str">
        <f t="shared" si="33"/>
        <v/>
      </c>
      <c r="V25" s="69"/>
      <c r="W25" s="124"/>
      <c r="X25" s="69" t="s">
        <v>15</v>
      </c>
      <c r="Y25" s="554"/>
      <c r="Z25" s="124"/>
      <c r="AA25" s="1231"/>
      <c r="AB25" s="234"/>
      <c r="AC25" s="5">
        <f t="shared" si="23"/>
        <v>0</v>
      </c>
      <c r="AD25" s="5">
        <f t="shared" si="24"/>
        <v>0</v>
      </c>
      <c r="AE25" s="294">
        <f t="shared" si="25"/>
        <v>0</v>
      </c>
      <c r="AF25" s="294">
        <f t="shared" si="26"/>
        <v>0</v>
      </c>
      <c r="AG25" s="294">
        <f t="shared" si="27"/>
        <v>0</v>
      </c>
      <c r="AH25" s="294">
        <f t="shared" si="28"/>
        <v>0</v>
      </c>
      <c r="AI25" s="294">
        <f t="shared" si="29"/>
        <v>0</v>
      </c>
      <c r="AJ25" s="294">
        <f t="shared" si="30"/>
        <v>0</v>
      </c>
      <c r="AK25" s="294">
        <f t="shared" si="31"/>
        <v>0</v>
      </c>
      <c r="AL25" s="295" t="str">
        <f t="shared" si="34"/>
        <v/>
      </c>
      <c r="AM25" s="95"/>
      <c r="AN25" s="95"/>
      <c r="AO25" s="42"/>
      <c r="AP25" s="42"/>
      <c r="AQ25" s="42"/>
      <c r="AR25" s="424">
        <f t="shared" si="35"/>
        <v>0</v>
      </c>
      <c r="AS25" s="425" t="str">
        <f t="array" ref="AS25">IFERROR(IF(ROWS(H$16:H25)&gt;COUNTA($H$16:$H$75),"",INDEX($H$16:$H$75,SMALL(IF($H$16:$H$75&lt;&gt;"",ROW($H$16:$H$75)-ROW($H$16)+1),ROWS($H$16:H25)))),"")</f>
        <v/>
      </c>
      <c r="AT25" s="424" t="str">
        <f t="shared" si="13"/>
        <v/>
      </c>
      <c r="AU25" s="95"/>
      <c r="AV25" s="287"/>
      <c r="AW25" s="287"/>
      <c r="AX25" s="287"/>
      <c r="AY25" s="287"/>
      <c r="AZ25" s="97"/>
      <c r="BA25" s="42"/>
      <c r="BB25" s="42"/>
      <c r="BC25" s="42"/>
      <c r="BL25" s="454">
        <f t="shared" si="14"/>
        <v>0</v>
      </c>
      <c r="BM25" s="454">
        <f t="shared" si="15"/>
        <v>0</v>
      </c>
      <c r="BN25" s="454">
        <f t="shared" si="16"/>
        <v>0</v>
      </c>
      <c r="BO25" s="454">
        <f t="shared" si="17"/>
        <v>0</v>
      </c>
      <c r="BP25" s="454">
        <f t="shared" si="18"/>
        <v>0</v>
      </c>
      <c r="BQ25" s="454">
        <f t="shared" si="21"/>
        <v>0</v>
      </c>
      <c r="BR25" s="454">
        <f t="shared" si="19"/>
        <v>0</v>
      </c>
    </row>
    <row r="26" spans="1:70" ht="13" x14ac:dyDescent="0.3">
      <c r="A26" s="42"/>
      <c r="B26" s="84" t="s">
        <v>96</v>
      </c>
      <c r="C26" s="1522"/>
      <c r="D26" s="1522"/>
      <c r="E26" s="1522"/>
      <c r="F26" s="1522"/>
      <c r="G26" s="319"/>
      <c r="H26" s="987" t="str">
        <f t="shared" si="0"/>
        <v/>
      </c>
      <c r="I26" s="991"/>
      <c r="J26" s="930"/>
      <c r="K26" s="548"/>
      <c r="L26" s="548"/>
      <c r="M26" s="549"/>
      <c r="N26" s="550"/>
      <c r="O26" s="195">
        <v>11</v>
      </c>
      <c r="P26" s="283" t="str">
        <f t="shared" si="32"/>
        <v/>
      </c>
      <c r="Q26" s="193"/>
      <c r="R26" s="283" t="str">
        <f t="shared" si="22"/>
        <v/>
      </c>
      <c r="S26" s="69"/>
      <c r="T26" s="367"/>
      <c r="U26" s="328" t="str">
        <f t="shared" si="33"/>
        <v/>
      </c>
      <c r="V26" s="69"/>
      <c r="W26" s="124"/>
      <c r="X26" s="69" t="s">
        <v>15</v>
      </c>
      <c r="Y26" s="554"/>
      <c r="Z26" s="124"/>
      <c r="AA26" s="1231"/>
      <c r="AB26" s="234"/>
      <c r="AC26" s="5">
        <f t="shared" si="23"/>
        <v>0</v>
      </c>
      <c r="AD26" s="5">
        <f t="shared" si="24"/>
        <v>0</v>
      </c>
      <c r="AE26" s="294">
        <f t="shared" si="25"/>
        <v>0</v>
      </c>
      <c r="AF26" s="294">
        <f t="shared" si="26"/>
        <v>0</v>
      </c>
      <c r="AG26" s="294">
        <f t="shared" si="27"/>
        <v>0</v>
      </c>
      <c r="AH26" s="294">
        <f t="shared" si="28"/>
        <v>0</v>
      </c>
      <c r="AI26" s="294">
        <f t="shared" si="29"/>
        <v>0</v>
      </c>
      <c r="AJ26" s="294">
        <f t="shared" si="30"/>
        <v>0</v>
      </c>
      <c r="AK26" s="294">
        <f t="shared" si="31"/>
        <v>0</v>
      </c>
      <c r="AL26" s="295" t="str">
        <f t="shared" si="34"/>
        <v/>
      </c>
      <c r="AM26" s="95"/>
      <c r="AN26" s="95"/>
      <c r="AO26" s="42"/>
      <c r="AP26" s="42"/>
      <c r="AQ26" s="42"/>
      <c r="AR26" s="424">
        <f t="shared" si="35"/>
        <v>0</v>
      </c>
      <c r="AS26" s="425" t="str">
        <f t="array" ref="AS26">IFERROR(IF(ROWS(H$16:H26)&gt;COUNTA($H$16:$H$75),"",INDEX($H$16:$H$75,SMALL(IF($H$16:$H$75&lt;&gt;"",ROW($H$16:$H$75)-ROW($H$16)+1),ROWS($H$16:H26)))),"")</f>
        <v/>
      </c>
      <c r="AT26" s="424" t="str">
        <f t="shared" si="13"/>
        <v/>
      </c>
      <c r="AU26" s="95"/>
      <c r="AV26" s="95"/>
      <c r="AW26" s="95"/>
      <c r="AX26" s="95"/>
      <c r="AY26" s="95"/>
      <c r="AZ26" s="42"/>
      <c r="BA26" s="42"/>
      <c r="BB26" s="42"/>
      <c r="BC26" s="42"/>
      <c r="BL26" s="454">
        <f t="shared" si="14"/>
        <v>0</v>
      </c>
      <c r="BM26" s="454">
        <f t="shared" si="15"/>
        <v>0</v>
      </c>
      <c r="BN26" s="454">
        <f t="shared" si="16"/>
        <v>0</v>
      </c>
      <c r="BO26" s="454">
        <f t="shared" si="17"/>
        <v>0</v>
      </c>
      <c r="BP26" s="454">
        <f t="shared" si="18"/>
        <v>0</v>
      </c>
      <c r="BQ26" s="454">
        <f t="shared" si="21"/>
        <v>0</v>
      </c>
      <c r="BR26" s="454">
        <f t="shared" si="19"/>
        <v>0</v>
      </c>
    </row>
    <row r="27" spans="1:70" ht="12.75" customHeight="1" x14ac:dyDescent="0.25">
      <c r="A27" s="42"/>
      <c r="B27" s="359"/>
      <c r="C27" s="1499" t="s">
        <v>97</v>
      </c>
      <c r="D27" s="1499"/>
      <c r="E27" s="1499"/>
      <c r="F27" s="136"/>
      <c r="G27" s="317"/>
      <c r="H27" s="987" t="str">
        <f t="shared" si="0"/>
        <v/>
      </c>
      <c r="I27" s="991"/>
      <c r="J27" s="930"/>
      <c r="K27" s="548"/>
      <c r="L27" s="548"/>
      <c r="M27" s="549"/>
      <c r="N27" s="550"/>
      <c r="O27" s="195">
        <v>12</v>
      </c>
      <c r="P27" s="283" t="str">
        <f t="shared" si="32"/>
        <v/>
      </c>
      <c r="Q27" s="193"/>
      <c r="R27" s="283" t="str">
        <f t="shared" si="22"/>
        <v/>
      </c>
      <c r="S27" s="69"/>
      <c r="T27" s="367"/>
      <c r="U27" s="328" t="str">
        <f t="shared" si="33"/>
        <v/>
      </c>
      <c r="V27" s="69"/>
      <c r="W27" s="124"/>
      <c r="X27" s="69" t="s">
        <v>15</v>
      </c>
      <c r="Y27" s="554"/>
      <c r="Z27" s="124"/>
      <c r="AA27" s="1231"/>
      <c r="AB27" s="234"/>
      <c r="AC27" s="5">
        <f t="shared" si="23"/>
        <v>0</v>
      </c>
      <c r="AD27" s="5">
        <f t="shared" si="24"/>
        <v>0</v>
      </c>
      <c r="AE27" s="294">
        <f t="shared" si="25"/>
        <v>0</v>
      </c>
      <c r="AF27" s="294">
        <f t="shared" si="26"/>
        <v>0</v>
      </c>
      <c r="AG27" s="294">
        <f t="shared" si="27"/>
        <v>0</v>
      </c>
      <c r="AH27" s="294">
        <f t="shared" si="28"/>
        <v>0</v>
      </c>
      <c r="AI27" s="294">
        <f t="shared" si="29"/>
        <v>0</v>
      </c>
      <c r="AJ27" s="294">
        <f t="shared" si="30"/>
        <v>0</v>
      </c>
      <c r="AK27" s="294">
        <f t="shared" si="31"/>
        <v>0</v>
      </c>
      <c r="AL27" s="295" t="str">
        <f t="shared" si="34"/>
        <v/>
      </c>
      <c r="AM27" s="95"/>
      <c r="AN27" s="95"/>
      <c r="AO27" s="42"/>
      <c r="AP27" s="42"/>
      <c r="AQ27" s="42"/>
      <c r="AR27" s="424">
        <f t="shared" si="35"/>
        <v>0</v>
      </c>
      <c r="AS27" s="425" t="str">
        <f t="array" ref="AS27">IFERROR(IF(ROWS(H$16:H27)&gt;COUNTA($H$16:$H$75),"",INDEX($H$16:$H$75,SMALL(IF($H$16:$H$75&lt;&gt;"",ROW($H$16:$H$75)-ROW($H$16)+1),ROWS($H$16:H27)))),"")</f>
        <v/>
      </c>
      <c r="AT27" s="424" t="str">
        <f t="shared" si="13"/>
        <v/>
      </c>
      <c r="AU27" s="95"/>
      <c r="AV27" s="95"/>
      <c r="AW27" s="95"/>
      <c r="AX27" s="95"/>
      <c r="AY27" s="95"/>
      <c r="AZ27" s="42"/>
      <c r="BA27" s="42"/>
      <c r="BB27" s="42"/>
      <c r="BC27" s="42"/>
      <c r="BL27" s="454">
        <f t="shared" si="14"/>
        <v>0</v>
      </c>
      <c r="BM27" s="454">
        <f t="shared" ref="BM27:BM68" si="36">IF(J27="",0,1)</f>
        <v>0</v>
      </c>
      <c r="BN27" s="454">
        <f t="shared" ref="BN27:BN68" si="37">IF(K27="",0,1)</f>
        <v>0</v>
      </c>
      <c r="BO27" s="454">
        <f t="shared" ref="BO27:BO68" si="38">IF(L27="",0,1)</f>
        <v>0</v>
      </c>
      <c r="BP27" s="454">
        <f t="shared" ref="BP27:BP68" si="39">IF(N27="",0,1)</f>
        <v>0</v>
      </c>
      <c r="BQ27" s="454">
        <f t="shared" ref="BQ27:BQ68" si="40">SUM(BL27:BP27)</f>
        <v>0</v>
      </c>
      <c r="BR27" s="454">
        <f t="shared" ref="BR27:BR68" si="41">IF(P27="",0,1)</f>
        <v>0</v>
      </c>
    </row>
    <row r="28" spans="1:70" x14ac:dyDescent="0.25">
      <c r="A28" s="42"/>
      <c r="B28" s="42"/>
      <c r="C28" s="1499"/>
      <c r="D28" s="1499"/>
      <c r="E28" s="1499"/>
      <c r="F28" s="136"/>
      <c r="G28" s="317"/>
      <c r="H28" s="987" t="str">
        <f t="shared" si="0"/>
        <v/>
      </c>
      <c r="I28" s="991"/>
      <c r="J28" s="930"/>
      <c r="K28" s="548"/>
      <c r="L28" s="548"/>
      <c r="M28" s="549"/>
      <c r="N28" s="550"/>
      <c r="O28" s="195">
        <v>13</v>
      </c>
      <c r="P28" s="283" t="str">
        <f t="shared" si="32"/>
        <v/>
      </c>
      <c r="Q28" s="193"/>
      <c r="R28" s="283" t="str">
        <f t="shared" si="22"/>
        <v/>
      </c>
      <c r="S28" s="69"/>
      <c r="T28" s="367"/>
      <c r="U28" s="328" t="str">
        <f t="shared" si="33"/>
        <v/>
      </c>
      <c r="V28" s="69"/>
      <c r="W28" s="124"/>
      <c r="X28" s="69" t="s">
        <v>15</v>
      </c>
      <c r="Y28" s="554"/>
      <c r="Z28" s="124"/>
      <c r="AA28" s="1231"/>
      <c r="AB28" s="234"/>
      <c r="AC28" s="5">
        <f t="shared" si="23"/>
        <v>0</v>
      </c>
      <c r="AD28" s="5">
        <f t="shared" si="24"/>
        <v>0</v>
      </c>
      <c r="AE28" s="294">
        <f t="shared" si="25"/>
        <v>0</v>
      </c>
      <c r="AF28" s="294">
        <f t="shared" si="26"/>
        <v>0</v>
      </c>
      <c r="AG28" s="294">
        <f t="shared" si="27"/>
        <v>0</v>
      </c>
      <c r="AH28" s="294">
        <f t="shared" si="28"/>
        <v>0</v>
      </c>
      <c r="AI28" s="294">
        <f t="shared" si="29"/>
        <v>0</v>
      </c>
      <c r="AJ28" s="294">
        <f t="shared" si="30"/>
        <v>0</v>
      </c>
      <c r="AK28" s="294">
        <f t="shared" si="31"/>
        <v>0</v>
      </c>
      <c r="AL28" s="295" t="str">
        <f t="shared" si="34"/>
        <v/>
      </c>
      <c r="AM28" s="95"/>
      <c r="AN28" s="95"/>
      <c r="AO28" s="42"/>
      <c r="AP28" s="42"/>
      <c r="AQ28" s="42"/>
      <c r="AR28" s="424">
        <f t="shared" si="35"/>
        <v>0</v>
      </c>
      <c r="AS28" s="425" t="str">
        <f t="array" ref="AS28">IFERROR(IF(ROWS(H$16:H28)&gt;COUNTA($H$16:$H$75),"",INDEX($H$16:$H$75,SMALL(IF($H$16:$H$75&lt;&gt;"",ROW($H$16:$H$75)-ROW($H$16)+1),ROWS($H$16:H28)))),"")</f>
        <v/>
      </c>
      <c r="AT28" s="424" t="str">
        <f t="shared" si="13"/>
        <v/>
      </c>
      <c r="AU28" s="95"/>
      <c r="AV28" s="95"/>
      <c r="AW28" s="95"/>
      <c r="AX28" s="95"/>
      <c r="AY28" s="95"/>
      <c r="AZ28" s="42"/>
      <c r="BA28" s="42"/>
      <c r="BB28" s="42"/>
      <c r="BC28" s="42"/>
      <c r="BL28" s="454">
        <f t="shared" si="14"/>
        <v>0</v>
      </c>
      <c r="BM28" s="454">
        <f t="shared" si="36"/>
        <v>0</v>
      </c>
      <c r="BN28" s="454">
        <f t="shared" si="37"/>
        <v>0</v>
      </c>
      <c r="BO28" s="454">
        <f t="shared" si="38"/>
        <v>0</v>
      </c>
      <c r="BP28" s="454">
        <f t="shared" si="39"/>
        <v>0</v>
      </c>
      <c r="BQ28" s="454">
        <f t="shared" si="40"/>
        <v>0</v>
      </c>
      <c r="BR28" s="454">
        <f t="shared" si="41"/>
        <v>0</v>
      </c>
    </row>
    <row r="29" spans="1:70" x14ac:dyDescent="0.25">
      <c r="A29" s="42"/>
      <c r="B29" s="42"/>
      <c r="C29" s="1499"/>
      <c r="D29" s="1499"/>
      <c r="E29" s="1499"/>
      <c r="F29" s="136"/>
      <c r="G29" s="317"/>
      <c r="H29" s="987" t="str">
        <f t="shared" si="0"/>
        <v/>
      </c>
      <c r="I29" s="991"/>
      <c r="J29" s="930"/>
      <c r="K29" s="548"/>
      <c r="L29" s="548"/>
      <c r="M29" s="549"/>
      <c r="N29" s="550"/>
      <c r="O29" s="195">
        <v>14</v>
      </c>
      <c r="P29" s="283" t="str">
        <f t="shared" si="32"/>
        <v/>
      </c>
      <c r="Q29" s="193"/>
      <c r="R29" s="283" t="str">
        <f t="shared" si="22"/>
        <v/>
      </c>
      <c r="S29" s="69"/>
      <c r="T29" s="367"/>
      <c r="U29" s="328" t="str">
        <f t="shared" si="33"/>
        <v/>
      </c>
      <c r="V29" s="69"/>
      <c r="W29" s="124"/>
      <c r="X29" s="69" t="s">
        <v>15</v>
      </c>
      <c r="Y29" s="554"/>
      <c r="Z29" s="124"/>
      <c r="AA29" s="1231"/>
      <c r="AB29" s="234"/>
      <c r="AC29" s="5">
        <f t="shared" si="23"/>
        <v>0</v>
      </c>
      <c r="AD29" s="5">
        <f t="shared" si="24"/>
        <v>0</v>
      </c>
      <c r="AE29" s="294">
        <f t="shared" si="25"/>
        <v>0</v>
      </c>
      <c r="AF29" s="294">
        <f t="shared" si="26"/>
        <v>0</v>
      </c>
      <c r="AG29" s="294">
        <f t="shared" si="27"/>
        <v>0</v>
      </c>
      <c r="AH29" s="294">
        <f t="shared" si="28"/>
        <v>0</v>
      </c>
      <c r="AI29" s="294">
        <f t="shared" si="29"/>
        <v>0</v>
      </c>
      <c r="AJ29" s="294">
        <f t="shared" si="30"/>
        <v>0</v>
      </c>
      <c r="AK29" s="294">
        <f t="shared" si="31"/>
        <v>0</v>
      </c>
      <c r="AL29" s="295" t="str">
        <f t="shared" si="34"/>
        <v/>
      </c>
      <c r="AM29" s="95"/>
      <c r="AN29" s="95"/>
      <c r="AO29" s="42"/>
      <c r="AP29" s="42"/>
      <c r="AQ29" s="42"/>
      <c r="AR29" s="424">
        <f t="shared" si="35"/>
        <v>0</v>
      </c>
      <c r="AS29" s="425" t="str">
        <f t="array" ref="AS29">IFERROR(IF(ROWS(H$16:H29)&gt;COUNTA($H$16:$H$75),"",INDEX($H$16:$H$75,SMALL(IF($H$16:$H$75&lt;&gt;"",ROW($H$16:$H$75)-ROW($H$16)+1),ROWS($H$16:H29)))),"")</f>
        <v/>
      </c>
      <c r="AT29" s="424" t="str">
        <f t="shared" si="13"/>
        <v/>
      </c>
      <c r="AU29" s="95"/>
      <c r="AV29" s="95"/>
      <c r="AW29" s="95"/>
      <c r="AX29" s="95"/>
      <c r="AY29" s="95"/>
      <c r="AZ29" s="42"/>
      <c r="BA29" s="42"/>
      <c r="BB29" s="42"/>
      <c r="BC29" s="42"/>
      <c r="BL29" s="454">
        <f t="shared" si="14"/>
        <v>0</v>
      </c>
      <c r="BM29" s="454">
        <f t="shared" si="36"/>
        <v>0</v>
      </c>
      <c r="BN29" s="454">
        <f t="shared" si="37"/>
        <v>0</v>
      </c>
      <c r="BO29" s="454">
        <f t="shared" si="38"/>
        <v>0</v>
      </c>
      <c r="BP29" s="454">
        <f t="shared" si="39"/>
        <v>0</v>
      </c>
      <c r="BQ29" s="454">
        <f t="shared" si="40"/>
        <v>0</v>
      </c>
      <c r="BR29" s="454">
        <f t="shared" si="41"/>
        <v>0</v>
      </c>
    </row>
    <row r="30" spans="1:70" x14ac:dyDescent="0.25">
      <c r="A30" s="42"/>
      <c r="B30" s="42"/>
      <c r="C30" s="1499"/>
      <c r="D30" s="1499"/>
      <c r="E30" s="1499"/>
      <c r="F30" s="136"/>
      <c r="G30" s="317"/>
      <c r="H30" s="987" t="str">
        <f t="shared" si="0"/>
        <v/>
      </c>
      <c r="I30" s="991"/>
      <c r="J30" s="930"/>
      <c r="K30" s="548"/>
      <c r="L30" s="548"/>
      <c r="M30" s="549"/>
      <c r="N30" s="550"/>
      <c r="O30" s="195">
        <v>15</v>
      </c>
      <c r="P30" s="283" t="str">
        <f t="shared" si="32"/>
        <v/>
      </c>
      <c r="Q30" s="193"/>
      <c r="R30" s="283" t="str">
        <f t="shared" si="22"/>
        <v/>
      </c>
      <c r="S30" s="69"/>
      <c r="T30" s="367"/>
      <c r="U30" s="328" t="str">
        <f t="shared" si="33"/>
        <v/>
      </c>
      <c r="V30" s="69"/>
      <c r="W30" s="124"/>
      <c r="X30" s="69" t="s">
        <v>15</v>
      </c>
      <c r="Y30" s="554"/>
      <c r="Z30" s="124"/>
      <c r="AA30" s="1231"/>
      <c r="AB30" s="234"/>
      <c r="AC30" s="5">
        <f t="shared" si="23"/>
        <v>0</v>
      </c>
      <c r="AD30" s="5">
        <f t="shared" si="24"/>
        <v>0</v>
      </c>
      <c r="AE30" s="294">
        <f t="shared" si="25"/>
        <v>0</v>
      </c>
      <c r="AF30" s="294">
        <f t="shared" si="26"/>
        <v>0</v>
      </c>
      <c r="AG30" s="294">
        <f t="shared" si="27"/>
        <v>0</v>
      </c>
      <c r="AH30" s="294">
        <f t="shared" si="28"/>
        <v>0</v>
      </c>
      <c r="AI30" s="294">
        <f t="shared" si="29"/>
        <v>0</v>
      </c>
      <c r="AJ30" s="294">
        <f t="shared" si="30"/>
        <v>0</v>
      </c>
      <c r="AK30" s="294">
        <f t="shared" si="31"/>
        <v>0</v>
      </c>
      <c r="AL30" s="295" t="str">
        <f t="shared" si="34"/>
        <v/>
      </c>
      <c r="AM30" s="95"/>
      <c r="AN30" s="95"/>
      <c r="AO30" s="42"/>
      <c r="AP30" s="42"/>
      <c r="AQ30" s="42"/>
      <c r="AR30" s="424">
        <f t="shared" si="35"/>
        <v>0</v>
      </c>
      <c r="AS30" s="425" t="str">
        <f t="array" ref="AS30">IFERROR(IF(ROWS(H$16:H30)&gt;COUNTA($H$16:$H$75),"",INDEX($H$16:$H$75,SMALL(IF($H$16:$H$75&lt;&gt;"",ROW($H$16:$H$75)-ROW($H$16)+1),ROWS($H$16:H30)))),"")</f>
        <v/>
      </c>
      <c r="AT30" s="424" t="str">
        <f t="shared" si="13"/>
        <v/>
      </c>
      <c r="AU30" s="95"/>
      <c r="AV30" s="95"/>
      <c r="AW30" s="95"/>
      <c r="AX30" s="95"/>
      <c r="AY30" s="95"/>
      <c r="AZ30" s="42"/>
      <c r="BA30" s="42"/>
      <c r="BB30" s="42"/>
      <c r="BC30" s="42"/>
      <c r="BL30" s="454">
        <f t="shared" si="14"/>
        <v>0</v>
      </c>
      <c r="BM30" s="454">
        <f t="shared" si="36"/>
        <v>0</v>
      </c>
      <c r="BN30" s="454">
        <f t="shared" si="37"/>
        <v>0</v>
      </c>
      <c r="BO30" s="454">
        <f t="shared" si="38"/>
        <v>0</v>
      </c>
      <c r="BP30" s="454">
        <f t="shared" si="39"/>
        <v>0</v>
      </c>
      <c r="BQ30" s="454">
        <f t="shared" si="40"/>
        <v>0</v>
      </c>
      <c r="BR30" s="454">
        <f t="shared" si="41"/>
        <v>0</v>
      </c>
    </row>
    <row r="31" spans="1:70" x14ac:dyDescent="0.25">
      <c r="A31" s="42"/>
      <c r="B31" s="42"/>
      <c r="C31" s="317"/>
      <c r="D31" s="317"/>
      <c r="E31" s="528"/>
      <c r="F31" s="317"/>
      <c r="G31" s="317"/>
      <c r="H31" s="987" t="str">
        <f t="shared" si="0"/>
        <v/>
      </c>
      <c r="I31" s="991"/>
      <c r="J31" s="930"/>
      <c r="K31" s="548"/>
      <c r="L31" s="548"/>
      <c r="M31" s="549"/>
      <c r="N31" s="550"/>
      <c r="O31" s="195">
        <v>16</v>
      </c>
      <c r="P31" s="283" t="str">
        <f t="shared" si="32"/>
        <v/>
      </c>
      <c r="Q31" s="193"/>
      <c r="R31" s="283" t="str">
        <f t="shared" si="22"/>
        <v/>
      </c>
      <c r="S31" s="69"/>
      <c r="T31" s="367"/>
      <c r="U31" s="328" t="str">
        <f t="shared" si="33"/>
        <v/>
      </c>
      <c r="V31" s="69"/>
      <c r="W31" s="124"/>
      <c r="X31" s="69" t="s">
        <v>15</v>
      </c>
      <c r="Y31" s="554"/>
      <c r="Z31" s="124"/>
      <c r="AA31" s="1231"/>
      <c r="AB31" s="234"/>
      <c r="AC31" s="5">
        <f t="shared" si="23"/>
        <v>0</v>
      </c>
      <c r="AD31" s="5">
        <f t="shared" si="24"/>
        <v>0</v>
      </c>
      <c r="AE31" s="294">
        <f t="shared" si="25"/>
        <v>0</v>
      </c>
      <c r="AF31" s="294">
        <f t="shared" si="26"/>
        <v>0</v>
      </c>
      <c r="AG31" s="294">
        <f t="shared" si="27"/>
        <v>0</v>
      </c>
      <c r="AH31" s="294">
        <f t="shared" si="28"/>
        <v>0</v>
      </c>
      <c r="AI31" s="294">
        <f t="shared" si="29"/>
        <v>0</v>
      </c>
      <c r="AJ31" s="294">
        <f t="shared" si="30"/>
        <v>0</v>
      </c>
      <c r="AK31" s="294">
        <f t="shared" si="31"/>
        <v>0</v>
      </c>
      <c r="AL31" s="295" t="str">
        <f t="shared" si="34"/>
        <v/>
      </c>
      <c r="AM31" s="95"/>
      <c r="AN31" s="95"/>
      <c r="AO31" s="42"/>
      <c r="AP31" s="42"/>
      <c r="AQ31" s="42"/>
      <c r="AR31" s="424">
        <f t="shared" si="35"/>
        <v>0</v>
      </c>
      <c r="AS31" s="425" t="str">
        <f t="array" ref="AS31">IFERROR(IF(ROWS(H$16:H31)&gt;COUNTA($H$16:$H$75),"",INDEX($H$16:$H$75,SMALL(IF($H$16:$H$75&lt;&gt;"",ROW($H$16:$H$75)-ROW($H$16)+1),ROWS($H$16:H31)))),"")</f>
        <v/>
      </c>
      <c r="AT31" s="424" t="str">
        <f t="shared" si="13"/>
        <v/>
      </c>
      <c r="AU31" s="95"/>
      <c r="AV31" s="95"/>
      <c r="AW31" s="95" t="s">
        <v>98</v>
      </c>
      <c r="AX31" s="95"/>
      <c r="AY31" s="95"/>
      <c r="AZ31" s="42"/>
      <c r="BA31" s="42"/>
      <c r="BB31" s="42"/>
      <c r="BC31" s="42"/>
      <c r="BL31" s="454">
        <f t="shared" si="14"/>
        <v>0</v>
      </c>
      <c r="BM31" s="454">
        <f t="shared" si="36"/>
        <v>0</v>
      </c>
      <c r="BN31" s="454">
        <f t="shared" si="37"/>
        <v>0</v>
      </c>
      <c r="BO31" s="454">
        <f t="shared" si="38"/>
        <v>0</v>
      </c>
      <c r="BP31" s="454">
        <f t="shared" si="39"/>
        <v>0</v>
      </c>
      <c r="BQ31" s="454">
        <f t="shared" si="40"/>
        <v>0</v>
      </c>
      <c r="BR31" s="454">
        <f t="shared" si="41"/>
        <v>0</v>
      </c>
    </row>
    <row r="32" spans="1:70" ht="13" x14ac:dyDescent="0.3">
      <c r="A32" s="42"/>
      <c r="B32" s="84" t="s">
        <v>99</v>
      </c>
      <c r="C32" s="1521"/>
      <c r="D32" s="1521"/>
      <c r="E32" s="1521"/>
      <c r="F32" s="1521"/>
      <c r="G32" s="14"/>
      <c r="H32" s="987" t="str">
        <f>IF(J32="","",CONCATENATE(J32," - ",K32))</f>
        <v/>
      </c>
      <c r="I32" s="991"/>
      <c r="J32" s="930"/>
      <c r="K32" s="548"/>
      <c r="L32" s="548"/>
      <c r="M32" s="549"/>
      <c r="N32" s="550"/>
      <c r="O32" s="195">
        <v>17</v>
      </c>
      <c r="P32" s="283" t="str">
        <f t="shared" si="32"/>
        <v/>
      </c>
      <c r="Q32" s="193"/>
      <c r="R32" s="283" t="str">
        <f t="shared" si="22"/>
        <v/>
      </c>
      <c r="S32" s="69"/>
      <c r="T32" s="367"/>
      <c r="U32" s="328" t="str">
        <f t="shared" si="33"/>
        <v/>
      </c>
      <c r="V32" s="69"/>
      <c r="W32" s="124"/>
      <c r="X32" s="69" t="s">
        <v>15</v>
      </c>
      <c r="Y32" s="554"/>
      <c r="Z32" s="124"/>
      <c r="AA32" s="1231"/>
      <c r="AB32" s="234"/>
      <c r="AC32" s="5">
        <f t="shared" si="23"/>
        <v>0</v>
      </c>
      <c r="AD32" s="5">
        <f t="shared" si="24"/>
        <v>0</v>
      </c>
      <c r="AE32" s="294">
        <f t="shared" si="25"/>
        <v>0</v>
      </c>
      <c r="AF32" s="294">
        <f t="shared" si="26"/>
        <v>0</v>
      </c>
      <c r="AG32" s="294">
        <f t="shared" si="27"/>
        <v>0</v>
      </c>
      <c r="AH32" s="294">
        <f t="shared" si="28"/>
        <v>0</v>
      </c>
      <c r="AI32" s="294">
        <f t="shared" si="29"/>
        <v>0</v>
      </c>
      <c r="AJ32" s="294">
        <f t="shared" si="30"/>
        <v>0</v>
      </c>
      <c r="AK32" s="294">
        <f t="shared" si="31"/>
        <v>0</v>
      </c>
      <c r="AL32" s="295" t="str">
        <f t="shared" si="34"/>
        <v/>
      </c>
      <c r="AM32" s="95"/>
      <c r="AN32" s="95"/>
      <c r="AO32" s="42"/>
      <c r="AP32" s="42"/>
      <c r="AQ32" s="42"/>
      <c r="AR32" s="424">
        <f t="shared" si="35"/>
        <v>0</v>
      </c>
      <c r="AS32" s="425" t="str">
        <f t="array" ref="AS32">IFERROR(IF(ROWS(H$16:H32)&gt;COUNTA($H$16:$H$75),"",INDEX($H$16:$H$75,SMALL(IF($H$16:$H$75&lt;&gt;"",ROW($H$16:$H$75)-ROW($H$16)+1),ROWS($H$16:H32)))),"")</f>
        <v/>
      </c>
      <c r="AT32" s="424" t="str">
        <f t="shared" si="13"/>
        <v/>
      </c>
      <c r="AU32" s="95"/>
      <c r="AV32" s="95"/>
      <c r="AW32" s="95" t="s">
        <v>100</v>
      </c>
      <c r="AX32" s="95"/>
      <c r="AY32" s="95"/>
      <c r="AZ32" s="42"/>
      <c r="BA32" s="42"/>
      <c r="BB32" s="42"/>
      <c r="BC32" s="42"/>
      <c r="BL32" s="454">
        <f t="shared" si="14"/>
        <v>0</v>
      </c>
      <c r="BM32" s="454">
        <f t="shared" si="36"/>
        <v>0</v>
      </c>
      <c r="BN32" s="454">
        <f t="shared" si="37"/>
        <v>0</v>
      </c>
      <c r="BO32" s="454">
        <f t="shared" si="38"/>
        <v>0</v>
      </c>
      <c r="BP32" s="454">
        <f t="shared" si="39"/>
        <v>0</v>
      </c>
      <c r="BQ32" s="454">
        <f t="shared" si="40"/>
        <v>0</v>
      </c>
      <c r="BR32" s="454">
        <f t="shared" si="41"/>
        <v>0</v>
      </c>
    </row>
    <row r="33" spans="1:70" ht="12.75" customHeight="1" x14ac:dyDescent="0.25">
      <c r="A33" s="42"/>
      <c r="B33" s="359"/>
      <c r="C33" s="1499" t="s">
        <v>846</v>
      </c>
      <c r="D33" s="1499"/>
      <c r="E33" s="1499"/>
      <c r="F33" s="1499"/>
      <c r="G33" s="317"/>
      <c r="H33" s="987" t="str">
        <f t="shared" ref="H33:H75" si="42">IF(J33="","",CONCATENATE(J33," - ",K33))</f>
        <v/>
      </c>
      <c r="I33" s="991"/>
      <c r="J33" s="930"/>
      <c r="K33" s="548"/>
      <c r="L33" s="548"/>
      <c r="M33" s="549"/>
      <c r="N33" s="550"/>
      <c r="O33" s="195">
        <v>18</v>
      </c>
      <c r="P33" s="283" t="str">
        <f t="shared" si="32"/>
        <v/>
      </c>
      <c r="Q33" s="193"/>
      <c r="R33" s="283" t="str">
        <f t="shared" si="22"/>
        <v/>
      </c>
      <c r="S33" s="69"/>
      <c r="T33" s="367"/>
      <c r="U33" s="328" t="str">
        <f t="shared" si="33"/>
        <v/>
      </c>
      <c r="V33" s="69"/>
      <c r="W33" s="124"/>
      <c r="X33" s="69" t="s">
        <v>15</v>
      </c>
      <c r="Y33" s="554"/>
      <c r="Z33" s="124"/>
      <c r="AA33" s="1231"/>
      <c r="AB33" s="234"/>
      <c r="AC33" s="5">
        <f t="shared" si="23"/>
        <v>0</v>
      </c>
      <c r="AD33" s="5">
        <f t="shared" si="24"/>
        <v>0</v>
      </c>
      <c r="AE33" s="294">
        <f t="shared" si="25"/>
        <v>0</v>
      </c>
      <c r="AF33" s="294">
        <f t="shared" si="26"/>
        <v>0</v>
      </c>
      <c r="AG33" s="294">
        <f t="shared" si="27"/>
        <v>0</v>
      </c>
      <c r="AH33" s="294">
        <f t="shared" si="28"/>
        <v>0</v>
      </c>
      <c r="AI33" s="294">
        <f t="shared" si="29"/>
        <v>0</v>
      </c>
      <c r="AJ33" s="294">
        <f t="shared" si="30"/>
        <v>0</v>
      </c>
      <c r="AK33" s="294">
        <f t="shared" si="31"/>
        <v>0</v>
      </c>
      <c r="AL33" s="295" t="str">
        <f t="shared" si="34"/>
        <v/>
      </c>
      <c r="AM33" s="95"/>
      <c r="AN33" s="95"/>
      <c r="AO33" s="42"/>
      <c r="AP33" s="42"/>
      <c r="AQ33" s="42"/>
      <c r="AR33" s="424">
        <f t="shared" si="35"/>
        <v>0</v>
      </c>
      <c r="AS33" s="425" t="str">
        <f t="array" ref="AS33">IFERROR(IF(ROWS(H$16:H33)&gt;COUNTA($H$16:$H$75),"",INDEX($H$16:$H$75,SMALL(IF($H$16:$H$75&lt;&gt;"",ROW($H$16:$H$75)-ROW($H$16)+1),ROWS($H$16:H33)))),"")</f>
        <v/>
      </c>
      <c r="AT33" s="424" t="str">
        <f t="shared" si="13"/>
        <v/>
      </c>
      <c r="AU33" s="95"/>
      <c r="AV33" s="95"/>
      <c r="AW33" s="95" t="s">
        <v>101</v>
      </c>
      <c r="AX33" s="95"/>
      <c r="AY33" s="95"/>
      <c r="AZ33" s="42"/>
      <c r="BA33" s="42"/>
      <c r="BB33" s="42"/>
      <c r="BC33" s="42"/>
      <c r="BL33" s="454">
        <f t="shared" si="14"/>
        <v>0</v>
      </c>
      <c r="BM33" s="454">
        <f t="shared" si="36"/>
        <v>0</v>
      </c>
      <c r="BN33" s="454">
        <f t="shared" si="37"/>
        <v>0</v>
      </c>
      <c r="BO33" s="454">
        <f t="shared" si="38"/>
        <v>0</v>
      </c>
      <c r="BP33" s="454">
        <f t="shared" si="39"/>
        <v>0</v>
      </c>
      <c r="BQ33" s="454">
        <f t="shared" si="40"/>
        <v>0</v>
      </c>
      <c r="BR33" s="454">
        <f t="shared" si="41"/>
        <v>0</v>
      </c>
    </row>
    <row r="34" spans="1:70" x14ac:dyDescent="0.25">
      <c r="A34" s="42"/>
      <c r="B34" s="96"/>
      <c r="C34" s="1499"/>
      <c r="D34" s="1499"/>
      <c r="E34" s="1499"/>
      <c r="F34" s="1499"/>
      <c r="G34" s="317"/>
      <c r="H34" s="987" t="str">
        <f t="shared" si="42"/>
        <v/>
      </c>
      <c r="I34" s="991"/>
      <c r="J34" s="930"/>
      <c r="K34" s="548"/>
      <c r="L34" s="548"/>
      <c r="M34" s="549"/>
      <c r="N34" s="550"/>
      <c r="O34" s="195">
        <v>19</v>
      </c>
      <c r="P34" s="283" t="str">
        <f t="shared" si="32"/>
        <v/>
      </c>
      <c r="Q34" s="193"/>
      <c r="R34" s="283" t="str">
        <f t="shared" si="22"/>
        <v/>
      </c>
      <c r="S34" s="69"/>
      <c r="T34" s="367"/>
      <c r="U34" s="328" t="str">
        <f t="shared" si="33"/>
        <v/>
      </c>
      <c r="V34" s="69"/>
      <c r="W34" s="124"/>
      <c r="X34" s="69" t="s">
        <v>15</v>
      </c>
      <c r="Y34" s="554"/>
      <c r="Z34" s="124"/>
      <c r="AA34" s="1231"/>
      <c r="AB34" s="234"/>
      <c r="AC34" s="5">
        <f t="shared" si="23"/>
        <v>0</v>
      </c>
      <c r="AD34" s="5">
        <f t="shared" si="24"/>
        <v>0</v>
      </c>
      <c r="AE34" s="294">
        <f t="shared" si="25"/>
        <v>0</v>
      </c>
      <c r="AF34" s="294">
        <f t="shared" si="26"/>
        <v>0</v>
      </c>
      <c r="AG34" s="294">
        <f t="shared" si="27"/>
        <v>0</v>
      </c>
      <c r="AH34" s="294">
        <f t="shared" si="28"/>
        <v>0</v>
      </c>
      <c r="AI34" s="294">
        <f t="shared" si="29"/>
        <v>0</v>
      </c>
      <c r="AJ34" s="294">
        <f t="shared" si="30"/>
        <v>0</v>
      </c>
      <c r="AK34" s="294">
        <f t="shared" si="31"/>
        <v>0</v>
      </c>
      <c r="AL34" s="295" t="str">
        <f t="shared" si="34"/>
        <v/>
      </c>
      <c r="AM34" s="95"/>
      <c r="AN34" s="95"/>
      <c r="AO34" s="42"/>
      <c r="AP34" s="42"/>
      <c r="AQ34" s="42"/>
      <c r="AR34" s="424">
        <f t="shared" si="35"/>
        <v>0</v>
      </c>
      <c r="AS34" s="425" t="str">
        <f t="array" ref="AS34">IFERROR(IF(ROWS(H$16:H34)&gt;COUNTA($H$16:$H$75),"",INDEX($H$16:$H$75,SMALL(IF($H$16:$H$75&lt;&gt;"",ROW($H$16:$H$75)-ROW($H$16)+1),ROWS($H$16:H34)))),"")</f>
        <v/>
      </c>
      <c r="AT34" s="424" t="str">
        <f t="shared" si="13"/>
        <v/>
      </c>
      <c r="AU34" s="95"/>
      <c r="AV34" s="95"/>
      <c r="AW34" s="95" t="s">
        <v>102</v>
      </c>
      <c r="AX34" s="95"/>
      <c r="AY34" s="95"/>
      <c r="AZ34" s="42"/>
      <c r="BA34" s="42"/>
      <c r="BB34" s="42"/>
      <c r="BC34" s="42"/>
      <c r="BL34" s="454">
        <f t="shared" si="14"/>
        <v>0</v>
      </c>
      <c r="BM34" s="454">
        <f t="shared" si="36"/>
        <v>0</v>
      </c>
      <c r="BN34" s="454">
        <f t="shared" si="37"/>
        <v>0</v>
      </c>
      <c r="BO34" s="454">
        <f t="shared" si="38"/>
        <v>0</v>
      </c>
      <c r="BP34" s="454">
        <f t="shared" si="39"/>
        <v>0</v>
      </c>
      <c r="BQ34" s="454">
        <f t="shared" si="40"/>
        <v>0</v>
      </c>
      <c r="BR34" s="454">
        <f t="shared" si="41"/>
        <v>0</v>
      </c>
    </row>
    <row r="35" spans="1:70" x14ac:dyDescent="0.25">
      <c r="A35" s="42"/>
      <c r="B35" s="42"/>
      <c r="C35" s="1499"/>
      <c r="D35" s="1499"/>
      <c r="E35" s="1499"/>
      <c r="F35" s="1499"/>
      <c r="G35" s="317"/>
      <c r="H35" s="987" t="str">
        <f t="shared" si="42"/>
        <v/>
      </c>
      <c r="I35" s="991"/>
      <c r="J35" s="930"/>
      <c r="K35" s="548"/>
      <c r="L35" s="548"/>
      <c r="M35" s="549"/>
      <c r="N35" s="550"/>
      <c r="O35" s="195">
        <v>20</v>
      </c>
      <c r="P35" s="283" t="str">
        <f t="shared" si="32"/>
        <v/>
      </c>
      <c r="Q35" s="193"/>
      <c r="R35" s="283" t="str">
        <f t="shared" si="22"/>
        <v/>
      </c>
      <c r="S35" s="69"/>
      <c r="T35" s="367"/>
      <c r="U35" s="328" t="str">
        <f t="shared" si="33"/>
        <v/>
      </c>
      <c r="V35" s="69"/>
      <c r="W35" s="124"/>
      <c r="X35" s="69" t="s">
        <v>15</v>
      </c>
      <c r="Y35" s="554"/>
      <c r="Z35" s="124"/>
      <c r="AA35" s="1231"/>
      <c r="AB35" s="234"/>
      <c r="AC35" s="5">
        <f t="shared" si="23"/>
        <v>0</v>
      </c>
      <c r="AD35" s="5">
        <f t="shared" si="24"/>
        <v>0</v>
      </c>
      <c r="AE35" s="294">
        <f t="shared" si="25"/>
        <v>0</v>
      </c>
      <c r="AF35" s="294">
        <f t="shared" si="26"/>
        <v>0</v>
      </c>
      <c r="AG35" s="294">
        <f t="shared" si="27"/>
        <v>0</v>
      </c>
      <c r="AH35" s="294">
        <f t="shared" si="28"/>
        <v>0</v>
      </c>
      <c r="AI35" s="294">
        <f t="shared" si="29"/>
        <v>0</v>
      </c>
      <c r="AJ35" s="294">
        <f t="shared" si="30"/>
        <v>0</v>
      </c>
      <c r="AK35" s="294">
        <f t="shared" si="31"/>
        <v>0</v>
      </c>
      <c r="AL35" s="295" t="str">
        <f t="shared" si="34"/>
        <v/>
      </c>
      <c r="AM35" s="95"/>
      <c r="AN35" s="95"/>
      <c r="AO35" s="42"/>
      <c r="AP35" s="42"/>
      <c r="AQ35" s="42"/>
      <c r="AR35" s="424">
        <f t="shared" si="35"/>
        <v>0</v>
      </c>
      <c r="AS35" s="425" t="str">
        <f t="array" ref="AS35">IFERROR(IF(ROWS(H$16:H35)&gt;COUNTA($H$16:$H$75),"",INDEX($H$16:$H$75,SMALL(IF($H$16:$H$75&lt;&gt;"",ROW($H$16:$H$75)-ROW($H$16)+1),ROWS($H$16:H35)))),"")</f>
        <v/>
      </c>
      <c r="AT35" s="424" t="str">
        <f t="shared" si="13"/>
        <v/>
      </c>
      <c r="AU35" s="95"/>
      <c r="AV35" s="95"/>
      <c r="AW35" s="95" t="s">
        <v>103</v>
      </c>
      <c r="AX35" s="95"/>
      <c r="AY35" s="95"/>
      <c r="AZ35" s="42"/>
      <c r="BA35" s="42"/>
      <c r="BB35" s="42"/>
      <c r="BC35" s="42"/>
      <c r="BL35" s="454">
        <f t="shared" si="14"/>
        <v>0</v>
      </c>
      <c r="BM35" s="454">
        <f t="shared" si="36"/>
        <v>0</v>
      </c>
      <c r="BN35" s="454">
        <f t="shared" si="37"/>
        <v>0</v>
      </c>
      <c r="BO35" s="454">
        <f t="shared" si="38"/>
        <v>0</v>
      </c>
      <c r="BP35" s="454">
        <f t="shared" si="39"/>
        <v>0</v>
      </c>
      <c r="BQ35" s="454">
        <f t="shared" si="40"/>
        <v>0</v>
      </c>
      <c r="BR35" s="454">
        <f t="shared" si="41"/>
        <v>0</v>
      </c>
    </row>
    <row r="36" spans="1:70" ht="12.75" customHeight="1" x14ac:dyDescent="0.25">
      <c r="A36" s="42"/>
      <c r="B36" s="42"/>
      <c r="C36" s="1499"/>
      <c r="D36" s="1499"/>
      <c r="E36" s="1499"/>
      <c r="F36" s="1499"/>
      <c r="G36" s="136"/>
      <c r="H36" s="987" t="str">
        <f t="shared" si="42"/>
        <v/>
      </c>
      <c r="I36" s="991"/>
      <c r="J36" s="930"/>
      <c r="K36" s="548"/>
      <c r="L36" s="548"/>
      <c r="M36" s="549"/>
      <c r="N36" s="550"/>
      <c r="O36" s="195">
        <v>21</v>
      </c>
      <c r="P36" s="283" t="str">
        <f t="shared" si="32"/>
        <v/>
      </c>
      <c r="Q36" s="193"/>
      <c r="R36" s="283" t="str">
        <f t="shared" si="22"/>
        <v/>
      </c>
      <c r="S36" s="69"/>
      <c r="T36" s="367"/>
      <c r="U36" s="328" t="str">
        <f t="shared" si="33"/>
        <v/>
      </c>
      <c r="V36" s="69"/>
      <c r="W36" s="124"/>
      <c r="X36" s="69" t="s">
        <v>15</v>
      </c>
      <c r="Y36" s="554"/>
      <c r="Z36" s="124"/>
      <c r="AA36" s="1231"/>
      <c r="AB36" s="234"/>
      <c r="AC36" s="5">
        <f t="shared" si="23"/>
        <v>0</v>
      </c>
      <c r="AD36" s="5">
        <f t="shared" si="24"/>
        <v>0</v>
      </c>
      <c r="AE36" s="294">
        <f t="shared" si="25"/>
        <v>0</v>
      </c>
      <c r="AF36" s="294">
        <f t="shared" si="26"/>
        <v>0</v>
      </c>
      <c r="AG36" s="294">
        <f t="shared" si="27"/>
        <v>0</v>
      </c>
      <c r="AH36" s="294">
        <f t="shared" si="28"/>
        <v>0</v>
      </c>
      <c r="AI36" s="294">
        <f t="shared" si="29"/>
        <v>0</v>
      </c>
      <c r="AJ36" s="294">
        <f t="shared" si="30"/>
        <v>0</v>
      </c>
      <c r="AK36" s="294">
        <f t="shared" si="31"/>
        <v>0</v>
      </c>
      <c r="AL36" s="295" t="str">
        <f t="shared" si="34"/>
        <v/>
      </c>
      <c r="AM36" s="95"/>
      <c r="AN36" s="136"/>
      <c r="AO36" s="136"/>
      <c r="AP36" s="136"/>
      <c r="AQ36" s="42"/>
      <c r="AR36" s="424">
        <f>IF(AS36&lt;&gt;"",1,0)</f>
        <v>0</v>
      </c>
      <c r="AS36" s="425" t="str">
        <f t="array" ref="AS36">IFERROR(IF(ROWS(H$16:H36)&gt;COUNTA($H$16:$H$75),"",INDEX($H$16:$H$75,SMALL(IF($H$16:$H$75&lt;&gt;"",ROW($H$16:$H$75)-ROW($H$16)+1),ROWS($H$16:H36)))),"")</f>
        <v/>
      </c>
      <c r="AT36" s="424" t="str">
        <f t="shared" si="13"/>
        <v/>
      </c>
      <c r="AU36" s="95"/>
      <c r="AV36" s="95"/>
      <c r="AW36" s="95" t="s">
        <v>104</v>
      </c>
      <c r="AX36" s="95"/>
      <c r="AY36" s="95"/>
      <c r="AZ36" s="42"/>
      <c r="BA36" s="42"/>
      <c r="BB36" s="42"/>
      <c r="BC36" s="42"/>
      <c r="BL36" s="454">
        <f t="shared" si="14"/>
        <v>0</v>
      </c>
      <c r="BM36" s="454">
        <f t="shared" si="36"/>
        <v>0</v>
      </c>
      <c r="BN36" s="454">
        <f t="shared" si="37"/>
        <v>0</v>
      </c>
      <c r="BO36" s="454">
        <f t="shared" si="38"/>
        <v>0</v>
      </c>
      <c r="BP36" s="454">
        <f t="shared" si="39"/>
        <v>0</v>
      </c>
      <c r="BQ36" s="454">
        <f t="shared" si="40"/>
        <v>0</v>
      </c>
      <c r="BR36" s="454">
        <f t="shared" si="41"/>
        <v>0</v>
      </c>
    </row>
    <row r="37" spans="1:70" ht="12.75" customHeight="1" x14ac:dyDescent="0.25">
      <c r="A37" s="42"/>
      <c r="B37" s="42"/>
      <c r="C37" s="136"/>
      <c r="D37" s="136"/>
      <c r="E37" s="136"/>
      <c r="F37" s="136"/>
      <c r="G37" s="136"/>
      <c r="H37" s="987" t="str">
        <f t="shared" si="42"/>
        <v/>
      </c>
      <c r="I37" s="991"/>
      <c r="J37" s="930"/>
      <c r="K37" s="548"/>
      <c r="L37" s="548"/>
      <c r="M37" s="549"/>
      <c r="N37" s="550"/>
      <c r="O37" s="195">
        <v>22</v>
      </c>
      <c r="P37" s="283" t="str">
        <f t="shared" si="32"/>
        <v/>
      </c>
      <c r="Q37" s="193"/>
      <c r="R37" s="283" t="str">
        <f t="shared" si="22"/>
        <v/>
      </c>
      <c r="S37" s="69"/>
      <c r="T37" s="367"/>
      <c r="U37" s="328" t="str">
        <f t="shared" si="33"/>
        <v/>
      </c>
      <c r="V37" s="69"/>
      <c r="W37" s="124"/>
      <c r="X37" s="69" t="s">
        <v>15</v>
      </c>
      <c r="Y37" s="554"/>
      <c r="Z37" s="124"/>
      <c r="AA37" s="1231"/>
      <c r="AB37" s="234"/>
      <c r="AC37" s="5">
        <f t="shared" si="23"/>
        <v>0</v>
      </c>
      <c r="AD37" s="5">
        <f t="shared" si="24"/>
        <v>0</v>
      </c>
      <c r="AE37" s="294">
        <f t="shared" si="25"/>
        <v>0</v>
      </c>
      <c r="AF37" s="294">
        <f t="shared" si="26"/>
        <v>0</v>
      </c>
      <c r="AG37" s="294">
        <f t="shared" si="27"/>
        <v>0</v>
      </c>
      <c r="AH37" s="294">
        <f t="shared" si="28"/>
        <v>0</v>
      </c>
      <c r="AI37" s="294">
        <f t="shared" si="29"/>
        <v>0</v>
      </c>
      <c r="AJ37" s="294">
        <f t="shared" si="30"/>
        <v>0</v>
      </c>
      <c r="AK37" s="294">
        <f t="shared" si="31"/>
        <v>0</v>
      </c>
      <c r="AL37" s="295" t="str">
        <f t="shared" si="34"/>
        <v/>
      </c>
      <c r="AM37" s="95"/>
      <c r="AN37" s="136"/>
      <c r="AO37" s="136"/>
      <c r="AP37" s="136"/>
      <c r="AQ37" s="42"/>
      <c r="AR37" s="424">
        <f t="shared" ref="AR37:AR55" si="43">IF(AS37&lt;&gt;"",1,0)</f>
        <v>0</v>
      </c>
      <c r="AS37" s="425" t="str">
        <f t="array" ref="AS37">IFERROR(IF(ROWS(H$16:H37)&gt;COUNTA($H$16:$H$75),"",INDEX($H$16:$H$75,SMALL(IF($H$16:$H$75&lt;&gt;"",ROW($H$16:$H$75)-ROW($H$16)+1),ROWS($H$16:H37)))),"")</f>
        <v/>
      </c>
      <c r="AT37" s="424" t="str">
        <f t="shared" si="13"/>
        <v/>
      </c>
      <c r="AU37" s="95"/>
      <c r="AV37" s="95"/>
      <c r="AW37" s="95" t="s">
        <v>90</v>
      </c>
      <c r="AX37" s="95"/>
      <c r="AY37" s="95"/>
      <c r="AZ37" s="42"/>
      <c r="BA37" s="42"/>
      <c r="BB37" s="42"/>
      <c r="BC37" s="42"/>
      <c r="BL37" s="454">
        <f t="shared" si="14"/>
        <v>0</v>
      </c>
      <c r="BM37" s="454">
        <f t="shared" si="36"/>
        <v>0</v>
      </c>
      <c r="BN37" s="454">
        <f t="shared" si="37"/>
        <v>0</v>
      </c>
      <c r="BO37" s="454">
        <f t="shared" si="38"/>
        <v>0</v>
      </c>
      <c r="BP37" s="454">
        <f t="shared" si="39"/>
        <v>0</v>
      </c>
      <c r="BQ37" s="454">
        <f t="shared" si="40"/>
        <v>0</v>
      </c>
      <c r="BR37" s="454">
        <f t="shared" si="41"/>
        <v>0</v>
      </c>
    </row>
    <row r="38" spans="1:70" ht="13.5" customHeight="1" x14ac:dyDescent="0.3">
      <c r="A38" s="42"/>
      <c r="B38" s="84"/>
      <c r="C38" s="427"/>
      <c r="D38" s="427"/>
      <c r="E38" s="528"/>
      <c r="F38" s="427"/>
      <c r="G38" s="136"/>
      <c r="H38" s="987" t="str">
        <f t="shared" si="42"/>
        <v/>
      </c>
      <c r="I38" s="991"/>
      <c r="J38" s="930"/>
      <c r="K38" s="548"/>
      <c r="L38" s="548"/>
      <c r="M38" s="549"/>
      <c r="N38" s="550"/>
      <c r="O38" s="195">
        <v>23</v>
      </c>
      <c r="P38" s="283" t="str">
        <f t="shared" si="32"/>
        <v/>
      </c>
      <c r="Q38" s="193"/>
      <c r="R38" s="283" t="str">
        <f t="shared" si="22"/>
        <v/>
      </c>
      <c r="S38" s="69"/>
      <c r="T38" s="367"/>
      <c r="U38" s="328" t="str">
        <f t="shared" si="33"/>
        <v/>
      </c>
      <c r="V38" s="69"/>
      <c r="W38" s="124"/>
      <c r="X38" s="69" t="s">
        <v>15</v>
      </c>
      <c r="Y38" s="554"/>
      <c r="Z38" s="124"/>
      <c r="AA38" s="1231"/>
      <c r="AB38" s="234"/>
      <c r="AC38" s="5">
        <f t="shared" si="23"/>
        <v>0</v>
      </c>
      <c r="AD38" s="5">
        <f t="shared" si="24"/>
        <v>0</v>
      </c>
      <c r="AE38" s="294">
        <f t="shared" si="25"/>
        <v>0</v>
      </c>
      <c r="AF38" s="294">
        <f t="shared" si="26"/>
        <v>0</v>
      </c>
      <c r="AG38" s="294">
        <f t="shared" si="27"/>
        <v>0</v>
      </c>
      <c r="AH38" s="294">
        <f t="shared" si="28"/>
        <v>0</v>
      </c>
      <c r="AI38" s="294">
        <f t="shared" si="29"/>
        <v>0</v>
      </c>
      <c r="AJ38" s="294">
        <f t="shared" si="30"/>
        <v>0</v>
      </c>
      <c r="AK38" s="294">
        <f t="shared" si="31"/>
        <v>0</v>
      </c>
      <c r="AL38" s="295" t="str">
        <f t="shared" si="34"/>
        <v/>
      </c>
      <c r="AM38" s="95"/>
      <c r="AN38" s="136"/>
      <c r="AO38" s="136"/>
      <c r="AP38" s="136"/>
      <c r="AQ38" s="42"/>
      <c r="AR38" s="424">
        <f t="shared" si="43"/>
        <v>0</v>
      </c>
      <c r="AS38" s="425" t="str">
        <f t="array" ref="AS38">IFERROR(IF(ROWS(H$16:H38)&gt;COUNTA($H$16:$H$75),"",INDEX($H$16:$H$75,SMALL(IF($H$16:$H$75&lt;&gt;"",ROW($H$16:$H$75)-ROW($H$16)+1),ROWS($H$16:H38)))),"")</f>
        <v/>
      </c>
      <c r="AT38" s="424" t="str">
        <f t="shared" si="13"/>
        <v/>
      </c>
      <c r="AU38" s="95"/>
      <c r="AV38" s="95"/>
      <c r="AW38" s="95" t="s">
        <v>105</v>
      </c>
      <c r="AX38" s="95"/>
      <c r="AY38" s="95"/>
      <c r="AZ38" s="42"/>
      <c r="BA38" s="42"/>
      <c r="BB38" s="42"/>
      <c r="BC38" s="42"/>
      <c r="BL38" s="454">
        <f t="shared" si="14"/>
        <v>0</v>
      </c>
      <c r="BM38" s="454">
        <f t="shared" si="36"/>
        <v>0</v>
      </c>
      <c r="BN38" s="454">
        <f t="shared" si="37"/>
        <v>0</v>
      </c>
      <c r="BO38" s="454">
        <f t="shared" si="38"/>
        <v>0</v>
      </c>
      <c r="BP38" s="454">
        <f t="shared" si="39"/>
        <v>0</v>
      </c>
      <c r="BQ38" s="454">
        <f t="shared" si="40"/>
        <v>0</v>
      </c>
      <c r="BR38" s="454">
        <f t="shared" si="41"/>
        <v>0</v>
      </c>
    </row>
    <row r="39" spans="1:70" ht="12.75" customHeight="1" x14ac:dyDescent="0.25">
      <c r="A39" s="42"/>
      <c r="B39" s="42"/>
      <c r="C39" s="1499"/>
      <c r="D39" s="1499"/>
      <c r="E39" s="1499"/>
      <c r="F39" s="136"/>
      <c r="G39" s="317"/>
      <c r="H39" s="987" t="str">
        <f t="shared" si="42"/>
        <v/>
      </c>
      <c r="I39" s="991"/>
      <c r="J39" s="930"/>
      <c r="K39" s="548"/>
      <c r="L39" s="548"/>
      <c r="M39" s="549"/>
      <c r="N39" s="550"/>
      <c r="O39" s="195">
        <v>24</v>
      </c>
      <c r="P39" s="283" t="str">
        <f t="shared" si="32"/>
        <v/>
      </c>
      <c r="Q39" s="193"/>
      <c r="R39" s="283" t="str">
        <f t="shared" si="22"/>
        <v/>
      </c>
      <c r="S39" s="69"/>
      <c r="T39" s="367"/>
      <c r="U39" s="328" t="str">
        <f t="shared" si="33"/>
        <v/>
      </c>
      <c r="V39" s="69"/>
      <c r="W39" s="124"/>
      <c r="X39" s="69" t="s">
        <v>15</v>
      </c>
      <c r="Y39" s="554"/>
      <c r="Z39" s="124"/>
      <c r="AA39" s="1231"/>
      <c r="AB39" s="234"/>
      <c r="AC39" s="5">
        <f t="shared" si="23"/>
        <v>0</v>
      </c>
      <c r="AD39" s="5">
        <f t="shared" si="24"/>
        <v>0</v>
      </c>
      <c r="AE39" s="294">
        <f t="shared" si="25"/>
        <v>0</v>
      </c>
      <c r="AF39" s="294">
        <f t="shared" si="26"/>
        <v>0</v>
      </c>
      <c r="AG39" s="294">
        <f t="shared" si="27"/>
        <v>0</v>
      </c>
      <c r="AH39" s="294">
        <f t="shared" si="28"/>
        <v>0</v>
      </c>
      <c r="AI39" s="294">
        <f t="shared" si="29"/>
        <v>0</v>
      </c>
      <c r="AJ39" s="294">
        <f t="shared" si="30"/>
        <v>0</v>
      </c>
      <c r="AK39" s="294">
        <f t="shared" si="31"/>
        <v>0</v>
      </c>
      <c r="AL39" s="295" t="str">
        <f t="shared" si="34"/>
        <v/>
      </c>
      <c r="AM39" s="95"/>
      <c r="AN39" s="95"/>
      <c r="AO39" s="42"/>
      <c r="AP39" s="42"/>
      <c r="AQ39" s="42"/>
      <c r="AR39" s="424">
        <f t="shared" si="43"/>
        <v>0</v>
      </c>
      <c r="AS39" s="425" t="str">
        <f t="array" ref="AS39">IFERROR(IF(ROWS(H$16:H39)&gt;COUNTA($H$16:$H$75),"",INDEX($H$16:$H$75,SMALL(IF($H$16:$H$75&lt;&gt;"",ROW($H$16:$H$75)-ROW($H$16)+1),ROWS($H$16:H39)))),"")</f>
        <v/>
      </c>
      <c r="AT39" s="424" t="str">
        <f t="shared" si="13"/>
        <v/>
      </c>
      <c r="AU39" s="95"/>
      <c r="AV39" s="95"/>
      <c r="AW39" s="95" t="s">
        <v>106</v>
      </c>
      <c r="AX39" s="95"/>
      <c r="AY39" s="95"/>
      <c r="AZ39" s="42"/>
      <c r="BA39" s="42"/>
      <c r="BB39" s="42"/>
      <c r="BC39" s="42"/>
      <c r="BL39" s="454">
        <f t="shared" si="14"/>
        <v>0</v>
      </c>
      <c r="BM39" s="454">
        <f t="shared" si="36"/>
        <v>0</v>
      </c>
      <c r="BN39" s="454">
        <f t="shared" si="37"/>
        <v>0</v>
      </c>
      <c r="BO39" s="454">
        <f t="shared" si="38"/>
        <v>0</v>
      </c>
      <c r="BP39" s="454">
        <f t="shared" si="39"/>
        <v>0</v>
      </c>
      <c r="BQ39" s="454">
        <f t="shared" si="40"/>
        <v>0</v>
      </c>
      <c r="BR39" s="454">
        <f t="shared" si="41"/>
        <v>0</v>
      </c>
    </row>
    <row r="40" spans="1:70" x14ac:dyDescent="0.25">
      <c r="A40" s="42"/>
      <c r="B40" s="42"/>
      <c r="C40" s="1499"/>
      <c r="D40" s="1499"/>
      <c r="E40" s="1499"/>
      <c r="F40" s="136"/>
      <c r="G40" s="317"/>
      <c r="H40" s="987" t="str">
        <f t="shared" si="42"/>
        <v/>
      </c>
      <c r="I40" s="991"/>
      <c r="J40" s="930"/>
      <c r="K40" s="548"/>
      <c r="L40" s="548"/>
      <c r="M40" s="549"/>
      <c r="N40" s="550"/>
      <c r="O40" s="195">
        <v>25</v>
      </c>
      <c r="P40" s="283" t="str">
        <f t="shared" si="32"/>
        <v/>
      </c>
      <c r="Q40" s="193"/>
      <c r="R40" s="283" t="str">
        <f t="shared" si="22"/>
        <v/>
      </c>
      <c r="S40" s="69"/>
      <c r="T40" s="367"/>
      <c r="U40" s="328" t="str">
        <f t="shared" si="33"/>
        <v/>
      </c>
      <c r="V40" s="69"/>
      <c r="W40" s="124"/>
      <c r="X40" s="69" t="s">
        <v>15</v>
      </c>
      <c r="Y40" s="554"/>
      <c r="Z40" s="124"/>
      <c r="AA40" s="1231"/>
      <c r="AB40" s="234"/>
      <c r="AC40" s="5">
        <f t="shared" si="23"/>
        <v>0</v>
      </c>
      <c r="AD40" s="5">
        <f t="shared" si="24"/>
        <v>0</v>
      </c>
      <c r="AE40" s="294">
        <f t="shared" si="25"/>
        <v>0</v>
      </c>
      <c r="AF40" s="294">
        <f t="shared" si="26"/>
        <v>0</v>
      </c>
      <c r="AG40" s="294">
        <f t="shared" si="27"/>
        <v>0</v>
      </c>
      <c r="AH40" s="294">
        <f t="shared" si="28"/>
        <v>0</v>
      </c>
      <c r="AI40" s="294">
        <f t="shared" si="29"/>
        <v>0</v>
      </c>
      <c r="AJ40" s="294">
        <f t="shared" si="30"/>
        <v>0</v>
      </c>
      <c r="AK40" s="294">
        <f t="shared" si="31"/>
        <v>0</v>
      </c>
      <c r="AL40" s="295" t="str">
        <f t="shared" si="34"/>
        <v/>
      </c>
      <c r="AM40" s="95"/>
      <c r="AN40" s="95"/>
      <c r="AO40" s="42"/>
      <c r="AP40" s="42"/>
      <c r="AQ40" s="42"/>
      <c r="AR40" s="424">
        <f t="shared" si="43"/>
        <v>0</v>
      </c>
      <c r="AS40" s="425" t="str">
        <f t="array" ref="AS40">IFERROR(IF(ROWS(H$16:H40)&gt;COUNTA($H$16:$H$75),"",INDEX($H$16:$H$75,SMALL(IF($H$16:$H$75&lt;&gt;"",ROW($H$16:$H$75)-ROW($H$16)+1),ROWS($H$16:H40)))),"")</f>
        <v/>
      </c>
      <c r="AT40" s="424" t="str">
        <f t="shared" si="13"/>
        <v/>
      </c>
      <c r="AU40" s="95"/>
      <c r="AV40" s="95"/>
      <c r="AW40" s="95" t="s">
        <v>107</v>
      </c>
      <c r="AX40" s="95"/>
      <c r="AY40" s="95"/>
      <c r="AZ40" s="42"/>
      <c r="BA40" s="42"/>
      <c r="BB40" s="42"/>
      <c r="BC40" s="42"/>
      <c r="BL40" s="454">
        <f t="shared" si="14"/>
        <v>0</v>
      </c>
      <c r="BM40" s="454">
        <f t="shared" si="36"/>
        <v>0</v>
      </c>
      <c r="BN40" s="454">
        <f t="shared" si="37"/>
        <v>0</v>
      </c>
      <c r="BO40" s="454">
        <f t="shared" si="38"/>
        <v>0</v>
      </c>
      <c r="BP40" s="454">
        <f t="shared" si="39"/>
        <v>0</v>
      </c>
      <c r="BQ40" s="454">
        <f t="shared" si="40"/>
        <v>0</v>
      </c>
      <c r="BR40" s="454">
        <f t="shared" si="41"/>
        <v>0</v>
      </c>
    </row>
    <row r="41" spans="1:70" x14ac:dyDescent="0.25">
      <c r="A41" s="42"/>
      <c r="B41" s="42"/>
      <c r="C41" s="1499"/>
      <c r="D41" s="1499"/>
      <c r="E41" s="1499"/>
      <c r="F41" s="136"/>
      <c r="G41" s="63"/>
      <c r="H41" s="987" t="str">
        <f t="shared" si="42"/>
        <v/>
      </c>
      <c r="I41" s="991"/>
      <c r="J41" s="930"/>
      <c r="K41" s="548"/>
      <c r="L41" s="548"/>
      <c r="M41" s="549"/>
      <c r="N41" s="550"/>
      <c r="O41" s="195">
        <v>26</v>
      </c>
      <c r="P41" s="283" t="str">
        <f t="shared" si="32"/>
        <v/>
      </c>
      <c r="Q41" s="193"/>
      <c r="R41" s="283" t="str">
        <f t="shared" si="22"/>
        <v/>
      </c>
      <c r="S41" s="69"/>
      <c r="T41" s="367"/>
      <c r="U41" s="328" t="str">
        <f t="shared" si="33"/>
        <v/>
      </c>
      <c r="V41" s="69"/>
      <c r="W41" s="124"/>
      <c r="X41" s="69" t="s">
        <v>15</v>
      </c>
      <c r="Y41" s="554"/>
      <c r="Z41" s="124"/>
      <c r="AA41" s="1231"/>
      <c r="AB41" s="234"/>
      <c r="AC41" s="5">
        <f t="shared" si="23"/>
        <v>0</v>
      </c>
      <c r="AD41" s="5">
        <f t="shared" si="24"/>
        <v>0</v>
      </c>
      <c r="AE41" s="294">
        <f t="shared" si="25"/>
        <v>0</v>
      </c>
      <c r="AF41" s="294">
        <f t="shared" si="26"/>
        <v>0</v>
      </c>
      <c r="AG41" s="294">
        <f t="shared" si="27"/>
        <v>0</v>
      </c>
      <c r="AH41" s="294">
        <f t="shared" si="28"/>
        <v>0</v>
      </c>
      <c r="AI41" s="294">
        <f t="shared" si="29"/>
        <v>0</v>
      </c>
      <c r="AJ41" s="294">
        <f t="shared" si="30"/>
        <v>0</v>
      </c>
      <c r="AK41" s="294">
        <f t="shared" si="31"/>
        <v>0</v>
      </c>
      <c r="AL41" s="295" t="str">
        <f t="shared" si="34"/>
        <v/>
      </c>
      <c r="AM41" s="95"/>
      <c r="AN41" s="95"/>
      <c r="AO41" s="42"/>
      <c r="AP41" s="42"/>
      <c r="AQ41" s="42"/>
      <c r="AR41" s="424">
        <f t="shared" si="43"/>
        <v>0</v>
      </c>
      <c r="AS41" s="425" t="str">
        <f t="array" ref="AS41">IFERROR(IF(ROWS(H$16:H41)&gt;COUNTA($H$16:$H$75),"",INDEX($H$16:$H$75,SMALL(IF($H$16:$H$75&lt;&gt;"",ROW($H$16:$H$75)-ROW($H$16)+1),ROWS($H$16:H41)))),"")</f>
        <v/>
      </c>
      <c r="AT41" s="424" t="str">
        <f t="shared" si="13"/>
        <v/>
      </c>
      <c r="AU41" s="95"/>
      <c r="AV41" s="95"/>
      <c r="AW41" s="95" t="s">
        <v>108</v>
      </c>
      <c r="AX41" s="95"/>
      <c r="AY41" s="95"/>
      <c r="AZ41" s="42"/>
      <c r="BA41" s="42"/>
      <c r="BB41" s="42"/>
      <c r="BC41" s="42"/>
      <c r="BL41" s="454">
        <f t="shared" si="14"/>
        <v>0</v>
      </c>
      <c r="BM41" s="454">
        <f t="shared" si="36"/>
        <v>0</v>
      </c>
      <c r="BN41" s="454">
        <f t="shared" si="37"/>
        <v>0</v>
      </c>
      <c r="BO41" s="454">
        <f t="shared" si="38"/>
        <v>0</v>
      </c>
      <c r="BP41" s="454">
        <f t="shared" si="39"/>
        <v>0</v>
      </c>
      <c r="BQ41" s="454">
        <f t="shared" si="40"/>
        <v>0</v>
      </c>
      <c r="BR41" s="454">
        <f t="shared" si="41"/>
        <v>0</v>
      </c>
    </row>
    <row r="42" spans="1:70" x14ac:dyDescent="0.25">
      <c r="A42" s="42"/>
      <c r="B42" s="42"/>
      <c r="C42" s="1499"/>
      <c r="D42" s="1499"/>
      <c r="E42" s="1499"/>
      <c r="F42" s="136"/>
      <c r="G42" s="317"/>
      <c r="H42" s="987" t="str">
        <f t="shared" si="42"/>
        <v/>
      </c>
      <c r="I42" s="991"/>
      <c r="J42" s="930"/>
      <c r="K42" s="548"/>
      <c r="L42" s="548"/>
      <c r="M42" s="549"/>
      <c r="N42" s="550"/>
      <c r="O42" s="195">
        <v>27</v>
      </c>
      <c r="P42" s="283" t="str">
        <f t="shared" si="32"/>
        <v/>
      </c>
      <c r="Q42" s="193"/>
      <c r="R42" s="283" t="str">
        <f t="shared" si="22"/>
        <v/>
      </c>
      <c r="S42" s="69"/>
      <c r="T42" s="367"/>
      <c r="U42" s="328" t="str">
        <f t="shared" si="33"/>
        <v/>
      </c>
      <c r="V42" s="69"/>
      <c r="W42" s="124"/>
      <c r="X42" s="69" t="s">
        <v>15</v>
      </c>
      <c r="Y42" s="554"/>
      <c r="Z42" s="124"/>
      <c r="AA42" s="1231"/>
      <c r="AB42" s="234"/>
      <c r="AC42" s="5">
        <f t="shared" si="23"/>
        <v>0</v>
      </c>
      <c r="AD42" s="5">
        <f t="shared" si="24"/>
        <v>0</v>
      </c>
      <c r="AE42" s="294">
        <f t="shared" si="25"/>
        <v>0</v>
      </c>
      <c r="AF42" s="294">
        <f t="shared" si="26"/>
        <v>0</v>
      </c>
      <c r="AG42" s="294">
        <f t="shared" si="27"/>
        <v>0</v>
      </c>
      <c r="AH42" s="294">
        <f t="shared" si="28"/>
        <v>0</v>
      </c>
      <c r="AI42" s="294">
        <f t="shared" si="29"/>
        <v>0</v>
      </c>
      <c r="AJ42" s="294">
        <f t="shared" si="30"/>
        <v>0</v>
      </c>
      <c r="AK42" s="294">
        <f t="shared" si="31"/>
        <v>0</v>
      </c>
      <c r="AL42" s="295" t="str">
        <f t="shared" si="34"/>
        <v/>
      </c>
      <c r="AM42" s="95"/>
      <c r="AN42" s="95"/>
      <c r="AO42" s="42"/>
      <c r="AP42" s="42"/>
      <c r="AQ42" s="42"/>
      <c r="AR42" s="424">
        <f t="shared" si="43"/>
        <v>0</v>
      </c>
      <c r="AS42" s="425" t="str">
        <f t="array" ref="AS42">IFERROR(IF(ROWS(H$16:H42)&gt;COUNTA($H$16:$H$75),"",INDEX($H$16:$H$75,SMALL(IF($H$16:$H$75&lt;&gt;"",ROW($H$16:$H$75)-ROW($H$16)+1),ROWS($H$16:H42)))),"")</f>
        <v/>
      </c>
      <c r="AT42" s="424" t="str">
        <f t="shared" si="13"/>
        <v/>
      </c>
      <c r="AU42" s="95"/>
      <c r="AV42" s="95"/>
      <c r="AW42" s="95" t="s">
        <v>109</v>
      </c>
      <c r="AX42" s="95"/>
      <c r="AY42" s="95"/>
      <c r="AZ42" s="42"/>
      <c r="BA42" s="42"/>
      <c r="BB42" s="42"/>
      <c r="BC42" s="42"/>
      <c r="BL42" s="454">
        <f t="shared" si="14"/>
        <v>0</v>
      </c>
      <c r="BM42" s="454">
        <f t="shared" si="36"/>
        <v>0</v>
      </c>
      <c r="BN42" s="454">
        <f t="shared" si="37"/>
        <v>0</v>
      </c>
      <c r="BO42" s="454">
        <f t="shared" si="38"/>
        <v>0</v>
      </c>
      <c r="BP42" s="454">
        <f t="shared" si="39"/>
        <v>0</v>
      </c>
      <c r="BQ42" s="454">
        <f t="shared" si="40"/>
        <v>0</v>
      </c>
      <c r="BR42" s="454">
        <f t="shared" si="41"/>
        <v>0</v>
      </c>
    </row>
    <row r="43" spans="1:70" x14ac:dyDescent="0.25">
      <c r="A43" s="42"/>
      <c r="B43" s="42"/>
      <c r="C43" s="427"/>
      <c r="D43" s="427"/>
      <c r="E43" s="528"/>
      <c r="F43" s="427"/>
      <c r="G43" s="317"/>
      <c r="H43" s="987" t="str">
        <f t="shared" si="42"/>
        <v/>
      </c>
      <c r="I43" s="991"/>
      <c r="J43" s="930"/>
      <c r="K43" s="548"/>
      <c r="L43" s="548"/>
      <c r="M43" s="549"/>
      <c r="N43" s="550"/>
      <c r="O43" s="195">
        <v>28</v>
      </c>
      <c r="P43" s="283" t="str">
        <f t="shared" si="32"/>
        <v/>
      </c>
      <c r="Q43" s="193"/>
      <c r="R43" s="283" t="str">
        <f t="shared" si="22"/>
        <v/>
      </c>
      <c r="S43" s="69"/>
      <c r="T43" s="367"/>
      <c r="U43" s="328" t="str">
        <f t="shared" si="33"/>
        <v/>
      </c>
      <c r="V43" s="69"/>
      <c r="W43" s="124"/>
      <c r="X43" s="69" t="s">
        <v>15</v>
      </c>
      <c r="Y43" s="554"/>
      <c r="Z43" s="124"/>
      <c r="AA43" s="1231"/>
      <c r="AB43" s="234"/>
      <c r="AC43" s="5">
        <f t="shared" si="23"/>
        <v>0</v>
      </c>
      <c r="AD43" s="5">
        <f t="shared" si="24"/>
        <v>0</v>
      </c>
      <c r="AE43" s="294">
        <f t="shared" si="25"/>
        <v>0</v>
      </c>
      <c r="AF43" s="294">
        <f t="shared" si="26"/>
        <v>0</v>
      </c>
      <c r="AG43" s="294">
        <f t="shared" si="27"/>
        <v>0</v>
      </c>
      <c r="AH43" s="294">
        <f t="shared" si="28"/>
        <v>0</v>
      </c>
      <c r="AI43" s="294">
        <f t="shared" si="29"/>
        <v>0</v>
      </c>
      <c r="AJ43" s="294">
        <f t="shared" si="30"/>
        <v>0</v>
      </c>
      <c r="AK43" s="294">
        <f t="shared" si="31"/>
        <v>0</v>
      </c>
      <c r="AL43" s="295" t="str">
        <f t="shared" si="34"/>
        <v/>
      </c>
      <c r="AM43" s="95"/>
      <c r="AN43" s="95"/>
      <c r="AO43" s="42"/>
      <c r="AP43" s="42"/>
      <c r="AQ43" s="42"/>
      <c r="AR43" s="424">
        <f t="shared" si="43"/>
        <v>0</v>
      </c>
      <c r="AS43" s="425" t="str">
        <f t="array" ref="AS43">IFERROR(IF(ROWS(H$16:H43)&gt;COUNTA($H$16:$H$75),"",INDEX($H$16:$H$75,SMALL(IF($H$16:$H$75&lt;&gt;"",ROW($H$16:$H$75)-ROW($H$16)+1),ROWS($H$16:H43)))),"")</f>
        <v/>
      </c>
      <c r="AT43" s="424" t="str">
        <f t="shared" si="13"/>
        <v/>
      </c>
      <c r="AU43" s="95"/>
      <c r="AV43" s="95"/>
      <c r="AW43" s="95" t="s">
        <v>110</v>
      </c>
      <c r="AX43" s="95"/>
      <c r="AY43" s="95"/>
      <c r="AZ43" s="42"/>
      <c r="BA43" s="42"/>
      <c r="BB43" s="42"/>
      <c r="BC43" s="42"/>
      <c r="BL43" s="454">
        <f t="shared" si="14"/>
        <v>0</v>
      </c>
      <c r="BM43" s="454">
        <f t="shared" si="36"/>
        <v>0</v>
      </c>
      <c r="BN43" s="454">
        <f t="shared" si="37"/>
        <v>0</v>
      </c>
      <c r="BO43" s="454">
        <f t="shared" si="38"/>
        <v>0</v>
      </c>
      <c r="BP43" s="454">
        <f t="shared" si="39"/>
        <v>0</v>
      </c>
      <c r="BQ43" s="454">
        <f t="shared" si="40"/>
        <v>0</v>
      </c>
      <c r="BR43" s="454">
        <f t="shared" si="41"/>
        <v>0</v>
      </c>
    </row>
    <row r="44" spans="1:70" x14ac:dyDescent="0.25">
      <c r="A44" s="42"/>
      <c r="C44" s="42"/>
      <c r="D44" s="42"/>
      <c r="E44" s="42"/>
      <c r="F44" s="42"/>
      <c r="G44" s="317"/>
      <c r="H44" s="987" t="str">
        <f t="shared" si="42"/>
        <v/>
      </c>
      <c r="I44" s="991"/>
      <c r="J44" s="930"/>
      <c r="K44" s="548"/>
      <c r="L44" s="548"/>
      <c r="M44" s="549"/>
      <c r="N44" s="550"/>
      <c r="O44" s="195">
        <v>29</v>
      </c>
      <c r="P44" s="283" t="str">
        <f t="shared" si="32"/>
        <v/>
      </c>
      <c r="Q44" s="193"/>
      <c r="R44" s="283" t="str">
        <f t="shared" si="22"/>
        <v/>
      </c>
      <c r="S44" s="69"/>
      <c r="T44" s="367"/>
      <c r="U44" s="328" t="str">
        <f t="shared" si="33"/>
        <v/>
      </c>
      <c r="V44" s="69"/>
      <c r="W44" s="124"/>
      <c r="X44" s="69" t="s">
        <v>15</v>
      </c>
      <c r="Y44" s="554"/>
      <c r="Z44" s="124"/>
      <c r="AA44" s="1231"/>
      <c r="AB44" s="234"/>
      <c r="AC44" s="5">
        <f t="shared" si="23"/>
        <v>0</v>
      </c>
      <c r="AD44" s="5">
        <f t="shared" si="24"/>
        <v>0</v>
      </c>
      <c r="AE44" s="294">
        <f t="shared" si="25"/>
        <v>0</v>
      </c>
      <c r="AF44" s="294">
        <f t="shared" si="26"/>
        <v>0</v>
      </c>
      <c r="AG44" s="294">
        <f t="shared" si="27"/>
        <v>0</v>
      </c>
      <c r="AH44" s="294">
        <f t="shared" si="28"/>
        <v>0</v>
      </c>
      <c r="AI44" s="294">
        <f t="shared" si="29"/>
        <v>0</v>
      </c>
      <c r="AJ44" s="294">
        <f t="shared" si="30"/>
        <v>0</v>
      </c>
      <c r="AK44" s="294">
        <f t="shared" si="31"/>
        <v>0</v>
      </c>
      <c r="AL44" s="295" t="str">
        <f t="shared" si="34"/>
        <v/>
      </c>
      <c r="AM44" s="95"/>
      <c r="AN44" s="95"/>
      <c r="AO44" s="42"/>
      <c r="AP44" s="42"/>
      <c r="AQ44" s="42"/>
      <c r="AR44" s="424">
        <f t="shared" si="43"/>
        <v>0</v>
      </c>
      <c r="AS44" s="425" t="str">
        <f t="array" ref="AS44">IFERROR(IF(ROWS(H$16:H44)&gt;COUNTA($H$16:$H$75),"",INDEX($H$16:$H$75,SMALL(IF($H$16:$H$75&lt;&gt;"",ROW($H$16:$H$75)-ROW($H$16)+1),ROWS($H$16:H44)))),"")</f>
        <v/>
      </c>
      <c r="AT44" s="424" t="str">
        <f t="shared" si="13"/>
        <v/>
      </c>
      <c r="AU44" s="95"/>
      <c r="AV44" s="95"/>
      <c r="AW44" s="95" t="s">
        <v>95</v>
      </c>
      <c r="AX44" s="95"/>
      <c r="AY44" s="95"/>
      <c r="AZ44" s="42"/>
      <c r="BA44" s="42"/>
      <c r="BB44" s="42"/>
      <c r="BC44" s="42"/>
      <c r="BL44" s="454">
        <f t="shared" si="14"/>
        <v>0</v>
      </c>
      <c r="BM44" s="454">
        <f t="shared" si="36"/>
        <v>0</v>
      </c>
      <c r="BN44" s="454">
        <f t="shared" si="37"/>
        <v>0</v>
      </c>
      <c r="BO44" s="454">
        <f t="shared" si="38"/>
        <v>0</v>
      </c>
      <c r="BP44" s="454">
        <f t="shared" si="39"/>
        <v>0</v>
      </c>
      <c r="BQ44" s="454">
        <f t="shared" si="40"/>
        <v>0</v>
      </c>
      <c r="BR44" s="454">
        <f t="shared" si="41"/>
        <v>0</v>
      </c>
    </row>
    <row r="45" spans="1:70" x14ac:dyDescent="0.25">
      <c r="A45" s="42"/>
      <c r="B45" s="42"/>
      <c r="G45" s="317"/>
      <c r="H45" s="987" t="str">
        <f t="shared" si="42"/>
        <v/>
      </c>
      <c r="I45" s="991"/>
      <c r="J45" s="930"/>
      <c r="K45" s="548"/>
      <c r="L45" s="548"/>
      <c r="M45" s="549"/>
      <c r="N45" s="550"/>
      <c r="O45" s="195">
        <v>30</v>
      </c>
      <c r="P45" s="283" t="str">
        <f t="shared" si="32"/>
        <v/>
      </c>
      <c r="Q45" s="193"/>
      <c r="R45" s="283" t="str">
        <f t="shared" si="22"/>
        <v/>
      </c>
      <c r="S45" s="69"/>
      <c r="T45" s="367"/>
      <c r="U45" s="328" t="str">
        <f t="shared" si="33"/>
        <v/>
      </c>
      <c r="V45" s="69"/>
      <c r="W45" s="124"/>
      <c r="X45" s="69" t="s">
        <v>15</v>
      </c>
      <c r="Y45" s="554"/>
      <c r="Z45" s="124"/>
      <c r="AA45" s="1231"/>
      <c r="AB45" s="234"/>
      <c r="AC45" s="5">
        <f t="shared" si="23"/>
        <v>0</v>
      </c>
      <c r="AD45" s="5">
        <f t="shared" si="24"/>
        <v>0</v>
      </c>
      <c r="AE45" s="294">
        <f t="shared" si="25"/>
        <v>0</v>
      </c>
      <c r="AF45" s="294">
        <f t="shared" si="26"/>
        <v>0</v>
      </c>
      <c r="AG45" s="294">
        <f t="shared" si="27"/>
        <v>0</v>
      </c>
      <c r="AH45" s="294">
        <f t="shared" si="28"/>
        <v>0</v>
      </c>
      <c r="AI45" s="294">
        <f t="shared" si="29"/>
        <v>0</v>
      </c>
      <c r="AJ45" s="294">
        <f t="shared" si="30"/>
        <v>0</v>
      </c>
      <c r="AK45" s="294">
        <f t="shared" si="31"/>
        <v>0</v>
      </c>
      <c r="AL45" s="295" t="str">
        <f t="shared" si="34"/>
        <v/>
      </c>
      <c r="AM45" s="95"/>
      <c r="AN45" s="95"/>
      <c r="AO45" s="42"/>
      <c r="AP45" s="42"/>
      <c r="AQ45" s="42"/>
      <c r="AR45" s="424">
        <f t="shared" si="43"/>
        <v>0</v>
      </c>
      <c r="AS45" s="425" t="str">
        <f t="array" ref="AS45">IFERROR(IF(ROWS(H$16:H45)&gt;COUNTA($H$16:$H$75),"",INDEX($H$16:$H$75,SMALL(IF($H$16:$H$75&lt;&gt;"",ROW($H$16:$H$75)-ROW($H$16)+1),ROWS($H$16:H45)))),"")</f>
        <v/>
      </c>
      <c r="AT45" s="424" t="str">
        <f t="shared" si="13"/>
        <v/>
      </c>
      <c r="AU45" s="95"/>
      <c r="AV45" s="95"/>
      <c r="AW45" s="95" t="s">
        <v>94</v>
      </c>
      <c r="AX45" s="95"/>
      <c r="AY45" s="95"/>
      <c r="AZ45" s="42"/>
      <c r="BA45" s="42"/>
      <c r="BB45" s="42"/>
      <c r="BC45" s="42"/>
      <c r="BL45" s="454">
        <f t="shared" si="14"/>
        <v>0</v>
      </c>
      <c r="BM45" s="454">
        <f t="shared" si="36"/>
        <v>0</v>
      </c>
      <c r="BN45" s="454">
        <f t="shared" si="37"/>
        <v>0</v>
      </c>
      <c r="BO45" s="454">
        <f t="shared" si="38"/>
        <v>0</v>
      </c>
      <c r="BP45" s="454">
        <f t="shared" si="39"/>
        <v>0</v>
      </c>
      <c r="BQ45" s="454">
        <f t="shared" si="40"/>
        <v>0</v>
      </c>
      <c r="BR45" s="454">
        <f t="shared" si="41"/>
        <v>0</v>
      </c>
    </row>
    <row r="46" spans="1:70" x14ac:dyDescent="0.25">
      <c r="A46" s="42"/>
      <c r="B46" s="42"/>
      <c r="H46" s="987" t="str">
        <f t="shared" si="42"/>
        <v/>
      </c>
      <c r="I46" s="991"/>
      <c r="J46" s="930"/>
      <c r="K46" s="548"/>
      <c r="L46" s="548"/>
      <c r="M46" s="549"/>
      <c r="N46" s="550"/>
      <c r="O46" s="195">
        <v>31</v>
      </c>
      <c r="P46" s="283" t="str">
        <f t="shared" si="32"/>
        <v/>
      </c>
      <c r="Q46" s="193"/>
      <c r="R46" s="283" t="str">
        <f t="shared" si="22"/>
        <v/>
      </c>
      <c r="S46" s="69"/>
      <c r="T46" s="367"/>
      <c r="U46" s="328" t="str">
        <f t="shared" si="33"/>
        <v/>
      </c>
      <c r="V46" s="69"/>
      <c r="W46" s="124"/>
      <c r="X46" s="69" t="s">
        <v>15</v>
      </c>
      <c r="Y46" s="554"/>
      <c r="Z46" s="124"/>
      <c r="AA46" s="1231"/>
      <c r="AB46" s="234"/>
      <c r="AC46" s="5">
        <f t="shared" si="23"/>
        <v>0</v>
      </c>
      <c r="AD46" s="5">
        <f t="shared" si="24"/>
        <v>0</v>
      </c>
      <c r="AE46" s="294">
        <f t="shared" si="25"/>
        <v>0</v>
      </c>
      <c r="AF46" s="294">
        <f t="shared" si="26"/>
        <v>0</v>
      </c>
      <c r="AG46" s="294">
        <f t="shared" si="27"/>
        <v>0</v>
      </c>
      <c r="AH46" s="294">
        <f t="shared" si="28"/>
        <v>0</v>
      </c>
      <c r="AI46" s="294">
        <f t="shared" si="29"/>
        <v>0</v>
      </c>
      <c r="AJ46" s="294">
        <f t="shared" si="30"/>
        <v>0</v>
      </c>
      <c r="AK46" s="294">
        <f t="shared" si="31"/>
        <v>0</v>
      </c>
      <c r="AL46" s="295" t="str">
        <f t="shared" si="34"/>
        <v/>
      </c>
      <c r="AM46" s="95"/>
      <c r="AN46" s="95"/>
      <c r="AO46" s="42"/>
      <c r="AP46" s="42"/>
      <c r="AQ46" s="42"/>
      <c r="AR46" s="424">
        <f t="shared" si="43"/>
        <v>0</v>
      </c>
      <c r="AS46" s="425" t="str">
        <f t="array" ref="AS46">IFERROR(IF(ROWS(H$16:H46)&gt;COUNTA($H$16:$H$75),"",INDEX($H$16:$H$75,SMALL(IF($H$16:$H$75&lt;&gt;"",ROW($H$16:$H$75)-ROW($H$16)+1),ROWS($H$16:H46)))),"")</f>
        <v/>
      </c>
      <c r="AT46" s="424" t="str">
        <f t="shared" si="13"/>
        <v/>
      </c>
      <c r="AU46" s="95"/>
      <c r="AV46" s="95"/>
      <c r="AW46" s="95" t="s">
        <v>93</v>
      </c>
      <c r="AX46" s="95"/>
      <c r="AY46" s="95"/>
      <c r="AZ46" s="42"/>
      <c r="BA46" s="42"/>
      <c r="BB46" s="42"/>
      <c r="BC46" s="42"/>
      <c r="BL46" s="454">
        <f t="shared" si="14"/>
        <v>0</v>
      </c>
      <c r="BM46" s="454">
        <f t="shared" si="36"/>
        <v>0</v>
      </c>
      <c r="BN46" s="454">
        <f t="shared" si="37"/>
        <v>0</v>
      </c>
      <c r="BO46" s="454">
        <f t="shared" si="38"/>
        <v>0</v>
      </c>
      <c r="BP46" s="454">
        <f t="shared" si="39"/>
        <v>0</v>
      </c>
      <c r="BQ46" s="454">
        <f t="shared" si="40"/>
        <v>0</v>
      </c>
      <c r="BR46" s="454">
        <f t="shared" si="41"/>
        <v>0</v>
      </c>
    </row>
    <row r="47" spans="1:70" ht="12.75" customHeight="1" x14ac:dyDescent="0.25">
      <c r="A47" s="42"/>
      <c r="B47" s="42"/>
      <c r="H47" s="987" t="str">
        <f t="shared" si="42"/>
        <v/>
      </c>
      <c r="I47" s="991"/>
      <c r="J47" s="930"/>
      <c r="K47" s="548"/>
      <c r="L47" s="548"/>
      <c r="M47" s="549"/>
      <c r="N47" s="550"/>
      <c r="O47" s="195">
        <v>32</v>
      </c>
      <c r="P47" s="283" t="str">
        <f t="shared" si="32"/>
        <v/>
      </c>
      <c r="Q47" s="193"/>
      <c r="R47" s="283" t="str">
        <f t="shared" si="22"/>
        <v/>
      </c>
      <c r="S47" s="69"/>
      <c r="T47" s="367"/>
      <c r="U47" s="328" t="str">
        <f t="shared" si="33"/>
        <v/>
      </c>
      <c r="V47" s="69"/>
      <c r="W47" s="124"/>
      <c r="X47" s="69" t="s">
        <v>15</v>
      </c>
      <c r="Y47" s="554"/>
      <c r="Z47" s="124"/>
      <c r="AA47" s="1231"/>
      <c r="AB47" s="234"/>
      <c r="AC47" s="5">
        <f t="shared" si="23"/>
        <v>0</v>
      </c>
      <c r="AD47" s="5">
        <f t="shared" si="24"/>
        <v>0</v>
      </c>
      <c r="AE47" s="294">
        <f t="shared" si="25"/>
        <v>0</v>
      </c>
      <c r="AF47" s="294">
        <f t="shared" si="26"/>
        <v>0</v>
      </c>
      <c r="AG47" s="294">
        <f t="shared" si="27"/>
        <v>0</v>
      </c>
      <c r="AH47" s="294">
        <f t="shared" si="28"/>
        <v>0</v>
      </c>
      <c r="AI47" s="294">
        <f t="shared" si="29"/>
        <v>0</v>
      </c>
      <c r="AJ47" s="294">
        <f t="shared" si="30"/>
        <v>0</v>
      </c>
      <c r="AK47" s="294">
        <f t="shared" si="31"/>
        <v>0</v>
      </c>
      <c r="AL47" s="295" t="str">
        <f t="shared" si="34"/>
        <v/>
      </c>
      <c r="AM47" s="95"/>
      <c r="AN47" s="95"/>
      <c r="AO47" s="42"/>
      <c r="AP47" s="42"/>
      <c r="AQ47" s="42"/>
      <c r="AR47" s="424">
        <f t="shared" si="43"/>
        <v>0</v>
      </c>
      <c r="AS47" s="425" t="str">
        <f t="array" ref="AS47">IFERROR(IF(ROWS(H$16:H47)&gt;COUNTA($H$16:$H$75),"",INDEX($H$16:$H$75,SMALL(IF($H$16:$H$75&lt;&gt;"",ROW($H$16:$H$75)-ROW($H$16)+1),ROWS($H$16:H47)))),"")</f>
        <v/>
      </c>
      <c r="AT47" s="424" t="str">
        <f t="shared" si="13"/>
        <v/>
      </c>
      <c r="AU47" s="95"/>
      <c r="AV47" s="95"/>
      <c r="AW47" s="95" t="s">
        <v>111</v>
      </c>
      <c r="AX47" s="95"/>
      <c r="AY47" s="95"/>
      <c r="AZ47" s="42"/>
      <c r="BA47" s="42"/>
      <c r="BB47" s="42"/>
      <c r="BC47" s="42"/>
      <c r="BL47" s="454">
        <f t="shared" si="14"/>
        <v>0</v>
      </c>
      <c r="BM47" s="454">
        <f t="shared" si="36"/>
        <v>0</v>
      </c>
      <c r="BN47" s="454">
        <f t="shared" si="37"/>
        <v>0</v>
      </c>
      <c r="BO47" s="454">
        <f t="shared" si="38"/>
        <v>0</v>
      </c>
      <c r="BP47" s="454">
        <f t="shared" si="39"/>
        <v>0</v>
      </c>
      <c r="BQ47" s="454">
        <f t="shared" si="40"/>
        <v>0</v>
      </c>
      <c r="BR47" s="454">
        <f t="shared" si="41"/>
        <v>0</v>
      </c>
    </row>
    <row r="48" spans="1:70" x14ac:dyDescent="0.25">
      <c r="A48" s="42"/>
      <c r="B48" s="42"/>
      <c r="H48" s="987" t="str">
        <f t="shared" si="42"/>
        <v/>
      </c>
      <c r="I48" s="991"/>
      <c r="J48" s="930"/>
      <c r="K48" s="548"/>
      <c r="L48" s="548"/>
      <c r="M48" s="549"/>
      <c r="N48" s="550"/>
      <c r="O48" s="195">
        <v>33</v>
      </c>
      <c r="P48" s="283" t="str">
        <f t="shared" si="32"/>
        <v/>
      </c>
      <c r="Q48" s="193"/>
      <c r="R48" s="283" t="str">
        <f t="shared" si="22"/>
        <v/>
      </c>
      <c r="S48" s="69"/>
      <c r="T48" s="367"/>
      <c r="U48" s="328" t="str">
        <f t="shared" si="33"/>
        <v/>
      </c>
      <c r="V48" s="69"/>
      <c r="W48" s="124"/>
      <c r="X48" s="69" t="s">
        <v>15</v>
      </c>
      <c r="Y48" s="554"/>
      <c r="Z48" s="124"/>
      <c r="AA48" s="1231"/>
      <c r="AB48" s="234"/>
      <c r="AC48" s="5">
        <f t="shared" si="23"/>
        <v>0</v>
      </c>
      <c r="AD48" s="5">
        <f t="shared" si="24"/>
        <v>0</v>
      </c>
      <c r="AE48" s="294">
        <f t="shared" si="25"/>
        <v>0</v>
      </c>
      <c r="AF48" s="294">
        <f t="shared" si="26"/>
        <v>0</v>
      </c>
      <c r="AG48" s="294">
        <f t="shared" si="27"/>
        <v>0</v>
      </c>
      <c r="AH48" s="294">
        <f t="shared" si="28"/>
        <v>0</v>
      </c>
      <c r="AI48" s="294">
        <f t="shared" si="29"/>
        <v>0</v>
      </c>
      <c r="AJ48" s="294">
        <f t="shared" si="30"/>
        <v>0</v>
      </c>
      <c r="AK48" s="294">
        <f t="shared" si="31"/>
        <v>0</v>
      </c>
      <c r="AL48" s="295" t="str">
        <f t="shared" si="34"/>
        <v/>
      </c>
      <c r="AM48" s="95"/>
      <c r="AN48" s="95"/>
      <c r="AO48" s="42"/>
      <c r="AP48" s="42"/>
      <c r="AQ48" s="42"/>
      <c r="AR48" s="424">
        <f t="shared" si="43"/>
        <v>0</v>
      </c>
      <c r="AS48" s="425" t="str">
        <f t="array" ref="AS48">IFERROR(IF(ROWS(H$16:H48)&gt;COUNTA($H$16:$H$75),"",INDEX($H$16:$H$75,SMALL(IF($H$16:$H$75&lt;&gt;"",ROW($H$16:$H$75)-ROW($H$16)+1),ROWS($H$16:H48)))),"")</f>
        <v/>
      </c>
      <c r="AT48" s="424" t="str">
        <f t="shared" ref="AT48:AT67" si="44">IFERROR(VLOOKUP(AS48,$H$16:$P$75,9,FALSE),"")</f>
        <v/>
      </c>
      <c r="AU48" s="95"/>
      <c r="AV48" s="95"/>
      <c r="AW48" s="95" t="s">
        <v>112</v>
      </c>
      <c r="AX48" s="95"/>
      <c r="AY48" s="95"/>
      <c r="AZ48" s="42"/>
      <c r="BA48" s="42"/>
      <c r="BB48" s="42"/>
      <c r="BC48" s="42"/>
      <c r="BL48" s="454">
        <f t="shared" ref="BL48:BL75" si="45">IF(I48="",0,1)</f>
        <v>0</v>
      </c>
      <c r="BM48" s="454">
        <f t="shared" si="36"/>
        <v>0</v>
      </c>
      <c r="BN48" s="454">
        <f t="shared" si="37"/>
        <v>0</v>
      </c>
      <c r="BO48" s="454">
        <f t="shared" si="38"/>
        <v>0</v>
      </c>
      <c r="BP48" s="454">
        <f t="shared" si="39"/>
        <v>0</v>
      </c>
      <c r="BQ48" s="454">
        <f t="shared" si="40"/>
        <v>0</v>
      </c>
      <c r="BR48" s="454">
        <f t="shared" si="41"/>
        <v>0</v>
      </c>
    </row>
    <row r="49" spans="1:70" x14ac:dyDescent="0.25">
      <c r="A49" s="42"/>
      <c r="H49" s="987" t="str">
        <f t="shared" si="42"/>
        <v/>
      </c>
      <c r="I49" s="991"/>
      <c r="J49" s="930"/>
      <c r="K49" s="548"/>
      <c r="L49" s="548"/>
      <c r="M49" s="549"/>
      <c r="N49" s="550"/>
      <c r="O49" s="195">
        <v>34</v>
      </c>
      <c r="P49" s="283" t="str">
        <f t="shared" si="32"/>
        <v/>
      </c>
      <c r="Q49" s="193"/>
      <c r="R49" s="283" t="str">
        <f t="shared" si="22"/>
        <v/>
      </c>
      <c r="S49" s="69"/>
      <c r="T49" s="367"/>
      <c r="U49" s="328" t="str">
        <f t="shared" si="33"/>
        <v/>
      </c>
      <c r="V49" s="69"/>
      <c r="W49" s="124"/>
      <c r="X49" s="69" t="s">
        <v>15</v>
      </c>
      <c r="Y49" s="554"/>
      <c r="Z49" s="124"/>
      <c r="AA49" s="1231"/>
      <c r="AB49" s="234"/>
      <c r="AC49" s="5">
        <f t="shared" si="23"/>
        <v>0</v>
      </c>
      <c r="AD49" s="5">
        <f t="shared" si="24"/>
        <v>0</v>
      </c>
      <c r="AE49" s="294">
        <f t="shared" si="25"/>
        <v>0</v>
      </c>
      <c r="AF49" s="294">
        <f t="shared" si="26"/>
        <v>0</v>
      </c>
      <c r="AG49" s="294">
        <f t="shared" si="27"/>
        <v>0</v>
      </c>
      <c r="AH49" s="294">
        <f t="shared" si="28"/>
        <v>0</v>
      </c>
      <c r="AI49" s="294">
        <f t="shared" si="29"/>
        <v>0</v>
      </c>
      <c r="AJ49" s="294">
        <f t="shared" si="30"/>
        <v>0</v>
      </c>
      <c r="AK49" s="294">
        <f t="shared" si="31"/>
        <v>0</v>
      </c>
      <c r="AL49" s="295" t="str">
        <f t="shared" si="34"/>
        <v/>
      </c>
      <c r="AM49" s="95"/>
      <c r="AN49" s="95"/>
      <c r="AO49" s="42"/>
      <c r="AP49" s="42"/>
      <c r="AQ49" s="42"/>
      <c r="AR49" s="424">
        <f t="shared" si="43"/>
        <v>0</v>
      </c>
      <c r="AS49" s="425" t="str">
        <f t="array" ref="AS49">IFERROR(IF(ROWS(H$16:H49)&gt;COUNTA($H$16:$H$75),"",INDEX($H$16:$H$75,SMALL(IF($H$16:$H$75&lt;&gt;"",ROW($H$16:$H$75)-ROW($H$16)+1),ROWS($H$16:H49)))),"")</f>
        <v/>
      </c>
      <c r="AT49" s="424" t="str">
        <f t="shared" si="44"/>
        <v/>
      </c>
      <c r="AU49" s="95"/>
      <c r="AV49" s="95"/>
      <c r="AW49" s="95" t="s">
        <v>113</v>
      </c>
      <c r="AX49" s="95"/>
      <c r="AY49" s="95"/>
      <c r="AZ49" s="42"/>
      <c r="BA49" s="42"/>
      <c r="BB49" s="42"/>
      <c r="BC49" s="42"/>
      <c r="BL49" s="454">
        <f t="shared" si="45"/>
        <v>0</v>
      </c>
      <c r="BM49" s="454">
        <f t="shared" si="36"/>
        <v>0</v>
      </c>
      <c r="BN49" s="454">
        <f t="shared" si="37"/>
        <v>0</v>
      </c>
      <c r="BO49" s="454">
        <f t="shared" si="38"/>
        <v>0</v>
      </c>
      <c r="BP49" s="454">
        <f t="shared" si="39"/>
        <v>0</v>
      </c>
      <c r="BQ49" s="454">
        <f t="shared" si="40"/>
        <v>0</v>
      </c>
      <c r="BR49" s="454">
        <f t="shared" si="41"/>
        <v>0</v>
      </c>
    </row>
    <row r="50" spans="1:70" x14ac:dyDescent="0.25">
      <c r="A50" s="42"/>
      <c r="H50" s="987" t="str">
        <f t="shared" si="42"/>
        <v/>
      </c>
      <c r="I50" s="991"/>
      <c r="J50" s="930"/>
      <c r="K50" s="548"/>
      <c r="L50" s="548"/>
      <c r="M50" s="549"/>
      <c r="N50" s="550"/>
      <c r="O50" s="195">
        <v>35</v>
      </c>
      <c r="P50" s="283" t="str">
        <f t="shared" si="32"/>
        <v/>
      </c>
      <c r="Q50" s="193"/>
      <c r="R50" s="283" t="str">
        <f t="shared" si="22"/>
        <v/>
      </c>
      <c r="S50" s="69"/>
      <c r="T50" s="367"/>
      <c r="U50" s="328" t="str">
        <f t="shared" si="33"/>
        <v/>
      </c>
      <c r="V50" s="69"/>
      <c r="W50" s="124"/>
      <c r="X50" s="69" t="s">
        <v>15</v>
      </c>
      <c r="Y50" s="554"/>
      <c r="Z50" s="124"/>
      <c r="AA50" s="1231"/>
      <c r="AB50" s="234"/>
      <c r="AC50" s="5">
        <f t="shared" si="23"/>
        <v>0</v>
      </c>
      <c r="AD50" s="5">
        <f t="shared" si="24"/>
        <v>0</v>
      </c>
      <c r="AE50" s="294">
        <f t="shared" si="25"/>
        <v>0</v>
      </c>
      <c r="AF50" s="294">
        <f t="shared" si="26"/>
        <v>0</v>
      </c>
      <c r="AG50" s="294">
        <f t="shared" si="27"/>
        <v>0</v>
      </c>
      <c r="AH50" s="294">
        <f t="shared" si="28"/>
        <v>0</v>
      </c>
      <c r="AI50" s="294">
        <f t="shared" si="29"/>
        <v>0</v>
      </c>
      <c r="AJ50" s="294">
        <f t="shared" si="30"/>
        <v>0</v>
      </c>
      <c r="AK50" s="294">
        <f t="shared" si="31"/>
        <v>0</v>
      </c>
      <c r="AL50" s="295" t="str">
        <f t="shared" si="34"/>
        <v/>
      </c>
      <c r="AM50" s="95"/>
      <c r="AN50" s="95"/>
      <c r="AO50" s="42"/>
      <c r="AP50" s="42"/>
      <c r="AQ50" s="42"/>
      <c r="AR50" s="424">
        <f t="shared" si="43"/>
        <v>0</v>
      </c>
      <c r="AS50" s="425" t="str">
        <f t="array" ref="AS50">IFERROR(IF(ROWS(H$16:H50)&gt;COUNTA($H$16:$H$75),"",INDEX($H$16:$H$75,SMALL(IF($H$16:$H$75&lt;&gt;"",ROW($H$16:$H$75)-ROW($H$16)+1),ROWS($H$16:H50)))),"")</f>
        <v/>
      </c>
      <c r="AT50" s="424" t="str">
        <f t="shared" si="44"/>
        <v/>
      </c>
      <c r="AU50" s="95"/>
      <c r="AV50" s="95"/>
      <c r="AW50" s="95" t="s">
        <v>114</v>
      </c>
      <c r="AX50" s="95"/>
      <c r="AY50" s="95"/>
      <c r="AZ50" s="42"/>
      <c r="BA50" s="42"/>
      <c r="BB50" s="42"/>
      <c r="BC50" s="42"/>
      <c r="BL50" s="454">
        <f t="shared" si="45"/>
        <v>0</v>
      </c>
      <c r="BM50" s="454">
        <f t="shared" si="36"/>
        <v>0</v>
      </c>
      <c r="BN50" s="454">
        <f t="shared" si="37"/>
        <v>0</v>
      </c>
      <c r="BO50" s="454">
        <f t="shared" si="38"/>
        <v>0</v>
      </c>
      <c r="BP50" s="454">
        <f t="shared" si="39"/>
        <v>0</v>
      </c>
      <c r="BQ50" s="454">
        <f t="shared" si="40"/>
        <v>0</v>
      </c>
      <c r="BR50" s="454">
        <f t="shared" si="41"/>
        <v>0</v>
      </c>
    </row>
    <row r="51" spans="1:70" x14ac:dyDescent="0.25">
      <c r="A51" s="42"/>
      <c r="H51" s="987" t="str">
        <f t="shared" si="42"/>
        <v/>
      </c>
      <c r="I51" s="991"/>
      <c r="J51" s="930"/>
      <c r="K51" s="548"/>
      <c r="L51" s="548"/>
      <c r="M51" s="549"/>
      <c r="N51" s="550"/>
      <c r="O51" s="195">
        <v>36</v>
      </c>
      <c r="P51" s="283" t="str">
        <f t="shared" si="32"/>
        <v/>
      </c>
      <c r="Q51" s="193"/>
      <c r="R51" s="283" t="str">
        <f t="shared" si="22"/>
        <v/>
      </c>
      <c r="S51" s="69"/>
      <c r="T51" s="367"/>
      <c r="U51" s="328" t="str">
        <f t="shared" si="33"/>
        <v/>
      </c>
      <c r="V51" s="69"/>
      <c r="W51" s="124"/>
      <c r="X51" s="69" t="s">
        <v>15</v>
      </c>
      <c r="Y51" s="554"/>
      <c r="Z51" s="124"/>
      <c r="AA51" s="1231"/>
      <c r="AB51" s="234"/>
      <c r="AC51" s="5">
        <f t="shared" si="23"/>
        <v>0</v>
      </c>
      <c r="AD51" s="5">
        <f t="shared" si="24"/>
        <v>0</v>
      </c>
      <c r="AE51" s="294">
        <f t="shared" si="25"/>
        <v>0</v>
      </c>
      <c r="AF51" s="294">
        <f t="shared" si="26"/>
        <v>0</v>
      </c>
      <c r="AG51" s="294">
        <f t="shared" si="27"/>
        <v>0</v>
      </c>
      <c r="AH51" s="294">
        <f t="shared" si="28"/>
        <v>0</v>
      </c>
      <c r="AI51" s="294">
        <f t="shared" si="29"/>
        <v>0</v>
      </c>
      <c r="AJ51" s="294">
        <f t="shared" si="30"/>
        <v>0</v>
      </c>
      <c r="AK51" s="294">
        <f t="shared" si="31"/>
        <v>0</v>
      </c>
      <c r="AL51" s="295" t="str">
        <f t="shared" si="34"/>
        <v/>
      </c>
      <c r="AM51" s="95"/>
      <c r="AN51" s="95"/>
      <c r="AO51" s="42"/>
      <c r="AP51" s="42"/>
      <c r="AQ51" s="42"/>
      <c r="AR51" s="424">
        <f t="shared" si="43"/>
        <v>0</v>
      </c>
      <c r="AS51" s="425" t="str">
        <f t="array" ref="AS51">IFERROR(IF(ROWS(H$16:H51)&gt;COUNTA($H$16:$H$75),"",INDEX($H$16:$H$75,SMALL(IF($H$16:$H$75&lt;&gt;"",ROW($H$16:$H$75)-ROW($H$16)+1),ROWS($H$16:H51)))),"")</f>
        <v/>
      </c>
      <c r="AT51" s="424" t="str">
        <f t="shared" si="44"/>
        <v/>
      </c>
      <c r="AU51" s="95"/>
      <c r="AV51" s="95"/>
      <c r="AW51" s="95" t="s">
        <v>115</v>
      </c>
      <c r="AX51" s="95"/>
      <c r="AY51" s="95"/>
      <c r="AZ51" s="42"/>
      <c r="BA51" s="42"/>
      <c r="BB51" s="42"/>
      <c r="BC51" s="42"/>
      <c r="BL51" s="454">
        <f t="shared" si="45"/>
        <v>0</v>
      </c>
      <c r="BM51" s="454">
        <f t="shared" si="36"/>
        <v>0</v>
      </c>
      <c r="BN51" s="454">
        <f t="shared" si="37"/>
        <v>0</v>
      </c>
      <c r="BO51" s="454">
        <f t="shared" si="38"/>
        <v>0</v>
      </c>
      <c r="BP51" s="454">
        <f t="shared" si="39"/>
        <v>0</v>
      </c>
      <c r="BQ51" s="454">
        <f t="shared" si="40"/>
        <v>0</v>
      </c>
      <c r="BR51" s="454">
        <f t="shared" si="41"/>
        <v>0</v>
      </c>
    </row>
    <row r="52" spans="1:70" x14ac:dyDescent="0.25">
      <c r="H52" s="987" t="str">
        <f t="shared" si="42"/>
        <v/>
      </c>
      <c r="I52" s="991"/>
      <c r="J52" s="930"/>
      <c r="K52" s="548"/>
      <c r="L52" s="548"/>
      <c r="M52" s="549"/>
      <c r="N52" s="550"/>
      <c r="O52" s="195">
        <v>37</v>
      </c>
      <c r="P52" s="283" t="str">
        <f t="shared" si="32"/>
        <v/>
      </c>
      <c r="Q52" s="193"/>
      <c r="R52" s="283" t="str">
        <f t="shared" si="22"/>
        <v/>
      </c>
      <c r="S52" s="69"/>
      <c r="T52" s="367"/>
      <c r="U52" s="328" t="str">
        <f t="shared" si="33"/>
        <v/>
      </c>
      <c r="V52" s="69"/>
      <c r="W52" s="124"/>
      <c r="X52" s="69" t="s">
        <v>15</v>
      </c>
      <c r="Y52" s="554"/>
      <c r="Z52" s="124"/>
      <c r="AA52" s="1231"/>
      <c r="AB52" s="234"/>
      <c r="AC52" s="5">
        <f t="shared" si="23"/>
        <v>0</v>
      </c>
      <c r="AD52" s="5">
        <f t="shared" si="24"/>
        <v>0</v>
      </c>
      <c r="AE52" s="294">
        <f t="shared" si="25"/>
        <v>0</v>
      </c>
      <c r="AF52" s="294">
        <f t="shared" si="26"/>
        <v>0</v>
      </c>
      <c r="AG52" s="294">
        <f t="shared" si="27"/>
        <v>0</v>
      </c>
      <c r="AH52" s="294">
        <f t="shared" si="28"/>
        <v>0</v>
      </c>
      <c r="AI52" s="294">
        <f t="shared" si="29"/>
        <v>0</v>
      </c>
      <c r="AJ52" s="294">
        <f t="shared" si="30"/>
        <v>0</v>
      </c>
      <c r="AK52" s="294">
        <f t="shared" si="31"/>
        <v>0</v>
      </c>
      <c r="AL52" s="295" t="str">
        <f t="shared" si="34"/>
        <v/>
      </c>
      <c r="AM52" s="95"/>
      <c r="AN52" s="95"/>
      <c r="AO52" s="42"/>
      <c r="AP52" s="42"/>
      <c r="AQ52" s="42"/>
      <c r="AR52" s="424">
        <f t="shared" si="43"/>
        <v>0</v>
      </c>
      <c r="AS52" s="425" t="str">
        <f t="array" ref="AS52">IFERROR(IF(ROWS(H$16:H52)&gt;COUNTA($H$16:$H$75),"",INDEX($H$16:$H$75,SMALL(IF($H$16:$H$75&lt;&gt;"",ROW($H$16:$H$75)-ROW($H$16)+1),ROWS($H$16:H52)))),"")</f>
        <v/>
      </c>
      <c r="AT52" s="424" t="str">
        <f t="shared" si="44"/>
        <v/>
      </c>
      <c r="AU52" s="95"/>
      <c r="AV52" s="95"/>
      <c r="AW52" s="95" t="s">
        <v>116</v>
      </c>
      <c r="AX52" s="95"/>
      <c r="AY52" s="95"/>
      <c r="AZ52" s="42"/>
      <c r="BA52" s="42"/>
      <c r="BB52" s="42"/>
      <c r="BC52" s="42"/>
      <c r="BL52" s="454">
        <f t="shared" si="45"/>
        <v>0</v>
      </c>
      <c r="BM52" s="454">
        <f t="shared" si="36"/>
        <v>0</v>
      </c>
      <c r="BN52" s="454">
        <f t="shared" si="37"/>
        <v>0</v>
      </c>
      <c r="BO52" s="454">
        <f t="shared" si="38"/>
        <v>0</v>
      </c>
      <c r="BP52" s="454">
        <f t="shared" si="39"/>
        <v>0</v>
      </c>
      <c r="BQ52" s="454">
        <f t="shared" si="40"/>
        <v>0</v>
      </c>
      <c r="BR52" s="454">
        <f t="shared" si="41"/>
        <v>0</v>
      </c>
    </row>
    <row r="53" spans="1:70" x14ac:dyDescent="0.25">
      <c r="H53" s="987" t="str">
        <f t="shared" si="42"/>
        <v/>
      </c>
      <c r="I53" s="991"/>
      <c r="J53" s="930"/>
      <c r="K53" s="548"/>
      <c r="L53" s="548"/>
      <c r="M53" s="549"/>
      <c r="N53" s="550"/>
      <c r="O53" s="195">
        <v>38</v>
      </c>
      <c r="P53" s="283" t="str">
        <f t="shared" si="32"/>
        <v/>
      </c>
      <c r="Q53" s="193"/>
      <c r="R53" s="283" t="str">
        <f t="shared" si="22"/>
        <v/>
      </c>
      <c r="S53" s="69"/>
      <c r="T53" s="367"/>
      <c r="U53" s="328" t="str">
        <f t="shared" si="33"/>
        <v/>
      </c>
      <c r="V53" s="69"/>
      <c r="W53" s="124"/>
      <c r="X53" s="69" t="s">
        <v>15</v>
      </c>
      <c r="Y53" s="554"/>
      <c r="Z53" s="124"/>
      <c r="AA53" s="1231"/>
      <c r="AB53" s="234"/>
      <c r="AC53" s="5">
        <f t="shared" si="23"/>
        <v>0</v>
      </c>
      <c r="AD53" s="5">
        <f t="shared" si="24"/>
        <v>0</v>
      </c>
      <c r="AE53" s="294">
        <f t="shared" si="25"/>
        <v>0</v>
      </c>
      <c r="AF53" s="294">
        <f t="shared" si="26"/>
        <v>0</v>
      </c>
      <c r="AG53" s="294">
        <f t="shared" si="27"/>
        <v>0</v>
      </c>
      <c r="AH53" s="294">
        <f t="shared" si="28"/>
        <v>0</v>
      </c>
      <c r="AI53" s="294">
        <f t="shared" si="29"/>
        <v>0</v>
      </c>
      <c r="AJ53" s="294">
        <f t="shared" si="30"/>
        <v>0</v>
      </c>
      <c r="AK53" s="294">
        <f t="shared" si="31"/>
        <v>0</v>
      </c>
      <c r="AL53" s="295" t="str">
        <f t="shared" si="34"/>
        <v/>
      </c>
      <c r="AM53" s="95"/>
      <c r="AN53" s="95"/>
      <c r="AO53" s="42"/>
      <c r="AP53" s="42"/>
      <c r="AQ53" s="42"/>
      <c r="AR53" s="424">
        <f t="shared" si="43"/>
        <v>0</v>
      </c>
      <c r="AS53" s="425" t="str">
        <f t="array" ref="AS53">IFERROR(IF(ROWS(H$16:H53)&gt;COUNTA($H$16:$H$75),"",INDEX($H$16:$H$75,SMALL(IF($H$16:$H$75&lt;&gt;"",ROW($H$16:$H$75)-ROW($H$16)+1),ROWS($H$16:H53)))),"")</f>
        <v/>
      </c>
      <c r="AT53" s="424" t="str">
        <f t="shared" si="44"/>
        <v/>
      </c>
      <c r="AU53" s="95"/>
      <c r="AV53" s="95"/>
      <c r="AW53" s="95" t="s">
        <v>117</v>
      </c>
      <c r="AX53" s="95"/>
      <c r="AY53" s="95"/>
      <c r="AZ53" s="42"/>
      <c r="BA53" s="42"/>
      <c r="BB53" s="42"/>
      <c r="BC53" s="42"/>
      <c r="BL53" s="454">
        <f t="shared" si="45"/>
        <v>0</v>
      </c>
      <c r="BM53" s="454">
        <f t="shared" si="36"/>
        <v>0</v>
      </c>
      <c r="BN53" s="454">
        <f t="shared" si="37"/>
        <v>0</v>
      </c>
      <c r="BO53" s="454">
        <f t="shared" si="38"/>
        <v>0</v>
      </c>
      <c r="BP53" s="454">
        <f t="shared" si="39"/>
        <v>0</v>
      </c>
      <c r="BQ53" s="454">
        <f t="shared" si="40"/>
        <v>0</v>
      </c>
      <c r="BR53" s="454">
        <f t="shared" si="41"/>
        <v>0</v>
      </c>
    </row>
    <row r="54" spans="1:70" x14ac:dyDescent="0.25">
      <c r="H54" s="987" t="str">
        <f t="shared" si="42"/>
        <v/>
      </c>
      <c r="I54" s="991"/>
      <c r="J54" s="930"/>
      <c r="K54" s="548"/>
      <c r="L54" s="548"/>
      <c r="M54" s="549"/>
      <c r="N54" s="550"/>
      <c r="O54" s="195">
        <v>39</v>
      </c>
      <c r="P54" s="283" t="str">
        <f t="shared" si="32"/>
        <v/>
      </c>
      <c r="Q54" s="193"/>
      <c r="R54" s="283" t="str">
        <f t="shared" si="22"/>
        <v/>
      </c>
      <c r="S54" s="69"/>
      <c r="T54" s="367"/>
      <c r="U54" s="328" t="str">
        <f t="shared" si="33"/>
        <v/>
      </c>
      <c r="V54" s="69"/>
      <c r="W54" s="124"/>
      <c r="X54" s="69" t="s">
        <v>15</v>
      </c>
      <c r="Y54" s="554"/>
      <c r="Z54" s="124"/>
      <c r="AA54" s="1231"/>
      <c r="AB54" s="234"/>
      <c r="AC54" s="5">
        <f t="shared" si="23"/>
        <v>0</v>
      </c>
      <c r="AD54" s="5">
        <f t="shared" si="24"/>
        <v>0</v>
      </c>
      <c r="AE54" s="294">
        <f t="shared" si="25"/>
        <v>0</v>
      </c>
      <c r="AF54" s="294">
        <f t="shared" si="26"/>
        <v>0</v>
      </c>
      <c r="AG54" s="294">
        <f t="shared" si="27"/>
        <v>0</v>
      </c>
      <c r="AH54" s="294">
        <f t="shared" si="28"/>
        <v>0</v>
      </c>
      <c r="AI54" s="294">
        <f t="shared" si="29"/>
        <v>0</v>
      </c>
      <c r="AJ54" s="294">
        <f t="shared" si="30"/>
        <v>0</v>
      </c>
      <c r="AK54" s="294">
        <f t="shared" si="31"/>
        <v>0</v>
      </c>
      <c r="AL54" s="295" t="str">
        <f t="shared" si="34"/>
        <v/>
      </c>
      <c r="AM54" s="95"/>
      <c r="AN54" s="95"/>
      <c r="AO54" s="42"/>
      <c r="AP54" s="42"/>
      <c r="AQ54" s="42"/>
      <c r="AR54" s="424">
        <f t="shared" si="43"/>
        <v>0</v>
      </c>
      <c r="AS54" s="425" t="str">
        <f t="array" ref="AS54">IFERROR(IF(ROWS(H$16:H54)&gt;COUNTA($H$16:$H$75),"",INDEX($H$16:$H$75,SMALL(IF($H$16:$H$75&lt;&gt;"",ROW($H$16:$H$75)-ROW($H$16)+1),ROWS($H$16:H54)))),"")</f>
        <v/>
      </c>
      <c r="AT54" s="424" t="str">
        <f t="shared" si="44"/>
        <v/>
      </c>
      <c r="AU54" s="95"/>
      <c r="AV54" s="95"/>
      <c r="AW54" s="95"/>
      <c r="AX54" s="95"/>
      <c r="AY54" s="95"/>
      <c r="AZ54" s="42"/>
      <c r="BA54" s="42"/>
      <c r="BB54" s="42"/>
      <c r="BC54" s="42"/>
      <c r="BL54" s="454">
        <f t="shared" si="45"/>
        <v>0</v>
      </c>
      <c r="BM54" s="454">
        <f t="shared" si="36"/>
        <v>0</v>
      </c>
      <c r="BN54" s="454">
        <f t="shared" si="37"/>
        <v>0</v>
      </c>
      <c r="BO54" s="454">
        <f t="shared" si="38"/>
        <v>0</v>
      </c>
      <c r="BP54" s="454">
        <f t="shared" si="39"/>
        <v>0</v>
      </c>
      <c r="BQ54" s="454">
        <f t="shared" si="40"/>
        <v>0</v>
      </c>
      <c r="BR54" s="454">
        <f t="shared" si="41"/>
        <v>0</v>
      </c>
    </row>
    <row r="55" spans="1:70" x14ac:dyDescent="0.25">
      <c r="H55" s="987" t="str">
        <f t="shared" si="42"/>
        <v/>
      </c>
      <c r="I55" s="991"/>
      <c r="J55" s="930"/>
      <c r="K55" s="548"/>
      <c r="L55" s="548"/>
      <c r="M55" s="549"/>
      <c r="N55" s="550"/>
      <c r="O55" s="195">
        <v>40</v>
      </c>
      <c r="P55" s="283" t="str">
        <f t="shared" si="32"/>
        <v/>
      </c>
      <c r="Q55" s="193"/>
      <c r="R55" s="283" t="str">
        <f t="shared" si="22"/>
        <v/>
      </c>
      <c r="S55" s="69"/>
      <c r="T55" s="367"/>
      <c r="U55" s="328" t="str">
        <f t="shared" si="33"/>
        <v/>
      </c>
      <c r="V55" s="69"/>
      <c r="W55" s="124"/>
      <c r="X55" s="69" t="s">
        <v>15</v>
      </c>
      <c r="Y55" s="554"/>
      <c r="Z55" s="124"/>
      <c r="AA55" s="1231"/>
      <c r="AB55" s="234"/>
      <c r="AC55" s="5">
        <f t="shared" si="23"/>
        <v>0</v>
      </c>
      <c r="AD55" s="5">
        <f t="shared" si="24"/>
        <v>0</v>
      </c>
      <c r="AE55" s="294">
        <f t="shared" si="25"/>
        <v>0</v>
      </c>
      <c r="AF55" s="294">
        <f t="shared" si="26"/>
        <v>0</v>
      </c>
      <c r="AG55" s="294">
        <f t="shared" si="27"/>
        <v>0</v>
      </c>
      <c r="AH55" s="294">
        <f t="shared" si="28"/>
        <v>0</v>
      </c>
      <c r="AI55" s="294">
        <f t="shared" si="29"/>
        <v>0</v>
      </c>
      <c r="AJ55" s="294">
        <f t="shared" si="30"/>
        <v>0</v>
      </c>
      <c r="AK55" s="294">
        <f t="shared" si="31"/>
        <v>0</v>
      </c>
      <c r="AL55" s="295" t="str">
        <f t="shared" si="34"/>
        <v/>
      </c>
      <c r="AM55" s="95"/>
      <c r="AN55" s="95"/>
      <c r="AO55" s="42"/>
      <c r="AP55" s="42"/>
      <c r="AQ55" s="42"/>
      <c r="AR55" s="424">
        <f t="shared" si="43"/>
        <v>0</v>
      </c>
      <c r="AS55" s="425" t="str">
        <f t="array" ref="AS55">IFERROR(IF(ROWS(H$16:H55)&gt;COUNTA($H$16:$H$75),"",INDEX($H$16:$H$75,SMALL(IF($H$16:$H$75&lt;&gt;"",ROW($H$16:$H$75)-ROW($H$16)+1),ROWS($H$16:H55)))),"")</f>
        <v/>
      </c>
      <c r="AT55" s="424" t="str">
        <f t="shared" si="44"/>
        <v/>
      </c>
      <c r="AU55" s="95"/>
      <c r="AV55" s="95"/>
      <c r="AW55" s="95" t="s">
        <v>118</v>
      </c>
      <c r="AX55" s="95"/>
      <c r="AY55" s="95"/>
      <c r="AZ55" s="42"/>
      <c r="BA55" s="42"/>
      <c r="BB55" s="42"/>
      <c r="BC55" s="42"/>
      <c r="BL55" s="454">
        <f t="shared" si="45"/>
        <v>0</v>
      </c>
      <c r="BM55" s="454">
        <f t="shared" si="36"/>
        <v>0</v>
      </c>
      <c r="BN55" s="454">
        <f t="shared" si="37"/>
        <v>0</v>
      </c>
      <c r="BO55" s="454">
        <f t="shared" si="38"/>
        <v>0</v>
      </c>
      <c r="BP55" s="454">
        <f t="shared" si="39"/>
        <v>0</v>
      </c>
      <c r="BQ55" s="454">
        <f t="shared" si="40"/>
        <v>0</v>
      </c>
      <c r="BR55" s="454">
        <f t="shared" si="41"/>
        <v>0</v>
      </c>
    </row>
    <row r="56" spans="1:70" ht="12.75" customHeight="1" x14ac:dyDescent="0.25">
      <c r="H56" s="987" t="str">
        <f t="shared" si="42"/>
        <v/>
      </c>
      <c r="I56" s="991"/>
      <c r="J56" s="930"/>
      <c r="K56" s="548"/>
      <c r="L56" s="548"/>
      <c r="M56" s="549"/>
      <c r="N56" s="550"/>
      <c r="O56" s="195">
        <v>41</v>
      </c>
      <c r="P56" s="283" t="str">
        <f t="shared" si="32"/>
        <v/>
      </c>
      <c r="Q56" s="193"/>
      <c r="R56" s="283" t="str">
        <f t="shared" si="22"/>
        <v/>
      </c>
      <c r="S56" s="69"/>
      <c r="T56" s="367"/>
      <c r="U56" s="328" t="str">
        <f t="shared" si="33"/>
        <v/>
      </c>
      <c r="V56" s="69"/>
      <c r="W56" s="124"/>
      <c r="X56" s="69" t="s">
        <v>15</v>
      </c>
      <c r="Y56" s="554"/>
      <c r="Z56" s="124"/>
      <c r="AA56" s="1231"/>
      <c r="AB56" s="234"/>
      <c r="AC56" s="5">
        <f t="shared" si="23"/>
        <v>0</v>
      </c>
      <c r="AD56" s="5">
        <f t="shared" si="24"/>
        <v>0</v>
      </c>
      <c r="AE56" s="294">
        <f t="shared" si="25"/>
        <v>0</v>
      </c>
      <c r="AF56" s="294">
        <f t="shared" si="26"/>
        <v>0</v>
      </c>
      <c r="AG56" s="294">
        <f t="shared" si="27"/>
        <v>0</v>
      </c>
      <c r="AH56" s="294">
        <f t="shared" si="28"/>
        <v>0</v>
      </c>
      <c r="AI56" s="294">
        <f t="shared" si="29"/>
        <v>0</v>
      </c>
      <c r="AJ56" s="294">
        <f t="shared" si="30"/>
        <v>0</v>
      </c>
      <c r="AK56" s="294">
        <f t="shared" si="31"/>
        <v>0</v>
      </c>
      <c r="AL56" s="295" t="str">
        <f t="shared" si="34"/>
        <v/>
      </c>
      <c r="AM56" s="95"/>
      <c r="AN56" s="95"/>
      <c r="AO56" s="42"/>
      <c r="AP56" s="42"/>
      <c r="AQ56" s="42"/>
      <c r="AR56" s="424">
        <f>IF(AS56&lt;&gt;"",1,0)</f>
        <v>0</v>
      </c>
      <c r="AS56" s="425" t="str">
        <f t="array" ref="AS56">IFERROR(IF(ROWS(H$16:H56)&gt;COUNTA($H$16:$H$75),"",INDEX($H$16:$H$75,SMALL(IF($H$16:$H$75&lt;&gt;"",ROW($H$16:$H$75)-ROW($H$16)+1),ROWS($H$16:H56)))),"")</f>
        <v/>
      </c>
      <c r="AT56" s="424" t="str">
        <f t="shared" si="44"/>
        <v/>
      </c>
      <c r="AU56" s="95"/>
      <c r="AV56" s="95"/>
      <c r="AW56" s="95" t="s">
        <v>119</v>
      </c>
      <c r="AX56" s="531">
        <v>1</v>
      </c>
      <c r="AY56" s="95" t="s">
        <v>120</v>
      </c>
      <c r="AZ56" s="42"/>
      <c r="BA56" s="42"/>
      <c r="BB56" s="42"/>
      <c r="BC56" s="42"/>
      <c r="BL56" s="454">
        <f t="shared" si="45"/>
        <v>0</v>
      </c>
      <c r="BM56" s="454">
        <f t="shared" si="36"/>
        <v>0</v>
      </c>
      <c r="BN56" s="454">
        <f t="shared" si="37"/>
        <v>0</v>
      </c>
      <c r="BO56" s="454">
        <f t="shared" si="38"/>
        <v>0</v>
      </c>
      <c r="BP56" s="454">
        <f t="shared" si="39"/>
        <v>0</v>
      </c>
      <c r="BQ56" s="454">
        <f t="shared" si="40"/>
        <v>0</v>
      </c>
      <c r="BR56" s="454">
        <f t="shared" si="41"/>
        <v>0</v>
      </c>
    </row>
    <row r="57" spans="1:70" ht="12.75" customHeight="1" x14ac:dyDescent="0.25">
      <c r="H57" s="987" t="str">
        <f t="shared" si="42"/>
        <v/>
      </c>
      <c r="I57" s="991"/>
      <c r="J57" s="930"/>
      <c r="K57" s="548"/>
      <c r="L57" s="548"/>
      <c r="M57" s="549"/>
      <c r="N57" s="550"/>
      <c r="O57" s="195">
        <v>42</v>
      </c>
      <c r="P57" s="283" t="str">
        <f t="shared" si="32"/>
        <v/>
      </c>
      <c r="Q57" s="193"/>
      <c r="R57" s="283" t="str">
        <f t="shared" si="22"/>
        <v/>
      </c>
      <c r="S57" s="69"/>
      <c r="T57" s="367"/>
      <c r="U57" s="328" t="str">
        <f t="shared" si="33"/>
        <v/>
      </c>
      <c r="V57" s="69"/>
      <c r="W57" s="124"/>
      <c r="X57" s="69" t="s">
        <v>15</v>
      </c>
      <c r="Y57" s="554"/>
      <c r="Z57" s="124"/>
      <c r="AA57" s="1231"/>
      <c r="AB57" s="234"/>
      <c r="AC57" s="5">
        <f t="shared" si="23"/>
        <v>0</v>
      </c>
      <c r="AD57" s="5">
        <f t="shared" si="24"/>
        <v>0</v>
      </c>
      <c r="AE57" s="294">
        <f t="shared" si="25"/>
        <v>0</v>
      </c>
      <c r="AF57" s="294">
        <f t="shared" si="26"/>
        <v>0</v>
      </c>
      <c r="AG57" s="294">
        <f t="shared" si="27"/>
        <v>0</v>
      </c>
      <c r="AH57" s="294">
        <f t="shared" si="28"/>
        <v>0</v>
      </c>
      <c r="AI57" s="294">
        <f t="shared" si="29"/>
        <v>0</v>
      </c>
      <c r="AJ57" s="294">
        <f t="shared" si="30"/>
        <v>0</v>
      </c>
      <c r="AK57" s="294">
        <f t="shared" si="31"/>
        <v>0</v>
      </c>
      <c r="AL57" s="295" t="str">
        <f t="shared" si="34"/>
        <v/>
      </c>
      <c r="AM57" s="95"/>
      <c r="AN57" s="95"/>
      <c r="AO57" s="42"/>
      <c r="AP57" s="42"/>
      <c r="AQ57" s="42"/>
      <c r="AR57" s="424">
        <f t="shared" ref="AR57:AR75" si="46">IF(AS57&lt;&gt;"",1,0)</f>
        <v>0</v>
      </c>
      <c r="AS57" s="425" t="str">
        <f t="array" ref="AS57">IFERROR(IF(ROWS(H$16:H57)&gt;COUNTA($H$16:$H$75),"",INDEX($H$16:$H$75,SMALL(IF($H$16:$H$75&lt;&gt;"",ROW($H$16:$H$75)-ROW($H$16)+1),ROWS($H$16:H57)))),"")</f>
        <v/>
      </c>
      <c r="AT57" s="424" t="str">
        <f t="shared" si="44"/>
        <v/>
      </c>
      <c r="AU57" s="95"/>
      <c r="AV57" s="95"/>
      <c r="AW57" s="95" t="s">
        <v>121</v>
      </c>
      <c r="AX57" s="531">
        <v>2</v>
      </c>
      <c r="AY57" s="95" t="s">
        <v>120</v>
      </c>
      <c r="AZ57" s="42"/>
      <c r="BA57" s="42"/>
      <c r="BB57" s="42"/>
      <c r="BC57" s="42"/>
      <c r="BL57" s="454">
        <f t="shared" si="45"/>
        <v>0</v>
      </c>
      <c r="BM57" s="454">
        <f t="shared" si="36"/>
        <v>0</v>
      </c>
      <c r="BN57" s="454">
        <f t="shared" si="37"/>
        <v>0</v>
      </c>
      <c r="BO57" s="454">
        <f t="shared" si="38"/>
        <v>0</v>
      </c>
      <c r="BP57" s="454">
        <f t="shared" si="39"/>
        <v>0</v>
      </c>
      <c r="BQ57" s="454">
        <f t="shared" si="40"/>
        <v>0</v>
      </c>
      <c r="BR57" s="454">
        <f t="shared" si="41"/>
        <v>0</v>
      </c>
    </row>
    <row r="58" spans="1:70" ht="13.5" customHeight="1" x14ac:dyDescent="0.25">
      <c r="H58" s="987" t="str">
        <f t="shared" si="42"/>
        <v/>
      </c>
      <c r="I58" s="991"/>
      <c r="J58" s="930"/>
      <c r="K58" s="548"/>
      <c r="L58" s="548"/>
      <c r="M58" s="549"/>
      <c r="N58" s="550"/>
      <c r="O58" s="195">
        <v>43</v>
      </c>
      <c r="P58" s="283" t="str">
        <f t="shared" si="32"/>
        <v/>
      </c>
      <c r="Q58" s="193"/>
      <c r="R58" s="283" t="str">
        <f t="shared" si="22"/>
        <v/>
      </c>
      <c r="S58" s="69"/>
      <c r="T58" s="367"/>
      <c r="U58" s="328" t="str">
        <f t="shared" si="33"/>
        <v/>
      </c>
      <c r="V58" s="69"/>
      <c r="W58" s="124"/>
      <c r="X58" s="69" t="s">
        <v>15</v>
      </c>
      <c r="Y58" s="554"/>
      <c r="Z58" s="124"/>
      <c r="AA58" s="1231"/>
      <c r="AB58" s="234"/>
      <c r="AC58" s="5">
        <f t="shared" si="23"/>
        <v>0</v>
      </c>
      <c r="AD58" s="5">
        <f t="shared" si="24"/>
        <v>0</v>
      </c>
      <c r="AE58" s="294">
        <f t="shared" si="25"/>
        <v>0</v>
      </c>
      <c r="AF58" s="294">
        <f t="shared" si="26"/>
        <v>0</v>
      </c>
      <c r="AG58" s="294">
        <f t="shared" si="27"/>
        <v>0</v>
      </c>
      <c r="AH58" s="294">
        <f t="shared" si="28"/>
        <v>0</v>
      </c>
      <c r="AI58" s="294">
        <f t="shared" si="29"/>
        <v>0</v>
      </c>
      <c r="AJ58" s="294">
        <f t="shared" si="30"/>
        <v>0</v>
      </c>
      <c r="AK58" s="294">
        <f t="shared" si="31"/>
        <v>0</v>
      </c>
      <c r="AL58" s="295" t="str">
        <f t="shared" si="34"/>
        <v/>
      </c>
      <c r="AM58" s="95"/>
      <c r="AN58" s="95"/>
      <c r="AO58" s="42"/>
      <c r="AP58" s="42"/>
      <c r="AQ58" s="42"/>
      <c r="AR58" s="424">
        <f t="shared" si="46"/>
        <v>0</v>
      </c>
      <c r="AS58" s="425" t="str">
        <f t="array" ref="AS58">IFERROR(IF(ROWS(H$16:H58)&gt;COUNTA($H$16:$H$75),"",INDEX($H$16:$H$75,SMALL(IF($H$16:$H$75&lt;&gt;"",ROW($H$16:$H$75)-ROW($H$16)+1),ROWS($H$16:H58)))),"")</f>
        <v/>
      </c>
      <c r="AT58" s="424" t="str">
        <f t="shared" si="44"/>
        <v/>
      </c>
      <c r="AU58" s="95"/>
      <c r="AV58" s="95"/>
      <c r="AW58" s="95" t="s">
        <v>122</v>
      </c>
      <c r="AX58" s="531">
        <v>3</v>
      </c>
      <c r="AY58" s="95" t="s">
        <v>120</v>
      </c>
      <c r="AZ58" s="42"/>
      <c r="BA58" s="42"/>
      <c r="BB58" s="42"/>
      <c r="BC58" s="42"/>
      <c r="BL58" s="454">
        <f t="shared" si="45"/>
        <v>0</v>
      </c>
      <c r="BM58" s="454">
        <f t="shared" si="36"/>
        <v>0</v>
      </c>
      <c r="BN58" s="454">
        <f t="shared" si="37"/>
        <v>0</v>
      </c>
      <c r="BO58" s="454">
        <f t="shared" si="38"/>
        <v>0</v>
      </c>
      <c r="BP58" s="454">
        <f t="shared" si="39"/>
        <v>0</v>
      </c>
      <c r="BQ58" s="454">
        <f t="shared" si="40"/>
        <v>0</v>
      </c>
      <c r="BR58" s="454">
        <f t="shared" si="41"/>
        <v>0</v>
      </c>
    </row>
    <row r="59" spans="1:70" x14ac:dyDescent="0.25">
      <c r="G59" s="216"/>
      <c r="H59" s="987" t="str">
        <f t="shared" si="42"/>
        <v/>
      </c>
      <c r="I59" s="991"/>
      <c r="J59" s="930"/>
      <c r="K59" s="548"/>
      <c r="L59" s="548"/>
      <c r="M59" s="549"/>
      <c r="N59" s="550"/>
      <c r="O59" s="195">
        <v>44</v>
      </c>
      <c r="P59" s="283" t="str">
        <f t="shared" si="32"/>
        <v/>
      </c>
      <c r="Q59" s="193"/>
      <c r="R59" s="283" t="str">
        <f t="shared" si="22"/>
        <v/>
      </c>
      <c r="S59" s="69"/>
      <c r="T59" s="367"/>
      <c r="U59" s="328" t="str">
        <f t="shared" si="33"/>
        <v/>
      </c>
      <c r="V59" s="69"/>
      <c r="W59" s="124"/>
      <c r="X59" s="69" t="s">
        <v>15</v>
      </c>
      <c r="Y59" s="554"/>
      <c r="Z59" s="124"/>
      <c r="AA59" s="1231"/>
      <c r="AB59" s="234"/>
      <c r="AC59" s="5">
        <f t="shared" si="23"/>
        <v>0</v>
      </c>
      <c r="AD59" s="5">
        <f t="shared" si="24"/>
        <v>0</v>
      </c>
      <c r="AE59" s="294">
        <f t="shared" si="25"/>
        <v>0</v>
      </c>
      <c r="AF59" s="294">
        <f t="shared" si="26"/>
        <v>0</v>
      </c>
      <c r="AG59" s="294">
        <f t="shared" si="27"/>
        <v>0</v>
      </c>
      <c r="AH59" s="294">
        <f t="shared" si="28"/>
        <v>0</v>
      </c>
      <c r="AI59" s="294">
        <f t="shared" si="29"/>
        <v>0</v>
      </c>
      <c r="AJ59" s="294">
        <f t="shared" si="30"/>
        <v>0</v>
      </c>
      <c r="AK59" s="294">
        <f t="shared" si="31"/>
        <v>0</v>
      </c>
      <c r="AL59" s="295" t="str">
        <f t="shared" si="34"/>
        <v/>
      </c>
      <c r="AM59" s="95"/>
      <c r="AN59" s="216"/>
      <c r="AO59" s="216"/>
      <c r="AP59" s="216"/>
      <c r="AQ59" s="42"/>
      <c r="AR59" s="424">
        <f t="shared" si="46"/>
        <v>0</v>
      </c>
      <c r="AS59" s="425" t="str">
        <f t="array" ref="AS59">IFERROR(IF(ROWS(H$16:H59)&gt;COUNTA($H$16:$H$75),"",INDEX($H$16:$H$75,SMALL(IF($H$16:$H$75&lt;&gt;"",ROW($H$16:$H$75)-ROW($H$16)+1),ROWS($H$16:H59)))),"")</f>
        <v/>
      </c>
      <c r="AT59" s="424" t="str">
        <f t="shared" si="44"/>
        <v/>
      </c>
      <c r="AU59" s="95"/>
      <c r="AV59" s="95"/>
      <c r="AW59" s="95" t="s">
        <v>123</v>
      </c>
      <c r="AX59" s="531">
        <v>4</v>
      </c>
      <c r="AY59" s="95" t="s">
        <v>120</v>
      </c>
      <c r="AZ59" s="42"/>
      <c r="BA59" s="42"/>
      <c r="BB59" s="42"/>
      <c r="BC59" s="42"/>
      <c r="BL59" s="454">
        <f t="shared" si="45"/>
        <v>0</v>
      </c>
      <c r="BM59" s="454">
        <f t="shared" si="36"/>
        <v>0</v>
      </c>
      <c r="BN59" s="454">
        <f t="shared" si="37"/>
        <v>0</v>
      </c>
      <c r="BO59" s="454">
        <f t="shared" si="38"/>
        <v>0</v>
      </c>
      <c r="BP59" s="454">
        <f t="shared" si="39"/>
        <v>0</v>
      </c>
      <c r="BQ59" s="454">
        <f t="shared" si="40"/>
        <v>0</v>
      </c>
      <c r="BR59" s="454">
        <f t="shared" si="41"/>
        <v>0</v>
      </c>
    </row>
    <row r="60" spans="1:70" x14ac:dyDescent="0.25">
      <c r="G60" s="216"/>
      <c r="H60" s="987" t="str">
        <f t="shared" si="42"/>
        <v/>
      </c>
      <c r="I60" s="991"/>
      <c r="J60" s="930"/>
      <c r="K60" s="548"/>
      <c r="L60" s="548"/>
      <c r="M60" s="549"/>
      <c r="N60" s="550"/>
      <c r="O60" s="195">
        <v>45</v>
      </c>
      <c r="P60" s="283" t="str">
        <f t="shared" si="32"/>
        <v/>
      </c>
      <c r="Q60" s="193"/>
      <c r="R60" s="283" t="str">
        <f t="shared" si="22"/>
        <v/>
      </c>
      <c r="S60" s="69"/>
      <c r="T60" s="367"/>
      <c r="U60" s="328" t="str">
        <f t="shared" si="33"/>
        <v/>
      </c>
      <c r="V60" s="69"/>
      <c r="W60" s="124"/>
      <c r="X60" s="69" t="s">
        <v>15</v>
      </c>
      <c r="Y60" s="554"/>
      <c r="Z60" s="124"/>
      <c r="AA60" s="1231"/>
      <c r="AB60" s="234"/>
      <c r="AC60" s="5">
        <f t="shared" si="23"/>
        <v>0</v>
      </c>
      <c r="AD60" s="5">
        <f t="shared" si="24"/>
        <v>0</v>
      </c>
      <c r="AE60" s="294">
        <f t="shared" si="25"/>
        <v>0</v>
      </c>
      <c r="AF60" s="294">
        <f t="shared" si="26"/>
        <v>0</v>
      </c>
      <c r="AG60" s="294">
        <f t="shared" si="27"/>
        <v>0</v>
      </c>
      <c r="AH60" s="294">
        <f t="shared" si="28"/>
        <v>0</v>
      </c>
      <c r="AI60" s="294">
        <f t="shared" si="29"/>
        <v>0</v>
      </c>
      <c r="AJ60" s="294">
        <f t="shared" si="30"/>
        <v>0</v>
      </c>
      <c r="AK60" s="294">
        <f t="shared" si="31"/>
        <v>0</v>
      </c>
      <c r="AL60" s="295" t="str">
        <f t="shared" si="34"/>
        <v/>
      </c>
      <c r="AM60" s="95"/>
      <c r="AN60" s="216"/>
      <c r="AO60" s="216"/>
      <c r="AP60" s="216"/>
      <c r="AQ60" s="42"/>
      <c r="AR60" s="424">
        <f t="shared" si="46"/>
        <v>0</v>
      </c>
      <c r="AS60" s="425" t="str">
        <f t="array" ref="AS60">IFERROR(IF(ROWS(H$16:H60)&gt;COUNTA($H$16:$H$75),"",INDEX($H$16:$H$75,SMALL(IF($H$16:$H$75&lt;&gt;"",ROW($H$16:$H$75)-ROW($H$16)+1),ROWS($H$16:H60)))),"")</f>
        <v/>
      </c>
      <c r="AT60" s="424" t="str">
        <f t="shared" si="44"/>
        <v/>
      </c>
      <c r="AU60" s="95"/>
      <c r="AV60" s="95"/>
      <c r="AW60" s="95"/>
      <c r="AX60" s="95"/>
      <c r="AY60" s="95"/>
      <c r="AZ60" s="42"/>
      <c r="BA60" s="42"/>
      <c r="BB60" s="42"/>
      <c r="BC60" s="42"/>
      <c r="BL60" s="454">
        <f t="shared" si="45"/>
        <v>0</v>
      </c>
      <c r="BM60" s="454">
        <f t="shared" si="36"/>
        <v>0</v>
      </c>
      <c r="BN60" s="454">
        <f t="shared" si="37"/>
        <v>0</v>
      </c>
      <c r="BO60" s="454">
        <f t="shared" si="38"/>
        <v>0</v>
      </c>
      <c r="BP60" s="454">
        <f t="shared" si="39"/>
        <v>0</v>
      </c>
      <c r="BQ60" s="454">
        <f t="shared" si="40"/>
        <v>0</v>
      </c>
      <c r="BR60" s="454">
        <f t="shared" si="41"/>
        <v>0</v>
      </c>
    </row>
    <row r="61" spans="1:70" ht="13.5" customHeight="1" x14ac:dyDescent="0.25">
      <c r="G61" s="216"/>
      <c r="H61" s="987" t="str">
        <f t="shared" si="42"/>
        <v/>
      </c>
      <c r="I61" s="991"/>
      <c r="J61" s="930"/>
      <c r="K61" s="548"/>
      <c r="L61" s="548"/>
      <c r="M61" s="549"/>
      <c r="N61" s="550"/>
      <c r="O61" s="195">
        <v>46</v>
      </c>
      <c r="P61" s="283" t="str">
        <f t="shared" si="32"/>
        <v/>
      </c>
      <c r="Q61" s="193"/>
      <c r="R61" s="283" t="str">
        <f t="shared" si="22"/>
        <v/>
      </c>
      <c r="S61" s="69"/>
      <c r="T61" s="367"/>
      <c r="U61" s="328" t="str">
        <f t="shared" si="33"/>
        <v/>
      </c>
      <c r="V61" s="69"/>
      <c r="W61" s="124"/>
      <c r="X61" s="69" t="s">
        <v>15</v>
      </c>
      <c r="Y61" s="554"/>
      <c r="Z61" s="124"/>
      <c r="AA61" s="1231"/>
      <c r="AB61" s="234"/>
      <c r="AC61" s="5">
        <f t="shared" si="23"/>
        <v>0</v>
      </c>
      <c r="AD61" s="5">
        <f t="shared" si="24"/>
        <v>0</v>
      </c>
      <c r="AE61" s="294">
        <f t="shared" si="25"/>
        <v>0</v>
      </c>
      <c r="AF61" s="294">
        <f t="shared" si="26"/>
        <v>0</v>
      </c>
      <c r="AG61" s="294">
        <f t="shared" si="27"/>
        <v>0</v>
      </c>
      <c r="AH61" s="294">
        <f t="shared" si="28"/>
        <v>0</v>
      </c>
      <c r="AI61" s="294">
        <f t="shared" si="29"/>
        <v>0</v>
      </c>
      <c r="AJ61" s="294">
        <f t="shared" si="30"/>
        <v>0</v>
      </c>
      <c r="AK61" s="294">
        <f t="shared" si="31"/>
        <v>0</v>
      </c>
      <c r="AL61" s="295" t="str">
        <f t="shared" si="34"/>
        <v/>
      </c>
      <c r="AM61" s="95"/>
      <c r="AN61" s="216"/>
      <c r="AO61" s="216"/>
      <c r="AP61" s="216"/>
      <c r="AQ61" s="42"/>
      <c r="AR61" s="424">
        <f t="shared" si="46"/>
        <v>0</v>
      </c>
      <c r="AS61" s="425" t="str">
        <f t="array" ref="AS61">IFERROR(IF(ROWS(H$16:H61)&gt;COUNTA($H$16:$H$75),"",INDEX($H$16:$H$75,SMALL(IF($H$16:$H$75&lt;&gt;"",ROW($H$16:$H$75)-ROW($H$16)+1),ROWS($H$16:H61)))),"")</f>
        <v/>
      </c>
      <c r="AT61" s="424" t="str">
        <f t="shared" si="44"/>
        <v/>
      </c>
      <c r="AU61" s="95"/>
      <c r="AV61" s="95"/>
      <c r="AW61" s="95"/>
      <c r="AX61" s="95"/>
      <c r="AY61" s="95"/>
      <c r="AZ61" s="42"/>
      <c r="BA61" s="42"/>
      <c r="BB61" s="42"/>
      <c r="BC61" s="42"/>
      <c r="BL61" s="454">
        <f t="shared" si="45"/>
        <v>0</v>
      </c>
      <c r="BM61" s="454">
        <f t="shared" si="36"/>
        <v>0</v>
      </c>
      <c r="BN61" s="454">
        <f t="shared" si="37"/>
        <v>0</v>
      </c>
      <c r="BO61" s="454">
        <f t="shared" si="38"/>
        <v>0</v>
      </c>
      <c r="BP61" s="454">
        <f t="shared" si="39"/>
        <v>0</v>
      </c>
      <c r="BQ61" s="454">
        <f t="shared" si="40"/>
        <v>0</v>
      </c>
      <c r="BR61" s="454">
        <f t="shared" si="41"/>
        <v>0</v>
      </c>
    </row>
    <row r="62" spans="1:70" x14ac:dyDescent="0.25">
      <c r="H62" s="987" t="str">
        <f t="shared" si="42"/>
        <v/>
      </c>
      <c r="I62" s="991"/>
      <c r="J62" s="930"/>
      <c r="K62" s="548"/>
      <c r="L62" s="548"/>
      <c r="M62" s="549"/>
      <c r="N62" s="550"/>
      <c r="O62" s="195">
        <v>47</v>
      </c>
      <c r="P62" s="283" t="str">
        <f t="shared" si="32"/>
        <v/>
      </c>
      <c r="Q62" s="193"/>
      <c r="R62" s="283" t="str">
        <f t="shared" si="22"/>
        <v/>
      </c>
      <c r="S62" s="69"/>
      <c r="T62" s="367"/>
      <c r="U62" s="328" t="str">
        <f t="shared" si="33"/>
        <v/>
      </c>
      <c r="V62" s="69"/>
      <c r="W62" s="124"/>
      <c r="X62" s="69" t="s">
        <v>15</v>
      </c>
      <c r="Y62" s="554"/>
      <c r="Z62" s="124"/>
      <c r="AA62" s="1231"/>
      <c r="AB62" s="234"/>
      <c r="AC62" s="5">
        <f t="shared" si="23"/>
        <v>0</v>
      </c>
      <c r="AD62" s="5">
        <f t="shared" si="24"/>
        <v>0</v>
      </c>
      <c r="AE62" s="294">
        <f t="shared" si="25"/>
        <v>0</v>
      </c>
      <c r="AF62" s="294">
        <f t="shared" si="26"/>
        <v>0</v>
      </c>
      <c r="AG62" s="294">
        <f t="shared" si="27"/>
        <v>0</v>
      </c>
      <c r="AH62" s="294">
        <f t="shared" si="28"/>
        <v>0</v>
      </c>
      <c r="AI62" s="294">
        <f t="shared" si="29"/>
        <v>0</v>
      </c>
      <c r="AJ62" s="294">
        <f t="shared" si="30"/>
        <v>0</v>
      </c>
      <c r="AK62" s="294">
        <f t="shared" si="31"/>
        <v>0</v>
      </c>
      <c r="AL62" s="295" t="str">
        <f t="shared" si="34"/>
        <v/>
      </c>
      <c r="AM62" s="95"/>
      <c r="AN62" s="95"/>
      <c r="AO62" s="42"/>
      <c r="AP62" s="42"/>
      <c r="AQ62" s="42"/>
      <c r="AR62" s="424">
        <f t="shared" si="46"/>
        <v>0</v>
      </c>
      <c r="AS62" s="425" t="str">
        <f t="array" ref="AS62">IFERROR(IF(ROWS(H$16:H62)&gt;COUNTA($H$16:$H$75),"",INDEX($H$16:$H$75,SMALL(IF($H$16:$H$75&lt;&gt;"",ROW($H$16:$H$75)-ROW($H$16)+1),ROWS($H$16:H62)))),"")</f>
        <v/>
      </c>
      <c r="AT62" s="424" t="str">
        <f t="shared" si="44"/>
        <v/>
      </c>
      <c r="AU62" s="95"/>
      <c r="AV62" s="95"/>
      <c r="AW62" s="95"/>
      <c r="AX62" s="95"/>
      <c r="AY62" s="95"/>
      <c r="AZ62" s="42"/>
      <c r="BA62" s="42"/>
      <c r="BB62" s="42"/>
      <c r="BC62" s="42"/>
      <c r="BL62" s="454">
        <f t="shared" si="45"/>
        <v>0</v>
      </c>
      <c r="BM62" s="454">
        <f t="shared" si="36"/>
        <v>0</v>
      </c>
      <c r="BN62" s="454">
        <f t="shared" si="37"/>
        <v>0</v>
      </c>
      <c r="BO62" s="454">
        <f t="shared" si="38"/>
        <v>0</v>
      </c>
      <c r="BP62" s="454">
        <f t="shared" si="39"/>
        <v>0</v>
      </c>
      <c r="BQ62" s="454">
        <f t="shared" si="40"/>
        <v>0</v>
      </c>
      <c r="BR62" s="454">
        <f t="shared" si="41"/>
        <v>0</v>
      </c>
    </row>
    <row r="63" spans="1:70" x14ac:dyDescent="0.25">
      <c r="H63" s="987" t="str">
        <f t="shared" si="42"/>
        <v/>
      </c>
      <c r="I63" s="991"/>
      <c r="J63" s="930"/>
      <c r="K63" s="548"/>
      <c r="L63" s="548"/>
      <c r="M63" s="549"/>
      <c r="N63" s="550"/>
      <c r="O63" s="195">
        <v>48</v>
      </c>
      <c r="P63" s="283" t="str">
        <f t="shared" si="32"/>
        <v/>
      </c>
      <c r="Q63" s="193"/>
      <c r="R63" s="283" t="str">
        <f t="shared" si="22"/>
        <v/>
      </c>
      <c r="S63" s="69"/>
      <c r="T63" s="367"/>
      <c r="U63" s="328" t="str">
        <f t="shared" si="33"/>
        <v/>
      </c>
      <c r="V63" s="69"/>
      <c r="W63" s="124"/>
      <c r="X63" s="69" t="s">
        <v>15</v>
      </c>
      <c r="Y63" s="554"/>
      <c r="Z63" s="124"/>
      <c r="AA63" s="1231"/>
      <c r="AB63" s="234"/>
      <c r="AC63" s="5">
        <f t="shared" si="23"/>
        <v>0</v>
      </c>
      <c r="AD63" s="5">
        <f t="shared" si="24"/>
        <v>0</v>
      </c>
      <c r="AE63" s="294">
        <f t="shared" si="25"/>
        <v>0</v>
      </c>
      <c r="AF63" s="294">
        <f t="shared" si="26"/>
        <v>0</v>
      </c>
      <c r="AG63" s="294">
        <f t="shared" si="27"/>
        <v>0</v>
      </c>
      <c r="AH63" s="294">
        <f t="shared" si="28"/>
        <v>0</v>
      </c>
      <c r="AI63" s="294">
        <f t="shared" si="29"/>
        <v>0</v>
      </c>
      <c r="AJ63" s="294">
        <f t="shared" si="30"/>
        <v>0</v>
      </c>
      <c r="AK63" s="294">
        <f t="shared" si="31"/>
        <v>0</v>
      </c>
      <c r="AL63" s="295" t="str">
        <f t="shared" si="34"/>
        <v/>
      </c>
      <c r="AM63" s="95"/>
      <c r="AN63" s="95"/>
      <c r="AO63" s="42"/>
      <c r="AP63" s="42"/>
      <c r="AQ63" s="42"/>
      <c r="AR63" s="424">
        <f t="shared" si="46"/>
        <v>0</v>
      </c>
      <c r="AS63" s="425" t="str">
        <f t="array" ref="AS63">IFERROR(IF(ROWS(H$16:H63)&gt;COUNTA($H$16:$H$75),"",INDEX($H$16:$H$75,SMALL(IF($H$16:$H$75&lt;&gt;"",ROW($H$16:$H$75)-ROW($H$16)+1),ROWS($H$16:H63)))),"")</f>
        <v/>
      </c>
      <c r="AT63" s="424" t="str">
        <f t="shared" si="44"/>
        <v/>
      </c>
      <c r="AU63" s="95"/>
      <c r="AV63" s="95"/>
      <c r="AW63" s="95"/>
      <c r="AX63" s="95"/>
      <c r="AY63" s="95"/>
      <c r="AZ63" s="42"/>
      <c r="BA63" s="42"/>
      <c r="BB63" s="42"/>
      <c r="BC63" s="42"/>
      <c r="BL63" s="454">
        <f t="shared" si="45"/>
        <v>0</v>
      </c>
      <c r="BM63" s="454">
        <f t="shared" si="36"/>
        <v>0</v>
      </c>
      <c r="BN63" s="454">
        <f t="shared" si="37"/>
        <v>0</v>
      </c>
      <c r="BO63" s="454">
        <f t="shared" si="38"/>
        <v>0</v>
      </c>
      <c r="BP63" s="454">
        <f t="shared" si="39"/>
        <v>0</v>
      </c>
      <c r="BQ63" s="454">
        <f t="shared" si="40"/>
        <v>0</v>
      </c>
      <c r="BR63" s="454">
        <f t="shared" si="41"/>
        <v>0</v>
      </c>
    </row>
    <row r="64" spans="1:70" x14ac:dyDescent="0.25">
      <c r="H64" s="987" t="str">
        <f t="shared" si="42"/>
        <v/>
      </c>
      <c r="I64" s="991"/>
      <c r="J64" s="930"/>
      <c r="K64" s="548"/>
      <c r="L64" s="548"/>
      <c r="M64" s="549"/>
      <c r="N64" s="550"/>
      <c r="O64" s="195">
        <v>49</v>
      </c>
      <c r="P64" s="283" t="str">
        <f t="shared" si="32"/>
        <v/>
      </c>
      <c r="Q64" s="193"/>
      <c r="R64" s="283" t="str">
        <f t="shared" si="22"/>
        <v/>
      </c>
      <c r="S64" s="69"/>
      <c r="T64" s="367"/>
      <c r="U64" s="328" t="str">
        <f t="shared" si="33"/>
        <v/>
      </c>
      <c r="V64" s="69"/>
      <c r="W64" s="124"/>
      <c r="X64" s="69" t="s">
        <v>15</v>
      </c>
      <c r="Y64" s="554"/>
      <c r="Z64" s="124"/>
      <c r="AA64" s="1231"/>
      <c r="AB64" s="234"/>
      <c r="AC64" s="5">
        <f t="shared" si="23"/>
        <v>0</v>
      </c>
      <c r="AD64" s="5">
        <f t="shared" si="24"/>
        <v>0</v>
      </c>
      <c r="AE64" s="294">
        <f t="shared" si="25"/>
        <v>0</v>
      </c>
      <c r="AF64" s="294">
        <f t="shared" si="26"/>
        <v>0</v>
      </c>
      <c r="AG64" s="294">
        <f t="shared" si="27"/>
        <v>0</v>
      </c>
      <c r="AH64" s="294">
        <f t="shared" si="28"/>
        <v>0</v>
      </c>
      <c r="AI64" s="294">
        <f t="shared" si="29"/>
        <v>0</v>
      </c>
      <c r="AJ64" s="294">
        <f t="shared" si="30"/>
        <v>0</v>
      </c>
      <c r="AK64" s="294">
        <f t="shared" si="31"/>
        <v>0</v>
      </c>
      <c r="AL64" s="295" t="str">
        <f t="shared" si="34"/>
        <v/>
      </c>
      <c r="AM64" s="95"/>
      <c r="AN64" s="95"/>
      <c r="AO64" s="42"/>
      <c r="AP64" s="42"/>
      <c r="AQ64" s="42"/>
      <c r="AR64" s="424">
        <f t="shared" si="46"/>
        <v>0</v>
      </c>
      <c r="AS64" s="425" t="str">
        <f t="array" ref="AS64">IFERROR(IF(ROWS(H$16:H64)&gt;COUNTA($H$16:$H$75),"",INDEX($H$16:$H$75,SMALL(IF($H$16:$H$75&lt;&gt;"",ROW($H$16:$H$75)-ROW($H$16)+1),ROWS($H$16:H64)))),"")</f>
        <v/>
      </c>
      <c r="AT64" s="424" t="str">
        <f t="shared" si="44"/>
        <v/>
      </c>
      <c r="AU64" s="95"/>
      <c r="AV64" s="95"/>
      <c r="AW64" s="95"/>
      <c r="AX64" s="95"/>
      <c r="AY64" s="95"/>
      <c r="AZ64" s="42"/>
      <c r="BA64" s="42"/>
      <c r="BB64" s="42"/>
      <c r="BC64" s="42"/>
      <c r="BL64" s="454">
        <f t="shared" si="45"/>
        <v>0</v>
      </c>
      <c r="BM64" s="454">
        <f t="shared" si="36"/>
        <v>0</v>
      </c>
      <c r="BN64" s="454">
        <f t="shared" si="37"/>
        <v>0</v>
      </c>
      <c r="BO64" s="454">
        <f t="shared" si="38"/>
        <v>0</v>
      </c>
      <c r="BP64" s="454">
        <f t="shared" si="39"/>
        <v>0</v>
      </c>
      <c r="BQ64" s="454">
        <f t="shared" si="40"/>
        <v>0</v>
      </c>
      <c r="BR64" s="454">
        <f t="shared" si="41"/>
        <v>0</v>
      </c>
    </row>
    <row r="65" spans="8:70" x14ac:dyDescent="0.25">
      <c r="H65" s="987" t="str">
        <f t="shared" si="42"/>
        <v/>
      </c>
      <c r="I65" s="991"/>
      <c r="J65" s="930"/>
      <c r="K65" s="548"/>
      <c r="L65" s="548"/>
      <c r="M65" s="549"/>
      <c r="N65" s="550"/>
      <c r="O65" s="195">
        <v>50</v>
      </c>
      <c r="P65" s="283" t="str">
        <f t="shared" si="32"/>
        <v/>
      </c>
      <c r="Q65" s="193"/>
      <c r="R65" s="283" t="str">
        <f t="shared" si="22"/>
        <v/>
      </c>
      <c r="S65" s="69"/>
      <c r="T65" s="367"/>
      <c r="U65" s="328" t="str">
        <f t="shared" si="33"/>
        <v/>
      </c>
      <c r="V65" s="69"/>
      <c r="W65" s="124"/>
      <c r="X65" s="69" t="s">
        <v>15</v>
      </c>
      <c r="Y65" s="554"/>
      <c r="Z65" s="124"/>
      <c r="AA65" s="1231"/>
      <c r="AB65" s="234"/>
      <c r="AC65" s="5">
        <f t="shared" si="23"/>
        <v>0</v>
      </c>
      <c r="AD65" s="5">
        <f t="shared" si="24"/>
        <v>0</v>
      </c>
      <c r="AE65" s="294">
        <f t="shared" si="25"/>
        <v>0</v>
      </c>
      <c r="AF65" s="294">
        <f t="shared" si="26"/>
        <v>0</v>
      </c>
      <c r="AG65" s="294">
        <f t="shared" si="27"/>
        <v>0</v>
      </c>
      <c r="AH65" s="294">
        <f t="shared" si="28"/>
        <v>0</v>
      </c>
      <c r="AI65" s="294">
        <f t="shared" si="29"/>
        <v>0</v>
      </c>
      <c r="AJ65" s="294">
        <f t="shared" si="30"/>
        <v>0</v>
      </c>
      <c r="AK65" s="294">
        <f t="shared" si="31"/>
        <v>0</v>
      </c>
      <c r="AL65" s="295" t="str">
        <f t="shared" si="34"/>
        <v/>
      </c>
      <c r="AM65" s="95"/>
      <c r="AN65" s="95"/>
      <c r="AO65" s="42"/>
      <c r="AP65" s="42"/>
      <c r="AQ65" s="42"/>
      <c r="AR65" s="424">
        <f t="shared" si="46"/>
        <v>0</v>
      </c>
      <c r="AS65" s="425" t="str">
        <f t="array" ref="AS65">IFERROR(IF(ROWS(H$16:H65)&gt;COUNTA($H$16:$H$75),"",INDEX($H$16:$H$75,SMALL(IF($H$16:$H$75&lt;&gt;"",ROW($H$16:$H$75)-ROW($H$16)+1),ROWS($H$16:H65)))),"")</f>
        <v/>
      </c>
      <c r="AT65" s="424" t="str">
        <f t="shared" si="44"/>
        <v/>
      </c>
      <c r="AU65" s="95"/>
      <c r="AV65" s="95"/>
      <c r="AW65" s="95"/>
      <c r="AX65" s="95"/>
      <c r="AY65" s="95"/>
      <c r="AZ65" s="42"/>
      <c r="BA65" s="42"/>
      <c r="BB65" s="42"/>
      <c r="BC65" s="42"/>
      <c r="BL65" s="454">
        <f t="shared" si="45"/>
        <v>0</v>
      </c>
      <c r="BM65" s="454">
        <f t="shared" si="36"/>
        <v>0</v>
      </c>
      <c r="BN65" s="454">
        <f t="shared" si="37"/>
        <v>0</v>
      </c>
      <c r="BO65" s="454">
        <f t="shared" si="38"/>
        <v>0</v>
      </c>
      <c r="BP65" s="454">
        <f t="shared" si="39"/>
        <v>0</v>
      </c>
      <c r="BQ65" s="454">
        <f t="shared" si="40"/>
        <v>0</v>
      </c>
      <c r="BR65" s="454">
        <f t="shared" si="41"/>
        <v>0</v>
      </c>
    </row>
    <row r="66" spans="8:70" x14ac:dyDescent="0.25">
      <c r="H66" s="987" t="str">
        <f t="shared" si="42"/>
        <v/>
      </c>
      <c r="I66" s="991"/>
      <c r="J66" s="930"/>
      <c r="K66" s="548"/>
      <c r="L66" s="548"/>
      <c r="M66" s="549"/>
      <c r="N66" s="550"/>
      <c r="O66" s="195">
        <v>51</v>
      </c>
      <c r="P66" s="283" t="str">
        <f t="shared" si="32"/>
        <v/>
      </c>
      <c r="Q66" s="193"/>
      <c r="R66" s="283" t="str">
        <f t="shared" si="22"/>
        <v/>
      </c>
      <c r="S66" s="69"/>
      <c r="T66" s="367"/>
      <c r="U66" s="328" t="str">
        <f t="shared" si="33"/>
        <v/>
      </c>
      <c r="V66" s="69"/>
      <c r="W66" s="124"/>
      <c r="X66" s="69" t="s">
        <v>15</v>
      </c>
      <c r="Y66" s="554"/>
      <c r="Z66" s="124"/>
      <c r="AA66" s="1231"/>
      <c r="AB66" s="234"/>
      <c r="AC66" s="5">
        <f t="shared" si="23"/>
        <v>0</v>
      </c>
      <c r="AD66" s="5">
        <f t="shared" si="24"/>
        <v>0</v>
      </c>
      <c r="AE66" s="294">
        <f t="shared" si="25"/>
        <v>0</v>
      </c>
      <c r="AF66" s="294">
        <f t="shared" si="26"/>
        <v>0</v>
      </c>
      <c r="AG66" s="294">
        <f t="shared" si="27"/>
        <v>0</v>
      </c>
      <c r="AH66" s="294">
        <f t="shared" si="28"/>
        <v>0</v>
      </c>
      <c r="AI66" s="294">
        <f t="shared" si="29"/>
        <v>0</v>
      </c>
      <c r="AJ66" s="294">
        <f t="shared" si="30"/>
        <v>0</v>
      </c>
      <c r="AK66" s="294">
        <f t="shared" si="31"/>
        <v>0</v>
      </c>
      <c r="AL66" s="295" t="str">
        <f t="shared" si="34"/>
        <v/>
      </c>
      <c r="AM66" s="95"/>
      <c r="AN66" s="95"/>
      <c r="AO66" s="42"/>
      <c r="AP66" s="42"/>
      <c r="AQ66" s="42"/>
      <c r="AR66" s="424">
        <f t="shared" si="46"/>
        <v>0</v>
      </c>
      <c r="AS66" s="425" t="str">
        <f t="array" ref="AS66">IFERROR(IF(ROWS(H$16:H66)&gt;COUNTA($H$16:$H$75),"",INDEX($H$16:$H$75,SMALL(IF($H$16:$H$75&lt;&gt;"",ROW($H$16:$H$75)-ROW($H$16)+1),ROWS($H$16:H66)))),"")</f>
        <v/>
      </c>
      <c r="AT66" s="424" t="str">
        <f t="shared" si="44"/>
        <v/>
      </c>
      <c r="AU66" s="95"/>
      <c r="AV66" s="95"/>
      <c r="AW66" s="95"/>
      <c r="AX66" s="95"/>
      <c r="AY66" s="95"/>
      <c r="AZ66" s="42"/>
      <c r="BA66" s="42"/>
      <c r="BB66" s="42"/>
      <c r="BC66" s="42"/>
      <c r="BL66" s="454">
        <f t="shared" si="45"/>
        <v>0</v>
      </c>
      <c r="BM66" s="454">
        <f t="shared" si="36"/>
        <v>0</v>
      </c>
      <c r="BN66" s="454">
        <f t="shared" si="37"/>
        <v>0</v>
      </c>
      <c r="BO66" s="454">
        <f t="shared" si="38"/>
        <v>0</v>
      </c>
      <c r="BP66" s="454">
        <f t="shared" si="39"/>
        <v>0</v>
      </c>
      <c r="BQ66" s="454">
        <f t="shared" si="40"/>
        <v>0</v>
      </c>
      <c r="BR66" s="454">
        <f t="shared" si="41"/>
        <v>0</v>
      </c>
    </row>
    <row r="67" spans="8:70" x14ac:dyDescent="0.25">
      <c r="H67" s="987" t="str">
        <f t="shared" si="42"/>
        <v/>
      </c>
      <c r="I67" s="991"/>
      <c r="J67" s="930"/>
      <c r="K67" s="548"/>
      <c r="L67" s="548"/>
      <c r="M67" s="549"/>
      <c r="N67" s="550"/>
      <c r="O67" s="195">
        <v>52</v>
      </c>
      <c r="P67" s="283" t="str">
        <f t="shared" si="32"/>
        <v/>
      </c>
      <c r="Q67" s="193"/>
      <c r="R67" s="283" t="str">
        <f t="shared" si="22"/>
        <v/>
      </c>
      <c r="S67" s="69"/>
      <c r="T67" s="367"/>
      <c r="U67" s="328" t="str">
        <f t="shared" si="33"/>
        <v/>
      </c>
      <c r="V67" s="69"/>
      <c r="W67" s="124"/>
      <c r="X67" s="69" t="s">
        <v>15</v>
      </c>
      <c r="Y67" s="554"/>
      <c r="Z67" s="124"/>
      <c r="AA67" s="1231"/>
      <c r="AB67" s="234"/>
      <c r="AC67" s="5">
        <f t="shared" si="23"/>
        <v>0</v>
      </c>
      <c r="AD67" s="5">
        <f t="shared" si="24"/>
        <v>0</v>
      </c>
      <c r="AE67" s="294">
        <f t="shared" si="25"/>
        <v>0</v>
      </c>
      <c r="AF67" s="294">
        <f t="shared" si="26"/>
        <v>0</v>
      </c>
      <c r="AG67" s="294">
        <f t="shared" si="27"/>
        <v>0</v>
      </c>
      <c r="AH67" s="294">
        <f t="shared" si="28"/>
        <v>0</v>
      </c>
      <c r="AI67" s="294">
        <f t="shared" si="29"/>
        <v>0</v>
      </c>
      <c r="AJ67" s="294">
        <f t="shared" si="30"/>
        <v>0</v>
      </c>
      <c r="AK67" s="294">
        <f t="shared" si="31"/>
        <v>0</v>
      </c>
      <c r="AL67" s="295" t="str">
        <f t="shared" si="34"/>
        <v/>
      </c>
      <c r="AM67" s="95"/>
      <c r="AN67" s="95"/>
      <c r="AO67" s="42"/>
      <c r="AP67" s="42"/>
      <c r="AQ67" s="42"/>
      <c r="AR67" s="424">
        <f t="shared" si="46"/>
        <v>0</v>
      </c>
      <c r="AS67" s="425" t="str">
        <f t="array" ref="AS67">IFERROR(IF(ROWS(H$16:H67)&gt;COUNTA($H$16:$H$75),"",INDEX($H$16:$H$75,SMALL(IF($H$16:$H$75&lt;&gt;"",ROW($H$16:$H$75)-ROW($H$16)+1),ROWS($H$16:H67)))),"")</f>
        <v/>
      </c>
      <c r="AT67" s="424" t="str">
        <f t="shared" si="44"/>
        <v/>
      </c>
      <c r="AU67" s="95"/>
      <c r="AV67" s="95"/>
      <c r="AW67" s="95"/>
      <c r="AX67" s="95"/>
      <c r="AY67" s="95"/>
      <c r="AZ67" s="42"/>
      <c r="BA67" s="42"/>
      <c r="BB67" s="42"/>
      <c r="BC67" s="42"/>
      <c r="BL67" s="454">
        <f t="shared" si="45"/>
        <v>0</v>
      </c>
      <c r="BM67" s="454">
        <f t="shared" si="36"/>
        <v>0</v>
      </c>
      <c r="BN67" s="454">
        <f t="shared" si="37"/>
        <v>0</v>
      </c>
      <c r="BO67" s="454">
        <f t="shared" si="38"/>
        <v>0</v>
      </c>
      <c r="BP67" s="454">
        <f t="shared" si="39"/>
        <v>0</v>
      </c>
      <c r="BQ67" s="454">
        <f t="shared" si="40"/>
        <v>0</v>
      </c>
      <c r="BR67" s="454">
        <f t="shared" si="41"/>
        <v>0</v>
      </c>
    </row>
    <row r="68" spans="8:70" x14ac:dyDescent="0.25">
      <c r="H68" s="987" t="str">
        <f t="shared" si="42"/>
        <v/>
      </c>
      <c r="I68" s="991"/>
      <c r="J68" s="930"/>
      <c r="K68" s="548"/>
      <c r="L68" s="548"/>
      <c r="M68" s="549"/>
      <c r="N68" s="550"/>
      <c r="O68" s="195">
        <v>53</v>
      </c>
      <c r="P68" s="283" t="str">
        <f t="shared" si="32"/>
        <v/>
      </c>
      <c r="Q68" s="193"/>
      <c r="R68" s="283" t="str">
        <f t="shared" si="22"/>
        <v/>
      </c>
      <c r="S68" s="69"/>
      <c r="T68" s="367"/>
      <c r="U68" s="328" t="str">
        <f t="shared" si="33"/>
        <v/>
      </c>
      <c r="V68" s="69"/>
      <c r="W68" s="124"/>
      <c r="X68" s="69" t="s">
        <v>15</v>
      </c>
      <c r="Y68" s="554"/>
      <c r="Z68" s="124"/>
      <c r="AA68" s="1231"/>
      <c r="AB68" s="234"/>
      <c r="AC68" s="5">
        <f t="shared" si="23"/>
        <v>0</v>
      </c>
      <c r="AD68" s="5">
        <f t="shared" si="24"/>
        <v>0</v>
      </c>
      <c r="AE68" s="294">
        <f t="shared" si="25"/>
        <v>0</v>
      </c>
      <c r="AF68" s="294">
        <f t="shared" si="26"/>
        <v>0</v>
      </c>
      <c r="AG68" s="294">
        <f t="shared" si="27"/>
        <v>0</v>
      </c>
      <c r="AH68" s="294">
        <f t="shared" si="28"/>
        <v>0</v>
      </c>
      <c r="AI68" s="294">
        <f t="shared" si="29"/>
        <v>0</v>
      </c>
      <c r="AJ68" s="294">
        <f t="shared" si="30"/>
        <v>0</v>
      </c>
      <c r="AK68" s="294">
        <f t="shared" si="31"/>
        <v>0</v>
      </c>
      <c r="AL68" s="295" t="str">
        <f t="shared" si="34"/>
        <v/>
      </c>
      <c r="AM68" s="95"/>
      <c r="AN68" s="95"/>
      <c r="AO68" s="42"/>
      <c r="AP68" s="42"/>
      <c r="AQ68" s="42"/>
      <c r="AR68" s="424">
        <f t="shared" si="46"/>
        <v>0</v>
      </c>
      <c r="AS68" s="425" t="str">
        <f t="array" ref="AS68">IFERROR(IF(ROWS(H$16:H68)&gt;COUNTA($H$16:$H$75),"",INDEX($H$16:$H$75,SMALL(IF($H$16:$H$75&lt;&gt;"",ROW($H$16:$H$75)-ROW($H$16)+1),ROWS($H$16:H68)))),"")</f>
        <v/>
      </c>
      <c r="AT68" s="424" t="str">
        <f t="shared" ref="AT68:AT75" si="47">IFERROR(VLOOKUP(AS68,$H$16:$P$35,9,FALSE),"")</f>
        <v/>
      </c>
      <c r="AU68" s="95"/>
      <c r="AV68" s="95"/>
      <c r="AW68" s="95"/>
      <c r="AX68" s="95"/>
      <c r="AY68" s="95"/>
      <c r="AZ68" s="42"/>
      <c r="BA68" s="42"/>
      <c r="BB68" s="42"/>
      <c r="BC68" s="42"/>
      <c r="BL68" s="454">
        <f t="shared" si="45"/>
        <v>0</v>
      </c>
      <c r="BM68" s="454">
        <f t="shared" si="36"/>
        <v>0</v>
      </c>
      <c r="BN68" s="454">
        <f t="shared" si="37"/>
        <v>0</v>
      </c>
      <c r="BO68" s="454">
        <f t="shared" si="38"/>
        <v>0</v>
      </c>
      <c r="BP68" s="454">
        <f t="shared" si="39"/>
        <v>0</v>
      </c>
      <c r="BQ68" s="454">
        <f t="shared" si="40"/>
        <v>0</v>
      </c>
      <c r="BR68" s="454">
        <f t="shared" si="41"/>
        <v>0</v>
      </c>
    </row>
    <row r="69" spans="8:70" x14ac:dyDescent="0.25">
      <c r="H69" s="987" t="str">
        <f t="shared" si="42"/>
        <v/>
      </c>
      <c r="I69" s="991"/>
      <c r="J69" s="930"/>
      <c r="K69" s="548"/>
      <c r="L69" s="548"/>
      <c r="M69" s="549"/>
      <c r="N69" s="550"/>
      <c r="O69" s="195">
        <v>54</v>
      </c>
      <c r="P69" s="283" t="str">
        <f t="shared" si="32"/>
        <v/>
      </c>
      <c r="Q69" s="193"/>
      <c r="R69" s="283" t="str">
        <f t="shared" si="22"/>
        <v/>
      </c>
      <c r="S69" s="69"/>
      <c r="T69" s="367"/>
      <c r="U69" s="328" t="str">
        <f t="shared" si="33"/>
        <v/>
      </c>
      <c r="V69" s="69"/>
      <c r="W69" s="124"/>
      <c r="X69" s="69" t="s">
        <v>15</v>
      </c>
      <c r="Y69" s="554"/>
      <c r="Z69" s="124"/>
      <c r="AA69" s="1231"/>
      <c r="AB69" s="234"/>
      <c r="AC69" s="5">
        <f t="shared" si="23"/>
        <v>0</v>
      </c>
      <c r="AD69" s="5">
        <f t="shared" si="24"/>
        <v>0</v>
      </c>
      <c r="AE69" s="294">
        <f t="shared" si="25"/>
        <v>0</v>
      </c>
      <c r="AF69" s="294">
        <f t="shared" si="26"/>
        <v>0</v>
      </c>
      <c r="AG69" s="294">
        <f t="shared" si="27"/>
        <v>0</v>
      </c>
      <c r="AH69" s="294">
        <f t="shared" si="28"/>
        <v>0</v>
      </c>
      <c r="AI69" s="294">
        <f t="shared" si="29"/>
        <v>0</v>
      </c>
      <c r="AJ69" s="294">
        <f t="shared" si="30"/>
        <v>0</v>
      </c>
      <c r="AK69" s="294">
        <f t="shared" si="31"/>
        <v>0</v>
      </c>
      <c r="AL69" s="295" t="str">
        <f t="shared" si="34"/>
        <v/>
      </c>
      <c r="AM69" s="95"/>
      <c r="AN69" s="95"/>
      <c r="AO69" s="42"/>
      <c r="AP69" s="42"/>
      <c r="AQ69" s="42"/>
      <c r="AR69" s="424">
        <f t="shared" si="46"/>
        <v>0</v>
      </c>
      <c r="AS69" s="425" t="str">
        <f t="array" ref="AS69">IFERROR(IF(ROWS(H$16:H69)&gt;COUNTA($H$16:$H$75),"",INDEX($H$16:$H$75,SMALL(IF($H$16:$H$75&lt;&gt;"",ROW($H$16:$H$75)-ROW($H$16)+1),ROWS($H$16:H69)))),"")</f>
        <v/>
      </c>
      <c r="AT69" s="424" t="str">
        <f t="shared" si="47"/>
        <v/>
      </c>
      <c r="AU69" s="95"/>
      <c r="AV69" s="95"/>
      <c r="AW69" s="95"/>
      <c r="AX69" s="95"/>
      <c r="AY69" s="95"/>
      <c r="AZ69" s="42"/>
      <c r="BA69" s="42"/>
      <c r="BB69" s="42"/>
      <c r="BC69" s="42"/>
      <c r="BL69" s="454">
        <f t="shared" si="45"/>
        <v>0</v>
      </c>
      <c r="BM69" s="454">
        <f t="shared" ref="BM69:BM75" si="48">IF(J69="",0,1)</f>
        <v>0</v>
      </c>
      <c r="BN69" s="454">
        <f t="shared" ref="BN69:BN75" si="49">IF(K69="",0,1)</f>
        <v>0</v>
      </c>
      <c r="BO69" s="454">
        <f t="shared" ref="BO69:BO75" si="50">IF(L69="",0,1)</f>
        <v>0</v>
      </c>
      <c r="BP69" s="454">
        <f t="shared" ref="BP69:BP75" si="51">IF(N69="",0,1)</f>
        <v>0</v>
      </c>
      <c r="BQ69" s="454">
        <f t="shared" ref="BQ69:BQ75" si="52">SUM(BL69:BP69)</f>
        <v>0</v>
      </c>
      <c r="BR69" s="454">
        <f t="shared" ref="BR69:BR75" si="53">IF(P69="",0,1)</f>
        <v>0</v>
      </c>
    </row>
    <row r="70" spans="8:70" x14ac:dyDescent="0.25">
      <c r="H70" s="987" t="str">
        <f t="shared" si="42"/>
        <v/>
      </c>
      <c r="I70" s="991"/>
      <c r="J70" s="930"/>
      <c r="K70" s="548"/>
      <c r="L70" s="548"/>
      <c r="M70" s="549"/>
      <c r="N70" s="550"/>
      <c r="O70" s="195">
        <v>55</v>
      </c>
      <c r="P70" s="283" t="str">
        <f t="shared" si="32"/>
        <v/>
      </c>
      <c r="Q70" s="193"/>
      <c r="R70" s="283" t="str">
        <f t="shared" si="22"/>
        <v/>
      </c>
      <c r="S70" s="69"/>
      <c r="T70" s="367"/>
      <c r="U70" s="328" t="str">
        <f t="shared" si="33"/>
        <v/>
      </c>
      <c r="V70" s="69"/>
      <c r="W70" s="124"/>
      <c r="X70" s="69" t="s">
        <v>15</v>
      </c>
      <c r="Y70" s="554"/>
      <c r="Z70" s="124"/>
      <c r="AA70" s="1231"/>
      <c r="AB70" s="234"/>
      <c r="AC70" s="5">
        <f t="shared" si="23"/>
        <v>0</v>
      </c>
      <c r="AD70" s="5">
        <f t="shared" si="24"/>
        <v>0</v>
      </c>
      <c r="AE70" s="294">
        <f t="shared" si="25"/>
        <v>0</v>
      </c>
      <c r="AF70" s="294">
        <f t="shared" si="26"/>
        <v>0</v>
      </c>
      <c r="AG70" s="294">
        <f t="shared" si="27"/>
        <v>0</v>
      </c>
      <c r="AH70" s="294">
        <f t="shared" si="28"/>
        <v>0</v>
      </c>
      <c r="AI70" s="294">
        <f t="shared" si="29"/>
        <v>0</v>
      </c>
      <c r="AJ70" s="294">
        <f t="shared" si="30"/>
        <v>0</v>
      </c>
      <c r="AK70" s="294">
        <f t="shared" si="31"/>
        <v>0</v>
      </c>
      <c r="AL70" s="295" t="str">
        <f t="shared" si="34"/>
        <v/>
      </c>
      <c r="AM70" s="95"/>
      <c r="AN70" s="95"/>
      <c r="AO70" s="42"/>
      <c r="AP70" s="42"/>
      <c r="AQ70" s="42"/>
      <c r="AR70" s="424">
        <f t="shared" si="46"/>
        <v>0</v>
      </c>
      <c r="AS70" s="425" t="str">
        <f t="array" ref="AS70">IFERROR(IF(ROWS(H$16:H70)&gt;COUNTA($H$16:$H$75),"",INDEX($H$16:$H$75,SMALL(IF($H$16:$H$75&lt;&gt;"",ROW($H$16:$H$75)-ROW($H$16)+1),ROWS($H$16:H70)))),"")</f>
        <v/>
      </c>
      <c r="AT70" s="424" t="str">
        <f t="shared" si="47"/>
        <v/>
      </c>
      <c r="AU70" s="95"/>
      <c r="AV70" s="95"/>
      <c r="AW70" s="95"/>
      <c r="AX70" s="95"/>
      <c r="AY70" s="95"/>
      <c r="AZ70" s="42"/>
      <c r="BA70" s="42"/>
      <c r="BB70" s="42"/>
      <c r="BC70" s="42"/>
      <c r="BL70" s="454">
        <f t="shared" si="45"/>
        <v>0</v>
      </c>
      <c r="BM70" s="454">
        <f t="shared" si="48"/>
        <v>0</v>
      </c>
      <c r="BN70" s="454">
        <f t="shared" si="49"/>
        <v>0</v>
      </c>
      <c r="BO70" s="454">
        <f t="shared" si="50"/>
        <v>0</v>
      </c>
      <c r="BP70" s="454">
        <f t="shared" si="51"/>
        <v>0</v>
      </c>
      <c r="BQ70" s="454">
        <f t="shared" si="52"/>
        <v>0</v>
      </c>
      <c r="BR70" s="454">
        <f t="shared" si="53"/>
        <v>0</v>
      </c>
    </row>
    <row r="71" spans="8:70" x14ac:dyDescent="0.25">
      <c r="H71" s="987" t="str">
        <f t="shared" si="42"/>
        <v/>
      </c>
      <c r="I71" s="991"/>
      <c r="J71" s="930"/>
      <c r="K71" s="548"/>
      <c r="L71" s="548"/>
      <c r="M71" s="549"/>
      <c r="N71" s="550"/>
      <c r="O71" s="195">
        <v>56</v>
      </c>
      <c r="P71" s="283" t="str">
        <f t="shared" si="32"/>
        <v/>
      </c>
      <c r="Q71" s="193"/>
      <c r="R71" s="283" t="str">
        <f t="shared" si="22"/>
        <v/>
      </c>
      <c r="S71" s="69"/>
      <c r="T71" s="367"/>
      <c r="U71" s="328" t="str">
        <f t="shared" si="33"/>
        <v/>
      </c>
      <c r="V71" s="69"/>
      <c r="W71" s="124"/>
      <c r="X71" s="69" t="s">
        <v>15</v>
      </c>
      <c r="Y71" s="554"/>
      <c r="Z71" s="124"/>
      <c r="AA71" s="1231"/>
      <c r="AB71" s="234"/>
      <c r="AC71" s="5">
        <f t="shared" si="23"/>
        <v>0</v>
      </c>
      <c r="AD71" s="5">
        <f t="shared" si="24"/>
        <v>0</v>
      </c>
      <c r="AE71" s="294">
        <f t="shared" si="25"/>
        <v>0</v>
      </c>
      <c r="AF71" s="294">
        <f t="shared" si="26"/>
        <v>0</v>
      </c>
      <c r="AG71" s="294">
        <f t="shared" si="27"/>
        <v>0</v>
      </c>
      <c r="AH71" s="294">
        <f t="shared" si="28"/>
        <v>0</v>
      </c>
      <c r="AI71" s="294">
        <f t="shared" si="29"/>
        <v>0</v>
      </c>
      <c r="AJ71" s="294">
        <f t="shared" si="30"/>
        <v>0</v>
      </c>
      <c r="AK71" s="294">
        <f t="shared" si="31"/>
        <v>0</v>
      </c>
      <c r="AL71" s="295" t="str">
        <f t="shared" si="34"/>
        <v/>
      </c>
      <c r="AM71" s="95"/>
      <c r="AN71" s="95"/>
      <c r="AO71" s="42"/>
      <c r="AP71" s="42"/>
      <c r="AQ71" s="42"/>
      <c r="AR71" s="424">
        <f t="shared" si="46"/>
        <v>0</v>
      </c>
      <c r="AS71" s="425" t="str">
        <f t="array" ref="AS71">IFERROR(IF(ROWS(H$16:H71)&gt;COUNTA($H$16:$H$75),"",INDEX($H$16:$H$75,SMALL(IF($H$16:$H$75&lt;&gt;"",ROW($H$16:$H$75)-ROW($H$16)+1),ROWS($H$16:H71)))),"")</f>
        <v/>
      </c>
      <c r="AT71" s="424" t="str">
        <f t="shared" si="47"/>
        <v/>
      </c>
      <c r="AU71" s="95"/>
      <c r="AV71" s="95"/>
      <c r="AW71" s="95"/>
      <c r="AX71" s="95"/>
      <c r="AY71" s="95"/>
      <c r="AZ71" s="42"/>
      <c r="BA71" s="42"/>
      <c r="BB71" s="42"/>
      <c r="BC71" s="42"/>
      <c r="BL71" s="454">
        <f t="shared" si="45"/>
        <v>0</v>
      </c>
      <c r="BM71" s="454">
        <f t="shared" si="48"/>
        <v>0</v>
      </c>
      <c r="BN71" s="454">
        <f t="shared" si="49"/>
        <v>0</v>
      </c>
      <c r="BO71" s="454">
        <f t="shared" si="50"/>
        <v>0</v>
      </c>
      <c r="BP71" s="454">
        <f t="shared" si="51"/>
        <v>0</v>
      </c>
      <c r="BQ71" s="454">
        <f t="shared" si="52"/>
        <v>0</v>
      </c>
      <c r="BR71" s="454">
        <f t="shared" si="53"/>
        <v>0</v>
      </c>
    </row>
    <row r="72" spans="8:70" x14ac:dyDescent="0.25">
      <c r="H72" s="987" t="str">
        <f t="shared" si="42"/>
        <v/>
      </c>
      <c r="I72" s="991"/>
      <c r="J72" s="930"/>
      <c r="K72" s="548"/>
      <c r="L72" s="548"/>
      <c r="M72" s="549"/>
      <c r="N72" s="550"/>
      <c r="O72" s="195">
        <v>57</v>
      </c>
      <c r="P72" s="283" t="str">
        <f t="shared" si="32"/>
        <v/>
      </c>
      <c r="Q72" s="193"/>
      <c r="R72" s="283" t="str">
        <f t="shared" si="22"/>
        <v/>
      </c>
      <c r="S72" s="69"/>
      <c r="T72" s="367"/>
      <c r="U72" s="328" t="str">
        <f t="shared" si="33"/>
        <v/>
      </c>
      <c r="V72" s="69"/>
      <c r="W72" s="124"/>
      <c r="X72" s="69" t="s">
        <v>15</v>
      </c>
      <c r="Y72" s="554"/>
      <c r="Z72" s="124"/>
      <c r="AA72" s="1231"/>
      <c r="AB72" s="234"/>
      <c r="AC72" s="5">
        <f t="shared" si="23"/>
        <v>0</v>
      </c>
      <c r="AD72" s="5">
        <f t="shared" si="24"/>
        <v>0</v>
      </c>
      <c r="AE72" s="294">
        <f t="shared" si="25"/>
        <v>0</v>
      </c>
      <c r="AF72" s="294">
        <f t="shared" si="26"/>
        <v>0</v>
      </c>
      <c r="AG72" s="294">
        <f t="shared" si="27"/>
        <v>0</v>
      </c>
      <c r="AH72" s="294">
        <f t="shared" si="28"/>
        <v>0</v>
      </c>
      <c r="AI72" s="294">
        <f t="shared" si="29"/>
        <v>0</v>
      </c>
      <c r="AJ72" s="294">
        <f t="shared" si="30"/>
        <v>0</v>
      </c>
      <c r="AK72" s="294">
        <f t="shared" si="31"/>
        <v>0</v>
      </c>
      <c r="AL72" s="295" t="str">
        <f t="shared" si="34"/>
        <v/>
      </c>
      <c r="AM72" s="95"/>
      <c r="AN72" s="95"/>
      <c r="AO72" s="42"/>
      <c r="AP72" s="42"/>
      <c r="AQ72" s="42"/>
      <c r="AR72" s="424">
        <f t="shared" si="46"/>
        <v>0</v>
      </c>
      <c r="AS72" s="425" t="str">
        <f t="array" ref="AS72">IFERROR(IF(ROWS(H$16:H72)&gt;COUNTA($H$16:$H$75),"",INDEX($H$16:$H$75,SMALL(IF($H$16:$H$75&lt;&gt;"",ROW($H$16:$H$75)-ROW($H$16)+1),ROWS($H$16:H72)))),"")</f>
        <v/>
      </c>
      <c r="AT72" s="424" t="str">
        <f t="shared" si="47"/>
        <v/>
      </c>
      <c r="AU72" s="95"/>
      <c r="AV72" s="95"/>
      <c r="AW72" s="95"/>
      <c r="AX72" s="95"/>
      <c r="AY72" s="95"/>
      <c r="AZ72" s="42"/>
      <c r="BA72" s="42"/>
      <c r="BB72" s="42"/>
      <c r="BC72" s="42"/>
      <c r="BL72" s="454">
        <f t="shared" si="45"/>
        <v>0</v>
      </c>
      <c r="BM72" s="454">
        <f t="shared" si="48"/>
        <v>0</v>
      </c>
      <c r="BN72" s="454">
        <f t="shared" si="49"/>
        <v>0</v>
      </c>
      <c r="BO72" s="454">
        <f t="shared" si="50"/>
        <v>0</v>
      </c>
      <c r="BP72" s="454">
        <f t="shared" si="51"/>
        <v>0</v>
      </c>
      <c r="BQ72" s="454">
        <f t="shared" si="52"/>
        <v>0</v>
      </c>
      <c r="BR72" s="454">
        <f t="shared" si="53"/>
        <v>0</v>
      </c>
    </row>
    <row r="73" spans="8:70" x14ac:dyDescent="0.25">
      <c r="H73" s="987" t="str">
        <f t="shared" si="42"/>
        <v/>
      </c>
      <c r="I73" s="991"/>
      <c r="J73" s="930"/>
      <c r="K73" s="548"/>
      <c r="L73" s="548"/>
      <c r="M73" s="549"/>
      <c r="N73" s="550"/>
      <c r="O73" s="195">
        <v>58</v>
      </c>
      <c r="P73" s="283" t="str">
        <f t="shared" ref="P73" si="54">IF(J73="","",IF(AD73&gt;0,AD73,N73))</f>
        <v/>
      </c>
      <c r="Q73" s="193"/>
      <c r="R73" s="283" t="str">
        <f t="shared" ref="R73" si="55">AL73</f>
        <v/>
      </c>
      <c r="S73" s="69"/>
      <c r="T73" s="423"/>
      <c r="U73" s="422" t="str">
        <f t="shared" ref="U73" si="56">IF(T73&gt;0,T73*30,"")</f>
        <v/>
      </c>
      <c r="V73" s="69"/>
      <c r="W73" s="124"/>
      <c r="X73" s="69" t="s">
        <v>15</v>
      </c>
      <c r="Y73" s="554"/>
      <c r="Z73" s="124"/>
      <c r="AA73" s="1231"/>
      <c r="AB73" s="234"/>
      <c r="AC73" s="5">
        <f t="shared" ref="AC73" si="57">IF(AL73="Line Voltage (min 30W/lf)",1,IF(AL73="Line Voltage (circuit breaker)",2,IF(AL73="Line Voltage (current limiter)",3,IF(AL73="Low Voltage Track",4,IF(AL73="Track (Installed Wattage)",5,0)))))</f>
        <v>0</v>
      </c>
      <c r="AD73" s="5">
        <f t="shared" ref="AD73" si="58">IF(AC73=1,AF73,IF(AC73=2,AH73,IF(AC73=3,AI73,IF(AC73=4,AB73,IF(AC73=5,AE73,0)))))</f>
        <v>0</v>
      </c>
      <c r="AE73" s="294">
        <f t="shared" ref="AE73" si="59">S73</f>
        <v>0</v>
      </c>
      <c r="AF73" s="294">
        <f t="shared" ref="AF73" si="60">T73*T$1</f>
        <v>0</v>
      </c>
      <c r="AG73" s="294">
        <f t="shared" ref="AG73" si="61">MAX(AE73:AF73)</f>
        <v>0</v>
      </c>
      <c r="AH73" s="294">
        <f t="shared" ref="AH73" si="62">V73*W73*W$1</f>
        <v>0</v>
      </c>
      <c r="AI73" s="294">
        <f t="shared" ref="AI73" si="63">IF(X73="Yes",Y73*Z73,0)</f>
        <v>0</v>
      </c>
      <c r="AJ73" s="294">
        <f t="shared" ref="AJ73" si="64">AB73</f>
        <v>0</v>
      </c>
      <c r="AK73" s="294">
        <f t="shared" ref="AK73" si="65">IF(X73="Yes",MIN(AH73,AI73),IF(AJ73&gt;0,AJ73,MIN(AG73,AH73)))</f>
        <v>0</v>
      </c>
      <c r="AL73" s="295" t="str">
        <f t="shared" ref="AL73" si="66">IF(K73&lt;&gt;"Track","",IF(AND(K73="Track",AK73=0),"Yellow fields incomplete",IF(AB73&gt;0,"Low Voltage Track",IF(AND(X73="Yes",AI73&lt;AH73),"Line Voltage (current limiter)",IF(AK73=AH73,"Line Voltage (circuit breaker)",IF(AK73=AF73,"Line Voltage (min 30W/lf)","Track (Installed Wattage)"))))))</f>
        <v/>
      </c>
      <c r="AM73" s="95"/>
      <c r="AN73" s="95"/>
      <c r="AO73" s="42"/>
      <c r="AP73" s="42"/>
      <c r="AQ73" s="42"/>
      <c r="AR73" s="424">
        <f t="shared" si="46"/>
        <v>0</v>
      </c>
      <c r="AS73" s="425" t="str">
        <f t="array" ref="AS73">IFERROR(IF(ROWS(H$16:H73)&gt;COUNTA($H$16:$H$75),"",INDEX($H$16:$H$75,SMALL(IF($H$16:$H$75&lt;&gt;"",ROW($H$16:$H$75)-ROW($H$16)+1),ROWS($H$16:H73)))),"")</f>
        <v/>
      </c>
      <c r="AT73" s="424" t="str">
        <f t="shared" si="47"/>
        <v/>
      </c>
      <c r="AU73" s="95"/>
      <c r="AV73" s="95"/>
      <c r="AW73" s="95"/>
      <c r="AX73" s="95"/>
      <c r="AY73" s="95"/>
      <c r="AZ73" s="42"/>
      <c r="BA73" s="42"/>
      <c r="BB73" s="42"/>
      <c r="BC73" s="42"/>
      <c r="BL73" s="454">
        <f t="shared" si="45"/>
        <v>0</v>
      </c>
      <c r="BM73" s="454">
        <f t="shared" si="48"/>
        <v>0</v>
      </c>
      <c r="BN73" s="454">
        <f t="shared" si="49"/>
        <v>0</v>
      </c>
      <c r="BO73" s="454">
        <f t="shared" si="50"/>
        <v>0</v>
      </c>
      <c r="BP73" s="454">
        <f t="shared" si="51"/>
        <v>0</v>
      </c>
      <c r="BQ73" s="454">
        <f t="shared" si="52"/>
        <v>0</v>
      </c>
      <c r="BR73" s="454">
        <f t="shared" si="53"/>
        <v>0</v>
      </c>
    </row>
    <row r="74" spans="8:70" x14ac:dyDescent="0.25">
      <c r="H74" s="987" t="str">
        <f t="shared" si="42"/>
        <v/>
      </c>
      <c r="I74" s="991"/>
      <c r="J74" s="930"/>
      <c r="K74" s="548"/>
      <c r="L74" s="548"/>
      <c r="M74" s="549"/>
      <c r="N74" s="550"/>
      <c r="O74" s="195">
        <v>59</v>
      </c>
      <c r="P74" s="283" t="str">
        <f t="shared" si="32"/>
        <v/>
      </c>
      <c r="Q74" s="193"/>
      <c r="R74" s="283" t="str">
        <f t="shared" si="22"/>
        <v/>
      </c>
      <c r="S74" s="69"/>
      <c r="T74" s="367"/>
      <c r="U74" s="328" t="str">
        <f t="shared" si="33"/>
        <v/>
      </c>
      <c r="V74" s="69"/>
      <c r="W74" s="124"/>
      <c r="X74" s="69" t="s">
        <v>15</v>
      </c>
      <c r="Y74" s="554"/>
      <c r="Z74" s="124"/>
      <c r="AA74" s="1231"/>
      <c r="AB74" s="234"/>
      <c r="AC74" s="5">
        <f t="shared" si="23"/>
        <v>0</v>
      </c>
      <c r="AD74" s="5">
        <f t="shared" si="24"/>
        <v>0</v>
      </c>
      <c r="AE74" s="294">
        <f t="shared" si="25"/>
        <v>0</v>
      </c>
      <c r="AF74" s="294">
        <f t="shared" si="26"/>
        <v>0</v>
      </c>
      <c r="AG74" s="294">
        <f t="shared" si="27"/>
        <v>0</v>
      </c>
      <c r="AH74" s="294">
        <f t="shared" si="28"/>
        <v>0</v>
      </c>
      <c r="AI74" s="294">
        <f t="shared" si="29"/>
        <v>0</v>
      </c>
      <c r="AJ74" s="294">
        <f t="shared" si="30"/>
        <v>0</v>
      </c>
      <c r="AK74" s="294">
        <f t="shared" si="31"/>
        <v>0</v>
      </c>
      <c r="AL74" s="295" t="str">
        <f t="shared" si="34"/>
        <v/>
      </c>
      <c r="AM74" s="95"/>
      <c r="AN74" s="95"/>
      <c r="AO74" s="42"/>
      <c r="AP74" s="42"/>
      <c r="AQ74" s="42"/>
      <c r="AR74" s="424">
        <f t="shared" si="46"/>
        <v>0</v>
      </c>
      <c r="AS74" s="425" t="str">
        <f t="array" ref="AS74">IFERROR(IF(ROWS(H$16:H74)&gt;COUNTA($H$16:$H$75),"",INDEX($H$16:$H$75,SMALL(IF($H$16:$H$75&lt;&gt;"",ROW($H$16:$H$75)-ROW($H$16)+1),ROWS($H$16:H74)))),"")</f>
        <v/>
      </c>
      <c r="AT74" s="424" t="str">
        <f t="shared" si="47"/>
        <v/>
      </c>
      <c r="AU74" s="95"/>
      <c r="AV74" s="42"/>
      <c r="AW74" s="95"/>
      <c r="AX74" s="95"/>
      <c r="AY74" s="95"/>
      <c r="AZ74" s="42"/>
      <c r="BA74" s="42"/>
      <c r="BB74" s="42"/>
      <c r="BC74" s="42"/>
      <c r="BL74" s="454">
        <f t="shared" si="45"/>
        <v>0</v>
      </c>
      <c r="BM74" s="454">
        <f t="shared" si="48"/>
        <v>0</v>
      </c>
      <c r="BN74" s="454">
        <f t="shared" si="49"/>
        <v>0</v>
      </c>
      <c r="BO74" s="454">
        <f t="shared" si="50"/>
        <v>0</v>
      </c>
      <c r="BP74" s="454">
        <f t="shared" si="51"/>
        <v>0</v>
      </c>
      <c r="BQ74" s="454">
        <f t="shared" si="52"/>
        <v>0</v>
      </c>
      <c r="BR74" s="454">
        <f t="shared" si="53"/>
        <v>0</v>
      </c>
    </row>
    <row r="75" spans="8:70" ht="13" thickBot="1" x14ac:dyDescent="0.3">
      <c r="H75" s="987" t="str">
        <f t="shared" si="42"/>
        <v/>
      </c>
      <c r="I75" s="991"/>
      <c r="J75" s="931"/>
      <c r="K75" s="551"/>
      <c r="L75" s="551"/>
      <c r="M75" s="552"/>
      <c r="N75" s="553"/>
      <c r="O75" s="195">
        <v>60</v>
      </c>
      <c r="P75" s="284" t="str">
        <f t="shared" si="32"/>
        <v/>
      </c>
      <c r="Q75" s="193"/>
      <c r="R75" s="284" t="str">
        <f t="shared" si="22"/>
        <v/>
      </c>
      <c r="S75" s="77"/>
      <c r="T75" s="331"/>
      <c r="U75" s="80" t="str">
        <f t="shared" si="33"/>
        <v/>
      </c>
      <c r="V75" s="77"/>
      <c r="W75" s="125"/>
      <c r="X75" s="77" t="s">
        <v>15</v>
      </c>
      <c r="Y75" s="534"/>
      <c r="Z75" s="125"/>
      <c r="AA75" s="1231"/>
      <c r="AB75" s="235"/>
      <c r="AC75" s="5">
        <f t="shared" si="23"/>
        <v>0</v>
      </c>
      <c r="AD75" s="5">
        <f t="shared" si="24"/>
        <v>0</v>
      </c>
      <c r="AE75" s="294">
        <f t="shared" si="25"/>
        <v>0</v>
      </c>
      <c r="AF75" s="294">
        <f t="shared" si="26"/>
        <v>0</v>
      </c>
      <c r="AG75" s="294">
        <f t="shared" si="27"/>
        <v>0</v>
      </c>
      <c r="AH75" s="294">
        <f t="shared" si="28"/>
        <v>0</v>
      </c>
      <c r="AI75" s="294">
        <f t="shared" si="29"/>
        <v>0</v>
      </c>
      <c r="AJ75" s="294">
        <f t="shared" si="30"/>
        <v>0</v>
      </c>
      <c r="AK75" s="294">
        <f t="shared" si="31"/>
        <v>0</v>
      </c>
      <c r="AL75" s="295" t="str">
        <f t="shared" si="34"/>
        <v/>
      </c>
      <c r="AM75" s="95"/>
      <c r="AN75" s="95"/>
      <c r="AO75" s="42"/>
      <c r="AP75" s="42"/>
      <c r="AQ75" s="42"/>
      <c r="AR75" s="424">
        <f t="shared" si="46"/>
        <v>0</v>
      </c>
      <c r="AS75" s="425" t="str">
        <f t="array" ref="AS75">IFERROR(IF(ROWS(H$16:H75)&gt;COUNTA($H$16:$H$75),"",INDEX($H$16:$H$75,SMALL(IF($H$16:$H$75&lt;&gt;"",ROW($H$16:$H$75)-ROW($H$16)+1),ROWS($H$16:H75)))),"")</f>
        <v/>
      </c>
      <c r="AT75" s="424" t="str">
        <f t="shared" si="47"/>
        <v/>
      </c>
      <c r="AU75" s="95"/>
      <c r="AV75" s="42"/>
      <c r="AW75" s="42"/>
      <c r="AX75" s="42"/>
      <c r="AY75" s="42"/>
      <c r="AZ75" s="42"/>
      <c r="BA75" s="42"/>
      <c r="BB75" s="42"/>
      <c r="BC75" s="42"/>
      <c r="BL75" s="454">
        <f t="shared" si="45"/>
        <v>0</v>
      </c>
      <c r="BM75" s="454">
        <f t="shared" si="48"/>
        <v>0</v>
      </c>
      <c r="BN75" s="454">
        <f t="shared" si="49"/>
        <v>0</v>
      </c>
      <c r="BO75" s="454">
        <f t="shared" si="50"/>
        <v>0</v>
      </c>
      <c r="BP75" s="454">
        <f t="shared" si="51"/>
        <v>0</v>
      </c>
      <c r="BQ75" s="454">
        <f t="shared" si="52"/>
        <v>0</v>
      </c>
      <c r="BR75" s="454">
        <f t="shared" si="53"/>
        <v>0</v>
      </c>
    </row>
    <row r="76" spans="8:70" x14ac:dyDescent="0.25">
      <c r="J76" s="81"/>
      <c r="K76" s="81"/>
      <c r="L76" s="81"/>
      <c r="M76" s="81"/>
      <c r="AA76" s="310"/>
      <c r="AM76" s="42"/>
      <c r="AN76" s="95"/>
      <c r="AO76" s="42"/>
      <c r="AP76" s="42"/>
      <c r="AQ76" s="42"/>
      <c r="AR76" s="42"/>
      <c r="AS76" s="42"/>
      <c r="AT76" s="532"/>
      <c r="AU76" s="42"/>
      <c r="AV76" s="42"/>
      <c r="AW76" s="42"/>
      <c r="AX76" s="42"/>
      <c r="AY76" s="42"/>
      <c r="AZ76" s="42"/>
      <c r="BA76" s="42"/>
      <c r="BB76" s="42"/>
      <c r="BC76" s="42"/>
    </row>
    <row r="77" spans="8:70" x14ac:dyDescent="0.25">
      <c r="J77" s="81"/>
      <c r="K77" s="81"/>
      <c r="L77" s="81"/>
      <c r="M77" s="81"/>
      <c r="AM77" s="42"/>
      <c r="AN77" s="95"/>
      <c r="AO77" s="42"/>
      <c r="AP77" s="42"/>
      <c r="AQ77" s="42"/>
      <c r="AR77" s="42"/>
      <c r="AS77" s="42"/>
      <c r="AT77" s="532"/>
      <c r="AU77" s="42"/>
      <c r="AV77" s="42"/>
      <c r="AW77" s="42"/>
      <c r="AX77" s="42"/>
      <c r="AY77" s="42"/>
      <c r="AZ77" s="42"/>
      <c r="BA77" s="42"/>
      <c r="BB77" s="42"/>
      <c r="BC77" s="42"/>
    </row>
    <row r="78" spans="8:70" x14ac:dyDescent="0.25">
      <c r="J78" s="81"/>
      <c r="K78" s="81"/>
      <c r="L78" s="81"/>
      <c r="M78" s="81"/>
      <c r="AM78" s="42"/>
      <c r="AN78" s="95"/>
      <c r="AO78" s="42"/>
      <c r="AP78" s="42"/>
      <c r="AQ78" s="42"/>
      <c r="AR78" s="42"/>
      <c r="AS78" s="42"/>
      <c r="AT78" s="532"/>
      <c r="AU78" s="42"/>
      <c r="AV78" s="42"/>
      <c r="AW78" s="42"/>
      <c r="AX78" s="42"/>
      <c r="AY78" s="42"/>
      <c r="AZ78" s="42"/>
      <c r="BA78" s="42"/>
      <c r="BB78" s="42"/>
      <c r="BC78" s="42"/>
    </row>
    <row r="79" spans="8:70" x14ac:dyDescent="0.25">
      <c r="J79" s="81"/>
      <c r="K79" s="81"/>
      <c r="L79" s="81"/>
      <c r="M79" s="81"/>
      <c r="AM79" s="42"/>
      <c r="AN79" s="95"/>
      <c r="AO79" s="42"/>
      <c r="AP79" s="42"/>
      <c r="AQ79" s="42"/>
      <c r="AR79" s="426">
        <f>COUNTIF(AR80:AR139,"=" &amp; 1)</f>
        <v>0</v>
      </c>
      <c r="AS79" s="42"/>
      <c r="AT79" s="532"/>
      <c r="AU79" s="42"/>
      <c r="AV79" s="42"/>
      <c r="AW79" s="42"/>
      <c r="AX79" s="42"/>
      <c r="AY79" s="42"/>
      <c r="AZ79" s="42"/>
      <c r="BA79" s="42"/>
      <c r="BB79" s="42"/>
      <c r="BC79" s="42"/>
    </row>
    <row r="80" spans="8:70" x14ac:dyDescent="0.25">
      <c r="J80" s="81"/>
      <c r="K80" s="81"/>
      <c r="L80" s="81"/>
      <c r="M80" s="81"/>
      <c r="AM80" s="42"/>
      <c r="AN80" s="95"/>
      <c r="AO80" s="42"/>
      <c r="AP80" s="42"/>
      <c r="AQ80" s="42">
        <v>1</v>
      </c>
      <c r="AR80" s="424">
        <f t="shared" ref="AR80:AR139" si="67">IF(AS80&lt;&gt;"",1,0)</f>
        <v>0</v>
      </c>
      <c r="AS80" s="425" t="str">
        <f t="array" ref="AS80">IFERROR(IF(ROWS(H$16:H16)&gt;COUNTA($H$16:$H$75),"",INDEX($H$16:$H$75,SMALL(IF($H$16:$H$75&lt;&gt;"",ROW($H$16:$H$75)-ROW($H$16)+1),ROWS($H$16:H16)))),"")</f>
        <v/>
      </c>
      <c r="AT80" s="424" t="str">
        <f t="shared" ref="AT80:AT111" si="68">IF(P80="",VLOOKUP(AS80,$H$16:$P$75,9,FALSE),P80)</f>
        <v/>
      </c>
      <c r="AU80" s="42"/>
      <c r="AW80" s="42"/>
      <c r="AX80" s="42"/>
      <c r="AY80" s="42"/>
      <c r="AZ80" s="42"/>
      <c r="BA80" s="42"/>
      <c r="BB80" s="42"/>
      <c r="BC80" s="42"/>
    </row>
    <row r="81" spans="40:46" x14ac:dyDescent="0.25">
      <c r="AN81" s="95"/>
      <c r="AO81" s="42"/>
      <c r="AP81" s="42"/>
      <c r="AQ81">
        <v>2</v>
      </c>
      <c r="AR81" s="424">
        <f t="shared" si="67"/>
        <v>0</v>
      </c>
      <c r="AS81" s="425" t="str">
        <f t="array" ref="AS81">IFERROR(IF(ROWS(H$16:H17)&gt;COUNTA($H$16:$H$75),"",INDEX($H$16:$H$75,SMALL(IF($H$16:$H$75&lt;&gt;"",ROW($H$16:$H$75)-ROW($H$16)+1),ROWS($H$16:H17)))),"")</f>
        <v/>
      </c>
      <c r="AT81" s="424" t="str">
        <f t="shared" si="68"/>
        <v/>
      </c>
    </row>
    <row r="82" spans="40:46" x14ac:dyDescent="0.25">
      <c r="AN82" s="42"/>
      <c r="AO82" s="42"/>
      <c r="AP82" s="42"/>
      <c r="AQ82" s="42">
        <v>3</v>
      </c>
      <c r="AR82" s="424">
        <f t="shared" si="67"/>
        <v>0</v>
      </c>
      <c r="AS82" s="425" t="str">
        <f t="array" ref="AS82">IFERROR(IF(ROWS(H$16:H18)&gt;COUNTA($H$16:$H$75),"",INDEX($H$16:$H$75,SMALL(IF($H$16:$H$75&lt;&gt;"",ROW($H$16:$H$75)-ROW($H$16)+1),ROWS($H$16:H18)))),"")</f>
        <v/>
      </c>
      <c r="AT82" s="424" t="str">
        <f t="shared" si="68"/>
        <v/>
      </c>
    </row>
    <row r="83" spans="40:46" x14ac:dyDescent="0.25">
      <c r="AN83" s="42"/>
      <c r="AO83" s="42"/>
      <c r="AP83" s="42"/>
      <c r="AQ83">
        <v>4</v>
      </c>
      <c r="AR83" s="424">
        <f t="shared" si="67"/>
        <v>0</v>
      </c>
      <c r="AS83" s="425" t="str">
        <f t="array" ref="AS83">IFERROR(IF(ROWS(H$16:H19)&gt;COUNTA($H$16:$H$75),"",INDEX($H$16:$H$75,SMALL(IF($H$16:$H$75&lt;&gt;"",ROW($H$16:$H$75)-ROW($H$16)+1),ROWS($H$16:H19)))),"")</f>
        <v/>
      </c>
      <c r="AT83" s="424" t="str">
        <f t="shared" si="68"/>
        <v/>
      </c>
    </row>
    <row r="84" spans="40:46" x14ac:dyDescent="0.25">
      <c r="AN84" s="42"/>
      <c r="AO84" s="42"/>
      <c r="AP84" s="42"/>
      <c r="AQ84" s="42">
        <v>5</v>
      </c>
      <c r="AR84" s="424">
        <f t="shared" si="67"/>
        <v>0</v>
      </c>
      <c r="AS84" s="425" t="str">
        <f t="array" ref="AS84">IFERROR(IF(ROWS(H$16:H20)&gt;COUNTA($H$16:$H$75),"",INDEX($H$16:$H$75,SMALL(IF($H$16:$H$75&lt;&gt;"",ROW($H$16:$H$75)-ROW($H$16)+1),ROWS($H$16:H20)))),"")</f>
        <v/>
      </c>
      <c r="AT84" s="424" t="str">
        <f t="shared" si="68"/>
        <v/>
      </c>
    </row>
    <row r="85" spans="40:46" x14ac:dyDescent="0.25">
      <c r="AN85" s="42"/>
      <c r="AO85" s="42"/>
      <c r="AP85" s="42"/>
      <c r="AQ85">
        <v>6</v>
      </c>
      <c r="AR85" s="424">
        <f t="shared" si="67"/>
        <v>0</v>
      </c>
      <c r="AS85" s="425" t="str">
        <f t="array" ref="AS85">IFERROR(IF(ROWS(H$16:H21)&gt;COUNTA($H$16:$H$75),"",INDEX($H$16:$H$75,SMALL(IF($H$16:$H$75&lt;&gt;"",ROW($H$16:$H$75)-ROW($H$16)+1),ROWS($H$16:H21)))),"")</f>
        <v/>
      </c>
      <c r="AT85" s="424" t="str">
        <f t="shared" si="68"/>
        <v/>
      </c>
    </row>
    <row r="86" spans="40:46" x14ac:dyDescent="0.25">
      <c r="AN86" s="42"/>
      <c r="AO86" s="42"/>
      <c r="AP86" s="42"/>
      <c r="AQ86" s="42">
        <v>7</v>
      </c>
      <c r="AR86" s="424">
        <f t="shared" si="67"/>
        <v>0</v>
      </c>
      <c r="AS86" s="425" t="str">
        <f t="array" ref="AS86">IFERROR(IF(ROWS(H$16:H22)&gt;COUNTA($H$16:$H$75),"",INDEX($H$16:$H$75,SMALL(IF($H$16:$H$75&lt;&gt;"",ROW($H$16:$H$75)-ROW($H$16)+1),ROWS($H$16:H22)))),"")</f>
        <v/>
      </c>
      <c r="AT86" s="424" t="str">
        <f t="shared" si="68"/>
        <v/>
      </c>
    </row>
    <row r="87" spans="40:46" x14ac:dyDescent="0.25">
      <c r="AQ87">
        <v>8</v>
      </c>
      <c r="AR87" s="424">
        <f t="shared" si="67"/>
        <v>0</v>
      </c>
      <c r="AS87" s="425" t="str">
        <f t="array" ref="AS87">IFERROR(IF(ROWS(H$16:H23)&gt;COUNTA($H$16:$H$75),"",INDEX($H$16:$H$75,SMALL(IF($H$16:$H$75&lt;&gt;"",ROW($H$16:$H$75)-ROW($H$16)+1),ROWS($H$16:H23)))),"")</f>
        <v/>
      </c>
      <c r="AT87" s="424" t="str">
        <f t="shared" si="68"/>
        <v/>
      </c>
    </row>
    <row r="88" spans="40:46" x14ac:dyDescent="0.25">
      <c r="AQ88" s="42">
        <v>9</v>
      </c>
      <c r="AR88" s="424">
        <f t="shared" si="67"/>
        <v>0</v>
      </c>
      <c r="AS88" s="425" t="str">
        <f t="array" ref="AS88">IFERROR(IF(ROWS(H$16:H24)&gt;COUNTA($H$16:$H$75),"",INDEX($H$16:$H$75,SMALL(IF($H$16:$H$75&lt;&gt;"",ROW($H$16:$H$75)-ROW($H$16)+1),ROWS($H$16:H24)))),"")</f>
        <v/>
      </c>
      <c r="AT88" s="424" t="str">
        <f t="shared" si="68"/>
        <v/>
      </c>
    </row>
    <row r="89" spans="40:46" x14ac:dyDescent="0.25">
      <c r="AQ89">
        <v>10</v>
      </c>
      <c r="AR89" s="424">
        <f t="shared" si="67"/>
        <v>0</v>
      </c>
      <c r="AS89" s="425" t="str">
        <f t="array" ref="AS89">IFERROR(IF(ROWS(H$16:H25)&gt;COUNTA($H$16:$H$75),"",INDEX($H$16:$H$75,SMALL(IF($H$16:$H$75&lt;&gt;"",ROW($H$16:$H$75)-ROW($H$16)+1),ROWS($H$16:H25)))),"")</f>
        <v/>
      </c>
      <c r="AT89" s="424" t="str">
        <f t="shared" si="68"/>
        <v/>
      </c>
    </row>
    <row r="90" spans="40:46" x14ac:dyDescent="0.25">
      <c r="AQ90" s="42">
        <v>11</v>
      </c>
      <c r="AR90" s="424">
        <f t="shared" si="67"/>
        <v>0</v>
      </c>
      <c r="AS90" s="425" t="str">
        <f t="array" ref="AS90">IFERROR(IF(ROWS(H$16:H26)&gt;COUNTA($H$16:$H$75),"",INDEX($H$16:$H$75,SMALL(IF($H$16:$H$75&lt;&gt;"",ROW($H$16:$H$75)-ROW($H$16)+1),ROWS($H$16:H26)))),"")</f>
        <v/>
      </c>
      <c r="AT90" s="424" t="str">
        <f t="shared" si="68"/>
        <v/>
      </c>
    </row>
    <row r="91" spans="40:46" x14ac:dyDescent="0.25">
      <c r="AQ91">
        <v>12</v>
      </c>
      <c r="AR91" s="424">
        <f t="shared" si="67"/>
        <v>0</v>
      </c>
      <c r="AS91" s="425" t="str">
        <f t="array" ref="AS91">IFERROR(IF(ROWS(H$16:H27)&gt;COUNTA($H$16:$H$75),"",INDEX($H$16:$H$75,SMALL(IF($H$16:$H$75&lt;&gt;"",ROW($H$16:$H$75)-ROW($H$16)+1),ROWS($H$16:H27)))),"")</f>
        <v/>
      </c>
      <c r="AT91" s="424" t="str">
        <f t="shared" si="68"/>
        <v/>
      </c>
    </row>
    <row r="92" spans="40:46" x14ac:dyDescent="0.25">
      <c r="AQ92" s="42">
        <v>13</v>
      </c>
      <c r="AR92" s="424">
        <f t="shared" si="67"/>
        <v>0</v>
      </c>
      <c r="AS92" s="425" t="str">
        <f t="array" ref="AS92">IFERROR(IF(ROWS(H$16:H28)&gt;COUNTA($H$16:$H$75),"",INDEX($H$16:$H$75,SMALL(IF($H$16:$H$75&lt;&gt;"",ROW($H$16:$H$75)-ROW($H$16)+1),ROWS($H$16:H28)))),"")</f>
        <v/>
      </c>
      <c r="AT92" s="424" t="str">
        <f t="shared" si="68"/>
        <v/>
      </c>
    </row>
    <row r="93" spans="40:46" x14ac:dyDescent="0.25">
      <c r="AQ93">
        <v>14</v>
      </c>
      <c r="AR93" s="424">
        <f t="shared" si="67"/>
        <v>0</v>
      </c>
      <c r="AS93" s="425" t="str">
        <f t="array" ref="AS93">IFERROR(IF(ROWS(H$16:H29)&gt;COUNTA($H$16:$H$75),"",INDEX($H$16:$H$75,SMALL(IF($H$16:$H$75&lt;&gt;"",ROW($H$16:$H$75)-ROW($H$16)+1),ROWS($H$16:H29)))),"")</f>
        <v/>
      </c>
      <c r="AT93" s="424" t="str">
        <f t="shared" si="68"/>
        <v/>
      </c>
    </row>
    <row r="94" spans="40:46" x14ac:dyDescent="0.25">
      <c r="AQ94" s="42">
        <v>15</v>
      </c>
      <c r="AR94" s="424">
        <f t="shared" si="67"/>
        <v>0</v>
      </c>
      <c r="AS94" s="425" t="str">
        <f t="array" ref="AS94">IFERROR(IF(ROWS(H$16:H30)&gt;COUNTA($H$16:$H$75),"",INDEX($H$16:$H$75,SMALL(IF($H$16:$H$75&lt;&gt;"",ROW($H$16:$H$75)-ROW($H$16)+1),ROWS($H$16:H30)))),"")</f>
        <v/>
      </c>
      <c r="AT94" s="424" t="str">
        <f t="shared" si="68"/>
        <v/>
      </c>
    </row>
    <row r="95" spans="40:46" x14ac:dyDescent="0.25">
      <c r="AQ95">
        <v>16</v>
      </c>
      <c r="AR95" s="424">
        <f t="shared" si="67"/>
        <v>0</v>
      </c>
      <c r="AS95" s="425" t="str">
        <f t="array" ref="AS95">IFERROR(IF(ROWS(H$16:H31)&gt;COUNTA($H$16:$H$75),"",INDEX($H$16:$H$75,SMALL(IF($H$16:$H$75&lt;&gt;"",ROW($H$16:$H$75)-ROW($H$16)+1),ROWS($H$16:H31)))),"")</f>
        <v/>
      </c>
      <c r="AT95" s="424" t="str">
        <f t="shared" si="68"/>
        <v/>
      </c>
    </row>
    <row r="96" spans="40:46" x14ac:dyDescent="0.25">
      <c r="AQ96" s="42">
        <v>17</v>
      </c>
      <c r="AR96" s="424">
        <f t="shared" si="67"/>
        <v>0</v>
      </c>
      <c r="AS96" s="425" t="str">
        <f t="array" ref="AS96">IFERROR(IF(ROWS(H$16:H32)&gt;COUNTA($H$16:$H$75),"",INDEX($H$16:$H$75,SMALL(IF($H$16:$H$75&lt;&gt;"",ROW($H$16:$H$75)-ROW($H$16)+1),ROWS($H$16:H32)))),"")</f>
        <v/>
      </c>
      <c r="AT96" s="424" t="str">
        <f t="shared" si="68"/>
        <v/>
      </c>
    </row>
    <row r="97" spans="43:46" x14ac:dyDescent="0.25">
      <c r="AQ97">
        <v>18</v>
      </c>
      <c r="AR97" s="424">
        <f t="shared" si="67"/>
        <v>0</v>
      </c>
      <c r="AS97" s="425" t="str">
        <f t="array" ref="AS97">IFERROR(IF(ROWS(H$16:H33)&gt;COUNTA($H$16:$H$75),"",INDEX($H$16:$H$75,SMALL(IF($H$16:$H$75&lt;&gt;"",ROW($H$16:$H$75)-ROW($H$16)+1),ROWS($H$16:H33)))),"")</f>
        <v/>
      </c>
      <c r="AT97" s="424" t="str">
        <f t="shared" si="68"/>
        <v/>
      </c>
    </row>
    <row r="98" spans="43:46" x14ac:dyDescent="0.25">
      <c r="AQ98" s="42">
        <v>19</v>
      </c>
      <c r="AR98" s="424">
        <f t="shared" si="67"/>
        <v>0</v>
      </c>
      <c r="AS98" s="425" t="str">
        <f t="array" ref="AS98">IFERROR(IF(ROWS(H$16:H34)&gt;COUNTA($H$16:$H$75),"",INDEX($H$16:$H$75,SMALL(IF($H$16:$H$75&lt;&gt;"",ROW($H$16:$H$75)-ROW($H$16)+1),ROWS($H$16:H34)))),"")</f>
        <v/>
      </c>
      <c r="AT98" s="424" t="str">
        <f t="shared" si="68"/>
        <v/>
      </c>
    </row>
    <row r="99" spans="43:46" x14ac:dyDescent="0.25">
      <c r="AQ99">
        <v>20</v>
      </c>
      <c r="AR99" s="424">
        <f t="shared" si="67"/>
        <v>0</v>
      </c>
      <c r="AS99" s="425" t="str">
        <f t="array" ref="AS99">IFERROR(IF(ROWS(H$16:H35)&gt;COUNTA($H$16:$H$75),"",INDEX($H$16:$H$75,SMALL(IF($H$16:$H$75&lt;&gt;"",ROW($H$16:$H$75)-ROW($H$16)+1),ROWS($H$16:H35)))),"")</f>
        <v/>
      </c>
      <c r="AT99" s="424" t="str">
        <f t="shared" si="68"/>
        <v/>
      </c>
    </row>
    <row r="100" spans="43:46" x14ac:dyDescent="0.25">
      <c r="AQ100" s="42">
        <v>21</v>
      </c>
      <c r="AR100" s="424">
        <f t="shared" si="67"/>
        <v>0</v>
      </c>
      <c r="AS100" s="425" t="str">
        <f t="array" ref="AS100">IFERROR(IF(ROWS(H$16:H35)&gt;COUNTA($H$16:$H$75),"",INDEX($H$16:$H$75,SMALL(IF($H$16:$H$75&lt;&gt;"",ROW($H$16:$H$75)-ROW($H$16)+1),ROWS($H$16:H35)))),"")</f>
        <v/>
      </c>
      <c r="AT100" s="424" t="str">
        <f t="shared" si="68"/>
        <v/>
      </c>
    </row>
    <row r="101" spans="43:46" x14ac:dyDescent="0.25">
      <c r="AQ101">
        <v>22</v>
      </c>
      <c r="AR101" s="424">
        <f t="shared" si="67"/>
        <v>0</v>
      </c>
      <c r="AS101" s="425" t="str">
        <f t="array" ref="AS101">IFERROR(IF(ROWS(H$16:H35)&gt;COUNTA($H$16:$H$75),"",INDEX($H$16:$H$75,SMALL(IF($H$16:$H$75&lt;&gt;"",ROW($H$16:$H$75)-ROW($H$16)+1),ROWS($H$16:H35)))),"")</f>
        <v/>
      </c>
      <c r="AT101" s="424" t="str">
        <f t="shared" si="68"/>
        <v/>
      </c>
    </row>
    <row r="102" spans="43:46" x14ac:dyDescent="0.25">
      <c r="AQ102" s="42">
        <v>23</v>
      </c>
      <c r="AR102" s="424">
        <f t="shared" si="67"/>
        <v>0</v>
      </c>
      <c r="AS102" s="425" t="str">
        <f t="array" ref="AS102">IFERROR(IF(ROWS(H$16:H35)&gt;COUNTA($H$16:$H$75),"",INDEX($H$16:$H$75,SMALL(IF($H$16:$H$75&lt;&gt;"",ROW($H$16:$H$75)-ROW($H$16)+1),ROWS($H$16:H35)))),"")</f>
        <v/>
      </c>
      <c r="AT102" s="424" t="str">
        <f t="shared" si="68"/>
        <v/>
      </c>
    </row>
    <row r="103" spans="43:46" x14ac:dyDescent="0.25">
      <c r="AQ103">
        <v>24</v>
      </c>
      <c r="AR103" s="424">
        <f t="shared" si="67"/>
        <v>0</v>
      </c>
      <c r="AS103" s="425" t="str">
        <f t="array" ref="AS103">IFERROR(IF(ROWS(H$16:H36)&gt;COUNTA($H$16:$H$75),"",INDEX($H$16:$H$75,SMALL(IF($H$16:$H$75&lt;&gt;"",ROW($H$16:$H$75)-ROW($H$16)+1),ROWS($H$16:H36)))),"")</f>
        <v/>
      </c>
      <c r="AT103" s="424" t="str">
        <f t="shared" si="68"/>
        <v/>
      </c>
    </row>
    <row r="104" spans="43:46" x14ac:dyDescent="0.25">
      <c r="AQ104" s="42">
        <v>25</v>
      </c>
      <c r="AR104" s="424">
        <f t="shared" si="67"/>
        <v>0</v>
      </c>
      <c r="AS104" s="425" t="str">
        <f t="array" ref="AS104">IFERROR(IF(ROWS(H$16:H37)&gt;COUNTA($H$16:$H$75),"",INDEX($H$16:$H$75,SMALL(IF($H$16:$H$75&lt;&gt;"",ROW($H$16:$H$75)-ROW($H$16)+1),ROWS($H$16:H37)))),"")</f>
        <v/>
      </c>
      <c r="AT104" s="424" t="str">
        <f t="shared" si="68"/>
        <v/>
      </c>
    </row>
    <row r="105" spans="43:46" x14ac:dyDescent="0.25">
      <c r="AQ105">
        <v>26</v>
      </c>
      <c r="AR105" s="424">
        <f t="shared" si="67"/>
        <v>0</v>
      </c>
      <c r="AS105" s="425" t="str">
        <f t="array" ref="AS105">IFERROR(IF(ROWS(H$16:H38)&gt;COUNTA($H$16:$H$75),"",INDEX($H$16:$H$75,SMALL(IF($H$16:$H$75&lt;&gt;"",ROW($H$16:$H$75)-ROW($H$16)+1),ROWS($H$16:H38)))),"")</f>
        <v/>
      </c>
      <c r="AT105" s="424" t="str">
        <f t="shared" si="68"/>
        <v/>
      </c>
    </row>
    <row r="106" spans="43:46" x14ac:dyDescent="0.25">
      <c r="AQ106" s="42">
        <v>27</v>
      </c>
      <c r="AR106" s="424">
        <f t="shared" si="67"/>
        <v>0</v>
      </c>
      <c r="AS106" s="425" t="str">
        <f t="array" ref="AS106">IFERROR(IF(ROWS(H$16:H39)&gt;COUNTA($H$16:$H$75),"",INDEX($H$16:$H$75,SMALL(IF($H$16:$H$75&lt;&gt;"",ROW($H$16:$H$75)-ROW($H$16)+1),ROWS($H$16:H39)))),"")</f>
        <v/>
      </c>
      <c r="AT106" s="424" t="str">
        <f t="shared" si="68"/>
        <v/>
      </c>
    </row>
    <row r="107" spans="43:46" x14ac:dyDescent="0.25">
      <c r="AQ107">
        <v>28</v>
      </c>
      <c r="AR107" s="424">
        <f t="shared" si="67"/>
        <v>0</v>
      </c>
      <c r="AS107" s="425" t="str">
        <f t="array" ref="AS107">IFERROR(IF(ROWS(H$16:H40)&gt;COUNTA($H$16:$H$75),"",INDEX($H$16:$H$75,SMALL(IF($H$16:$H$75&lt;&gt;"",ROW($H$16:$H$75)-ROW($H$16)+1),ROWS($H$16:H40)))),"")</f>
        <v/>
      </c>
      <c r="AT107" s="424" t="str">
        <f t="shared" si="68"/>
        <v/>
      </c>
    </row>
    <row r="108" spans="43:46" x14ac:dyDescent="0.25">
      <c r="AQ108" s="42">
        <v>29</v>
      </c>
      <c r="AR108" s="424">
        <f t="shared" si="67"/>
        <v>0</v>
      </c>
      <c r="AS108" s="425" t="str">
        <f t="array" ref="AS108">IFERROR(IF(ROWS(H$16:H41)&gt;COUNTA($H$16:$H$75),"",INDEX($H$16:$H$75,SMALL(IF($H$16:$H$75&lt;&gt;"",ROW($H$16:$H$75)-ROW($H$16)+1),ROWS($H$16:H41)))),"")</f>
        <v/>
      </c>
      <c r="AT108" s="424" t="str">
        <f t="shared" si="68"/>
        <v/>
      </c>
    </row>
    <row r="109" spans="43:46" x14ac:dyDescent="0.25">
      <c r="AQ109">
        <v>30</v>
      </c>
      <c r="AR109" s="424">
        <f t="shared" si="67"/>
        <v>0</v>
      </c>
      <c r="AS109" s="425" t="str">
        <f t="array" ref="AS109">IFERROR(IF(ROWS(H$16:H42)&gt;COUNTA($H$16:$H$75),"",INDEX($H$16:$H$75,SMALL(IF($H$16:$H$75&lt;&gt;"",ROW($H$16:$H$75)-ROW($H$16)+1),ROWS($H$16:H42)))),"")</f>
        <v/>
      </c>
      <c r="AT109" s="424" t="str">
        <f t="shared" si="68"/>
        <v/>
      </c>
    </row>
    <row r="110" spans="43:46" x14ac:dyDescent="0.25">
      <c r="AQ110" s="42">
        <v>31</v>
      </c>
      <c r="AR110" s="424">
        <f t="shared" si="67"/>
        <v>0</v>
      </c>
      <c r="AS110" s="425" t="str">
        <f t="array" ref="AS110">IFERROR(IF(ROWS(H$16:H43)&gt;COUNTA($H$16:$H$75),"",INDEX($H$16:$H$75,SMALL(IF($H$16:$H$75&lt;&gt;"",ROW($H$16:$H$75)-ROW($H$16)+1),ROWS($H$16:H43)))),"")</f>
        <v/>
      </c>
      <c r="AT110" s="424" t="str">
        <f t="shared" si="68"/>
        <v/>
      </c>
    </row>
    <row r="111" spans="43:46" x14ac:dyDescent="0.25">
      <c r="AQ111">
        <v>32</v>
      </c>
      <c r="AR111" s="424">
        <f t="shared" si="67"/>
        <v>0</v>
      </c>
      <c r="AS111" s="425" t="str">
        <f t="array" ref="AS111">IFERROR(IF(ROWS(H$16:H44)&gt;COUNTA($H$16:$H$75),"",INDEX($H$16:$H$75,SMALL(IF($H$16:$H$75&lt;&gt;"",ROW($H$16:$H$75)-ROW($H$16)+1),ROWS($H$16:H44)))),"")</f>
        <v/>
      </c>
      <c r="AT111" s="424" t="str">
        <f t="shared" si="68"/>
        <v/>
      </c>
    </row>
    <row r="112" spans="43:46" x14ac:dyDescent="0.25">
      <c r="AQ112" s="42">
        <v>33</v>
      </c>
      <c r="AR112" s="424">
        <f t="shared" si="67"/>
        <v>0</v>
      </c>
      <c r="AS112" s="425" t="str">
        <f t="array" ref="AS112">IFERROR(IF(ROWS(H$16:H45)&gt;COUNTA($H$16:$H$75),"",INDEX($H$16:$H$75,SMALL(IF($H$16:$H$75&lt;&gt;"",ROW($H$16:$H$75)-ROW($H$16)+1),ROWS($H$16:H45)))),"")</f>
        <v/>
      </c>
      <c r="AT112" s="424" t="str">
        <f t="shared" ref="AT112:AT139" si="69">IF(P112="",VLOOKUP(AS112,$H$16:$P$75,9,FALSE),P112)</f>
        <v/>
      </c>
    </row>
    <row r="113" spans="43:46" x14ac:dyDescent="0.25">
      <c r="AQ113">
        <v>34</v>
      </c>
      <c r="AR113" s="424">
        <f t="shared" si="67"/>
        <v>0</v>
      </c>
      <c r="AS113" s="425" t="str">
        <f t="array" ref="AS113">IFERROR(IF(ROWS(H$16:H46)&gt;COUNTA($H$16:$H$75),"",INDEX($H$16:$H$75,SMALL(IF($H$16:$H$75&lt;&gt;"",ROW($H$16:$H$75)-ROW($H$16)+1),ROWS($H$16:H46)))),"")</f>
        <v/>
      </c>
      <c r="AT113" s="424" t="str">
        <f t="shared" si="69"/>
        <v/>
      </c>
    </row>
    <row r="114" spans="43:46" x14ac:dyDescent="0.25">
      <c r="AQ114" s="42">
        <v>35</v>
      </c>
      <c r="AR114" s="424">
        <f t="shared" si="67"/>
        <v>0</v>
      </c>
      <c r="AS114" s="425" t="str">
        <f t="array" ref="AS114">IFERROR(IF(ROWS(H$16:H47)&gt;COUNTA($H$16:$H$75),"",INDEX($H$16:$H$75,SMALL(IF($H$16:$H$75&lt;&gt;"",ROW($H$16:$H$75)-ROW($H$16)+1),ROWS($H$16:H47)))),"")</f>
        <v/>
      </c>
      <c r="AT114" s="424" t="str">
        <f t="shared" si="69"/>
        <v/>
      </c>
    </row>
    <row r="115" spans="43:46" x14ac:dyDescent="0.25">
      <c r="AQ115">
        <v>36</v>
      </c>
      <c r="AR115" s="424">
        <f t="shared" si="67"/>
        <v>0</v>
      </c>
      <c r="AS115" s="425" t="str">
        <f t="array" ref="AS115">IFERROR(IF(ROWS(H$16:H48)&gt;COUNTA($H$16:$H$75),"",INDEX($H$16:$H$75,SMALL(IF($H$16:$H$75&lt;&gt;"",ROW($H$16:$H$75)-ROW($H$16)+1),ROWS($H$16:H48)))),"")</f>
        <v/>
      </c>
      <c r="AT115" s="424" t="str">
        <f t="shared" si="69"/>
        <v/>
      </c>
    </row>
    <row r="116" spans="43:46" x14ac:dyDescent="0.25">
      <c r="AQ116" s="42">
        <v>37</v>
      </c>
      <c r="AR116" s="424">
        <f t="shared" si="67"/>
        <v>0</v>
      </c>
      <c r="AS116" s="425" t="str">
        <f t="array" ref="AS116">IFERROR(IF(ROWS(H$16:H49)&gt;COUNTA($H$16:$H$75),"",INDEX($H$16:$H$75,SMALL(IF($H$16:$H$75&lt;&gt;"",ROW($H$16:$H$75)-ROW($H$16)+1),ROWS($H$16:H49)))),"")</f>
        <v/>
      </c>
      <c r="AT116" s="424" t="str">
        <f t="shared" si="69"/>
        <v/>
      </c>
    </row>
    <row r="117" spans="43:46" x14ac:dyDescent="0.25">
      <c r="AQ117">
        <v>38</v>
      </c>
      <c r="AR117" s="424">
        <f t="shared" si="67"/>
        <v>0</v>
      </c>
      <c r="AS117" s="425" t="str">
        <f t="array" ref="AS117">IFERROR(IF(ROWS(H$16:H50)&gt;COUNTA($H$16:$H$75),"",INDEX($H$16:$H$75,SMALL(IF($H$16:$H$75&lt;&gt;"",ROW($H$16:$H$75)-ROW($H$16)+1),ROWS($H$16:H50)))),"")</f>
        <v/>
      </c>
      <c r="AT117" s="424" t="str">
        <f t="shared" si="69"/>
        <v/>
      </c>
    </row>
    <row r="118" spans="43:46" x14ac:dyDescent="0.25">
      <c r="AQ118" s="42">
        <v>39</v>
      </c>
      <c r="AR118" s="424">
        <f t="shared" si="67"/>
        <v>0</v>
      </c>
      <c r="AS118" s="425" t="str">
        <f t="array" ref="AS118">IFERROR(IF(ROWS(H$16:H51)&gt;COUNTA($H$16:$H$75),"",INDEX($H$16:$H$75,SMALL(IF($H$16:$H$75&lt;&gt;"",ROW($H$16:$H$75)-ROW($H$16)+1),ROWS($H$16:H51)))),"")</f>
        <v/>
      </c>
      <c r="AT118" s="424" t="str">
        <f t="shared" si="69"/>
        <v/>
      </c>
    </row>
    <row r="119" spans="43:46" x14ac:dyDescent="0.25">
      <c r="AQ119">
        <v>40</v>
      </c>
      <c r="AR119" s="424">
        <f t="shared" si="67"/>
        <v>0</v>
      </c>
      <c r="AS119" s="425" t="str">
        <f t="array" ref="AS119">IFERROR(IF(ROWS(H$16:H52)&gt;COUNTA($H$16:$H$75),"",INDEX($H$16:$H$75,SMALL(IF($H$16:$H$75&lt;&gt;"",ROW($H$16:$H$75)-ROW($H$16)+1),ROWS($H$16:H52)))),"")</f>
        <v/>
      </c>
      <c r="AT119" s="424" t="str">
        <f t="shared" si="69"/>
        <v/>
      </c>
    </row>
    <row r="120" spans="43:46" x14ac:dyDescent="0.25">
      <c r="AQ120" s="42">
        <v>41</v>
      </c>
      <c r="AR120" s="424">
        <f t="shared" si="67"/>
        <v>0</v>
      </c>
      <c r="AS120" s="425" t="str">
        <f t="array" ref="AS120">IFERROR(IF(ROWS(H$16:H53)&gt;COUNTA($H$16:$H$75),"",INDEX($H$16:$H$75,SMALL(IF($H$16:$H$75&lt;&gt;"",ROW($H$16:$H$75)-ROW($H$16)+1),ROWS($H$16:H53)))),"")</f>
        <v/>
      </c>
      <c r="AT120" s="424" t="str">
        <f t="shared" si="69"/>
        <v/>
      </c>
    </row>
    <row r="121" spans="43:46" x14ac:dyDescent="0.25">
      <c r="AQ121">
        <v>42</v>
      </c>
      <c r="AR121" s="424">
        <f t="shared" si="67"/>
        <v>0</v>
      </c>
      <c r="AS121" s="425" t="str">
        <f t="array" ref="AS121">IFERROR(IF(ROWS(H$16:H54)&gt;COUNTA($H$16:$H$75),"",INDEX($H$16:$H$75,SMALL(IF($H$16:$H$75&lt;&gt;"",ROW($H$16:$H$75)-ROW($H$16)+1),ROWS($H$16:H54)))),"")</f>
        <v/>
      </c>
      <c r="AT121" s="424" t="str">
        <f t="shared" si="69"/>
        <v/>
      </c>
    </row>
    <row r="122" spans="43:46" x14ac:dyDescent="0.25">
      <c r="AQ122" s="42">
        <v>43</v>
      </c>
      <c r="AR122" s="424">
        <f t="shared" si="67"/>
        <v>0</v>
      </c>
      <c r="AS122" s="425" t="str">
        <f t="array" ref="AS122">IFERROR(IF(ROWS(H$16:H55)&gt;COUNTA($H$16:$H$75),"",INDEX($H$16:$H$75,SMALL(IF($H$16:$H$75&lt;&gt;"",ROW($H$16:$H$75)-ROW($H$16)+1),ROWS($H$16:H55)))),"")</f>
        <v/>
      </c>
      <c r="AT122" s="424" t="str">
        <f t="shared" si="69"/>
        <v/>
      </c>
    </row>
    <row r="123" spans="43:46" x14ac:dyDescent="0.25">
      <c r="AQ123">
        <v>44</v>
      </c>
      <c r="AR123" s="424">
        <f t="shared" si="67"/>
        <v>0</v>
      </c>
      <c r="AS123" s="425" t="str">
        <f t="array" ref="AS123">IFERROR(IF(ROWS(H$16:H55)&gt;COUNTA($H$16:$H$75),"",INDEX($H$16:$H$75,SMALL(IF($H$16:$H$75&lt;&gt;"",ROW($H$16:$H$75)-ROW($H$16)+1),ROWS($H$16:H55)))),"")</f>
        <v/>
      </c>
      <c r="AT123" s="424" t="str">
        <f t="shared" si="69"/>
        <v/>
      </c>
    </row>
    <row r="124" spans="43:46" x14ac:dyDescent="0.25">
      <c r="AQ124" s="42">
        <v>45</v>
      </c>
      <c r="AR124" s="424">
        <f t="shared" si="67"/>
        <v>0</v>
      </c>
      <c r="AS124" s="425" t="str">
        <f t="array" ref="AS124">IFERROR(IF(ROWS(H$16:H55)&gt;COUNTA($H$16:$H$75),"",INDEX($H$16:$H$75,SMALL(IF($H$16:$H$75&lt;&gt;"",ROW($H$16:$H$75)-ROW($H$16)+1),ROWS($H$16:H55)))),"")</f>
        <v/>
      </c>
      <c r="AT124" s="424" t="str">
        <f t="shared" si="69"/>
        <v/>
      </c>
    </row>
    <row r="125" spans="43:46" x14ac:dyDescent="0.25">
      <c r="AQ125">
        <v>46</v>
      </c>
      <c r="AR125" s="424">
        <f t="shared" si="67"/>
        <v>0</v>
      </c>
      <c r="AS125" s="425" t="str">
        <f t="array" ref="AS125">IFERROR(IF(ROWS(H$16:H55)&gt;COUNTA($H$16:$H$75),"",INDEX($H$16:$H$75,SMALL(IF($H$16:$H$75&lt;&gt;"",ROW($H$16:$H$75)-ROW($H$16)+1),ROWS($H$16:H55)))),"")</f>
        <v/>
      </c>
      <c r="AT125" s="424" t="str">
        <f t="shared" si="69"/>
        <v/>
      </c>
    </row>
    <row r="126" spans="43:46" x14ac:dyDescent="0.25">
      <c r="AQ126" s="42">
        <v>47</v>
      </c>
      <c r="AR126" s="424">
        <f t="shared" si="67"/>
        <v>0</v>
      </c>
      <c r="AS126" s="425" t="str">
        <f t="array" ref="AS126">IFERROR(IF(ROWS(H$16:H56)&gt;COUNTA($H$16:$H$75),"",INDEX($H$16:$H$75,SMALL(IF($H$16:$H$75&lt;&gt;"",ROW($H$16:$H$75)-ROW($H$16)+1),ROWS($H$16:H56)))),"")</f>
        <v/>
      </c>
      <c r="AT126" s="424" t="str">
        <f t="shared" si="69"/>
        <v/>
      </c>
    </row>
    <row r="127" spans="43:46" x14ac:dyDescent="0.25">
      <c r="AQ127">
        <v>48</v>
      </c>
      <c r="AR127" s="424">
        <f t="shared" si="67"/>
        <v>0</v>
      </c>
      <c r="AS127" s="425" t="str">
        <f t="array" ref="AS127">IFERROR(IF(ROWS(H$16:H57)&gt;COUNTA($H$16:$H$75),"",INDEX($H$16:$H$75,SMALL(IF($H$16:$H$75&lt;&gt;"",ROW($H$16:$H$75)-ROW($H$16)+1),ROWS($H$16:H57)))),"")</f>
        <v/>
      </c>
      <c r="AT127" s="424" t="str">
        <f t="shared" si="69"/>
        <v/>
      </c>
    </row>
    <row r="128" spans="43:46" x14ac:dyDescent="0.25">
      <c r="AQ128" s="42">
        <v>49</v>
      </c>
      <c r="AR128" s="424">
        <f t="shared" si="67"/>
        <v>0</v>
      </c>
      <c r="AS128" s="425" t="str">
        <f t="array" ref="AS128">IFERROR(IF(ROWS(H$16:H58)&gt;COUNTA($H$16:$H$75),"",INDEX($H$16:$H$75,SMALL(IF($H$16:$H$75&lt;&gt;"",ROW($H$16:$H$75)-ROW($H$16)+1),ROWS($H$16:H58)))),"")</f>
        <v/>
      </c>
      <c r="AT128" s="424" t="str">
        <f t="shared" si="69"/>
        <v/>
      </c>
    </row>
    <row r="129" spans="43:46" x14ac:dyDescent="0.25">
      <c r="AQ129">
        <v>50</v>
      </c>
      <c r="AR129" s="424">
        <f t="shared" si="67"/>
        <v>0</v>
      </c>
      <c r="AS129" s="425" t="str">
        <f t="array" ref="AS129">IFERROR(IF(ROWS(H$16:H59)&gt;COUNTA($H$16:$H$75),"",INDEX($H$16:$H$75,SMALL(IF($H$16:$H$75&lt;&gt;"",ROW($H$16:$H$75)-ROW($H$16)+1),ROWS($H$16:H59)))),"")</f>
        <v/>
      </c>
      <c r="AT129" s="424" t="str">
        <f t="shared" si="69"/>
        <v/>
      </c>
    </row>
    <row r="130" spans="43:46" x14ac:dyDescent="0.25">
      <c r="AQ130" s="42">
        <v>51</v>
      </c>
      <c r="AR130" s="424">
        <f t="shared" si="67"/>
        <v>0</v>
      </c>
      <c r="AS130" s="425" t="str">
        <f t="array" ref="AS130">IFERROR(IF(ROWS(H$16:H60)&gt;COUNTA($H$16:$H$75),"",INDEX($H$16:$H$75,SMALL(IF($H$16:$H$75&lt;&gt;"",ROW($H$16:$H$75)-ROW($H$16)+1),ROWS($H$16:H60)))),"")</f>
        <v/>
      </c>
      <c r="AT130" s="424" t="str">
        <f t="shared" si="69"/>
        <v/>
      </c>
    </row>
    <row r="131" spans="43:46" x14ac:dyDescent="0.25">
      <c r="AQ131">
        <v>52</v>
      </c>
      <c r="AR131" s="424">
        <f t="shared" si="67"/>
        <v>0</v>
      </c>
      <c r="AS131" s="425" t="str">
        <f t="array" ref="AS131">IFERROR(IF(ROWS(H$16:H61)&gt;COUNTA($H$16:$H$75),"",INDEX($H$16:$H$75,SMALL(IF($H$16:$H$75&lt;&gt;"",ROW($H$16:$H$75)-ROW($H$16)+1),ROWS($H$16:H61)))),"")</f>
        <v/>
      </c>
      <c r="AT131" s="424" t="str">
        <f t="shared" si="69"/>
        <v/>
      </c>
    </row>
    <row r="132" spans="43:46" x14ac:dyDescent="0.25">
      <c r="AQ132" s="42">
        <v>53</v>
      </c>
      <c r="AR132" s="424">
        <f t="shared" si="67"/>
        <v>0</v>
      </c>
      <c r="AS132" s="425" t="str">
        <f t="array" ref="AS132">IFERROR(IF(ROWS(H$16:H62)&gt;COUNTA($H$16:$H$75),"",INDEX($H$16:$H$75,SMALL(IF($H$16:$H$75&lt;&gt;"",ROW($H$16:$H$75)-ROW($H$16)+1),ROWS($H$16:H62)))),"")</f>
        <v/>
      </c>
      <c r="AT132" s="424" t="str">
        <f t="shared" si="69"/>
        <v/>
      </c>
    </row>
    <row r="133" spans="43:46" x14ac:dyDescent="0.25">
      <c r="AQ133">
        <v>54</v>
      </c>
      <c r="AR133" s="424">
        <f t="shared" si="67"/>
        <v>0</v>
      </c>
      <c r="AS133" s="425" t="str">
        <f t="array" ref="AS133">IFERROR(IF(ROWS(H$16:H63)&gt;COUNTA($H$16:$H$75),"",INDEX($H$16:$H$75,SMALL(IF($H$16:$H$75&lt;&gt;"",ROW($H$16:$H$75)-ROW($H$16)+1),ROWS($H$16:H63)))),"")</f>
        <v/>
      </c>
      <c r="AT133" s="424" t="str">
        <f t="shared" si="69"/>
        <v/>
      </c>
    </row>
    <row r="134" spans="43:46" x14ac:dyDescent="0.25">
      <c r="AQ134" s="42">
        <v>55</v>
      </c>
      <c r="AR134" s="424">
        <f t="shared" si="67"/>
        <v>0</v>
      </c>
      <c r="AS134" s="425" t="str">
        <f t="array" ref="AS134">IFERROR(IF(ROWS(H$16:H64)&gt;COUNTA($H$16:$H$75),"",INDEX($H$16:$H$75,SMALL(IF($H$16:$H$75&lt;&gt;"",ROW($H$16:$H$75)-ROW($H$16)+1),ROWS($H$16:H64)))),"")</f>
        <v/>
      </c>
      <c r="AT134" s="424" t="str">
        <f t="shared" si="69"/>
        <v/>
      </c>
    </row>
    <row r="135" spans="43:46" x14ac:dyDescent="0.25">
      <c r="AQ135">
        <v>56</v>
      </c>
      <c r="AR135" s="424">
        <f t="shared" si="67"/>
        <v>0</v>
      </c>
      <c r="AS135" s="425" t="str">
        <f t="array" ref="AS135">IFERROR(IF(ROWS(H$16:H65)&gt;COUNTA($H$16:$H$75),"",INDEX($H$16:$H$75,SMALL(IF($H$16:$H$75&lt;&gt;"",ROW($H$16:$H$75)-ROW($H$16)+1),ROWS($H$16:H65)))),"")</f>
        <v/>
      </c>
      <c r="AT135" s="424" t="str">
        <f t="shared" si="69"/>
        <v/>
      </c>
    </row>
    <row r="136" spans="43:46" x14ac:dyDescent="0.25">
      <c r="AQ136" s="42">
        <v>57</v>
      </c>
      <c r="AR136" s="424">
        <f t="shared" si="67"/>
        <v>0</v>
      </c>
      <c r="AS136" s="425" t="str">
        <f t="array" ref="AS136">IFERROR(IF(ROWS(H$16:H66)&gt;COUNTA($H$16:$H$75),"",INDEX($H$16:$H$75,SMALL(IF($H$16:$H$75&lt;&gt;"",ROW($H$16:$H$75)-ROW($H$16)+1),ROWS($H$16:H66)))),"")</f>
        <v/>
      </c>
      <c r="AT136" s="424" t="str">
        <f t="shared" si="69"/>
        <v/>
      </c>
    </row>
    <row r="137" spans="43:46" x14ac:dyDescent="0.25">
      <c r="AQ137">
        <v>58</v>
      </c>
      <c r="AR137" s="424">
        <f t="shared" si="67"/>
        <v>0</v>
      </c>
      <c r="AS137" s="425" t="str">
        <f t="array" ref="AS137">IFERROR(IF(ROWS(H$16:H67)&gt;COUNTA($H$16:$H$75),"",INDEX($H$16:$H$75,SMALL(IF($H$16:$H$75&lt;&gt;"",ROW($H$16:$H$75)-ROW($H$16)+1),ROWS($H$16:H67)))),"")</f>
        <v/>
      </c>
      <c r="AT137" s="424" t="str">
        <f t="shared" si="69"/>
        <v/>
      </c>
    </row>
    <row r="138" spans="43:46" x14ac:dyDescent="0.25">
      <c r="AQ138" s="42">
        <v>59</v>
      </c>
      <c r="AR138" s="424">
        <f t="shared" si="67"/>
        <v>0</v>
      </c>
      <c r="AS138" s="425" t="str">
        <f t="array" ref="AS138">IFERROR(IF(ROWS(H$16:H68)&gt;COUNTA($H$16:$H$75),"",INDEX($H$16:$H$75,SMALL(IF($H$16:$H$75&lt;&gt;"",ROW($H$16:$H$75)-ROW($H$16)+1),ROWS($H$16:H68)))),"")</f>
        <v/>
      </c>
      <c r="AT138" s="424" t="str">
        <f t="shared" si="69"/>
        <v/>
      </c>
    </row>
    <row r="139" spans="43:46" x14ac:dyDescent="0.25">
      <c r="AQ139">
        <v>60</v>
      </c>
      <c r="AR139" s="424">
        <f t="shared" si="67"/>
        <v>0</v>
      </c>
      <c r="AS139" s="425" t="str">
        <f t="array" ref="AS139">IFERROR(IF(ROWS(H$16:H69)&gt;COUNTA($H$16:$H$75),"",INDEX($H$16:$H$75,SMALL(IF($H$16:$H$75&lt;&gt;"",ROW($H$16:$H$75)-ROW($H$16)+1),ROWS($H$16:H69)))),"")</f>
        <v/>
      </c>
      <c r="AT139" s="424" t="str">
        <f t="shared" si="69"/>
        <v/>
      </c>
    </row>
  </sheetData>
  <sheetProtection sheet="1" objects="1" scenarios="1" selectLockedCells="1"/>
  <sortState xmlns:xlrd2="http://schemas.microsoft.com/office/spreadsheetml/2017/richdata2" ref="AV34:AV63">
    <sortCondition ref="AV34"/>
  </sortState>
  <mergeCells count="37">
    <mergeCell ref="U11:U15"/>
    <mergeCell ref="I11:I15"/>
    <mergeCell ref="AB5:AB9"/>
    <mergeCell ref="V9:W9"/>
    <mergeCell ref="X9:Z9"/>
    <mergeCell ref="S5:Z7"/>
    <mergeCell ref="L11:L15"/>
    <mergeCell ref="N11:N15"/>
    <mergeCell ref="P11:P15"/>
    <mergeCell ref="R11:R15"/>
    <mergeCell ref="S11:S15"/>
    <mergeCell ref="X11:X15"/>
    <mergeCell ref="Y11:Y15"/>
    <mergeCell ref="Z11:Z15"/>
    <mergeCell ref="AB11:AB15"/>
    <mergeCell ref="AA9:AA15"/>
    <mergeCell ref="D11:F11"/>
    <mergeCell ref="C33:F36"/>
    <mergeCell ref="C26:F26"/>
    <mergeCell ref="C27:E30"/>
    <mergeCell ref="T11:T15"/>
    <mergeCell ref="D1:F1"/>
    <mergeCell ref="C39:E42"/>
    <mergeCell ref="I1:N1"/>
    <mergeCell ref="I3:N3"/>
    <mergeCell ref="W11:W15"/>
    <mergeCell ref="V11:V15"/>
    <mergeCell ref="J11:J15"/>
    <mergeCell ref="K11:K15"/>
    <mergeCell ref="J6:K8"/>
    <mergeCell ref="B19:E19"/>
    <mergeCell ref="B20:E20"/>
    <mergeCell ref="B21:E21"/>
    <mergeCell ref="B22:E22"/>
    <mergeCell ref="S9:U9"/>
    <mergeCell ref="B13:C13"/>
    <mergeCell ref="C32:F32"/>
  </mergeCells>
  <phoneticPr fontId="4" type="noConversion"/>
  <conditionalFormatting sqref="K16:K74">
    <cfRule type="expression" dxfId="408" priority="3">
      <formula>AND($J16&lt;&gt;"",$K16&lt;&gt;"")</formula>
    </cfRule>
  </conditionalFormatting>
  <conditionalFormatting sqref="K16:L75">
    <cfRule type="expression" dxfId="407" priority="7">
      <formula>AND($J16&lt;&gt;"",K16="")</formula>
    </cfRule>
  </conditionalFormatting>
  <conditionalFormatting sqref="L16:L75">
    <cfRule type="expression" dxfId="406" priority="2">
      <formula>AND($J16&lt;&gt;"",$L16&lt;&gt;"")</formula>
    </cfRule>
  </conditionalFormatting>
  <conditionalFormatting sqref="N7:N8 O9:O10">
    <cfRule type="cellIs" dxfId="405" priority="45" operator="equal">
      <formula>"Not Compliant"</formula>
    </cfRule>
    <cfRule type="cellIs" dxfId="404" priority="46" operator="equal">
      <formula>"Compliant"</formula>
    </cfRule>
  </conditionalFormatting>
  <conditionalFormatting sqref="N16:N75">
    <cfRule type="expression" dxfId="403" priority="1">
      <formula>AND($J16&lt;&gt;"",$N16&lt;&gt;"")</formula>
    </cfRule>
    <cfRule type="expression" dxfId="402" priority="10" stopIfTrue="1">
      <formula>AND($K16&lt;&gt;"",$K16="Track")</formula>
    </cfRule>
    <cfRule type="expression" dxfId="401" priority="11">
      <formula>AND($J16&lt;&gt;"",N16="")</formula>
    </cfRule>
  </conditionalFormatting>
  <conditionalFormatting sqref="Q9:Q10">
    <cfRule type="cellIs" dxfId="400" priority="41" operator="equal">
      <formula>"Non Compliant"</formula>
    </cfRule>
    <cfRule type="cellIs" dxfId="399" priority="42" operator="equal">
      <formula>"Compliant"</formula>
    </cfRule>
  </conditionalFormatting>
  <conditionalFormatting sqref="R16:R75">
    <cfRule type="cellIs" dxfId="398" priority="28" operator="equal">
      <formula>"Yellow fields incomplete"</formula>
    </cfRule>
  </conditionalFormatting>
  <conditionalFormatting sqref="R16:AB75">
    <cfRule type="expression" dxfId="397" priority="24">
      <formula>$K16&lt;&gt;"Track"</formula>
    </cfRule>
  </conditionalFormatting>
  <conditionalFormatting sqref="S16:X75">
    <cfRule type="expression" dxfId="396" priority="30">
      <formula>$AB16&gt;0</formula>
    </cfRule>
  </conditionalFormatting>
  <conditionalFormatting sqref="Y16:Z75">
    <cfRule type="expression" dxfId="395" priority="26">
      <formula>$X16="No"</formula>
    </cfRule>
    <cfRule type="expression" dxfId="394" priority="27">
      <formula>$AB16&gt;0</formula>
    </cfRule>
  </conditionalFormatting>
  <conditionalFormatting sqref="AB16:AB75">
    <cfRule type="expression" dxfId="393" priority="25">
      <formula>AND($AB16="",(OR($S16&gt;0,$T16&gt;0,$V16&gt;0,$W16&gt;0)))</formula>
    </cfRule>
  </conditionalFormatting>
  <conditionalFormatting sqref="AB22">
    <cfRule type="expression" dxfId="392" priority="32">
      <formula>OR($S22&gt;0,$T22&gt;0,$V22&gt;0,$W22&gt;0)</formula>
    </cfRule>
  </conditionalFormatting>
  <dataValidations count="5">
    <dataValidation type="list" allowBlank="1" showInputMessage="1" showErrorMessage="1" sqref="L7" xr:uid="{00000000-0002-0000-0300-000000000000}">
      <formula1>"Select, Yes, No"</formula1>
    </dataValidation>
    <dataValidation type="list" allowBlank="1" showInputMessage="1" sqref="L16:L75" xr:uid="{00000000-0002-0000-0300-000001000000}">
      <formula1>SourceType</formula1>
    </dataValidation>
    <dataValidation type="list" allowBlank="1" showInputMessage="1" sqref="K16:K75" xr:uid="{00000000-0002-0000-0300-000002000000}">
      <formula1>_FixtureDropDownList</formula1>
    </dataValidation>
    <dataValidation type="list" allowBlank="1" showInputMessage="1" showErrorMessage="1" sqref="M16:M75" xr:uid="{00000000-0002-0000-0300-000003000000}">
      <formula1>_Track</formula1>
    </dataValidation>
    <dataValidation type="list" allowBlank="1" showInputMessage="1" showErrorMessage="1" sqref="X16:X75" xr:uid="{00000000-0002-0000-0300-000004000000}">
      <formula1>"No, Yes"</formula1>
    </dataValidation>
  </dataValidations>
  <pageMargins left="0.75" right="0.75" top="1" bottom="1" header="0.5" footer="0.5"/>
  <pageSetup scale="54" orientation="landscape" horizontalDpi="1200" verticalDpi="12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7">
    <tabColor theme="9" tint="-0.249977111117893"/>
    <pageSetUpPr fitToPage="1"/>
  </sheetPr>
  <dimension ref="B1:AT91"/>
  <sheetViews>
    <sheetView showGridLines="0" showRowColHeaders="0" workbookViewId="0">
      <pane xSplit="7" ySplit="15" topLeftCell="H16" activePane="bottomRight" state="frozen"/>
      <selection pane="topRight" activeCell="H1" sqref="H1"/>
      <selection pane="bottomLeft" activeCell="A16" sqref="A16"/>
      <selection pane="bottomRight" activeCell="J17" sqref="J17:K17"/>
    </sheetView>
  </sheetViews>
  <sheetFormatPr defaultColWidth="9" defaultRowHeight="12.5" x14ac:dyDescent="0.25"/>
  <cols>
    <col min="1" max="1" width="2.54296875" style="42" customWidth="1"/>
    <col min="2" max="5" width="10.54296875" style="42" customWidth="1"/>
    <col min="6" max="7" width="2.54296875" style="42" customWidth="1"/>
    <col min="8" max="8" width="0.26953125" style="42" customWidth="1"/>
    <col min="9" max="9" width="5.7265625" style="42" customWidth="1"/>
    <col min="10" max="14" width="10.7265625" style="42" customWidth="1"/>
    <col min="15" max="15" width="2.54296875" style="42" customWidth="1"/>
    <col min="16" max="16" width="0.26953125" style="42" customWidth="1"/>
    <col min="17" max="17" width="5.7265625" style="42" customWidth="1"/>
    <col min="18" max="18" width="34" style="42" customWidth="1"/>
    <col min="19" max="19" width="20.7265625" style="42" customWidth="1"/>
    <col min="20" max="20" width="10.7265625" style="42" customWidth="1"/>
    <col min="21" max="21" width="10.7265625" style="44" customWidth="1"/>
    <col min="22" max="23" width="10.7265625" style="42" customWidth="1"/>
    <col min="24" max="24" width="2.54296875" style="42" customWidth="1"/>
    <col min="25" max="25" width="5.7265625" style="42" hidden="1" customWidth="1"/>
    <col min="26" max="26" width="57.26953125" style="42" hidden="1" customWidth="1"/>
    <col min="27" max="27" width="45.7265625" style="42" hidden="1" customWidth="1"/>
    <col min="28" max="28" width="12.7265625" style="42" hidden="1" customWidth="1"/>
    <col min="29" max="34" width="9" style="42" hidden="1" customWidth="1"/>
    <col min="35" max="35" width="27.81640625" style="42" hidden="1" customWidth="1"/>
    <col min="36" max="41" width="9" style="42" hidden="1" customWidth="1"/>
    <col min="42" max="42" width="0" style="42" hidden="1" customWidth="1"/>
    <col min="43" max="46" width="9" style="42" hidden="1" customWidth="1"/>
    <col min="47" max="47" width="0" style="42" hidden="1" customWidth="1"/>
    <col min="48" max="16384" width="9" style="42"/>
  </cols>
  <sheetData>
    <row r="1" spans="2:46" ht="15" customHeight="1" x14ac:dyDescent="0.3">
      <c r="D1" s="1498" t="s">
        <v>0</v>
      </c>
      <c r="E1" s="1498"/>
      <c r="F1" s="94"/>
      <c r="G1" s="316"/>
      <c r="H1" s="526"/>
      <c r="I1" s="1555" t="str">
        <f>'Main Compliance Page'!K1</f>
        <v>ASHRAE/IES 90.1-2019 Lighting Compliance Documentation (v4.0)</v>
      </c>
      <c r="J1" s="1555"/>
      <c r="K1" s="1555"/>
      <c r="L1" s="1555"/>
      <c r="M1" s="1555"/>
      <c r="N1" s="1555"/>
      <c r="O1" s="1555"/>
      <c r="P1" s="1555"/>
      <c r="Q1" s="1555"/>
      <c r="R1" s="1555"/>
      <c r="S1" s="1555"/>
      <c r="T1" s="1555"/>
      <c r="U1" s="1555"/>
      <c r="V1" s="1555"/>
      <c r="W1" s="1555"/>
      <c r="AQ1" s="950" t="s">
        <v>1065</v>
      </c>
      <c r="AR1" s="950" t="s">
        <v>1065</v>
      </c>
      <c r="AS1" s="950" t="s">
        <v>1065</v>
      </c>
      <c r="AT1" s="950" t="s">
        <v>1065</v>
      </c>
    </row>
    <row r="2" spans="2:46" ht="5.15" customHeight="1" x14ac:dyDescent="0.25">
      <c r="D2" s="1404"/>
      <c r="E2" s="1404"/>
      <c r="F2" s="1404"/>
      <c r="G2" s="315"/>
      <c r="H2" s="525"/>
      <c r="I2" s="1562" t="s">
        <v>889</v>
      </c>
      <c r="J2" s="1562"/>
      <c r="K2" s="1562"/>
      <c r="L2" s="1562"/>
      <c r="M2" s="1562"/>
      <c r="N2" s="1562"/>
      <c r="O2" s="1562"/>
      <c r="P2" s="1562"/>
      <c r="Q2" s="1562"/>
      <c r="R2" s="1562"/>
      <c r="S2" s="1562"/>
      <c r="T2" s="1562"/>
      <c r="U2" s="1562"/>
      <c r="V2" s="1562"/>
      <c r="W2" s="1562"/>
    </row>
    <row r="3" spans="2:46" ht="15" customHeight="1" x14ac:dyDescent="0.25">
      <c r="D3" s="74"/>
      <c r="E3" s="74"/>
      <c r="F3" s="74"/>
      <c r="G3" s="315"/>
      <c r="H3" s="525"/>
      <c r="I3" s="1562"/>
      <c r="J3" s="1562"/>
      <c r="K3" s="1562"/>
      <c r="L3" s="1562"/>
      <c r="M3" s="1562"/>
      <c r="N3" s="1562"/>
      <c r="O3" s="1562"/>
      <c r="P3" s="1562"/>
      <c r="Q3" s="1562"/>
      <c r="R3" s="1562"/>
      <c r="S3" s="1562"/>
      <c r="T3" s="1562"/>
      <c r="U3" s="1562"/>
      <c r="V3" s="1562"/>
      <c r="W3" s="1562"/>
      <c r="Z3" s="42" t="s">
        <v>873</v>
      </c>
      <c r="AI3" s="42" t="s">
        <v>874</v>
      </c>
      <c r="AQ3" s="42" t="s">
        <v>1151</v>
      </c>
    </row>
    <row r="4" spans="2:46" ht="5.15" customHeight="1" x14ac:dyDescent="0.25">
      <c r="D4" s="525"/>
      <c r="E4" s="525"/>
      <c r="F4" s="525"/>
      <c r="G4" s="525"/>
      <c r="H4" s="525"/>
      <c r="Q4" s="575"/>
      <c r="R4" s="575"/>
      <c r="U4" s="532"/>
    </row>
    <row r="5" spans="2:46" ht="15" customHeight="1" x14ac:dyDescent="0.25">
      <c r="D5" s="492"/>
      <c r="E5" s="525"/>
      <c r="F5" s="525"/>
      <c r="G5" s="492"/>
      <c r="H5" s="525"/>
      <c r="Q5" s="575"/>
      <c r="R5" s="575"/>
      <c r="U5" s="496"/>
      <c r="AS5" s="42" t="s">
        <v>1150</v>
      </c>
    </row>
    <row r="6" spans="2:46" ht="5.15" customHeight="1" x14ac:dyDescent="0.25">
      <c r="D6" s="74"/>
      <c r="E6" s="74"/>
      <c r="F6" s="74"/>
      <c r="G6" s="315"/>
      <c r="H6" s="525"/>
      <c r="I6" s="1554" t="str">
        <f>IF(AND(J11=TRUE,K11=TRUE), "Table 9.5.1 Building Area Method is not applicable when using the Exceptions to 9.1.2 Alterations. Use the Space by Space Method.",CONCATENATE("Use this table for the ",Compliance_Version_Year," 9.5.1 Building Area Method"))</f>
        <v>Use this table for the 2019 9.5.1 Building Area Method</v>
      </c>
      <c r="J6" s="1554"/>
      <c r="K6" s="1554"/>
      <c r="L6" s="1554"/>
      <c r="M6" s="1554"/>
      <c r="N6" s="1554"/>
      <c r="Q6" s="1554" t="str">
        <f>CONCATENATE("Use this table for the ",Compliance_Version_Year," 9.6.1 Space by Space Method")</f>
        <v>Use this table for the 2019 9.6.1 Space by Space Method</v>
      </c>
      <c r="R6" s="1554"/>
      <c r="S6" s="1554"/>
      <c r="T6" s="1554"/>
      <c r="U6" s="1554"/>
      <c r="V6" s="1554"/>
      <c r="W6" s="1554"/>
    </row>
    <row r="7" spans="2:46" ht="15" customHeight="1" x14ac:dyDescent="0.25">
      <c r="D7" s="492"/>
      <c r="E7" s="525"/>
      <c r="F7" s="525"/>
      <c r="G7" s="492"/>
      <c r="H7" s="525"/>
      <c r="I7" s="1554"/>
      <c r="J7" s="1554"/>
      <c r="K7" s="1554"/>
      <c r="L7" s="1554"/>
      <c r="M7" s="1554"/>
      <c r="N7" s="1554"/>
      <c r="Q7" s="1554"/>
      <c r="R7" s="1554"/>
      <c r="S7" s="1554"/>
      <c r="T7" s="1554"/>
      <c r="U7" s="1554"/>
      <c r="V7" s="1554"/>
      <c r="W7" s="1554"/>
      <c r="AQ7" s="950">
        <v>0.03</v>
      </c>
      <c r="AR7" s="950">
        <v>0.03</v>
      </c>
      <c r="AS7" s="950">
        <v>0.39</v>
      </c>
      <c r="AT7" s="981" t="s">
        <v>1146</v>
      </c>
    </row>
    <row r="8" spans="2:46" ht="5.15" customHeight="1" x14ac:dyDescent="0.25">
      <c r="D8" s="525"/>
      <c r="E8" s="525"/>
      <c r="F8" s="525"/>
      <c r="G8" s="525"/>
      <c r="H8" s="525"/>
      <c r="I8" s="1554"/>
      <c r="J8" s="1554"/>
      <c r="K8" s="1554"/>
      <c r="L8" s="1554"/>
      <c r="M8" s="1554"/>
      <c r="N8" s="1554"/>
      <c r="Q8" s="1554"/>
      <c r="R8" s="1554"/>
      <c r="S8" s="1554"/>
      <c r="T8" s="1554"/>
      <c r="U8" s="1554"/>
      <c r="V8" s="1554"/>
      <c r="W8" s="1554"/>
      <c r="AQ8" s="950"/>
      <c r="AR8" s="950"/>
      <c r="AS8" s="950"/>
    </row>
    <row r="9" spans="2:46" ht="15" customHeight="1" x14ac:dyDescent="0.25">
      <c r="D9" s="74"/>
      <c r="E9" s="74"/>
      <c r="F9" s="525"/>
      <c r="G9" s="315"/>
      <c r="H9" s="525"/>
      <c r="I9" s="1554"/>
      <c r="J9" s="1554"/>
      <c r="K9" s="1554"/>
      <c r="L9" s="1554"/>
      <c r="M9" s="1554"/>
      <c r="N9" s="1554"/>
      <c r="Q9" s="1554"/>
      <c r="R9" s="1554"/>
      <c r="S9" s="1554"/>
      <c r="T9" s="1554"/>
      <c r="U9" s="1554"/>
      <c r="V9" s="1554"/>
      <c r="W9" s="1554"/>
      <c r="Y9" s="325"/>
      <c r="AQ9" s="950">
        <v>0.03</v>
      </c>
      <c r="AR9" s="950">
        <v>0.03</v>
      </c>
      <c r="AS9" s="950">
        <v>0.48</v>
      </c>
      <c r="AT9" s="981" t="s">
        <v>1147</v>
      </c>
    </row>
    <row r="10" spans="2:46" ht="5.15" customHeight="1" thickBot="1" x14ac:dyDescent="0.35">
      <c r="D10" s="74"/>
      <c r="E10" s="74"/>
      <c r="F10" s="74"/>
      <c r="G10" s="492"/>
      <c r="H10" s="525"/>
      <c r="I10" s="576"/>
      <c r="J10" s="576"/>
      <c r="K10" s="576"/>
      <c r="L10" s="576"/>
      <c r="M10" s="576"/>
      <c r="N10" s="576"/>
      <c r="Q10" s="50"/>
      <c r="R10" s="50"/>
      <c r="U10" s="42"/>
      <c r="Y10" s="496"/>
      <c r="AQ10" s="950"/>
      <c r="AR10" s="950"/>
      <c r="AS10" s="950"/>
    </row>
    <row r="11" spans="2:46" ht="15" customHeight="1" x14ac:dyDescent="0.3">
      <c r="D11" s="74"/>
      <c r="E11" s="74"/>
      <c r="F11" s="525"/>
      <c r="G11" s="315"/>
      <c r="H11" s="525"/>
      <c r="I11" s="50"/>
      <c r="J11" s="989" t="b">
        <f>IF(_Step2_AlterationsYesNo="Yes",TRUE,FALSE)</f>
        <v>0</v>
      </c>
      <c r="K11" s="989" t="b">
        <f>IF('Main Compliance Page'!J25="Yes",TRUE,FALSE)</f>
        <v>1</v>
      </c>
      <c r="L11" s="1552" t="s">
        <v>888</v>
      </c>
      <c r="M11" s="139"/>
      <c r="N11" s="1552" t="s">
        <v>887</v>
      </c>
      <c r="Q11" s="50"/>
      <c r="T11" s="1552" t="s">
        <v>888</v>
      </c>
      <c r="U11" s="42"/>
      <c r="W11" s="1552" t="s">
        <v>887</v>
      </c>
      <c r="Y11" s="325"/>
      <c r="AA11" s="429">
        <v>2</v>
      </c>
      <c r="AB11" s="429">
        <v>3</v>
      </c>
      <c r="AC11" s="429">
        <v>4</v>
      </c>
      <c r="AD11" s="429">
        <v>5</v>
      </c>
      <c r="AQ11" s="950">
        <v>0.02</v>
      </c>
      <c r="AR11" s="950">
        <v>0.02</v>
      </c>
      <c r="AS11" s="950">
        <v>0.6</v>
      </c>
      <c r="AT11" s="981" t="s">
        <v>1148</v>
      </c>
    </row>
    <row r="12" spans="2:46" ht="5.15" customHeight="1" x14ac:dyDescent="0.3">
      <c r="D12" s="74"/>
      <c r="E12" s="74"/>
      <c r="F12" s="74"/>
      <c r="G12" s="492"/>
      <c r="H12" s="525"/>
      <c r="I12" s="50"/>
      <c r="J12" s="144"/>
      <c r="K12" s="144"/>
      <c r="L12" s="1553"/>
      <c r="M12" s="139"/>
      <c r="N12" s="1553"/>
      <c r="Q12" s="50"/>
      <c r="T12" s="1553"/>
      <c r="U12" s="42"/>
      <c r="W12" s="1553"/>
      <c r="Y12" s="496"/>
      <c r="AA12" s="134"/>
      <c r="AB12" s="134"/>
      <c r="AC12" s="134"/>
      <c r="AD12" s="134"/>
      <c r="AQ12" s="950"/>
      <c r="AR12" s="950"/>
      <c r="AS12" s="950"/>
    </row>
    <row r="13" spans="2:46" ht="15" customHeight="1" thickBot="1" x14ac:dyDescent="0.35">
      <c r="B13" s="1561" t="str">
        <f>CONCATENATE("90.1-",Compliance_Version_Year)</f>
        <v>90.1-2019</v>
      </c>
      <c r="C13" s="1561"/>
      <c r="D13" s="74"/>
      <c r="E13" s="74"/>
      <c r="F13" s="525"/>
      <c r="G13" s="492"/>
      <c r="H13" s="525"/>
      <c r="I13" s="50"/>
      <c r="J13" s="144"/>
      <c r="K13" s="144"/>
      <c r="L13" s="584">
        <f>SUM(L16:L21)</f>
        <v>0</v>
      </c>
      <c r="M13" s="139"/>
      <c r="N13" s="584">
        <f>SUM(N16:N21)</f>
        <v>0</v>
      </c>
      <c r="Q13" s="50"/>
      <c r="T13" s="584">
        <f>SUM(_Space_Sqft)</f>
        <v>0</v>
      </c>
      <c r="U13" s="42"/>
      <c r="W13" s="584">
        <f>SUM(W16:W65)</f>
        <v>0</v>
      </c>
      <c r="Y13" s="496"/>
      <c r="AA13" s="134"/>
      <c r="AB13" s="134"/>
      <c r="AC13" s="134"/>
      <c r="AD13" s="134"/>
      <c r="AQ13" s="950"/>
      <c r="AR13" s="950">
        <v>0.4</v>
      </c>
      <c r="AS13" s="950"/>
      <c r="AT13" s="95" t="s">
        <v>1149</v>
      </c>
    </row>
    <row r="14" spans="2:46" ht="20.5" x14ac:dyDescent="0.25">
      <c r="I14" s="577" t="s">
        <v>23</v>
      </c>
      <c r="J14" s="1566" t="s">
        <v>24</v>
      </c>
      <c r="K14" s="1567"/>
      <c r="L14" s="578" t="s">
        <v>25</v>
      </c>
      <c r="M14" s="578" t="s">
        <v>26</v>
      </c>
      <c r="N14" s="579" t="s">
        <v>27</v>
      </c>
      <c r="Q14" s="171" t="s">
        <v>28</v>
      </c>
      <c r="R14" s="172" t="s">
        <v>29</v>
      </c>
      <c r="S14" s="173" t="s">
        <v>30</v>
      </c>
      <c r="T14" s="330" t="s">
        <v>31</v>
      </c>
      <c r="U14" s="330" t="s">
        <v>32</v>
      </c>
      <c r="V14" s="330" t="s">
        <v>26</v>
      </c>
      <c r="W14" s="85" t="s">
        <v>33</v>
      </c>
      <c r="X14" s="442"/>
      <c r="Y14" s="428">
        <f>COUNT(Y16:Y65)</f>
        <v>0</v>
      </c>
      <c r="Z14" s="43"/>
      <c r="AA14" s="43"/>
      <c r="AB14" s="43"/>
      <c r="AC14" s="428" t="s">
        <v>34</v>
      </c>
      <c r="AD14" s="428" t="s">
        <v>35</v>
      </c>
      <c r="AH14" s="213">
        <f>COUNT(AH16:AH25)</f>
        <v>0</v>
      </c>
      <c r="AI14" s="213" t="s">
        <v>166</v>
      </c>
      <c r="AJ14" s="46" t="s">
        <v>856</v>
      </c>
      <c r="AK14" s="46" t="s">
        <v>853</v>
      </c>
      <c r="AL14" s="46" t="s">
        <v>857</v>
      </c>
      <c r="AQ14" s="983">
        <v>2010</v>
      </c>
      <c r="AR14" s="983">
        <v>2016</v>
      </c>
      <c r="AS14" s="983">
        <v>2019</v>
      </c>
    </row>
    <row r="15" spans="2:46" ht="13" hidden="1" x14ac:dyDescent="0.25">
      <c r="B15" s="430"/>
      <c r="C15" s="430"/>
      <c r="I15" s="437"/>
      <c r="J15" s="438"/>
      <c r="K15" s="439"/>
      <c r="L15" s="580"/>
      <c r="M15" s="580"/>
      <c r="N15" s="581"/>
      <c r="Q15" s="437"/>
      <c r="R15" s="1556"/>
      <c r="S15" s="1557"/>
      <c r="T15" s="1557"/>
      <c r="U15" s="1558"/>
      <c r="V15" s="441"/>
      <c r="W15" s="440"/>
      <c r="Y15" s="432"/>
      <c r="Z15" s="43"/>
      <c r="AA15" s="43"/>
      <c r="AB15" s="43"/>
      <c r="AC15" s="432"/>
      <c r="AD15" s="432"/>
      <c r="AQ15" s="984"/>
      <c r="AR15" s="984"/>
      <c r="AS15" s="984"/>
    </row>
    <row r="16" spans="2:46" ht="13" customHeight="1" x14ac:dyDescent="0.3">
      <c r="B16" s="50"/>
      <c r="H16" s="1563"/>
      <c r="I16" s="169">
        <v>1</v>
      </c>
      <c r="J16" s="1564"/>
      <c r="K16" s="1565"/>
      <c r="L16" s="974"/>
      <c r="M16" s="582" t="str">
        <f t="shared" ref="M16:M21" si="0">IF(J16="","",VLOOKUP($J16,_9_5_Table_2016,2,FALSE))</f>
        <v/>
      </c>
      <c r="N16" s="166">
        <f t="shared" ref="N16:N21" si="1">IFERROR(ROUND(L16*M16,0),0)</f>
        <v>0</v>
      </c>
      <c r="P16" s="1563"/>
      <c r="Q16" s="169">
        <v>1</v>
      </c>
      <c r="R16" s="347"/>
      <c r="S16" s="977"/>
      <c r="T16" s="978"/>
      <c r="U16" s="979"/>
      <c r="V16" s="348" t="str">
        <f>IF(LEFT(R16,6)="Atrium",IF(Compliance_Version_Year=2010,AQ16,IF(Compliance_Version_Year=2016,AR16,IF(Compliance_Version_Year=2019,AS16,0))),_Space_LPA)</f>
        <v/>
      </c>
      <c r="W16" s="949" t="str">
        <f t="shared" ref="W16:W30" si="2">IF(T16="","",ROUND(T16*V16,0))</f>
        <v/>
      </c>
      <c r="X16" s="43" t="str">
        <f>IF(V16="Re-Select","You have changed the Standard year, Re-Select the Space Type","")</f>
        <v/>
      </c>
      <c r="Y16" s="362" t="str">
        <f t="array" ref="Y16">IF(ROWS(R$16:R16)&gt;COUNTA($R$16:$R$65),"",INDEX($Q$16:$Q$65,SMALL(IF($R$16:$R$65&lt;&gt;"",ROW($R$16:$R$65)-ROW($R$16)+1),ROWS($R$16:R16))))</f>
        <v/>
      </c>
      <c r="Z16" s="349" t="str">
        <f>IF(Y16="","",CONCATENATE(Y16," - ",AA16," ",AB16))</f>
        <v/>
      </c>
      <c r="AA16" s="349" t="str">
        <f t="shared" ref="AA16:AA47" si="3">IF($Y16="","",VLOOKUP($Y16,_InteriorTable,2,FALSE))</f>
        <v/>
      </c>
      <c r="AB16" s="349" t="str">
        <f t="shared" ref="AB16:AB47" si="4">IF($Y16="","",IF(VLOOKUP($Y16,_InteriorTable,3,FALSE)="","",CONCATENATE("(",VLOOKUP($Y16,_InteriorTable,3,FALSE),")")))</f>
        <v/>
      </c>
      <c r="AC16" s="413" t="str">
        <f t="shared" ref="AC16:AC47" si="5">IF($Y16="","",VLOOKUP($Y16,_InteriorTable,AC$11,FALSE))</f>
        <v/>
      </c>
      <c r="AD16" s="411" t="str">
        <f t="shared" ref="AD16:AD47" si="6">IF($Y16="","",VLOOKUP($AA16,_Room_List,AD$11,FALSE))</f>
        <v/>
      </c>
      <c r="AF16" s="42">
        <v>1</v>
      </c>
      <c r="AG16" s="43">
        <v>1</v>
      </c>
      <c r="AH16" s="43" t="str">
        <f t="array" ref="AH16">IF(ROWS(J$16:J16)&gt;COUNTA($J$16:$J$21),"",INDEX($I$16:$I$21,SMALL(IF($J$16:$J$21&lt;&gt;"",ROW($J$16:$J$21)-ROW($J$16)+1),ROWS($J$16:J16))))</f>
        <v/>
      </c>
      <c r="AI16" s="444" t="str">
        <f t="shared" ref="AI16:AI21" si="7">IF(AH16="","",VLOOKUP(AH16,I$16:N$21,2,FALSE))</f>
        <v/>
      </c>
      <c r="AJ16" s="445" t="str">
        <f t="shared" ref="AJ16:AJ21" si="8">IF(AH16="","",VLOOKUP(AH16,I$16:N$21,4,FALSE))</f>
        <v/>
      </c>
      <c r="AK16" s="445" t="str">
        <f t="shared" ref="AK16:AK21" si="9">IF(AH16="","",VLOOKUP(AH16,I$16:N$21,5,FALSE))</f>
        <v/>
      </c>
      <c r="AL16" s="445" t="str">
        <f t="shared" ref="AL16:AL21" si="10">IF(AH16="","",VLOOKUP(AH16,I$16:N$21,6,FALSE))</f>
        <v/>
      </c>
      <c r="AQ16" s="737">
        <f t="shared" ref="AQ16:AQ30" si="11">IF($U16&lt;=40,($U16*AQ$7)+AQ$13,($U16*AQ$11)+AQ$13)</f>
        <v>0</v>
      </c>
      <c r="AR16" s="737">
        <f t="shared" ref="AR16:AR47" si="12">IF(U16="",0,IF($U16&lt;=40,($U16*AR$7)+AR$13,($U16*AR$11)+AR$13))</f>
        <v>0</v>
      </c>
      <c r="AS16" s="737">
        <f t="shared" ref="AS16:AS47" si="13">IF(AND(U16&gt;0,U16&lt;20),AS$7,IF(AND(U16&gt;=20,U16&lt;=40),AS$9,IF(U16&gt;40,AS$11,0)))</f>
        <v>0</v>
      </c>
    </row>
    <row r="17" spans="2:45" ht="13" customHeight="1" x14ac:dyDescent="0.3">
      <c r="B17" s="94" t="s">
        <v>38</v>
      </c>
      <c r="C17" s="94"/>
      <c r="H17" s="1563"/>
      <c r="I17" s="169">
        <v>2</v>
      </c>
      <c r="J17" s="1564"/>
      <c r="K17" s="1565"/>
      <c r="L17" s="974"/>
      <c r="M17" s="582" t="str">
        <f t="shared" si="0"/>
        <v/>
      </c>
      <c r="N17" s="166">
        <f t="shared" si="1"/>
        <v>0</v>
      </c>
      <c r="P17" s="1563"/>
      <c r="Q17" s="169">
        <v>2</v>
      </c>
      <c r="R17" s="347"/>
      <c r="S17" s="977"/>
      <c r="T17" s="978"/>
      <c r="U17" s="979"/>
      <c r="V17" s="348" t="str">
        <f>IF(LEFT(R17,6)="Atrium",IF(Compliance_Version_Year=2010,AQ17,IF(Compliance_Version_Year=2016,AR17,IF(Compliance_Version_Year=2019,AS17,0))),_Space_LPA)</f>
        <v/>
      </c>
      <c r="W17" s="949" t="str">
        <f t="shared" si="2"/>
        <v/>
      </c>
      <c r="X17" s="43" t="str">
        <f t="shared" ref="X17:X65" si="14">IF(V17="Re-Select","You have changed the Standard year, Re-Select the Space Type","")</f>
        <v/>
      </c>
      <c r="Y17" s="362" t="str">
        <f t="array" ref="Y17">IF(ROWS(R$16:R17)&gt;COUNTA($R$16:$R$65),"",INDEX($Q$16:$Q$65,SMALL(IF($R$16:$R$65&lt;&gt;"",ROW($R$16:$R$65)-ROW($R$16)+1),ROWS($R$16:R17))))</f>
        <v/>
      </c>
      <c r="Z17" s="349" t="str">
        <f>IF(Y17="","",CONCATENATE(Y17," - ",AA17," ",AB17))</f>
        <v/>
      </c>
      <c r="AA17" s="349" t="str">
        <f t="shared" si="3"/>
        <v/>
      </c>
      <c r="AB17" s="349" t="str">
        <f t="shared" si="4"/>
        <v/>
      </c>
      <c r="AC17" s="431" t="str">
        <f t="shared" si="5"/>
        <v/>
      </c>
      <c r="AD17" s="411" t="str">
        <f t="shared" si="6"/>
        <v/>
      </c>
      <c r="AF17" s="42">
        <v>2</v>
      </c>
      <c r="AG17" s="43">
        <v>2</v>
      </c>
      <c r="AH17" s="43" t="str">
        <f t="array" ref="AH17">IF(ROWS(J$16:J17)&gt;COUNTA($J$16:$J$21),"",INDEX($I$16:$I$21,SMALL(IF($J$16:$J$21&lt;&gt;"",ROW($J$16:$J$21)-ROW($J$16)+1),ROWS($J$16:J17))))</f>
        <v/>
      </c>
      <c r="AI17" s="444" t="str">
        <f t="shared" si="7"/>
        <v/>
      </c>
      <c r="AJ17" s="445" t="str">
        <f t="shared" si="8"/>
        <v/>
      </c>
      <c r="AK17" s="445" t="str">
        <f t="shared" si="9"/>
        <v/>
      </c>
      <c r="AL17" s="445" t="str">
        <f t="shared" si="10"/>
        <v/>
      </c>
      <c r="AQ17" s="737">
        <f t="shared" si="11"/>
        <v>0</v>
      </c>
      <c r="AR17" s="737">
        <f t="shared" si="12"/>
        <v>0</v>
      </c>
      <c r="AS17" s="737">
        <f t="shared" si="13"/>
        <v>0</v>
      </c>
    </row>
    <row r="18" spans="2:45" ht="13" customHeight="1" x14ac:dyDescent="0.25">
      <c r="B18" s="95" t="s">
        <v>41</v>
      </c>
      <c r="H18" s="1563"/>
      <c r="I18" s="169">
        <v>3</v>
      </c>
      <c r="J18" s="1564"/>
      <c r="K18" s="1565"/>
      <c r="L18" s="974"/>
      <c r="M18" s="582" t="str">
        <f t="shared" si="0"/>
        <v/>
      </c>
      <c r="N18" s="166">
        <f t="shared" si="1"/>
        <v>0</v>
      </c>
      <c r="P18" s="1563"/>
      <c r="Q18" s="169">
        <v>3</v>
      </c>
      <c r="R18" s="347"/>
      <c r="S18" s="977"/>
      <c r="T18" s="978"/>
      <c r="U18" s="979"/>
      <c r="V18" s="348" t="str">
        <f>IF(LEFT(R18,6)="Atrium",IF(Compliance_Version_Year=2010,AQ18,IF(Compliance_Version_Year=2016,AR18,IF(Compliance_Version_Year=2019,AS18,0))),_Space_LPA)</f>
        <v/>
      </c>
      <c r="W18" s="949" t="str">
        <f t="shared" si="2"/>
        <v/>
      </c>
      <c r="X18" s="43" t="str">
        <f t="shared" si="14"/>
        <v/>
      </c>
      <c r="Y18" s="362" t="str">
        <f t="array" ref="Y18">IF(ROWS(R$16:R18)&gt;COUNTA($R$16:$R$65),"",INDEX($Q$16:$Q$65,SMALL(IF($R$16:$R$65&lt;&gt;"",ROW($R$16:$R$65)-ROW($R$16)+1),ROWS($R$16:R18))))</f>
        <v/>
      </c>
      <c r="Z18" s="349" t="str">
        <f t="shared" ref="Z18:Z65" si="15">IF(Y18="","",CONCATENATE(Y18," - ",AA18," ",AB18))</f>
        <v/>
      </c>
      <c r="AA18" s="349" t="str">
        <f t="shared" si="3"/>
        <v/>
      </c>
      <c r="AB18" s="349" t="str">
        <f t="shared" si="4"/>
        <v/>
      </c>
      <c r="AC18" s="431" t="str">
        <f t="shared" si="5"/>
        <v/>
      </c>
      <c r="AD18" s="411" t="str">
        <f t="shared" si="6"/>
        <v/>
      </c>
      <c r="AF18" s="42">
        <v>3</v>
      </c>
      <c r="AG18" s="43">
        <v>3</v>
      </c>
      <c r="AH18" s="43" t="str">
        <f t="array" ref="AH18">IF(ROWS(J$16:J18)&gt;COUNTA($J$16:$J$21),"",INDEX($I$16:$I$21,SMALL(IF($J$16:$J$21&lt;&gt;"",ROW($J$16:$J$21)-ROW($J$16)+1),ROWS($J$16:J18))))</f>
        <v/>
      </c>
      <c r="AI18" s="444" t="str">
        <f t="shared" si="7"/>
        <v/>
      </c>
      <c r="AJ18" s="445" t="str">
        <f t="shared" si="8"/>
        <v/>
      </c>
      <c r="AK18" s="445" t="str">
        <f t="shared" si="9"/>
        <v/>
      </c>
      <c r="AL18" s="445" t="str">
        <f t="shared" si="10"/>
        <v/>
      </c>
      <c r="AQ18" s="737">
        <f t="shared" si="11"/>
        <v>0</v>
      </c>
      <c r="AR18" s="737">
        <f t="shared" si="12"/>
        <v>0</v>
      </c>
      <c r="AS18" s="737">
        <f t="shared" si="13"/>
        <v>0</v>
      </c>
    </row>
    <row r="19" spans="2:45" ht="13" customHeight="1" x14ac:dyDescent="0.3">
      <c r="B19" s="1513" t="s">
        <v>44</v>
      </c>
      <c r="C19" s="1513"/>
      <c r="D19" s="1513"/>
      <c r="E19" s="1513"/>
      <c r="H19" s="1563"/>
      <c r="I19" s="169">
        <v>4</v>
      </c>
      <c r="J19" s="1564"/>
      <c r="K19" s="1565"/>
      <c r="L19" s="974"/>
      <c r="M19" s="582" t="str">
        <f t="shared" si="0"/>
        <v/>
      </c>
      <c r="N19" s="166">
        <f t="shared" si="1"/>
        <v>0</v>
      </c>
      <c r="P19" s="1563"/>
      <c r="Q19" s="169">
        <v>4</v>
      </c>
      <c r="R19" s="347"/>
      <c r="S19" s="977"/>
      <c r="T19" s="978"/>
      <c r="U19" s="979"/>
      <c r="V19" s="348" t="str">
        <f>IF(LEFT(R19,6)="Atrium",IF(Compliance_Version_Year=2010,AQ19,IF(Compliance_Version_Year=2016,AR19,IF(Compliance_Version_Year=2019,AS19,0))),_Space_LPA)</f>
        <v/>
      </c>
      <c r="W19" s="949" t="str">
        <f t="shared" si="2"/>
        <v/>
      </c>
      <c r="X19" s="43" t="str">
        <f t="shared" si="14"/>
        <v/>
      </c>
      <c r="Y19" s="362" t="str">
        <f t="array" ref="Y19">IF(ROWS(R$16:R19)&gt;COUNTA($R$16:$R$65),"",INDEX($Q$16:$Q$65,SMALL(IF($R$16:$R$65&lt;&gt;"",ROW($R$16:$R$65)-ROW($R$16)+1),ROWS($R$16:R19))))</f>
        <v/>
      </c>
      <c r="Z19" s="349" t="str">
        <f t="shared" si="15"/>
        <v/>
      </c>
      <c r="AA19" s="349" t="str">
        <f t="shared" si="3"/>
        <v/>
      </c>
      <c r="AB19" s="349" t="str">
        <f t="shared" si="4"/>
        <v/>
      </c>
      <c r="AC19" s="431" t="str">
        <f t="shared" si="5"/>
        <v/>
      </c>
      <c r="AD19" s="411" t="str">
        <f t="shared" si="6"/>
        <v/>
      </c>
      <c r="AF19" s="42">
        <v>4</v>
      </c>
      <c r="AG19" s="43">
        <v>4</v>
      </c>
      <c r="AH19" s="43" t="str">
        <f t="array" ref="AH19">IF(ROWS(J$16:J19)&gt;COUNTA($J$16:$J$21),"",INDEX($I$16:$I$21,SMALL(IF($J$16:$J$21&lt;&gt;"",ROW($J$16:$J$21)-ROW($J$16)+1),ROWS($J$16:J19))))</f>
        <v/>
      </c>
      <c r="AI19" s="444" t="str">
        <f t="shared" si="7"/>
        <v/>
      </c>
      <c r="AJ19" s="445" t="str">
        <f t="shared" si="8"/>
        <v/>
      </c>
      <c r="AK19" s="445" t="str">
        <f t="shared" si="9"/>
        <v/>
      </c>
      <c r="AL19" s="445" t="str">
        <f t="shared" si="10"/>
        <v/>
      </c>
      <c r="AQ19" s="737">
        <f t="shared" si="11"/>
        <v>0</v>
      </c>
      <c r="AR19" s="737">
        <f t="shared" si="12"/>
        <v>0</v>
      </c>
      <c r="AS19" s="737">
        <f t="shared" si="13"/>
        <v>0</v>
      </c>
    </row>
    <row r="20" spans="2:45" ht="13" customHeight="1" x14ac:dyDescent="0.3">
      <c r="B20" s="1515" t="s">
        <v>46</v>
      </c>
      <c r="C20" s="1515"/>
      <c r="D20" s="1515"/>
      <c r="E20" s="1515"/>
      <c r="H20" s="1563"/>
      <c r="I20" s="169">
        <v>5</v>
      </c>
      <c r="J20" s="1564"/>
      <c r="K20" s="1565"/>
      <c r="L20" s="975"/>
      <c r="M20" s="582" t="str">
        <f t="shared" si="0"/>
        <v/>
      </c>
      <c r="N20" s="166">
        <f t="shared" si="1"/>
        <v>0</v>
      </c>
      <c r="P20" s="1563"/>
      <c r="Q20" s="169">
        <v>5</v>
      </c>
      <c r="R20" s="347"/>
      <c r="S20" s="977"/>
      <c r="T20" s="978"/>
      <c r="U20" s="979"/>
      <c r="V20" s="348" t="str">
        <f>IF(LEFT(R20,6)="Atrium",IF(Compliance_Version_Year=2010,AQ20,IF(Compliance_Version_Year=2016,AR20,IF(Compliance_Version_Year=2019,AS20,0))),_Space_LPA)</f>
        <v/>
      </c>
      <c r="W20" s="949" t="str">
        <f t="shared" si="2"/>
        <v/>
      </c>
      <c r="X20" s="43" t="str">
        <f t="shared" si="14"/>
        <v/>
      </c>
      <c r="Y20" s="362" t="str">
        <f t="array" ref="Y20">IF(ROWS(R$16:R20)&gt;COUNTA($R$16:$R$65),"",INDEX($Q$16:$Q$65,SMALL(IF($R$16:$R$65&lt;&gt;"",ROW($R$16:$R$65)-ROW($R$16)+1),ROWS($R$16:R20))))</f>
        <v/>
      </c>
      <c r="Z20" s="349" t="str">
        <f t="shared" si="15"/>
        <v/>
      </c>
      <c r="AA20" s="349" t="str">
        <f t="shared" si="3"/>
        <v/>
      </c>
      <c r="AB20" s="349" t="str">
        <f t="shared" si="4"/>
        <v/>
      </c>
      <c r="AC20" s="431" t="str">
        <f t="shared" si="5"/>
        <v/>
      </c>
      <c r="AD20" s="411" t="str">
        <f t="shared" si="6"/>
        <v/>
      </c>
      <c r="AF20" s="42">
        <v>5</v>
      </c>
      <c r="AG20" s="43">
        <v>5</v>
      </c>
      <c r="AH20" s="43" t="str">
        <f t="array" ref="AH20">IF(ROWS(J$16:J20)&gt;COUNTA($J$16:$J$21),"",INDEX($I$16:$I$21,SMALL(IF($J$16:$J$21&lt;&gt;"",ROW($J$16:$J$21)-ROW($J$16)+1),ROWS($J$16:J20))))</f>
        <v/>
      </c>
      <c r="AI20" s="444" t="str">
        <f t="shared" si="7"/>
        <v/>
      </c>
      <c r="AJ20" s="445" t="str">
        <f t="shared" si="8"/>
        <v/>
      </c>
      <c r="AK20" s="445" t="str">
        <f t="shared" si="9"/>
        <v/>
      </c>
      <c r="AL20" s="445" t="str">
        <f t="shared" si="10"/>
        <v/>
      </c>
      <c r="AQ20" s="737">
        <f t="shared" si="11"/>
        <v>0</v>
      </c>
      <c r="AR20" s="737">
        <f t="shared" si="12"/>
        <v>0</v>
      </c>
      <c r="AS20" s="737">
        <f t="shared" si="13"/>
        <v>0</v>
      </c>
    </row>
    <row r="21" spans="2:45" ht="13" customHeight="1" thickBot="1" x14ac:dyDescent="0.3">
      <c r="H21" s="1563"/>
      <c r="I21" s="170">
        <v>6</v>
      </c>
      <c r="J21" s="1559"/>
      <c r="K21" s="1560"/>
      <c r="L21" s="976"/>
      <c r="M21" s="175" t="str">
        <f t="shared" si="0"/>
        <v/>
      </c>
      <c r="N21" s="583">
        <f t="shared" si="1"/>
        <v>0</v>
      </c>
      <c r="P21" s="1563"/>
      <c r="Q21" s="169">
        <v>6</v>
      </c>
      <c r="R21" s="347"/>
      <c r="S21" s="977"/>
      <c r="T21" s="978"/>
      <c r="U21" s="979"/>
      <c r="V21" s="348" t="str">
        <f>IF(LEFT(R21,6)="Atrium",IF(Compliance_Version_Year=2010,AQ21,IF(Compliance_Version_Year=2016,AR21,IF(Compliance_Version_Year=2019,AS21,0))),_Space_LPA)</f>
        <v/>
      </c>
      <c r="W21" s="949" t="str">
        <f t="shared" si="2"/>
        <v/>
      </c>
      <c r="X21" s="43" t="str">
        <f t="shared" si="14"/>
        <v/>
      </c>
      <c r="Y21" s="362" t="str">
        <f t="array" ref="Y21">IF(ROWS(R$16:R21)&gt;COUNTA($R$16:$R$65),"",INDEX($Q$16:$Q$65,SMALL(IF($R$16:$R$65&lt;&gt;"",ROW($R$16:$R$65)-ROW($R$16)+1),ROWS($R$16:R21))))</f>
        <v/>
      </c>
      <c r="Z21" s="349" t="str">
        <f t="shared" si="15"/>
        <v/>
      </c>
      <c r="AA21" s="349" t="str">
        <f t="shared" si="3"/>
        <v/>
      </c>
      <c r="AB21" s="349" t="str">
        <f t="shared" si="4"/>
        <v/>
      </c>
      <c r="AC21" s="431" t="str">
        <f t="shared" si="5"/>
        <v/>
      </c>
      <c r="AD21" s="411" t="str">
        <f t="shared" si="6"/>
        <v/>
      </c>
      <c r="AF21" s="42">
        <v>6</v>
      </c>
      <c r="AG21" s="43">
        <v>6</v>
      </c>
      <c r="AH21" s="43" t="str">
        <f t="array" ref="AH21">IF(ROWS(J$16:J21)&gt;COUNTA($J$16:$J$21),"",INDEX($I$16:$I$21,SMALL(IF($J$16:$J$21&lt;&gt;"",ROW($J$16:$J$21)-ROW($J$16)+1),ROWS($J$16:J21))))</f>
        <v/>
      </c>
      <c r="AI21" s="444" t="str">
        <f t="shared" si="7"/>
        <v/>
      </c>
      <c r="AJ21" s="445" t="str">
        <f t="shared" si="8"/>
        <v/>
      </c>
      <c r="AK21" s="445" t="str">
        <f t="shared" si="9"/>
        <v/>
      </c>
      <c r="AL21" s="445" t="str">
        <f t="shared" si="10"/>
        <v/>
      </c>
      <c r="AQ21" s="737">
        <f t="shared" si="11"/>
        <v>0</v>
      </c>
      <c r="AR21" s="737">
        <f t="shared" si="12"/>
        <v>0</v>
      </c>
      <c r="AS21" s="737">
        <f t="shared" si="13"/>
        <v>0</v>
      </c>
    </row>
    <row r="22" spans="2:45" ht="13" customHeight="1" x14ac:dyDescent="0.25">
      <c r="B22" s="311"/>
      <c r="I22" s="167"/>
      <c r="J22" s="144"/>
      <c r="L22" s="176"/>
      <c r="M22" s="200"/>
      <c r="N22" s="176"/>
      <c r="P22" s="1563"/>
      <c r="Q22" s="169">
        <v>7</v>
      </c>
      <c r="R22" s="347"/>
      <c r="S22" s="977"/>
      <c r="T22" s="978"/>
      <c r="U22" s="979"/>
      <c r="V22" s="348" t="str">
        <f>IF(LEFT(R22,6)="Atrium",IF(Compliance_Version_Year=2010,AQ22,IF(Compliance_Version_Year=2016,AR22,IF(Compliance_Version_Year=2019,AS22,0))),_Space_LPA)</f>
        <v/>
      </c>
      <c r="W22" s="949" t="str">
        <f t="shared" si="2"/>
        <v/>
      </c>
      <c r="X22" s="43" t="str">
        <f t="shared" si="14"/>
        <v/>
      </c>
      <c r="Y22" s="362" t="str">
        <f t="array" ref="Y22">IF(ROWS(R$16:R22)&gt;COUNTA($R$16:$R$65),"",INDEX($Q$16:$Q$65,SMALL(IF($R$16:$R$65&lt;&gt;"",ROW($R$16:$R$65)-ROW($R$16)+1),ROWS($R$16:R22))))</f>
        <v/>
      </c>
      <c r="Z22" s="349" t="str">
        <f t="shared" si="15"/>
        <v/>
      </c>
      <c r="AA22" s="349" t="str">
        <f t="shared" si="3"/>
        <v/>
      </c>
      <c r="AB22" s="349" t="str">
        <f t="shared" si="4"/>
        <v/>
      </c>
      <c r="AC22" s="431" t="str">
        <f t="shared" si="5"/>
        <v/>
      </c>
      <c r="AD22" s="411" t="str">
        <f t="shared" si="6"/>
        <v/>
      </c>
      <c r="AF22" s="42">
        <v>7</v>
      </c>
      <c r="AG22" s="450"/>
      <c r="AH22" s="450"/>
      <c r="AI22" s="450"/>
      <c r="AJ22" s="134"/>
      <c r="AK22" s="134"/>
      <c r="AL22" s="134"/>
      <c r="AM22" s="63"/>
      <c r="AQ22" s="737">
        <f t="shared" si="11"/>
        <v>0</v>
      </c>
      <c r="AR22" s="737">
        <f t="shared" si="12"/>
        <v>0</v>
      </c>
      <c r="AS22" s="737">
        <f t="shared" si="13"/>
        <v>0</v>
      </c>
    </row>
    <row r="23" spans="2:45" ht="13" customHeight="1" x14ac:dyDescent="0.25">
      <c r="B23" s="311"/>
      <c r="C23" s="95"/>
      <c r="I23" s="167"/>
      <c r="J23" s="144"/>
      <c r="K23" s="144"/>
      <c r="L23" s="176"/>
      <c r="M23" s="200"/>
      <c r="N23" s="176"/>
      <c r="P23" s="1563"/>
      <c r="Q23" s="169">
        <v>8</v>
      </c>
      <c r="R23" s="347"/>
      <c r="S23" s="977"/>
      <c r="T23" s="978"/>
      <c r="U23" s="979"/>
      <c r="V23" s="348" t="str">
        <f>IF(LEFT(R23,6)="Atrium",IF(Compliance_Version_Year=2010,AQ23,IF(Compliance_Version_Year=2016,AR23,IF(Compliance_Version_Year=2019,AS23,0))),_Space_LPA)</f>
        <v/>
      </c>
      <c r="W23" s="949" t="str">
        <f t="shared" si="2"/>
        <v/>
      </c>
      <c r="X23" s="43" t="str">
        <f t="shared" si="14"/>
        <v/>
      </c>
      <c r="Y23" s="362" t="str">
        <f t="array" ref="Y23">IF(ROWS(R$16:R23)&gt;COUNTA($R$16:$R$65),"",INDEX($Q$16:$Q$65,SMALL(IF($R$16:$R$65&lt;&gt;"",ROW($R$16:$R$65)-ROW($R$16)+1),ROWS($R$16:R23))))</f>
        <v/>
      </c>
      <c r="Z23" s="349" t="str">
        <f t="shared" si="15"/>
        <v/>
      </c>
      <c r="AA23" s="349" t="str">
        <f t="shared" si="3"/>
        <v/>
      </c>
      <c r="AB23" s="349" t="str">
        <f t="shared" si="4"/>
        <v/>
      </c>
      <c r="AC23" s="431" t="str">
        <f t="shared" si="5"/>
        <v/>
      </c>
      <c r="AD23" s="411" t="str">
        <f t="shared" si="6"/>
        <v/>
      </c>
      <c r="AF23" s="42">
        <v>8</v>
      </c>
      <c r="AG23" s="450"/>
      <c r="AH23" s="450"/>
      <c r="AI23" s="450"/>
      <c r="AJ23" s="134"/>
      <c r="AK23" s="134"/>
      <c r="AL23" s="134"/>
      <c r="AM23" s="63"/>
      <c r="AQ23" s="737">
        <f t="shared" si="11"/>
        <v>0</v>
      </c>
      <c r="AR23" s="737">
        <f t="shared" si="12"/>
        <v>0</v>
      </c>
      <c r="AS23" s="737">
        <f t="shared" si="13"/>
        <v>0</v>
      </c>
    </row>
    <row r="24" spans="2:45" ht="13" customHeight="1" x14ac:dyDescent="0.25">
      <c r="B24" s="1499" t="s">
        <v>48</v>
      </c>
      <c r="C24" s="1499"/>
      <c r="D24" s="1499"/>
      <c r="E24" s="1499"/>
      <c r="I24" s="167"/>
      <c r="J24" s="144"/>
      <c r="K24" s="144"/>
      <c r="L24" s="176"/>
      <c r="M24" s="177"/>
      <c r="N24" s="176"/>
      <c r="P24" s="1563"/>
      <c r="Q24" s="169">
        <v>9</v>
      </c>
      <c r="R24" s="347"/>
      <c r="S24" s="977"/>
      <c r="T24" s="979"/>
      <c r="U24" s="979"/>
      <c r="V24" s="348" t="str">
        <f>IF(LEFT(R24,6)="Atrium",IF(Compliance_Version_Year=2010,AQ24,IF(Compliance_Version_Year=2016,AR24,IF(Compliance_Version_Year=2019,AS24,0))),_Space_LPA)</f>
        <v/>
      </c>
      <c r="W24" s="949" t="str">
        <f t="shared" si="2"/>
        <v/>
      </c>
      <c r="X24" s="43" t="str">
        <f t="shared" si="14"/>
        <v/>
      </c>
      <c r="Y24" s="362" t="str">
        <f t="array" ref="Y24">IF(ROWS(R$16:R24)&gt;COUNTA($R$16:$R$65),"",INDEX($Q$16:$Q$65,SMALL(IF($R$16:$R$65&lt;&gt;"",ROW($R$16:$R$65)-ROW($R$16)+1),ROWS($R$16:R24))))</f>
        <v/>
      </c>
      <c r="Z24" s="349" t="str">
        <f t="shared" si="15"/>
        <v/>
      </c>
      <c r="AA24" s="349" t="str">
        <f t="shared" si="3"/>
        <v/>
      </c>
      <c r="AB24" s="349" t="str">
        <f t="shared" si="4"/>
        <v/>
      </c>
      <c r="AC24" s="431" t="str">
        <f t="shared" si="5"/>
        <v/>
      </c>
      <c r="AD24" s="411" t="str">
        <f t="shared" si="6"/>
        <v/>
      </c>
      <c r="AF24" s="42">
        <v>9</v>
      </c>
      <c r="AG24" s="450"/>
      <c r="AH24" s="450"/>
      <c r="AI24" s="450"/>
      <c r="AJ24" s="134"/>
      <c r="AK24" s="134"/>
      <c r="AL24" s="134"/>
      <c r="AM24" s="63"/>
      <c r="AQ24" s="737">
        <f t="shared" si="11"/>
        <v>0</v>
      </c>
      <c r="AR24" s="737">
        <f t="shared" si="12"/>
        <v>0</v>
      </c>
      <c r="AS24" s="737">
        <f t="shared" si="13"/>
        <v>0</v>
      </c>
    </row>
    <row r="25" spans="2:45" ht="13" customHeight="1" x14ac:dyDescent="0.25">
      <c r="B25" s="1499"/>
      <c r="C25" s="1499"/>
      <c r="D25" s="1499"/>
      <c r="E25" s="1499"/>
      <c r="I25" s="167"/>
      <c r="J25" s="144"/>
      <c r="K25" s="144"/>
      <c r="L25" s="176"/>
      <c r="M25" s="73"/>
      <c r="N25" s="176"/>
      <c r="P25" s="1563"/>
      <c r="Q25" s="169">
        <v>10</v>
      </c>
      <c r="R25" s="347"/>
      <c r="S25" s="977"/>
      <c r="T25" s="979"/>
      <c r="U25" s="979"/>
      <c r="V25" s="348" t="str">
        <f>IF(LEFT(R25,6)="Atrium",IF(Compliance_Version_Year=2010,AQ25,IF(Compliance_Version_Year=2016,AR25,IF(Compliance_Version_Year=2019,AS25,0))),_Space_LPA)</f>
        <v/>
      </c>
      <c r="W25" s="949" t="str">
        <f t="shared" si="2"/>
        <v/>
      </c>
      <c r="X25" s="43" t="str">
        <f t="shared" si="14"/>
        <v/>
      </c>
      <c r="Y25" s="362" t="str">
        <f t="array" ref="Y25">IF(ROWS(R$16:R25)&gt;COUNTA($R$16:$R$65),"",INDEX($Q$16:$Q$65,SMALL(IF($R$16:$R$65&lt;&gt;"",ROW($R$16:$R$65)-ROW($R$16)+1),ROWS($R$16:R25))))</f>
        <v/>
      </c>
      <c r="Z25" s="349" t="str">
        <f t="shared" si="15"/>
        <v/>
      </c>
      <c r="AA25" s="349" t="str">
        <f t="shared" si="3"/>
        <v/>
      </c>
      <c r="AB25" s="349" t="str">
        <f t="shared" si="4"/>
        <v/>
      </c>
      <c r="AC25" s="431" t="str">
        <f t="shared" si="5"/>
        <v/>
      </c>
      <c r="AD25" s="411" t="str">
        <f t="shared" si="6"/>
        <v/>
      </c>
      <c r="AF25" s="42">
        <v>10</v>
      </c>
      <c r="AG25" s="450"/>
      <c r="AH25" s="450"/>
      <c r="AI25" s="450"/>
      <c r="AJ25" s="134"/>
      <c r="AK25" s="134"/>
      <c r="AL25" s="134"/>
      <c r="AM25" s="63"/>
      <c r="AQ25" s="737">
        <f t="shared" si="11"/>
        <v>0</v>
      </c>
      <c r="AR25" s="737">
        <f t="shared" si="12"/>
        <v>0</v>
      </c>
      <c r="AS25" s="737">
        <f t="shared" si="13"/>
        <v>0</v>
      </c>
    </row>
    <row r="26" spans="2:45" ht="12.75" customHeight="1" x14ac:dyDescent="0.25">
      <c r="B26" s="1499"/>
      <c r="C26" s="1499"/>
      <c r="D26" s="1499"/>
      <c r="E26" s="1499"/>
      <c r="F26" s="585"/>
      <c r="I26" s="167"/>
      <c r="P26" s="1563"/>
      <c r="Q26" s="169">
        <v>11</v>
      </c>
      <c r="R26" s="347"/>
      <c r="S26" s="977"/>
      <c r="T26" s="979"/>
      <c r="U26" s="979"/>
      <c r="V26" s="348" t="str">
        <f>IF(LEFT(R26,6)="Atrium",IF(Compliance_Version_Year=2010,AQ26,IF(Compliance_Version_Year=2016,AR26,IF(Compliance_Version_Year=2019,AS26,0))),_Space_LPA)</f>
        <v/>
      </c>
      <c r="W26" s="949" t="str">
        <f t="shared" si="2"/>
        <v/>
      </c>
      <c r="X26" s="43" t="str">
        <f t="shared" si="14"/>
        <v/>
      </c>
      <c r="Y26" s="362" t="str">
        <f t="array" ref="Y26">IF(ROWS(R$16:R26)&gt;COUNTA($R$16:$R$65),"",INDEX($Q$16:$Q$65,SMALL(IF($R$16:$R$65&lt;&gt;"",ROW($R$16:$R$65)-ROW($R$16)+1),ROWS($R$16:R26))))</f>
        <v/>
      </c>
      <c r="Z26" s="349" t="str">
        <f t="shared" si="15"/>
        <v/>
      </c>
      <c r="AA26" s="349" t="str">
        <f t="shared" ref="AA26:AA35" si="16">IF($Y26="","",VLOOKUP($Y26,_InteriorTable,2,FALSE))</f>
        <v/>
      </c>
      <c r="AB26" s="349" t="str">
        <f t="shared" ref="AB26:AB35" si="17">IF($Y26="","",IF(VLOOKUP($Y26,_InteriorTable,3,FALSE)="","",CONCATENATE("(",VLOOKUP($Y26,_InteriorTable,3,FALSE),")")))</f>
        <v/>
      </c>
      <c r="AC26" s="431" t="str">
        <f t="shared" ref="AC26:AC35" si="18">IF($Y26="","",VLOOKUP($Y26,_InteriorTable,AC$11,FALSE))</f>
        <v/>
      </c>
      <c r="AD26" s="411" t="str">
        <f t="shared" ref="AD26:AD35" si="19">IF($Y26="","",VLOOKUP($AA26,_Room_List,AD$11,FALSE))</f>
        <v/>
      </c>
      <c r="AF26" s="42">
        <v>11</v>
      </c>
      <c r="AG26" s="63"/>
      <c r="AH26" s="63"/>
      <c r="AI26" s="63"/>
      <c r="AJ26" s="63"/>
      <c r="AK26" s="63"/>
      <c r="AL26" s="63"/>
      <c r="AM26" s="63"/>
      <c r="AQ26" s="737">
        <f t="shared" si="11"/>
        <v>0</v>
      </c>
      <c r="AR26" s="737">
        <f t="shared" si="12"/>
        <v>0</v>
      </c>
      <c r="AS26" s="737">
        <f t="shared" si="13"/>
        <v>0</v>
      </c>
    </row>
    <row r="27" spans="2:45" ht="13" customHeight="1" x14ac:dyDescent="0.25">
      <c r="B27" s="1499"/>
      <c r="C27" s="1499"/>
      <c r="D27" s="1499"/>
      <c r="E27" s="1499"/>
      <c r="F27" s="585"/>
      <c r="P27" s="1563"/>
      <c r="Q27" s="169">
        <v>12</v>
      </c>
      <c r="R27" s="347"/>
      <c r="S27" s="977"/>
      <c r="T27" s="979"/>
      <c r="U27" s="979"/>
      <c r="V27" s="348" t="str">
        <f>IF(LEFT(R27,6)="Atrium",IF(Compliance_Version_Year=2010,AQ27,IF(Compliance_Version_Year=2016,AR27,IF(Compliance_Version_Year=2019,AS27,0))),_Space_LPA)</f>
        <v/>
      </c>
      <c r="W27" s="949" t="str">
        <f t="shared" si="2"/>
        <v/>
      </c>
      <c r="X27" s="43" t="str">
        <f t="shared" si="14"/>
        <v/>
      </c>
      <c r="Y27" s="362" t="str">
        <f t="array" ref="Y27">IF(ROWS(R$16:R27)&gt;COUNTA($R$16:$R$65),"",INDEX($Q$16:$Q$65,SMALL(IF($R$16:$R$65&lt;&gt;"",ROW($R$16:$R$65)-ROW($R$16)+1),ROWS($R$16:R27))))</f>
        <v/>
      </c>
      <c r="Z27" s="349" t="str">
        <f t="shared" si="15"/>
        <v/>
      </c>
      <c r="AA27" s="349" t="str">
        <f t="shared" si="16"/>
        <v/>
      </c>
      <c r="AB27" s="349" t="str">
        <f t="shared" si="17"/>
        <v/>
      </c>
      <c r="AC27" s="431" t="str">
        <f t="shared" si="18"/>
        <v/>
      </c>
      <c r="AD27" s="411" t="str">
        <f t="shared" si="19"/>
        <v/>
      </c>
      <c r="AF27" s="42">
        <v>12</v>
      </c>
      <c r="AQ27" s="737">
        <f t="shared" si="11"/>
        <v>0</v>
      </c>
      <c r="AR27" s="737">
        <f t="shared" si="12"/>
        <v>0</v>
      </c>
      <c r="AS27" s="737">
        <f t="shared" si="13"/>
        <v>0</v>
      </c>
    </row>
    <row r="28" spans="2:45" ht="13" customHeight="1" x14ac:dyDescent="0.25">
      <c r="B28" s="585"/>
      <c r="C28" s="585"/>
      <c r="D28" s="585"/>
      <c r="E28" s="585"/>
      <c r="F28" s="585"/>
      <c r="P28" s="1563"/>
      <c r="Q28" s="169">
        <v>13</v>
      </c>
      <c r="R28" s="347"/>
      <c r="S28" s="977"/>
      <c r="T28" s="979"/>
      <c r="U28" s="979"/>
      <c r="V28" s="348" t="str">
        <f>IF(LEFT(R28,6)="Atrium",IF(Compliance_Version_Year=2010,AQ28,IF(Compliance_Version_Year=2016,AR28,IF(Compliance_Version_Year=2019,AS28,0))),_Space_LPA)</f>
        <v/>
      </c>
      <c r="W28" s="949" t="str">
        <f t="shared" si="2"/>
        <v/>
      </c>
      <c r="X28" s="43" t="str">
        <f t="shared" si="14"/>
        <v/>
      </c>
      <c r="Y28" s="362" t="str">
        <f t="array" ref="Y28">IF(ROWS(R$16:R28)&gt;COUNTA($R$16:$R$65),"",INDEX($Q$16:$Q$65,SMALL(IF($R$16:$R$65&lt;&gt;"",ROW($R$16:$R$65)-ROW($R$16)+1),ROWS($R$16:R28))))</f>
        <v/>
      </c>
      <c r="Z28" s="349" t="str">
        <f t="shared" si="15"/>
        <v/>
      </c>
      <c r="AA28" s="349" t="str">
        <f t="shared" si="16"/>
        <v/>
      </c>
      <c r="AB28" s="349" t="str">
        <f t="shared" si="17"/>
        <v/>
      </c>
      <c r="AC28" s="431" t="str">
        <f t="shared" si="18"/>
        <v/>
      </c>
      <c r="AD28" s="411" t="str">
        <f t="shared" si="19"/>
        <v/>
      </c>
      <c r="AF28" s="42">
        <v>13</v>
      </c>
      <c r="AQ28" s="737">
        <f t="shared" si="11"/>
        <v>0</v>
      </c>
      <c r="AR28" s="737">
        <f t="shared" si="12"/>
        <v>0</v>
      </c>
      <c r="AS28" s="737">
        <f t="shared" si="13"/>
        <v>0</v>
      </c>
    </row>
    <row r="29" spans="2:45" ht="13" customHeight="1" x14ac:dyDescent="0.25">
      <c r="B29" s="585"/>
      <c r="C29" s="585"/>
      <c r="D29" s="585"/>
      <c r="E29" s="585"/>
      <c r="F29" s="585"/>
      <c r="P29" s="1563"/>
      <c r="Q29" s="169">
        <v>14</v>
      </c>
      <c r="R29" s="347"/>
      <c r="S29" s="977"/>
      <c r="T29" s="979"/>
      <c r="U29" s="979"/>
      <c r="V29" s="348" t="str">
        <f>IF(LEFT(R29,6)="Atrium",IF(Compliance_Version_Year=2010,AQ29,IF(Compliance_Version_Year=2016,AR29,IF(Compliance_Version_Year=2019,AS29,0))),_Space_LPA)</f>
        <v/>
      </c>
      <c r="W29" s="949" t="str">
        <f t="shared" si="2"/>
        <v/>
      </c>
      <c r="X29" s="43" t="str">
        <f t="shared" si="14"/>
        <v/>
      </c>
      <c r="Y29" s="362" t="str">
        <f t="array" ref="Y29">IF(ROWS(R$16:R29)&gt;COUNTA($R$16:$R$65),"",INDEX($Q$16:$Q$65,SMALL(IF($R$16:$R$65&lt;&gt;"",ROW($R$16:$R$65)-ROW($R$16)+1),ROWS($R$16:R29))))</f>
        <v/>
      </c>
      <c r="Z29" s="349" t="str">
        <f t="shared" si="15"/>
        <v/>
      </c>
      <c r="AA29" s="349" t="str">
        <f t="shared" si="16"/>
        <v/>
      </c>
      <c r="AB29" s="349" t="str">
        <f t="shared" si="17"/>
        <v/>
      </c>
      <c r="AC29" s="431" t="str">
        <f t="shared" si="18"/>
        <v/>
      </c>
      <c r="AD29" s="411" t="str">
        <f t="shared" si="19"/>
        <v/>
      </c>
      <c r="AF29" s="42">
        <v>14</v>
      </c>
      <c r="AQ29" s="737">
        <f t="shared" si="11"/>
        <v>0</v>
      </c>
      <c r="AR29" s="737">
        <f t="shared" si="12"/>
        <v>0</v>
      </c>
      <c r="AS29" s="737">
        <f t="shared" si="13"/>
        <v>0</v>
      </c>
    </row>
    <row r="30" spans="2:45" ht="12.75" customHeight="1" x14ac:dyDescent="0.25">
      <c r="B30" s="136"/>
      <c r="C30" s="136"/>
      <c r="D30" s="136"/>
      <c r="E30" s="136"/>
      <c r="F30" s="136"/>
      <c r="L30" s="174"/>
      <c r="M30" s="174"/>
      <c r="N30" s="174"/>
      <c r="P30" s="1563"/>
      <c r="Q30" s="169">
        <v>15</v>
      </c>
      <c r="R30" s="347"/>
      <c r="S30" s="977"/>
      <c r="T30" s="979"/>
      <c r="U30" s="979"/>
      <c r="V30" s="348" t="str">
        <f>IF(LEFT(R30,6)="Atrium",IF(Compliance_Version_Year=2010,AQ30,IF(Compliance_Version_Year=2016,AR30,IF(Compliance_Version_Year=2019,AS30,0))),_Space_LPA)</f>
        <v/>
      </c>
      <c r="W30" s="949" t="str">
        <f t="shared" si="2"/>
        <v/>
      </c>
      <c r="X30" s="43" t="str">
        <f t="shared" si="14"/>
        <v/>
      </c>
      <c r="Y30" s="362" t="str">
        <f t="array" ref="Y30">IF(ROWS(R$16:R30)&gt;COUNTA($R$16:$R$65),"",INDEX($Q$16:$Q$65,SMALL(IF($R$16:$R$65&lt;&gt;"",ROW($R$16:$R$65)-ROW($R$16)+1),ROWS($R$16:R30))))</f>
        <v/>
      </c>
      <c r="Z30" s="349" t="str">
        <f t="shared" si="15"/>
        <v/>
      </c>
      <c r="AA30" s="349" t="str">
        <f t="shared" si="16"/>
        <v/>
      </c>
      <c r="AB30" s="349" t="str">
        <f t="shared" si="17"/>
        <v/>
      </c>
      <c r="AC30" s="431" t="str">
        <f t="shared" si="18"/>
        <v/>
      </c>
      <c r="AD30" s="411" t="str">
        <f t="shared" si="19"/>
        <v/>
      </c>
      <c r="AF30" s="42">
        <v>15</v>
      </c>
      <c r="AQ30" s="737">
        <f t="shared" si="11"/>
        <v>0</v>
      </c>
      <c r="AR30" s="737">
        <f t="shared" si="12"/>
        <v>0</v>
      </c>
      <c r="AS30" s="737">
        <f t="shared" si="13"/>
        <v>0</v>
      </c>
    </row>
    <row r="31" spans="2:45" x14ac:dyDescent="0.25">
      <c r="B31" s="136"/>
      <c r="C31" s="136"/>
      <c r="D31" s="136"/>
      <c r="E31" s="136"/>
      <c r="F31" s="136"/>
      <c r="J31" s="174"/>
      <c r="K31" s="174"/>
      <c r="L31" s="174"/>
      <c r="M31" s="174"/>
      <c r="N31" s="174"/>
      <c r="P31" s="1563"/>
      <c r="Q31" s="169">
        <v>16</v>
      </c>
      <c r="R31" s="347"/>
      <c r="S31" s="977"/>
      <c r="T31" s="979"/>
      <c r="U31" s="979"/>
      <c r="V31" s="348" t="str">
        <f>IF(LEFT(R31,6)="Atrium",IF(Compliance_Version_Year=2010,AQ31,IF(Compliance_Version_Year=2016,AR31,IF(Compliance_Version_Year=2019,AS31,0))),_Space_LPA)</f>
        <v/>
      </c>
      <c r="W31" s="653" t="str">
        <f>IF(T31="","",ROUND(T31*V31,0))</f>
        <v/>
      </c>
      <c r="X31" s="43" t="str">
        <f t="shared" si="14"/>
        <v/>
      </c>
      <c r="Y31" s="362" t="str">
        <f t="array" ref="Y31">IF(ROWS(R$16:R31)&gt;COUNTA($R$16:$R$65),"",INDEX($Q$16:$Q$65,SMALL(IF($R$16:$R$65&lt;&gt;"",ROW($R$16:$R$65)-ROW($R$16)+1),ROWS($R$16:R31))))</f>
        <v/>
      </c>
      <c r="Z31" s="349" t="str">
        <f t="shared" si="15"/>
        <v/>
      </c>
      <c r="AA31" s="349" t="str">
        <f t="shared" si="16"/>
        <v/>
      </c>
      <c r="AB31" s="349" t="str">
        <f t="shared" si="17"/>
        <v/>
      </c>
      <c r="AC31" s="431" t="str">
        <f t="shared" si="18"/>
        <v/>
      </c>
      <c r="AD31" s="411" t="str">
        <f t="shared" si="19"/>
        <v/>
      </c>
      <c r="AF31" s="42">
        <v>16</v>
      </c>
      <c r="AQ31" s="737">
        <f>IF($U31&lt;=40,($U31*AQ$7)+AQ$13,($U31*AQ$11)+AQ$13)</f>
        <v>0</v>
      </c>
      <c r="AR31" s="737">
        <f t="shared" si="12"/>
        <v>0</v>
      </c>
      <c r="AS31" s="737">
        <f t="shared" si="13"/>
        <v>0</v>
      </c>
    </row>
    <row r="32" spans="2:45" ht="12.75" customHeight="1" x14ac:dyDescent="0.25">
      <c r="B32" s="1499" t="s">
        <v>49</v>
      </c>
      <c r="C32" s="1499"/>
      <c r="D32" s="1499"/>
      <c r="E32" s="1499"/>
      <c r="I32" s="174"/>
      <c r="J32" s="174"/>
      <c r="K32" s="174"/>
      <c r="P32" s="1563"/>
      <c r="Q32" s="169">
        <v>17</v>
      </c>
      <c r="R32" s="347"/>
      <c r="S32" s="977"/>
      <c r="T32" s="979"/>
      <c r="U32" s="979"/>
      <c r="V32" s="348" t="str">
        <f>IF(LEFT(R32,6)="Atrium",IF(Compliance_Version_Year=2010,AQ32,IF(Compliance_Version_Year=2016,AR32,IF(Compliance_Version_Year=2019,AS32,0))),_Space_LPA)</f>
        <v/>
      </c>
      <c r="W32" s="949" t="str">
        <f t="shared" ref="W32:W65" si="20">IF(T32="","",ROUND(T32*V32,0))</f>
        <v/>
      </c>
      <c r="X32" s="43" t="str">
        <f t="shared" si="14"/>
        <v/>
      </c>
      <c r="Y32" s="362" t="str">
        <f t="array" ref="Y32">IF(ROWS(R$16:R32)&gt;COUNTA($R$16:$R$65),"",INDEX($Q$16:$Q$65,SMALL(IF($R$16:$R$65&lt;&gt;"",ROW($R$16:$R$65)-ROW($R$16)+1),ROWS($R$16:R32))))</f>
        <v/>
      </c>
      <c r="Z32" s="349" t="str">
        <f t="shared" si="15"/>
        <v/>
      </c>
      <c r="AA32" s="349" t="str">
        <f t="shared" si="16"/>
        <v/>
      </c>
      <c r="AB32" s="349" t="str">
        <f t="shared" si="17"/>
        <v/>
      </c>
      <c r="AC32" s="431" t="str">
        <f t="shared" si="18"/>
        <v/>
      </c>
      <c r="AD32" s="411" t="str">
        <f t="shared" si="19"/>
        <v/>
      </c>
      <c r="AF32" s="42">
        <v>17</v>
      </c>
      <c r="AQ32" s="737">
        <f t="shared" ref="AQ32:AQ65" si="21">IF($U32&lt;=40,($U32*AQ$7)+AQ$13,($U32*AQ$11)+AQ$13)</f>
        <v>0</v>
      </c>
      <c r="AR32" s="737">
        <f t="shared" si="12"/>
        <v>0</v>
      </c>
      <c r="AS32" s="737">
        <f t="shared" si="13"/>
        <v>0</v>
      </c>
    </row>
    <row r="33" spans="2:46" x14ac:dyDescent="0.25">
      <c r="B33" s="1499"/>
      <c r="C33" s="1499"/>
      <c r="D33" s="1499"/>
      <c r="E33" s="1499"/>
      <c r="P33" s="1563"/>
      <c r="Q33" s="169">
        <v>18</v>
      </c>
      <c r="R33" s="347"/>
      <c r="S33" s="977"/>
      <c r="T33" s="979"/>
      <c r="U33" s="979"/>
      <c r="V33" s="348" t="str">
        <f>IF(LEFT(R33,6)="Atrium",IF(Compliance_Version_Year=2010,AQ33,IF(Compliance_Version_Year=2016,AR33,IF(Compliance_Version_Year=2019,AS33,0))),_Space_LPA)</f>
        <v/>
      </c>
      <c r="W33" s="949" t="str">
        <f t="shared" si="20"/>
        <v/>
      </c>
      <c r="X33" s="43" t="str">
        <f t="shared" si="14"/>
        <v/>
      </c>
      <c r="Y33" s="362" t="str">
        <f t="array" ref="Y33">IF(ROWS(R$16:R33)&gt;COUNTA($R$16:$R$65),"",INDEX($Q$16:$Q$65,SMALL(IF($R$16:$R$65&lt;&gt;"",ROW($R$16:$R$65)-ROW($R$16)+1),ROWS($R$16:R33))))</f>
        <v/>
      </c>
      <c r="Z33" s="349" t="str">
        <f t="shared" si="15"/>
        <v/>
      </c>
      <c r="AA33" s="349" t="str">
        <f t="shared" si="16"/>
        <v/>
      </c>
      <c r="AB33" s="349" t="str">
        <f t="shared" si="17"/>
        <v/>
      </c>
      <c r="AC33" s="431" t="str">
        <f t="shared" si="18"/>
        <v/>
      </c>
      <c r="AD33" s="411" t="str">
        <f t="shared" si="19"/>
        <v/>
      </c>
      <c r="AF33" s="42">
        <v>18</v>
      </c>
      <c r="AQ33" s="737">
        <f t="shared" si="21"/>
        <v>0</v>
      </c>
      <c r="AR33" s="737">
        <f t="shared" si="12"/>
        <v>0</v>
      </c>
      <c r="AS33" s="737">
        <f t="shared" si="13"/>
        <v>0</v>
      </c>
    </row>
    <row r="34" spans="2:46" ht="12.75" customHeight="1" x14ac:dyDescent="0.25">
      <c r="B34" s="1499"/>
      <c r="C34" s="1499"/>
      <c r="D34" s="1499"/>
      <c r="E34" s="1499"/>
      <c r="F34" s="585"/>
      <c r="P34" s="1563"/>
      <c r="Q34" s="169">
        <v>19</v>
      </c>
      <c r="R34" s="347"/>
      <c r="S34" s="977"/>
      <c r="T34" s="979"/>
      <c r="U34" s="979"/>
      <c r="V34" s="348" t="str">
        <f>IF(LEFT(R34,6)="Atrium",IF(Compliance_Version_Year=2010,AQ34,IF(Compliance_Version_Year=2016,AR34,IF(Compliance_Version_Year=2019,AS34,0))),_Space_LPA)</f>
        <v/>
      </c>
      <c r="W34" s="949" t="str">
        <f t="shared" si="20"/>
        <v/>
      </c>
      <c r="X34" s="43" t="str">
        <f t="shared" si="14"/>
        <v/>
      </c>
      <c r="Y34" s="362" t="str">
        <f t="array" ref="Y34">IF(ROWS(R$16:R34)&gt;COUNTA($R$16:$R$65),"",INDEX($Q$16:$Q$65,SMALL(IF($R$16:$R$65&lt;&gt;"",ROW($R$16:$R$65)-ROW($R$16)+1),ROWS($R$16:R34))))</f>
        <v/>
      </c>
      <c r="Z34" s="349" t="str">
        <f t="shared" si="15"/>
        <v/>
      </c>
      <c r="AA34" s="349" t="str">
        <f t="shared" si="16"/>
        <v/>
      </c>
      <c r="AB34" s="349" t="str">
        <f t="shared" si="17"/>
        <v/>
      </c>
      <c r="AC34" s="431" t="str">
        <f t="shared" si="18"/>
        <v/>
      </c>
      <c r="AD34" s="411" t="str">
        <f t="shared" si="19"/>
        <v/>
      </c>
      <c r="AF34" s="42">
        <v>19</v>
      </c>
      <c r="AQ34" s="737">
        <f t="shared" si="21"/>
        <v>0</v>
      </c>
      <c r="AR34" s="737">
        <f t="shared" si="12"/>
        <v>0</v>
      </c>
      <c r="AS34" s="737">
        <f t="shared" si="13"/>
        <v>0</v>
      </c>
    </row>
    <row r="35" spans="2:46" x14ac:dyDescent="0.25">
      <c r="B35" s="1499"/>
      <c r="C35" s="1499"/>
      <c r="D35" s="1499"/>
      <c r="E35" s="1499"/>
      <c r="F35" s="585"/>
      <c r="P35" s="1563"/>
      <c r="Q35" s="169">
        <v>20</v>
      </c>
      <c r="R35" s="347"/>
      <c r="S35" s="977"/>
      <c r="T35" s="979"/>
      <c r="U35" s="979"/>
      <c r="V35" s="348" t="str">
        <f>IF(LEFT(R35,6)="Atrium",IF(Compliance_Version_Year=2010,AQ35,IF(Compliance_Version_Year=2016,AR35,IF(Compliance_Version_Year=2019,AS35,0))),_Space_LPA)</f>
        <v/>
      </c>
      <c r="W35" s="949" t="str">
        <f t="shared" si="20"/>
        <v/>
      </c>
      <c r="X35" s="43" t="str">
        <f t="shared" si="14"/>
        <v/>
      </c>
      <c r="Y35" s="362" t="str">
        <f t="array" ref="Y35">IF(ROWS(R$16:R35)&gt;COUNTA($R$16:$R$65),"",INDEX($Q$16:$Q$65,SMALL(IF($R$16:$R$65&lt;&gt;"",ROW($R$16:$R$65)-ROW($R$16)+1),ROWS($R$16:R35))))</f>
        <v/>
      </c>
      <c r="Z35" s="349" t="str">
        <f t="shared" si="15"/>
        <v/>
      </c>
      <c r="AA35" s="349" t="str">
        <f t="shared" si="16"/>
        <v/>
      </c>
      <c r="AB35" s="349" t="str">
        <f t="shared" si="17"/>
        <v/>
      </c>
      <c r="AC35" s="431" t="str">
        <f t="shared" si="18"/>
        <v/>
      </c>
      <c r="AD35" s="411" t="str">
        <f t="shared" si="19"/>
        <v/>
      </c>
      <c r="AF35" s="42">
        <v>20</v>
      </c>
      <c r="AQ35" s="737">
        <f t="shared" si="21"/>
        <v>0</v>
      </c>
      <c r="AR35" s="737">
        <f t="shared" si="12"/>
        <v>0</v>
      </c>
      <c r="AS35" s="737">
        <f t="shared" si="13"/>
        <v>0</v>
      </c>
    </row>
    <row r="36" spans="2:46" ht="12.75" customHeight="1" x14ac:dyDescent="0.25">
      <c r="B36" s="585"/>
      <c r="C36" s="585"/>
      <c r="D36" s="585"/>
      <c r="E36" s="585"/>
      <c r="F36" s="585"/>
      <c r="P36" s="1563"/>
      <c r="Q36" s="169">
        <v>21</v>
      </c>
      <c r="R36" s="347"/>
      <c r="S36" s="977"/>
      <c r="T36" s="979"/>
      <c r="U36" s="979"/>
      <c r="V36" s="348" t="str">
        <f>IF(LEFT(R36,6)="Atrium",IF(Compliance_Version_Year=2010,AQ36,IF(Compliance_Version_Year=2016,AR36,IF(Compliance_Version_Year=2019,AS36,0))),_Space_LPA)</f>
        <v/>
      </c>
      <c r="W36" s="949" t="str">
        <f t="shared" si="20"/>
        <v/>
      </c>
      <c r="X36" s="43" t="str">
        <f t="shared" si="14"/>
        <v/>
      </c>
      <c r="Y36" s="362" t="str">
        <f t="array" ref="Y36">IF(ROWS(R$16:R36)&gt;COUNTA($R$16:$R$65),"",INDEX($Q$16:$Q$65,SMALL(IF($R$16:$R$65&lt;&gt;"",ROW($R$16:$R$65)-ROW($R$16)+1),ROWS($R$16:R36))))</f>
        <v/>
      </c>
      <c r="Z36" s="349" t="str">
        <f t="shared" si="15"/>
        <v/>
      </c>
      <c r="AA36" s="349" t="str">
        <f t="shared" si="3"/>
        <v/>
      </c>
      <c r="AB36" s="349" t="str">
        <f t="shared" si="4"/>
        <v/>
      </c>
      <c r="AC36" s="431" t="str">
        <f t="shared" si="5"/>
        <v/>
      </c>
      <c r="AD36" s="411" t="str">
        <f t="shared" si="6"/>
        <v/>
      </c>
      <c r="AF36" s="42">
        <v>21</v>
      </c>
      <c r="AQ36" s="737">
        <f t="shared" si="21"/>
        <v>0</v>
      </c>
      <c r="AR36" s="737">
        <f t="shared" si="12"/>
        <v>0</v>
      </c>
      <c r="AS36" s="737">
        <f t="shared" si="13"/>
        <v>0</v>
      </c>
      <c r="AT36" s="982"/>
    </row>
    <row r="37" spans="2:46" ht="12.75" customHeight="1" x14ac:dyDescent="0.25">
      <c r="B37" s="585"/>
      <c r="C37" s="585"/>
      <c r="D37" s="585"/>
      <c r="E37" s="585"/>
      <c r="F37" s="585"/>
      <c r="P37" s="1563"/>
      <c r="Q37" s="169">
        <v>22</v>
      </c>
      <c r="R37" s="347"/>
      <c r="S37" s="977"/>
      <c r="T37" s="979"/>
      <c r="U37" s="979"/>
      <c r="V37" s="348" t="str">
        <f>IF(LEFT(R37,6)="Atrium",IF(Compliance_Version_Year=2010,AQ37,IF(Compliance_Version_Year=2016,AR37,IF(Compliance_Version_Year=2019,AS37,0))),_Space_LPA)</f>
        <v/>
      </c>
      <c r="W37" s="949" t="str">
        <f t="shared" si="20"/>
        <v/>
      </c>
      <c r="X37" s="43" t="str">
        <f t="shared" si="14"/>
        <v/>
      </c>
      <c r="Y37" s="362" t="str">
        <f t="array" ref="Y37">IF(ROWS(R$16:R37)&gt;COUNTA($R$16:$R$65),"",INDEX($Q$16:$Q$65,SMALL(IF($R$16:$R$65&lt;&gt;"",ROW($R$16:$R$65)-ROW($R$16)+1),ROWS($R$16:R37))))</f>
        <v/>
      </c>
      <c r="Z37" s="349" t="str">
        <f t="shared" si="15"/>
        <v/>
      </c>
      <c r="AA37" s="349" t="str">
        <f t="shared" si="3"/>
        <v/>
      </c>
      <c r="AB37" s="349" t="str">
        <f t="shared" si="4"/>
        <v/>
      </c>
      <c r="AC37" s="431" t="str">
        <f t="shared" si="5"/>
        <v/>
      </c>
      <c r="AD37" s="411" t="str">
        <f t="shared" si="6"/>
        <v/>
      </c>
      <c r="AF37" s="42">
        <v>22</v>
      </c>
      <c r="AQ37" s="737">
        <f t="shared" si="21"/>
        <v>0</v>
      </c>
      <c r="AR37" s="737">
        <f t="shared" si="12"/>
        <v>0</v>
      </c>
      <c r="AS37" s="737">
        <f t="shared" si="13"/>
        <v>0</v>
      </c>
    </row>
    <row r="38" spans="2:46" ht="13" customHeight="1" x14ac:dyDescent="0.25">
      <c r="B38" s="317"/>
      <c r="C38" s="317"/>
      <c r="D38" s="317"/>
      <c r="E38" s="528"/>
      <c r="P38" s="1563"/>
      <c r="Q38" s="169">
        <v>23</v>
      </c>
      <c r="R38" s="347"/>
      <c r="S38" s="977"/>
      <c r="T38" s="979"/>
      <c r="U38" s="979"/>
      <c r="V38" s="348" t="str">
        <f>IF(LEFT(R38,6)="Atrium",IF(Compliance_Version_Year=2010,AQ38,IF(Compliance_Version_Year=2016,AR38,IF(Compliance_Version_Year=2019,AS38,0))),_Space_LPA)</f>
        <v/>
      </c>
      <c r="W38" s="949" t="str">
        <f t="shared" si="20"/>
        <v/>
      </c>
      <c r="X38" s="43" t="str">
        <f t="shared" si="14"/>
        <v/>
      </c>
      <c r="Y38" s="362" t="str">
        <f t="array" ref="Y38">IF(ROWS(R$16:R38)&gt;COUNTA($R$16:$R$65),"",INDEX($Q$16:$Q$65,SMALL(IF($R$16:$R$65&lt;&gt;"",ROW($R$16:$R$65)-ROW($R$16)+1),ROWS($R$16:R38))))</f>
        <v/>
      </c>
      <c r="Z38" s="349" t="str">
        <f t="shared" si="15"/>
        <v/>
      </c>
      <c r="AA38" s="349" t="str">
        <f t="shared" si="3"/>
        <v/>
      </c>
      <c r="AB38" s="349" t="str">
        <f t="shared" si="4"/>
        <v/>
      </c>
      <c r="AC38" s="431" t="str">
        <f t="shared" si="5"/>
        <v/>
      </c>
      <c r="AD38" s="411" t="str">
        <f t="shared" si="6"/>
        <v/>
      </c>
      <c r="AF38" s="42">
        <v>23</v>
      </c>
      <c r="AQ38" s="737">
        <f t="shared" si="21"/>
        <v>0</v>
      </c>
      <c r="AR38" s="737">
        <f t="shared" si="12"/>
        <v>0</v>
      </c>
      <c r="AS38" s="737">
        <f t="shared" si="13"/>
        <v>0</v>
      </c>
    </row>
    <row r="39" spans="2:46" ht="13" customHeight="1" x14ac:dyDescent="0.25">
      <c r="B39" s="317"/>
      <c r="C39" s="317"/>
      <c r="D39" s="317"/>
      <c r="E39" s="528"/>
      <c r="P39" s="1563"/>
      <c r="Q39" s="169">
        <v>24</v>
      </c>
      <c r="R39" s="347"/>
      <c r="S39" s="977"/>
      <c r="T39" s="979"/>
      <c r="U39" s="979"/>
      <c r="V39" s="348" t="str">
        <f>IF(LEFT(R39,6)="Atrium",IF(Compliance_Version_Year=2010,AQ39,IF(Compliance_Version_Year=2016,AR39,IF(Compliance_Version_Year=2019,AS39,0))),_Space_LPA)</f>
        <v/>
      </c>
      <c r="W39" s="949" t="str">
        <f t="shared" si="20"/>
        <v/>
      </c>
      <c r="X39" s="43" t="str">
        <f t="shared" si="14"/>
        <v/>
      </c>
      <c r="Y39" s="362" t="str">
        <f t="array" ref="Y39">IF(ROWS(R$16:R39)&gt;COUNTA($R$16:$R$65),"",INDEX($Q$16:$Q$65,SMALL(IF($R$16:$R$65&lt;&gt;"",ROW($R$16:$R$65)-ROW($R$16)+1),ROWS($R$16:R39))))</f>
        <v/>
      </c>
      <c r="Z39" s="349" t="str">
        <f t="shared" si="15"/>
        <v/>
      </c>
      <c r="AA39" s="349" t="str">
        <f t="shared" si="3"/>
        <v/>
      </c>
      <c r="AB39" s="349" t="str">
        <f t="shared" si="4"/>
        <v/>
      </c>
      <c r="AC39" s="431" t="str">
        <f t="shared" si="5"/>
        <v/>
      </c>
      <c r="AD39" s="411" t="str">
        <f t="shared" si="6"/>
        <v/>
      </c>
      <c r="AF39" s="42">
        <v>24</v>
      </c>
      <c r="AQ39" s="737">
        <f t="shared" si="21"/>
        <v>0</v>
      </c>
      <c r="AR39" s="737">
        <f t="shared" si="12"/>
        <v>0</v>
      </c>
      <c r="AS39" s="737">
        <f t="shared" si="13"/>
        <v>0</v>
      </c>
    </row>
    <row r="40" spans="2:46" x14ac:dyDescent="0.25">
      <c r="G40" s="142"/>
      <c r="H40" s="142"/>
      <c r="P40" s="1563"/>
      <c r="Q40" s="169">
        <v>25</v>
      </c>
      <c r="R40" s="347"/>
      <c r="S40" s="977"/>
      <c r="T40" s="979"/>
      <c r="U40" s="979"/>
      <c r="V40" s="348" t="str">
        <f>IF(LEFT(R40,6)="Atrium",IF(Compliance_Version_Year=2010,AQ40,IF(Compliance_Version_Year=2016,AR40,IF(Compliance_Version_Year=2019,AS40,0))),_Space_LPA)</f>
        <v/>
      </c>
      <c r="W40" s="949" t="str">
        <f t="shared" si="20"/>
        <v/>
      </c>
      <c r="X40" s="43" t="str">
        <f t="shared" si="14"/>
        <v/>
      </c>
      <c r="Y40" s="362" t="str">
        <f t="array" ref="Y40">IF(ROWS(R$16:R40)&gt;COUNTA($R$16:$R$65),"",INDEX($Q$16:$Q$65,SMALL(IF($R$16:$R$65&lt;&gt;"",ROW($R$16:$R$65)-ROW($R$16)+1),ROWS($R$16:R40))))</f>
        <v/>
      </c>
      <c r="Z40" s="349" t="str">
        <f t="shared" si="15"/>
        <v/>
      </c>
      <c r="AA40" s="349" t="str">
        <f t="shared" si="3"/>
        <v/>
      </c>
      <c r="AB40" s="349" t="str">
        <f t="shared" si="4"/>
        <v/>
      </c>
      <c r="AC40" s="431" t="str">
        <f t="shared" si="5"/>
        <v/>
      </c>
      <c r="AD40" s="411" t="str">
        <f t="shared" si="6"/>
        <v/>
      </c>
      <c r="AF40" s="42">
        <v>25</v>
      </c>
      <c r="AQ40" s="737">
        <f t="shared" si="21"/>
        <v>0</v>
      </c>
      <c r="AR40" s="737">
        <f t="shared" si="12"/>
        <v>0</v>
      </c>
      <c r="AS40" s="737">
        <f t="shared" si="13"/>
        <v>0</v>
      </c>
    </row>
    <row r="41" spans="2:46" x14ac:dyDescent="0.25">
      <c r="G41" s="317"/>
      <c r="H41" s="528"/>
      <c r="P41" s="1563"/>
      <c r="Q41" s="169">
        <v>26</v>
      </c>
      <c r="R41" s="347"/>
      <c r="S41" s="977"/>
      <c r="T41" s="979"/>
      <c r="U41" s="979"/>
      <c r="V41" s="348" t="str">
        <f>IF(LEFT(R41,6)="Atrium",IF(Compliance_Version_Year=2010,AQ41,IF(Compliance_Version_Year=2016,AR41,IF(Compliance_Version_Year=2019,AS41,0))),_Space_LPA)</f>
        <v/>
      </c>
      <c r="W41" s="949" t="str">
        <f t="shared" si="20"/>
        <v/>
      </c>
      <c r="X41" s="43" t="str">
        <f t="shared" si="14"/>
        <v/>
      </c>
      <c r="Y41" s="362" t="str">
        <f t="array" ref="Y41">IF(ROWS(R$16:R41)&gt;COUNTA($R$16:$R$65),"",INDEX($Q$16:$Q$65,SMALL(IF($R$16:$R$65&lt;&gt;"",ROW($R$16:$R$65)-ROW($R$16)+1),ROWS($R$16:R41))))</f>
        <v/>
      </c>
      <c r="Z41" s="349" t="str">
        <f t="shared" si="15"/>
        <v/>
      </c>
      <c r="AA41" s="349" t="str">
        <f t="shared" si="3"/>
        <v/>
      </c>
      <c r="AB41" s="349" t="str">
        <f t="shared" si="4"/>
        <v/>
      </c>
      <c r="AC41" s="431" t="str">
        <f t="shared" si="5"/>
        <v/>
      </c>
      <c r="AD41" s="411" t="str">
        <f t="shared" si="6"/>
        <v/>
      </c>
      <c r="AF41" s="42">
        <v>26</v>
      </c>
      <c r="AQ41" s="737">
        <f t="shared" si="21"/>
        <v>0</v>
      </c>
      <c r="AR41" s="737">
        <f t="shared" si="12"/>
        <v>0</v>
      </c>
      <c r="AS41" s="737">
        <f t="shared" si="13"/>
        <v>0</v>
      </c>
    </row>
    <row r="42" spans="2:46" x14ac:dyDescent="0.25">
      <c r="G42" s="317"/>
      <c r="H42" s="528"/>
      <c r="P42" s="1563"/>
      <c r="Q42" s="169">
        <v>27</v>
      </c>
      <c r="R42" s="347"/>
      <c r="S42" s="977"/>
      <c r="T42" s="979"/>
      <c r="U42" s="979"/>
      <c r="V42" s="348" t="str">
        <f>IF(LEFT(R42,6)="Atrium",IF(Compliance_Version_Year=2010,AQ42,IF(Compliance_Version_Year=2016,AR42,IF(Compliance_Version_Year=2019,AS42,0))),_Space_LPA)</f>
        <v/>
      </c>
      <c r="W42" s="949" t="str">
        <f t="shared" si="20"/>
        <v/>
      </c>
      <c r="X42" s="43" t="str">
        <f t="shared" si="14"/>
        <v/>
      </c>
      <c r="Y42" s="362" t="str">
        <f t="array" ref="Y42">IF(ROWS(R$16:R42)&gt;COUNTA($R$16:$R$65),"",INDEX($Q$16:$Q$65,SMALL(IF($R$16:$R$65&lt;&gt;"",ROW($R$16:$R$65)-ROW($R$16)+1),ROWS($R$16:R42))))</f>
        <v/>
      </c>
      <c r="Z42" s="349" t="str">
        <f t="shared" si="15"/>
        <v/>
      </c>
      <c r="AA42" s="349" t="str">
        <f t="shared" si="3"/>
        <v/>
      </c>
      <c r="AB42" s="349" t="str">
        <f t="shared" si="4"/>
        <v/>
      </c>
      <c r="AC42" s="431" t="str">
        <f t="shared" si="5"/>
        <v/>
      </c>
      <c r="AD42" s="411" t="str">
        <f t="shared" si="6"/>
        <v/>
      </c>
      <c r="AF42" s="42">
        <v>27</v>
      </c>
      <c r="AQ42" s="737">
        <f t="shared" si="21"/>
        <v>0</v>
      </c>
      <c r="AR42" s="737">
        <f t="shared" si="12"/>
        <v>0</v>
      </c>
      <c r="AS42" s="737">
        <f t="shared" si="13"/>
        <v>0</v>
      </c>
    </row>
    <row r="43" spans="2:46" ht="12.75" customHeight="1" x14ac:dyDescent="0.25">
      <c r="B43" s="198"/>
      <c r="C43" s="198"/>
      <c r="D43" s="198"/>
      <c r="E43" s="198"/>
      <c r="F43" s="198"/>
      <c r="G43" s="317"/>
      <c r="H43" s="528"/>
      <c r="P43" s="1563"/>
      <c r="Q43" s="169">
        <v>28</v>
      </c>
      <c r="R43" s="347"/>
      <c r="S43" s="977"/>
      <c r="T43" s="979"/>
      <c r="U43" s="979"/>
      <c r="V43" s="348" t="str">
        <f>IF(LEFT(R43,6)="Atrium",IF(Compliance_Version_Year=2010,AQ43,IF(Compliance_Version_Year=2016,AR43,IF(Compliance_Version_Year=2019,AS43,0))),_Space_LPA)</f>
        <v/>
      </c>
      <c r="W43" s="949" t="str">
        <f t="shared" si="20"/>
        <v/>
      </c>
      <c r="X43" s="43" t="str">
        <f t="shared" si="14"/>
        <v/>
      </c>
      <c r="Y43" s="362" t="str">
        <f t="array" ref="Y43">IF(ROWS(R$16:R43)&gt;COUNTA($R$16:$R$65),"",INDEX($Q$16:$Q$65,SMALL(IF($R$16:$R$65&lt;&gt;"",ROW($R$16:$R$65)-ROW($R$16)+1),ROWS($R$16:R43))))</f>
        <v/>
      </c>
      <c r="Z43" s="349" t="str">
        <f t="shared" si="15"/>
        <v/>
      </c>
      <c r="AA43" s="349" t="str">
        <f t="shared" si="3"/>
        <v/>
      </c>
      <c r="AB43" s="349" t="str">
        <f t="shared" si="4"/>
        <v/>
      </c>
      <c r="AC43" s="431" t="str">
        <f t="shared" si="5"/>
        <v/>
      </c>
      <c r="AD43" s="411" t="str">
        <f t="shared" si="6"/>
        <v/>
      </c>
      <c r="AF43" s="42">
        <v>28</v>
      </c>
      <c r="AQ43" s="737">
        <f t="shared" si="21"/>
        <v>0</v>
      </c>
      <c r="AR43" s="737">
        <f t="shared" si="12"/>
        <v>0</v>
      </c>
      <c r="AS43" s="737">
        <f t="shared" si="13"/>
        <v>0</v>
      </c>
    </row>
    <row r="44" spans="2:46" x14ac:dyDescent="0.25">
      <c r="B44" s="198"/>
      <c r="C44" s="198"/>
      <c r="D44" s="198"/>
      <c r="E44" s="198"/>
      <c r="F44" s="198"/>
      <c r="G44" s="317"/>
      <c r="H44" s="528"/>
      <c r="P44" s="1563"/>
      <c r="Q44" s="169">
        <v>29</v>
      </c>
      <c r="R44" s="347"/>
      <c r="S44" s="977"/>
      <c r="T44" s="979"/>
      <c r="U44" s="979"/>
      <c r="V44" s="348" t="str">
        <f>IF(LEFT(R44,6)="Atrium",IF(Compliance_Version_Year=2010,AQ44,IF(Compliance_Version_Year=2016,AR44,IF(Compliance_Version_Year=2019,AS44,0))),_Space_LPA)</f>
        <v/>
      </c>
      <c r="W44" s="949" t="str">
        <f t="shared" si="20"/>
        <v/>
      </c>
      <c r="X44" s="43" t="str">
        <f t="shared" si="14"/>
        <v/>
      </c>
      <c r="Y44" s="362" t="str">
        <f t="array" ref="Y44">IF(ROWS(R$16:R44)&gt;COUNTA($R$16:$R$65),"",INDEX($Q$16:$Q$65,SMALL(IF($R$16:$R$65&lt;&gt;"",ROW($R$16:$R$65)-ROW($R$16)+1),ROWS($R$16:R44))))</f>
        <v/>
      </c>
      <c r="Z44" s="349" t="str">
        <f t="shared" si="15"/>
        <v/>
      </c>
      <c r="AA44" s="349" t="str">
        <f t="shared" si="3"/>
        <v/>
      </c>
      <c r="AB44" s="349" t="str">
        <f t="shared" si="4"/>
        <v/>
      </c>
      <c r="AC44" s="431" t="str">
        <f t="shared" si="5"/>
        <v/>
      </c>
      <c r="AD44" s="411" t="str">
        <f t="shared" si="6"/>
        <v/>
      </c>
      <c r="AF44" s="42">
        <v>29</v>
      </c>
      <c r="AQ44" s="737">
        <f t="shared" si="21"/>
        <v>0</v>
      </c>
      <c r="AR44" s="737">
        <f t="shared" si="12"/>
        <v>0</v>
      </c>
      <c r="AS44" s="737">
        <f t="shared" si="13"/>
        <v>0</v>
      </c>
    </row>
    <row r="45" spans="2:46" x14ac:dyDescent="0.25">
      <c r="G45" s="142"/>
      <c r="H45" s="142"/>
      <c r="P45" s="1563"/>
      <c r="Q45" s="169">
        <v>30</v>
      </c>
      <c r="R45" s="347"/>
      <c r="S45" s="977"/>
      <c r="T45" s="979"/>
      <c r="U45" s="979"/>
      <c r="V45" s="348" t="str">
        <f>IF(LEFT(R45,6)="Atrium",IF(Compliance_Version_Year=2010,AQ45,IF(Compliance_Version_Year=2016,AR45,IF(Compliance_Version_Year=2019,AS45,0))),_Space_LPA)</f>
        <v/>
      </c>
      <c r="W45" s="949" t="str">
        <f t="shared" si="20"/>
        <v/>
      </c>
      <c r="X45" s="43" t="str">
        <f t="shared" si="14"/>
        <v/>
      </c>
      <c r="Y45" s="362" t="str">
        <f t="array" ref="Y45">IF(ROWS(R$16:R45)&gt;COUNTA($R$16:$R$65),"",INDEX($Q$16:$Q$65,SMALL(IF($R$16:$R$65&lt;&gt;"",ROW($R$16:$R$65)-ROW($R$16)+1),ROWS($R$16:R45))))</f>
        <v/>
      </c>
      <c r="Z45" s="349" t="str">
        <f t="shared" si="15"/>
        <v/>
      </c>
      <c r="AA45" s="349" t="str">
        <f t="shared" si="3"/>
        <v/>
      </c>
      <c r="AB45" s="349" t="str">
        <f t="shared" si="4"/>
        <v/>
      </c>
      <c r="AC45" s="431" t="str">
        <f t="shared" si="5"/>
        <v/>
      </c>
      <c r="AD45" s="411" t="str">
        <f t="shared" si="6"/>
        <v/>
      </c>
      <c r="AF45" s="42">
        <v>30</v>
      </c>
      <c r="AQ45" s="737">
        <f t="shared" si="21"/>
        <v>0</v>
      </c>
      <c r="AR45" s="737">
        <f t="shared" si="12"/>
        <v>0</v>
      </c>
      <c r="AS45" s="737">
        <f t="shared" si="13"/>
        <v>0</v>
      </c>
    </row>
    <row r="46" spans="2:46" x14ac:dyDescent="0.25">
      <c r="G46" s="317"/>
      <c r="H46" s="528"/>
      <c r="P46" s="1563"/>
      <c r="Q46" s="169">
        <v>31</v>
      </c>
      <c r="R46" s="347"/>
      <c r="S46" s="977"/>
      <c r="T46" s="979"/>
      <c r="U46" s="979"/>
      <c r="V46" s="348" t="str">
        <f>IF(LEFT(R46,6)="Atrium",IF(Compliance_Version_Year=2010,AQ46,IF(Compliance_Version_Year=2016,AR46,IF(Compliance_Version_Year=2019,AS46,0))),_Space_LPA)</f>
        <v/>
      </c>
      <c r="W46" s="949" t="str">
        <f t="shared" si="20"/>
        <v/>
      </c>
      <c r="X46" s="43" t="str">
        <f t="shared" si="14"/>
        <v/>
      </c>
      <c r="Y46" s="362" t="str">
        <f t="array" ref="Y46">IF(ROWS(R$16:R46)&gt;COUNTA($R$16:$R$65),"",INDEX($Q$16:$Q$65,SMALL(IF($R$16:$R$65&lt;&gt;"",ROW($R$16:$R$65)-ROW($R$16)+1),ROWS($R$16:R46))))</f>
        <v/>
      </c>
      <c r="Z46" s="349" t="str">
        <f t="shared" si="15"/>
        <v/>
      </c>
      <c r="AA46" s="349" t="str">
        <f t="shared" si="3"/>
        <v/>
      </c>
      <c r="AB46" s="349" t="str">
        <f t="shared" si="4"/>
        <v/>
      </c>
      <c r="AC46" s="431" t="str">
        <f t="shared" si="5"/>
        <v/>
      </c>
      <c r="AD46" s="411" t="str">
        <f t="shared" si="6"/>
        <v/>
      </c>
      <c r="AF46" s="42">
        <v>31</v>
      </c>
      <c r="AQ46" s="737">
        <f t="shared" si="21"/>
        <v>0</v>
      </c>
      <c r="AR46" s="737">
        <f t="shared" si="12"/>
        <v>0</v>
      </c>
      <c r="AS46" s="737">
        <f t="shared" si="13"/>
        <v>0</v>
      </c>
    </row>
    <row r="47" spans="2:46" x14ac:dyDescent="0.25">
      <c r="G47" s="317"/>
      <c r="H47" s="528"/>
      <c r="P47" s="1563"/>
      <c r="Q47" s="169">
        <v>32</v>
      </c>
      <c r="R47" s="347"/>
      <c r="S47" s="977"/>
      <c r="T47" s="979"/>
      <c r="U47" s="979"/>
      <c r="V47" s="348" t="str">
        <f>IF(LEFT(R47,6)="Atrium",IF(Compliance_Version_Year=2010,AQ47,IF(Compliance_Version_Year=2016,AR47,IF(Compliance_Version_Year=2019,AS47,0))),_Space_LPA)</f>
        <v/>
      </c>
      <c r="W47" s="949" t="str">
        <f t="shared" si="20"/>
        <v/>
      </c>
      <c r="X47" s="43" t="str">
        <f t="shared" si="14"/>
        <v/>
      </c>
      <c r="Y47" s="362" t="str">
        <f t="array" ref="Y47">IF(ROWS(R$16:R47)&gt;COUNTA($R$16:$R$65),"",INDEX($Q$16:$Q$65,SMALL(IF($R$16:$R$65&lt;&gt;"",ROW($R$16:$R$65)-ROW($R$16)+1),ROWS($R$16:R47))))</f>
        <v/>
      </c>
      <c r="Z47" s="349" t="str">
        <f t="shared" si="15"/>
        <v/>
      </c>
      <c r="AA47" s="349" t="str">
        <f t="shared" si="3"/>
        <v/>
      </c>
      <c r="AB47" s="349" t="str">
        <f t="shared" si="4"/>
        <v/>
      </c>
      <c r="AC47" s="431" t="str">
        <f t="shared" si="5"/>
        <v/>
      </c>
      <c r="AD47" s="411" t="str">
        <f t="shared" si="6"/>
        <v/>
      </c>
      <c r="AF47" s="42">
        <v>32</v>
      </c>
      <c r="AQ47" s="737">
        <f t="shared" si="21"/>
        <v>0</v>
      </c>
      <c r="AR47" s="737">
        <f t="shared" si="12"/>
        <v>0</v>
      </c>
      <c r="AS47" s="737">
        <f t="shared" si="13"/>
        <v>0</v>
      </c>
    </row>
    <row r="48" spans="2:46" x14ac:dyDescent="0.25">
      <c r="G48" s="317"/>
      <c r="H48" s="528"/>
      <c r="P48" s="1563"/>
      <c r="Q48" s="169">
        <v>33</v>
      </c>
      <c r="R48" s="347"/>
      <c r="S48" s="977"/>
      <c r="T48" s="979"/>
      <c r="U48" s="979"/>
      <c r="V48" s="348" t="str">
        <f>IF(LEFT(R48,6)="Atrium",IF(Compliance_Version_Year=2010,AQ48,IF(Compliance_Version_Year=2016,AR48,IF(Compliance_Version_Year=2019,AS48,0))),_Space_LPA)</f>
        <v/>
      </c>
      <c r="W48" s="949" t="str">
        <f t="shared" si="20"/>
        <v/>
      </c>
      <c r="X48" s="43" t="str">
        <f t="shared" si="14"/>
        <v/>
      </c>
      <c r="Y48" s="362" t="str">
        <f t="array" ref="Y48">IF(ROWS(R$16:R48)&gt;COUNTA($R$16:$R$65),"",INDEX($Q$16:$Q$65,SMALL(IF($R$16:$R$65&lt;&gt;"",ROW($R$16:$R$65)-ROW($R$16)+1),ROWS($R$16:R48))))</f>
        <v/>
      </c>
      <c r="Z48" s="349" t="str">
        <f t="shared" si="15"/>
        <v/>
      </c>
      <c r="AA48" s="349" t="str">
        <f t="shared" ref="AA48:AA65" si="22">IF($Y48="","",VLOOKUP($Y48,_InteriorTable,2,FALSE))</f>
        <v/>
      </c>
      <c r="AB48" s="349" t="str">
        <f t="shared" ref="AB48:AB65" si="23">IF($Y48="","",IF(VLOOKUP($Y48,_InteriorTable,3,FALSE)="","",CONCATENATE("(",VLOOKUP($Y48,_InteriorTable,3,FALSE),")")))</f>
        <v/>
      </c>
      <c r="AC48" s="431" t="str">
        <f t="shared" ref="AC48:AC65" si="24">IF($Y48="","",VLOOKUP($Y48,_InteriorTable,AC$11,FALSE))</f>
        <v/>
      </c>
      <c r="AD48" s="411" t="str">
        <f t="shared" ref="AD48:AD65" si="25">IF($Y48="","",VLOOKUP($AA48,_Room_List,AD$11,FALSE))</f>
        <v/>
      </c>
      <c r="AF48" s="42">
        <v>33</v>
      </c>
      <c r="AQ48" s="737">
        <f t="shared" si="21"/>
        <v>0</v>
      </c>
      <c r="AR48" s="737">
        <f t="shared" ref="AR48:AR65" si="26">IF(U48="",0,IF($U48&lt;=40,($U48*AR$7)+AR$13,($U48*AR$11)+AR$13))</f>
        <v>0</v>
      </c>
      <c r="AS48" s="737">
        <f t="shared" ref="AS48:AS65" si="27">IF(AND(U48&gt;0,U48&lt;20),AS$7,IF(AND(U48&gt;=20,U48&lt;=40),AS$9,IF(U48&gt;40,AS$11,0)))</f>
        <v>0</v>
      </c>
    </row>
    <row r="49" spans="7:45" x14ac:dyDescent="0.25">
      <c r="G49" s="317"/>
      <c r="H49" s="528"/>
      <c r="P49" s="1563"/>
      <c r="Q49" s="169">
        <v>34</v>
      </c>
      <c r="R49" s="347"/>
      <c r="S49" s="977"/>
      <c r="T49" s="979"/>
      <c r="U49" s="979"/>
      <c r="V49" s="348" t="str">
        <f>IF(LEFT(R49,6)="Atrium",IF(Compliance_Version_Year=2010,AQ49,IF(Compliance_Version_Year=2016,AR49,IF(Compliance_Version_Year=2019,AS49,0))),_Space_LPA)</f>
        <v/>
      </c>
      <c r="W49" s="949" t="str">
        <f t="shared" si="20"/>
        <v/>
      </c>
      <c r="X49" s="43" t="str">
        <f t="shared" si="14"/>
        <v/>
      </c>
      <c r="Y49" s="362" t="str">
        <f t="array" ref="Y49">IF(ROWS(R$16:R49)&gt;COUNTA($R$16:$R$65),"",INDEX($Q$16:$Q$65,SMALL(IF($R$16:$R$65&lt;&gt;"",ROW($R$16:$R$65)-ROW($R$16)+1),ROWS($R$16:R49))))</f>
        <v/>
      </c>
      <c r="Z49" s="349" t="str">
        <f t="shared" si="15"/>
        <v/>
      </c>
      <c r="AA49" s="349" t="str">
        <f t="shared" si="22"/>
        <v/>
      </c>
      <c r="AB49" s="349" t="str">
        <f t="shared" si="23"/>
        <v/>
      </c>
      <c r="AC49" s="431" t="str">
        <f t="shared" si="24"/>
        <v/>
      </c>
      <c r="AD49" s="411" t="str">
        <f t="shared" si="25"/>
        <v/>
      </c>
      <c r="AF49" s="42">
        <v>34</v>
      </c>
      <c r="AQ49" s="737">
        <f t="shared" si="21"/>
        <v>0</v>
      </c>
      <c r="AR49" s="737">
        <f t="shared" si="26"/>
        <v>0</v>
      </c>
      <c r="AS49" s="737">
        <f t="shared" si="27"/>
        <v>0</v>
      </c>
    </row>
    <row r="50" spans="7:45" x14ac:dyDescent="0.25">
      <c r="G50" s="142"/>
      <c r="H50" s="142"/>
      <c r="P50" s="1563"/>
      <c r="Q50" s="169">
        <v>35</v>
      </c>
      <c r="R50" s="347"/>
      <c r="S50" s="977"/>
      <c r="T50" s="979"/>
      <c r="U50" s="979"/>
      <c r="V50" s="348" t="str">
        <f>IF(LEFT(R50,6)="Atrium",IF(Compliance_Version_Year=2010,AQ50,IF(Compliance_Version_Year=2016,AR50,IF(Compliance_Version_Year=2019,AS50,0))),_Space_LPA)</f>
        <v/>
      </c>
      <c r="W50" s="949" t="str">
        <f t="shared" si="20"/>
        <v/>
      </c>
      <c r="X50" s="43" t="str">
        <f t="shared" si="14"/>
        <v/>
      </c>
      <c r="Y50" s="362" t="str">
        <f t="array" ref="Y50">IF(ROWS(R$16:R50)&gt;COUNTA($R$16:$R$65),"",INDEX($Q$16:$Q$65,SMALL(IF($R$16:$R$65&lt;&gt;"",ROW($R$16:$R$65)-ROW($R$16)+1),ROWS($R$16:R50))))</f>
        <v/>
      </c>
      <c r="Z50" s="349" t="str">
        <f t="shared" si="15"/>
        <v/>
      </c>
      <c r="AA50" s="349" t="str">
        <f t="shared" si="22"/>
        <v/>
      </c>
      <c r="AB50" s="349" t="str">
        <f t="shared" si="23"/>
        <v/>
      </c>
      <c r="AC50" s="431" t="str">
        <f t="shared" si="24"/>
        <v/>
      </c>
      <c r="AD50" s="411" t="str">
        <f t="shared" si="25"/>
        <v/>
      </c>
      <c r="AF50" s="42">
        <v>35</v>
      </c>
      <c r="AQ50" s="737">
        <f t="shared" si="21"/>
        <v>0</v>
      </c>
      <c r="AR50" s="737">
        <f t="shared" si="26"/>
        <v>0</v>
      </c>
      <c r="AS50" s="737">
        <f t="shared" si="27"/>
        <v>0</v>
      </c>
    </row>
    <row r="51" spans="7:45" x14ac:dyDescent="0.25">
      <c r="G51" s="317"/>
      <c r="H51" s="528"/>
      <c r="P51" s="1563"/>
      <c r="Q51" s="169">
        <v>36</v>
      </c>
      <c r="R51" s="347"/>
      <c r="S51" s="977"/>
      <c r="T51" s="979"/>
      <c r="U51" s="979"/>
      <c r="V51" s="348" t="str">
        <f>IF(LEFT(R51,6)="Atrium",IF(Compliance_Version_Year=2010,AQ51,IF(Compliance_Version_Year=2016,AR51,IF(Compliance_Version_Year=2019,AS51,0))),_Space_LPA)</f>
        <v/>
      </c>
      <c r="W51" s="949" t="str">
        <f t="shared" si="20"/>
        <v/>
      </c>
      <c r="X51" s="43" t="str">
        <f t="shared" si="14"/>
        <v/>
      </c>
      <c r="Y51" s="362" t="str">
        <f t="array" ref="Y51">IF(ROWS(R$16:R51)&gt;COUNTA($R$16:$R$65),"",INDEX($Q$16:$Q$65,SMALL(IF($R$16:$R$65&lt;&gt;"",ROW($R$16:$R$65)-ROW($R$16)+1),ROWS($R$16:R51))))</f>
        <v/>
      </c>
      <c r="Z51" s="349" t="str">
        <f t="shared" si="15"/>
        <v/>
      </c>
      <c r="AA51" s="349" t="str">
        <f t="shared" si="22"/>
        <v/>
      </c>
      <c r="AB51" s="349" t="str">
        <f t="shared" si="23"/>
        <v/>
      </c>
      <c r="AC51" s="431" t="str">
        <f t="shared" si="24"/>
        <v/>
      </c>
      <c r="AD51" s="411" t="str">
        <f t="shared" si="25"/>
        <v/>
      </c>
      <c r="AF51" s="42">
        <v>36</v>
      </c>
      <c r="AQ51" s="737">
        <f t="shared" si="21"/>
        <v>0</v>
      </c>
      <c r="AR51" s="737">
        <f t="shared" si="26"/>
        <v>0</v>
      </c>
      <c r="AS51" s="737">
        <f t="shared" si="27"/>
        <v>0</v>
      </c>
    </row>
    <row r="52" spans="7:45" x14ac:dyDescent="0.25">
      <c r="G52" s="317"/>
      <c r="H52" s="528"/>
      <c r="P52" s="1563"/>
      <c r="Q52" s="169">
        <v>37</v>
      </c>
      <c r="R52" s="347"/>
      <c r="S52" s="977"/>
      <c r="T52" s="979"/>
      <c r="U52" s="979"/>
      <c r="V52" s="348" t="str">
        <f>IF(LEFT(R52,6)="Atrium",IF(Compliance_Version_Year=2010,AQ52,IF(Compliance_Version_Year=2016,AR52,IF(Compliance_Version_Year=2019,AS52,0))),_Space_LPA)</f>
        <v/>
      </c>
      <c r="W52" s="949" t="str">
        <f t="shared" si="20"/>
        <v/>
      </c>
      <c r="X52" s="43" t="str">
        <f t="shared" si="14"/>
        <v/>
      </c>
      <c r="Y52" s="362" t="str">
        <f t="array" ref="Y52">IF(ROWS(R$16:R52)&gt;COUNTA($R$16:$R$65),"",INDEX($Q$16:$Q$65,SMALL(IF($R$16:$R$65&lt;&gt;"",ROW($R$16:$R$65)-ROW($R$16)+1),ROWS($R$16:R52))))</f>
        <v/>
      </c>
      <c r="Z52" s="349" t="str">
        <f t="shared" si="15"/>
        <v/>
      </c>
      <c r="AA52" s="349" t="str">
        <f t="shared" si="22"/>
        <v/>
      </c>
      <c r="AB52" s="349" t="str">
        <f t="shared" si="23"/>
        <v/>
      </c>
      <c r="AC52" s="431" t="str">
        <f t="shared" si="24"/>
        <v/>
      </c>
      <c r="AD52" s="411" t="str">
        <f t="shared" si="25"/>
        <v/>
      </c>
      <c r="AF52" s="42">
        <v>37</v>
      </c>
      <c r="AQ52" s="737">
        <f t="shared" si="21"/>
        <v>0</v>
      </c>
      <c r="AR52" s="737">
        <f t="shared" si="26"/>
        <v>0</v>
      </c>
      <c r="AS52" s="737">
        <f t="shared" si="27"/>
        <v>0</v>
      </c>
    </row>
    <row r="53" spans="7:45" x14ac:dyDescent="0.25">
      <c r="G53" s="317"/>
      <c r="H53" s="528"/>
      <c r="P53" s="1563"/>
      <c r="Q53" s="169">
        <v>38</v>
      </c>
      <c r="R53" s="347"/>
      <c r="S53" s="977"/>
      <c r="T53" s="979"/>
      <c r="U53" s="979"/>
      <c r="V53" s="348" t="str">
        <f>IF(LEFT(R53,6)="Atrium",IF(Compliance_Version_Year=2010,AQ53,IF(Compliance_Version_Year=2016,AR53,IF(Compliance_Version_Year=2019,AS53,0))),_Space_LPA)</f>
        <v/>
      </c>
      <c r="W53" s="949" t="str">
        <f t="shared" si="20"/>
        <v/>
      </c>
      <c r="X53" s="43" t="str">
        <f t="shared" si="14"/>
        <v/>
      </c>
      <c r="Y53" s="362" t="str">
        <f t="array" ref="Y53">IF(ROWS(R$16:R53)&gt;COUNTA($R$16:$R$65),"",INDEX($Q$16:$Q$65,SMALL(IF($R$16:$R$65&lt;&gt;"",ROW($R$16:$R$65)-ROW($R$16)+1),ROWS($R$16:R53))))</f>
        <v/>
      </c>
      <c r="Z53" s="349" t="str">
        <f t="shared" si="15"/>
        <v/>
      </c>
      <c r="AA53" s="349" t="str">
        <f t="shared" si="22"/>
        <v/>
      </c>
      <c r="AB53" s="349" t="str">
        <f t="shared" si="23"/>
        <v/>
      </c>
      <c r="AC53" s="431" t="str">
        <f t="shared" si="24"/>
        <v/>
      </c>
      <c r="AD53" s="411" t="str">
        <f t="shared" si="25"/>
        <v/>
      </c>
      <c r="AF53" s="42">
        <v>38</v>
      </c>
      <c r="AQ53" s="737">
        <f t="shared" si="21"/>
        <v>0</v>
      </c>
      <c r="AR53" s="737">
        <f t="shared" si="26"/>
        <v>0</v>
      </c>
      <c r="AS53" s="737">
        <f t="shared" si="27"/>
        <v>0</v>
      </c>
    </row>
    <row r="54" spans="7:45" x14ac:dyDescent="0.25">
      <c r="G54" s="317"/>
      <c r="H54" s="528"/>
      <c r="P54" s="1563"/>
      <c r="Q54" s="169">
        <v>39</v>
      </c>
      <c r="R54" s="347"/>
      <c r="S54" s="977"/>
      <c r="T54" s="979"/>
      <c r="U54" s="979"/>
      <c r="V54" s="348" t="str">
        <f>IF(LEFT(R54,6)="Atrium",IF(Compliance_Version_Year=2010,AQ54,IF(Compliance_Version_Year=2016,AR54,IF(Compliance_Version_Year=2019,AS54,0))),_Space_LPA)</f>
        <v/>
      </c>
      <c r="W54" s="949" t="str">
        <f t="shared" si="20"/>
        <v/>
      </c>
      <c r="X54" s="43" t="str">
        <f t="shared" si="14"/>
        <v/>
      </c>
      <c r="Y54" s="362" t="str">
        <f t="array" ref="Y54">IF(ROWS(R$16:R54)&gt;COUNTA($R$16:$R$65),"",INDEX($Q$16:$Q$65,SMALL(IF($R$16:$R$65&lt;&gt;"",ROW($R$16:$R$65)-ROW($R$16)+1),ROWS($R$16:R54))))</f>
        <v/>
      </c>
      <c r="Z54" s="349" t="str">
        <f t="shared" si="15"/>
        <v/>
      </c>
      <c r="AA54" s="349" t="str">
        <f t="shared" si="22"/>
        <v/>
      </c>
      <c r="AB54" s="349" t="str">
        <f t="shared" si="23"/>
        <v/>
      </c>
      <c r="AC54" s="431" t="str">
        <f t="shared" si="24"/>
        <v/>
      </c>
      <c r="AD54" s="411" t="str">
        <f t="shared" si="25"/>
        <v/>
      </c>
      <c r="AF54" s="42">
        <v>39</v>
      </c>
      <c r="AQ54" s="737">
        <f t="shared" si="21"/>
        <v>0</v>
      </c>
      <c r="AR54" s="737">
        <f t="shared" si="26"/>
        <v>0</v>
      </c>
      <c r="AS54" s="737">
        <f t="shared" si="27"/>
        <v>0</v>
      </c>
    </row>
    <row r="55" spans="7:45" x14ac:dyDescent="0.25">
      <c r="P55" s="1563"/>
      <c r="Q55" s="169">
        <v>40</v>
      </c>
      <c r="R55" s="347"/>
      <c r="S55" s="977"/>
      <c r="T55" s="979"/>
      <c r="U55" s="979"/>
      <c r="V55" s="348" t="str">
        <f>IF(LEFT(R55,6)="Atrium",IF(Compliance_Version_Year=2010,AQ55,IF(Compliance_Version_Year=2016,AR55,IF(Compliance_Version_Year=2019,AS55,0))),_Space_LPA)</f>
        <v/>
      </c>
      <c r="W55" s="949" t="str">
        <f t="shared" si="20"/>
        <v/>
      </c>
      <c r="X55" s="43" t="str">
        <f t="shared" si="14"/>
        <v/>
      </c>
      <c r="Y55" s="362" t="str">
        <f t="array" ref="Y55">IF(ROWS(R$16:R55)&gt;COUNTA($R$16:$R$65),"",INDEX($Q$16:$Q$65,SMALL(IF($R$16:$R$65&lt;&gt;"",ROW($R$16:$R$65)-ROW($R$16)+1),ROWS($R$16:R55))))</f>
        <v/>
      </c>
      <c r="Z55" s="349" t="str">
        <f t="shared" si="15"/>
        <v/>
      </c>
      <c r="AA55" s="349" t="str">
        <f t="shared" si="22"/>
        <v/>
      </c>
      <c r="AB55" s="349" t="str">
        <f t="shared" si="23"/>
        <v/>
      </c>
      <c r="AC55" s="431" t="str">
        <f t="shared" si="24"/>
        <v/>
      </c>
      <c r="AD55" s="411" t="str">
        <f t="shared" si="25"/>
        <v/>
      </c>
      <c r="AF55" s="42">
        <v>40</v>
      </c>
      <c r="AQ55" s="737">
        <f t="shared" si="21"/>
        <v>0</v>
      </c>
      <c r="AR55" s="737">
        <f t="shared" si="26"/>
        <v>0</v>
      </c>
      <c r="AS55" s="737">
        <f t="shared" si="27"/>
        <v>0</v>
      </c>
    </row>
    <row r="56" spans="7:45" x14ac:dyDescent="0.25">
      <c r="P56" s="1563"/>
      <c r="Q56" s="169">
        <v>41</v>
      </c>
      <c r="R56" s="347"/>
      <c r="S56" s="977"/>
      <c r="T56" s="979"/>
      <c r="U56" s="979"/>
      <c r="V56" s="348" t="str">
        <f>IF(LEFT(R56,6)="Atrium",IF(Compliance_Version_Year=2010,AQ56,IF(Compliance_Version_Year=2016,AR56,IF(Compliance_Version_Year=2019,AS56,0))),_Space_LPA)</f>
        <v/>
      </c>
      <c r="W56" s="949" t="str">
        <f t="shared" si="20"/>
        <v/>
      </c>
      <c r="X56" s="43" t="str">
        <f t="shared" si="14"/>
        <v/>
      </c>
      <c r="Y56" s="362" t="str">
        <f t="array" ref="Y56">IF(ROWS(R$16:R56)&gt;COUNTA($R$16:$R$65),"",INDEX($Q$16:$Q$65,SMALL(IF($R$16:$R$65&lt;&gt;"",ROW($R$16:$R$65)-ROW($R$16)+1),ROWS($R$16:R56))))</f>
        <v/>
      </c>
      <c r="Z56" s="349" t="str">
        <f t="shared" si="15"/>
        <v/>
      </c>
      <c r="AA56" s="349" t="str">
        <f t="shared" si="22"/>
        <v/>
      </c>
      <c r="AB56" s="349" t="str">
        <f t="shared" si="23"/>
        <v/>
      </c>
      <c r="AC56" s="431" t="str">
        <f t="shared" si="24"/>
        <v/>
      </c>
      <c r="AD56" s="411" t="str">
        <f t="shared" si="25"/>
        <v/>
      </c>
      <c r="AF56" s="42">
        <v>41</v>
      </c>
      <c r="AQ56" s="737">
        <f t="shared" si="21"/>
        <v>0</v>
      </c>
      <c r="AR56" s="737">
        <f t="shared" si="26"/>
        <v>0</v>
      </c>
      <c r="AS56" s="737">
        <f t="shared" si="27"/>
        <v>0</v>
      </c>
    </row>
    <row r="57" spans="7:45" x14ac:dyDescent="0.25">
      <c r="P57" s="1563"/>
      <c r="Q57" s="169">
        <v>42</v>
      </c>
      <c r="R57" s="347"/>
      <c r="S57" s="977"/>
      <c r="T57" s="979"/>
      <c r="U57" s="979"/>
      <c r="V57" s="348" t="str">
        <f>IF(LEFT(R57,6)="Atrium",IF(Compliance_Version_Year=2010,AQ57,IF(Compliance_Version_Year=2016,AR57,IF(Compliance_Version_Year=2019,AS57,0))),_Space_LPA)</f>
        <v/>
      </c>
      <c r="W57" s="949" t="str">
        <f t="shared" si="20"/>
        <v/>
      </c>
      <c r="X57" s="43" t="str">
        <f t="shared" si="14"/>
        <v/>
      </c>
      <c r="Y57" s="362" t="str">
        <f t="array" ref="Y57">IF(ROWS(R$16:R57)&gt;COUNTA($R$16:$R$65),"",INDEX($Q$16:$Q$65,SMALL(IF($R$16:$R$65&lt;&gt;"",ROW($R$16:$R$65)-ROW($R$16)+1),ROWS($R$16:R57))))</f>
        <v/>
      </c>
      <c r="Z57" s="349" t="str">
        <f t="shared" si="15"/>
        <v/>
      </c>
      <c r="AA57" s="349" t="str">
        <f t="shared" si="22"/>
        <v/>
      </c>
      <c r="AB57" s="349" t="str">
        <f t="shared" si="23"/>
        <v/>
      </c>
      <c r="AC57" s="431" t="str">
        <f t="shared" si="24"/>
        <v/>
      </c>
      <c r="AD57" s="411" t="str">
        <f t="shared" si="25"/>
        <v/>
      </c>
      <c r="AF57" s="42">
        <v>42</v>
      </c>
      <c r="AQ57" s="737">
        <f t="shared" si="21"/>
        <v>0</v>
      </c>
      <c r="AR57" s="737">
        <f t="shared" si="26"/>
        <v>0</v>
      </c>
      <c r="AS57" s="737">
        <f t="shared" si="27"/>
        <v>0</v>
      </c>
    </row>
    <row r="58" spans="7:45" x14ac:dyDescent="0.25">
      <c r="P58" s="1563"/>
      <c r="Q58" s="169">
        <v>43</v>
      </c>
      <c r="R58" s="347"/>
      <c r="S58" s="977"/>
      <c r="T58" s="979"/>
      <c r="U58" s="979"/>
      <c r="V58" s="348" t="str">
        <f>IF(LEFT(R58,6)="Atrium",IF(Compliance_Version_Year=2010,AQ58,IF(Compliance_Version_Year=2016,AR58,IF(Compliance_Version_Year=2019,AS58,0))),_Space_LPA)</f>
        <v/>
      </c>
      <c r="W58" s="949" t="str">
        <f t="shared" si="20"/>
        <v/>
      </c>
      <c r="X58" s="43" t="str">
        <f t="shared" si="14"/>
        <v/>
      </c>
      <c r="Y58" s="362" t="str">
        <f t="array" ref="Y58">IF(ROWS(R$16:R58)&gt;COUNTA($R$16:$R$65),"",INDEX($Q$16:$Q$65,SMALL(IF($R$16:$R$65&lt;&gt;"",ROW($R$16:$R$65)-ROW($R$16)+1),ROWS($R$16:R58))))</f>
        <v/>
      </c>
      <c r="Z58" s="349" t="str">
        <f t="shared" si="15"/>
        <v/>
      </c>
      <c r="AA58" s="349" t="str">
        <f t="shared" si="22"/>
        <v/>
      </c>
      <c r="AB58" s="349" t="str">
        <f t="shared" si="23"/>
        <v/>
      </c>
      <c r="AC58" s="431" t="str">
        <f t="shared" si="24"/>
        <v/>
      </c>
      <c r="AD58" s="411" t="str">
        <f t="shared" si="25"/>
        <v/>
      </c>
      <c r="AF58" s="42">
        <v>43</v>
      </c>
      <c r="AQ58" s="737">
        <f t="shared" si="21"/>
        <v>0</v>
      </c>
      <c r="AR58" s="737">
        <f t="shared" si="26"/>
        <v>0</v>
      </c>
      <c r="AS58" s="737">
        <f t="shared" si="27"/>
        <v>0</v>
      </c>
    </row>
    <row r="59" spans="7:45" x14ac:dyDescent="0.25">
      <c r="P59" s="1563"/>
      <c r="Q59" s="169">
        <v>44</v>
      </c>
      <c r="R59" s="347"/>
      <c r="S59" s="977"/>
      <c r="T59" s="979"/>
      <c r="U59" s="979"/>
      <c r="V59" s="348" t="str">
        <f>IF(LEFT(R59,6)="Atrium",IF(Compliance_Version_Year=2010,AQ59,IF(Compliance_Version_Year=2016,AR59,IF(Compliance_Version_Year=2019,AS59,0))),_Space_LPA)</f>
        <v/>
      </c>
      <c r="W59" s="949" t="str">
        <f t="shared" si="20"/>
        <v/>
      </c>
      <c r="X59" s="43" t="str">
        <f t="shared" si="14"/>
        <v/>
      </c>
      <c r="Y59" s="362" t="str">
        <f t="array" ref="Y59">IF(ROWS(R$16:R59)&gt;COUNTA($R$16:$R$65),"",INDEX($Q$16:$Q$65,SMALL(IF($R$16:$R$65&lt;&gt;"",ROW($R$16:$R$65)-ROW($R$16)+1),ROWS($R$16:R59))))</f>
        <v/>
      </c>
      <c r="Z59" s="349" t="str">
        <f t="shared" si="15"/>
        <v/>
      </c>
      <c r="AA59" s="349" t="str">
        <f t="shared" si="22"/>
        <v/>
      </c>
      <c r="AB59" s="349" t="str">
        <f t="shared" si="23"/>
        <v/>
      </c>
      <c r="AC59" s="431" t="str">
        <f t="shared" si="24"/>
        <v/>
      </c>
      <c r="AD59" s="411" t="str">
        <f t="shared" si="25"/>
        <v/>
      </c>
      <c r="AF59" s="42">
        <v>44</v>
      </c>
      <c r="AQ59" s="737">
        <f t="shared" si="21"/>
        <v>0</v>
      </c>
      <c r="AR59" s="737">
        <f t="shared" si="26"/>
        <v>0</v>
      </c>
      <c r="AS59" s="737">
        <f t="shared" si="27"/>
        <v>0</v>
      </c>
    </row>
    <row r="60" spans="7:45" x14ac:dyDescent="0.25">
      <c r="P60" s="1563"/>
      <c r="Q60" s="169">
        <v>45</v>
      </c>
      <c r="R60" s="347"/>
      <c r="S60" s="977"/>
      <c r="T60" s="979"/>
      <c r="U60" s="979"/>
      <c r="V60" s="348" t="str">
        <f>IF(LEFT(R60,6)="Atrium",IF(Compliance_Version_Year=2010,AQ60,IF(Compliance_Version_Year=2016,AR60,IF(Compliance_Version_Year=2019,AS60,0))),_Space_LPA)</f>
        <v/>
      </c>
      <c r="W60" s="949" t="str">
        <f t="shared" si="20"/>
        <v/>
      </c>
      <c r="X60" s="43" t="str">
        <f t="shared" si="14"/>
        <v/>
      </c>
      <c r="Y60" s="362" t="str">
        <f t="array" ref="Y60">IF(ROWS(R$16:R60)&gt;COUNTA($R$16:$R$65),"",INDEX($Q$16:$Q$65,SMALL(IF($R$16:$R$65&lt;&gt;"",ROW($R$16:$R$65)-ROW($R$16)+1),ROWS($R$16:R60))))</f>
        <v/>
      </c>
      <c r="Z60" s="349" t="str">
        <f t="shared" si="15"/>
        <v/>
      </c>
      <c r="AA60" s="349" t="str">
        <f t="shared" si="22"/>
        <v/>
      </c>
      <c r="AB60" s="349" t="str">
        <f t="shared" si="23"/>
        <v/>
      </c>
      <c r="AC60" s="431" t="str">
        <f t="shared" si="24"/>
        <v/>
      </c>
      <c r="AD60" s="411" t="str">
        <f t="shared" si="25"/>
        <v/>
      </c>
      <c r="AF60" s="42">
        <v>45</v>
      </c>
      <c r="AQ60" s="737">
        <f t="shared" si="21"/>
        <v>0</v>
      </c>
      <c r="AR60" s="737">
        <f t="shared" si="26"/>
        <v>0</v>
      </c>
      <c r="AS60" s="737">
        <f t="shared" si="27"/>
        <v>0</v>
      </c>
    </row>
    <row r="61" spans="7:45" x14ac:dyDescent="0.25">
      <c r="P61" s="1563"/>
      <c r="Q61" s="169">
        <v>46</v>
      </c>
      <c r="R61" s="347"/>
      <c r="S61" s="977"/>
      <c r="T61" s="979"/>
      <c r="U61" s="979"/>
      <c r="V61" s="348" t="str">
        <f>IF(LEFT(R61,6)="Atrium",IF(Compliance_Version_Year=2010,AQ61,IF(Compliance_Version_Year=2016,AR61,IF(Compliance_Version_Year=2019,AS61,0))),_Space_LPA)</f>
        <v/>
      </c>
      <c r="W61" s="949" t="str">
        <f t="shared" si="20"/>
        <v/>
      </c>
      <c r="X61" s="43" t="str">
        <f t="shared" si="14"/>
        <v/>
      </c>
      <c r="Y61" s="362" t="str">
        <f t="array" ref="Y61">IF(ROWS(R$16:R61)&gt;COUNTA($R$16:$R$65),"",INDEX($Q$16:$Q$65,SMALL(IF($R$16:$R$65&lt;&gt;"",ROW($R$16:$R$65)-ROW($R$16)+1),ROWS($R$16:R61))))</f>
        <v/>
      </c>
      <c r="Z61" s="349" t="str">
        <f t="shared" si="15"/>
        <v/>
      </c>
      <c r="AA61" s="349" t="str">
        <f t="shared" si="22"/>
        <v/>
      </c>
      <c r="AB61" s="349" t="str">
        <f t="shared" si="23"/>
        <v/>
      </c>
      <c r="AC61" s="431" t="str">
        <f t="shared" si="24"/>
        <v/>
      </c>
      <c r="AD61" s="411" t="str">
        <f t="shared" si="25"/>
        <v/>
      </c>
      <c r="AF61" s="42">
        <v>46</v>
      </c>
      <c r="AQ61" s="737">
        <f t="shared" si="21"/>
        <v>0</v>
      </c>
      <c r="AR61" s="737">
        <f t="shared" si="26"/>
        <v>0</v>
      </c>
      <c r="AS61" s="737">
        <f t="shared" si="27"/>
        <v>0</v>
      </c>
    </row>
    <row r="62" spans="7:45" x14ac:dyDescent="0.25">
      <c r="P62" s="1563"/>
      <c r="Q62" s="169">
        <v>47</v>
      </c>
      <c r="R62" s="347"/>
      <c r="S62" s="977"/>
      <c r="T62" s="979"/>
      <c r="U62" s="979"/>
      <c r="V62" s="348" t="str">
        <f>IF(LEFT(R62,6)="Atrium",IF(Compliance_Version_Year=2010,AQ62,IF(Compliance_Version_Year=2016,AR62,IF(Compliance_Version_Year=2019,AS62,0))),_Space_LPA)</f>
        <v/>
      </c>
      <c r="W62" s="949" t="str">
        <f t="shared" si="20"/>
        <v/>
      </c>
      <c r="X62" s="43" t="str">
        <f t="shared" si="14"/>
        <v/>
      </c>
      <c r="Y62" s="362" t="str">
        <f t="array" ref="Y62">IF(ROWS(R$16:R62)&gt;COUNTA($R$16:$R$65),"",INDEX($Q$16:$Q$65,SMALL(IF($R$16:$R$65&lt;&gt;"",ROW($R$16:$R$65)-ROW($R$16)+1),ROWS($R$16:R62))))</f>
        <v/>
      </c>
      <c r="Z62" s="349" t="str">
        <f t="shared" si="15"/>
        <v/>
      </c>
      <c r="AA62" s="349" t="str">
        <f t="shared" si="22"/>
        <v/>
      </c>
      <c r="AB62" s="349" t="str">
        <f t="shared" si="23"/>
        <v/>
      </c>
      <c r="AC62" s="431" t="str">
        <f t="shared" si="24"/>
        <v/>
      </c>
      <c r="AD62" s="411" t="str">
        <f t="shared" si="25"/>
        <v/>
      </c>
      <c r="AF62" s="42">
        <v>47</v>
      </c>
      <c r="AQ62" s="737">
        <f t="shared" si="21"/>
        <v>0</v>
      </c>
      <c r="AR62" s="737">
        <f t="shared" si="26"/>
        <v>0</v>
      </c>
      <c r="AS62" s="737">
        <f t="shared" si="27"/>
        <v>0</v>
      </c>
    </row>
    <row r="63" spans="7:45" x14ac:dyDescent="0.25">
      <c r="P63" s="1563"/>
      <c r="Q63" s="169">
        <v>48</v>
      </c>
      <c r="R63" s="347"/>
      <c r="S63" s="977"/>
      <c r="T63" s="979"/>
      <c r="U63" s="979"/>
      <c r="V63" s="348" t="str">
        <f>IF(LEFT(R63,6)="Atrium",IF(Compliance_Version_Year=2010,AQ63,IF(Compliance_Version_Year=2016,AR63,IF(Compliance_Version_Year=2019,AS63,0))),_Space_LPA)</f>
        <v/>
      </c>
      <c r="W63" s="949" t="str">
        <f t="shared" si="20"/>
        <v/>
      </c>
      <c r="X63" s="43" t="str">
        <f t="shared" si="14"/>
        <v/>
      </c>
      <c r="Y63" s="362" t="str">
        <f t="array" ref="Y63">IF(ROWS(R$16:R63)&gt;COUNTA($R$16:$R$65),"",INDEX($Q$16:$Q$65,SMALL(IF($R$16:$R$65&lt;&gt;"",ROW($R$16:$R$65)-ROW($R$16)+1),ROWS($R$16:R63))))</f>
        <v/>
      </c>
      <c r="Z63" s="349" t="str">
        <f t="shared" si="15"/>
        <v/>
      </c>
      <c r="AA63" s="349" t="str">
        <f t="shared" si="22"/>
        <v/>
      </c>
      <c r="AB63" s="349" t="str">
        <f t="shared" si="23"/>
        <v/>
      </c>
      <c r="AC63" s="431" t="str">
        <f t="shared" si="24"/>
        <v/>
      </c>
      <c r="AD63" s="411" t="str">
        <f t="shared" si="25"/>
        <v/>
      </c>
      <c r="AF63" s="42">
        <v>48</v>
      </c>
      <c r="AQ63" s="737">
        <f t="shared" si="21"/>
        <v>0</v>
      </c>
      <c r="AR63" s="737">
        <f t="shared" si="26"/>
        <v>0</v>
      </c>
      <c r="AS63" s="737">
        <f t="shared" si="27"/>
        <v>0</v>
      </c>
    </row>
    <row r="64" spans="7:45" x14ac:dyDescent="0.25">
      <c r="P64" s="1563"/>
      <c r="Q64" s="169">
        <v>49</v>
      </c>
      <c r="R64" s="347"/>
      <c r="S64" s="977"/>
      <c r="T64" s="979"/>
      <c r="U64" s="979"/>
      <c r="V64" s="348" t="str">
        <f>IF(LEFT(R64,6)="Atrium",IF(Compliance_Version_Year=2010,AQ64,IF(Compliance_Version_Year=2016,AR64,IF(Compliance_Version_Year=2019,AS64,0))),_Space_LPA)</f>
        <v/>
      </c>
      <c r="W64" s="949" t="str">
        <f t="shared" si="20"/>
        <v/>
      </c>
      <c r="X64" s="43" t="str">
        <f t="shared" si="14"/>
        <v/>
      </c>
      <c r="Y64" s="362" t="str">
        <f t="array" ref="Y64">IF(ROWS(R$16:R64)&gt;COUNTA($R$16:$R$65),"",INDEX($Q$16:$Q$65,SMALL(IF($R$16:$R$65&lt;&gt;"",ROW($R$16:$R$65)-ROW($R$16)+1),ROWS($R$16:R64))))</f>
        <v/>
      </c>
      <c r="Z64" s="349" t="str">
        <f t="shared" si="15"/>
        <v/>
      </c>
      <c r="AA64" s="349" t="str">
        <f t="shared" si="22"/>
        <v/>
      </c>
      <c r="AB64" s="349" t="str">
        <f t="shared" si="23"/>
        <v/>
      </c>
      <c r="AC64" s="431" t="str">
        <f t="shared" si="24"/>
        <v/>
      </c>
      <c r="AD64" s="411" t="str">
        <f t="shared" si="25"/>
        <v/>
      </c>
      <c r="AF64" s="42">
        <v>49</v>
      </c>
      <c r="AQ64" s="737">
        <f t="shared" si="21"/>
        <v>0</v>
      </c>
      <c r="AR64" s="737">
        <f t="shared" si="26"/>
        <v>0</v>
      </c>
      <c r="AS64" s="737">
        <f t="shared" si="27"/>
        <v>0</v>
      </c>
    </row>
    <row r="65" spans="16:45" ht="13" thickBot="1" x14ac:dyDescent="0.3">
      <c r="P65" s="1563"/>
      <c r="Q65" s="170">
        <v>50</v>
      </c>
      <c r="R65" s="350"/>
      <c r="S65" s="735"/>
      <c r="T65" s="980"/>
      <c r="U65" s="980"/>
      <c r="V65" s="348" t="str">
        <f>IF(LEFT(R65,6)="Atrium",IF(Compliance_Version_Year=2010,AQ65,IF(Compliance_Version_Year=2016,AR65,IF(Compliance_Version_Year=2019,AS65,0))),_Space_LPA)</f>
        <v/>
      </c>
      <c r="W65" s="949" t="str">
        <f t="shared" si="20"/>
        <v/>
      </c>
      <c r="X65" s="43" t="str">
        <f t="shared" si="14"/>
        <v/>
      </c>
      <c r="Y65" s="362" t="str">
        <f t="array" ref="Y65">IF(ROWS(R$16:R65)&gt;COUNTA($R$16:$R$65),"",INDEX($Q$16:$Q$65,SMALL(IF($R$16:$R$65&lt;&gt;"",ROW($R$16:$R$65)-ROW($R$16)+1),ROWS($R$16:R65))))</f>
        <v/>
      </c>
      <c r="Z65" s="349" t="str">
        <f t="shared" si="15"/>
        <v/>
      </c>
      <c r="AA65" s="349" t="str">
        <f t="shared" si="22"/>
        <v/>
      </c>
      <c r="AB65" s="349" t="str">
        <f t="shared" si="23"/>
        <v/>
      </c>
      <c r="AC65" s="431" t="str">
        <f t="shared" si="24"/>
        <v/>
      </c>
      <c r="AD65" s="411" t="str">
        <f t="shared" si="25"/>
        <v/>
      </c>
      <c r="AF65" s="42">
        <v>50</v>
      </c>
      <c r="AQ65" s="737">
        <f t="shared" si="21"/>
        <v>0</v>
      </c>
      <c r="AR65" s="737">
        <f t="shared" si="26"/>
        <v>0</v>
      </c>
      <c r="AS65" s="737">
        <f t="shared" si="27"/>
        <v>0</v>
      </c>
    </row>
    <row r="66" spans="16:45" x14ac:dyDescent="0.25">
      <c r="U66" s="42"/>
      <c r="Y66" s="325"/>
    </row>
    <row r="67" spans="16:45" x14ac:dyDescent="0.25">
      <c r="Q67" s="95"/>
      <c r="U67" s="325"/>
    </row>
    <row r="68" spans="16:45" x14ac:dyDescent="0.25">
      <c r="R68" s="95"/>
      <c r="U68" s="325"/>
    </row>
    <row r="72" spans="16:45" x14ac:dyDescent="0.25">
      <c r="R72" s="95"/>
    </row>
    <row r="74" spans="16:45" x14ac:dyDescent="0.25">
      <c r="R74" s="95"/>
    </row>
    <row r="78" spans="16:45" x14ac:dyDescent="0.25">
      <c r="R78" s="95"/>
    </row>
    <row r="82" spans="10:10" x14ac:dyDescent="0.25">
      <c r="J82" s="95"/>
    </row>
    <row r="83" spans="10:10" x14ac:dyDescent="0.25">
      <c r="J83" s="95"/>
    </row>
    <row r="84" spans="10:10" x14ac:dyDescent="0.25">
      <c r="J84" s="95"/>
    </row>
    <row r="85" spans="10:10" x14ac:dyDescent="0.25">
      <c r="J85" s="95"/>
    </row>
    <row r="86" spans="10:10" x14ac:dyDescent="0.25">
      <c r="J86" s="95"/>
    </row>
    <row r="87" spans="10:10" x14ac:dyDescent="0.25">
      <c r="J87" s="95"/>
    </row>
    <row r="88" spans="10:10" x14ac:dyDescent="0.25">
      <c r="J88" s="95"/>
    </row>
    <row r="89" spans="10:10" x14ac:dyDescent="0.25">
      <c r="J89" s="95"/>
    </row>
    <row r="90" spans="10:10" x14ac:dyDescent="0.25">
      <c r="J90" s="95"/>
    </row>
    <row r="91" spans="10:10" x14ac:dyDescent="0.25">
      <c r="J91" s="95"/>
    </row>
  </sheetData>
  <sheetProtection sheet="1" objects="1" scenarios="1" selectLockedCells="1"/>
  <mergeCells count="25">
    <mergeCell ref="B24:E27"/>
    <mergeCell ref="B32:E35"/>
    <mergeCell ref="H16:H21"/>
    <mergeCell ref="P16:P65"/>
    <mergeCell ref="L11:L12"/>
    <mergeCell ref="N11:N12"/>
    <mergeCell ref="J20:K20"/>
    <mergeCell ref="J18:K18"/>
    <mergeCell ref="J19:K19"/>
    <mergeCell ref="J14:K14"/>
    <mergeCell ref="J16:K16"/>
    <mergeCell ref="J17:K17"/>
    <mergeCell ref="R15:U15"/>
    <mergeCell ref="J21:K21"/>
    <mergeCell ref="B13:C13"/>
    <mergeCell ref="D2:F2"/>
    <mergeCell ref="B19:E19"/>
    <mergeCell ref="B20:E20"/>
    <mergeCell ref="I2:W3"/>
    <mergeCell ref="D1:E1"/>
    <mergeCell ref="T11:T12"/>
    <mergeCell ref="W11:W12"/>
    <mergeCell ref="Q6:W9"/>
    <mergeCell ref="I6:N9"/>
    <mergeCell ref="I1:W1"/>
  </mergeCells>
  <phoneticPr fontId="4" type="noConversion"/>
  <conditionalFormatting sqref="I6:N9">
    <cfRule type="expression" dxfId="391" priority="1">
      <formula>AND($J$11=TRUE,$K$11=TRUE)</formula>
    </cfRule>
  </conditionalFormatting>
  <conditionalFormatting sqref="J16:N21">
    <cfRule type="expression" dxfId="390" priority="2">
      <formula>AND($J$11=TRUE,$K$11=TRUE)</formula>
    </cfRule>
  </conditionalFormatting>
  <conditionalFormatting sqref="L16:L21">
    <cfRule type="expression" dxfId="389" priority="8">
      <formula>AND($J16&lt;&gt;"",$L16&lt;&gt;"")</formula>
    </cfRule>
    <cfRule type="expression" dxfId="388" priority="9">
      <formula>$J16&lt;&gt;""</formula>
    </cfRule>
  </conditionalFormatting>
  <conditionalFormatting sqref="R16:R65">
    <cfRule type="expression" dxfId="387" priority="16">
      <formula>$V16="Re-Select"</formula>
    </cfRule>
  </conditionalFormatting>
  <conditionalFormatting sqref="S16:S65">
    <cfRule type="expression" dxfId="386" priority="6">
      <formula>AND($R16&lt;&gt;"",$S16&lt;&gt;"")</formula>
    </cfRule>
  </conditionalFormatting>
  <conditionalFormatting sqref="S16:U65">
    <cfRule type="expression" dxfId="385" priority="7">
      <formula>$R16&lt;&gt;""</formula>
    </cfRule>
  </conditionalFormatting>
  <conditionalFormatting sqref="T16:T65">
    <cfRule type="expression" dxfId="384" priority="5">
      <formula>AND($R16&lt;&gt;"",$T16&lt;&gt;"")</formula>
    </cfRule>
  </conditionalFormatting>
  <conditionalFormatting sqref="U16:U65">
    <cfRule type="expression" dxfId="383" priority="3">
      <formula>AND($R16&lt;&gt;"",$U16&lt;&gt;"")</formula>
    </cfRule>
    <cfRule type="expression" dxfId="382" priority="4" stopIfTrue="1">
      <formula>AND($R16&lt;&gt;"",OR(LEFT($R16,6)&lt;&gt;"Atrium"))</formula>
    </cfRule>
  </conditionalFormatting>
  <conditionalFormatting sqref="V16:W65">
    <cfRule type="cellIs" dxfId="381" priority="17" operator="equal">
      <formula>"Re-Select"</formula>
    </cfRule>
  </conditionalFormatting>
  <conditionalFormatting sqref="X16:X65">
    <cfRule type="notContainsBlanks" dxfId="380" priority="19">
      <formula>LEN(TRIM(X16))&gt;0</formula>
    </cfRule>
  </conditionalFormatting>
  <dataValidations count="3">
    <dataValidation type="list" allowBlank="1" showInputMessage="1" showErrorMessage="1" sqref="R16:R65" xr:uid="{00000000-0002-0000-0400-000000000000}">
      <formula1>_Space_Lookup</formula1>
    </dataValidation>
    <dataValidation type="list" allowBlank="1" showInputMessage="1" showErrorMessage="1" sqref="J16:K21" xr:uid="{00000000-0002-0000-0400-000001000000}">
      <formula1>_9_5_BuildingTypes</formula1>
    </dataValidation>
    <dataValidation type="list" allowBlank="1" showInputMessage="1" showErrorMessage="1" sqref="R70" xr:uid="{00000000-0002-0000-0400-000002000000}">
      <formula1>INDIRECT(Compliance_Space_by_Space)</formula1>
    </dataValidation>
  </dataValidations>
  <pageMargins left="0.7" right="0.7" top="0.75" bottom="0.75" header="0.3" footer="0.3"/>
  <pageSetup scale="67"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9">
    <tabColor theme="7" tint="-0.249977111117893"/>
    <pageSetUpPr fitToPage="1"/>
  </sheetPr>
  <dimension ref="A1:BG85"/>
  <sheetViews>
    <sheetView showGridLines="0" showRowColHeaders="0" workbookViewId="0">
      <pane xSplit="8" ySplit="20" topLeftCell="I21" activePane="bottomRight" state="frozen"/>
      <selection pane="topRight" activeCell="I1" sqref="I1"/>
      <selection pane="bottomLeft" activeCell="A21" sqref="A21"/>
      <selection pane="bottomRight" activeCell="I21" sqref="I21:K21"/>
    </sheetView>
  </sheetViews>
  <sheetFormatPr defaultColWidth="9.1796875" defaultRowHeight="12.5" x14ac:dyDescent="0.25"/>
  <cols>
    <col min="1" max="1" width="2.54296875" style="42" customWidth="1"/>
    <col min="2" max="2" width="2.54296875" style="42" hidden="1" customWidth="1"/>
    <col min="3" max="3" width="12.81640625" style="42" customWidth="1"/>
    <col min="4" max="6" width="10.54296875" style="42" customWidth="1"/>
    <col min="7" max="7" width="2.54296875" style="42" customWidth="1"/>
    <col min="8" max="8" width="0.453125" style="42" customWidth="1"/>
    <col min="9" max="9" width="2.54296875" style="42" customWidth="1"/>
    <col min="10" max="10" width="25.7265625" style="42" customWidth="1"/>
    <col min="11" max="11" width="12.7265625" style="42" customWidth="1"/>
    <col min="12" max="12" width="13.7265625" style="42" customWidth="1"/>
    <col min="13" max="14" width="11.54296875" style="42" customWidth="1"/>
    <col min="15" max="16" width="11.54296875" style="42" hidden="1" customWidth="1"/>
    <col min="17" max="17" width="2.54296875" style="42" customWidth="1"/>
    <col min="18" max="21" width="11.54296875" style="42" hidden="1" customWidth="1"/>
    <col min="22" max="22" width="2.54296875" style="42" hidden="1" customWidth="1"/>
    <col min="23" max="23" width="5.26953125" style="42" customWidth="1"/>
    <col min="24" max="24" width="6.54296875" style="42" customWidth="1"/>
    <col min="25" max="25" width="5.26953125" style="42" customWidth="1"/>
    <col min="26" max="26" width="6.54296875" style="42" customWidth="1"/>
    <col min="27" max="27" width="5.26953125" style="42" customWidth="1"/>
    <col min="28" max="28" width="6.54296875" style="42" customWidth="1"/>
    <col min="29" max="29" width="5.26953125" style="42" customWidth="1"/>
    <col min="30" max="30" width="6.54296875" style="42" customWidth="1"/>
    <col min="31" max="31" width="5.26953125" style="42" customWidth="1"/>
    <col min="32" max="32" width="6.54296875" style="42" customWidth="1"/>
    <col min="33" max="33" width="5.26953125" style="42" customWidth="1"/>
    <col min="34" max="34" width="6.54296875" style="42" customWidth="1"/>
    <col min="35" max="35" width="5.26953125" style="42" customWidth="1"/>
    <col min="36" max="36" width="6.54296875" style="42" customWidth="1"/>
    <col min="37" max="37" width="5.26953125" style="42" customWidth="1"/>
    <col min="38" max="38" width="6.54296875" style="42" customWidth="1"/>
    <col min="39" max="39" width="5.26953125" style="42" customWidth="1"/>
    <col min="40" max="40" width="6.54296875" style="42" customWidth="1"/>
    <col min="41" max="41" width="5.54296875" style="42" customWidth="1"/>
    <col min="42" max="42" width="6.54296875" style="42" customWidth="1"/>
    <col min="43" max="43" width="12.7265625" style="42" customWidth="1"/>
    <col min="44" max="44" width="11.54296875" style="42" hidden="1" customWidth="1"/>
    <col min="45" max="45" width="11.54296875" style="42" customWidth="1"/>
    <col min="46" max="58" width="5.54296875" style="42" hidden="1" customWidth="1"/>
    <col min="59" max="59" width="9.1796875" style="42" hidden="1" customWidth="1"/>
    <col min="60" max="16384" width="9.1796875" style="42"/>
  </cols>
  <sheetData>
    <row r="1" spans="2:58" ht="15" customHeight="1" x14ac:dyDescent="0.3">
      <c r="E1" s="1498" t="s">
        <v>0</v>
      </c>
      <c r="F1" s="1498"/>
      <c r="G1" s="1498"/>
      <c r="H1" s="526"/>
      <c r="I1" s="316"/>
      <c r="J1" s="1555" t="str">
        <f>'Main Compliance Page'!K1</f>
        <v>ASHRAE/IES 90.1-2019 Lighting Compliance Documentation (v4.0)</v>
      </c>
      <c r="K1" s="1555"/>
      <c r="L1" s="1555"/>
      <c r="M1" s="1555"/>
      <c r="N1" s="1555"/>
      <c r="O1" s="143"/>
      <c r="P1" s="143"/>
      <c r="Q1" s="143"/>
      <c r="R1" s="143"/>
      <c r="S1" s="143"/>
      <c r="T1" s="143"/>
      <c r="U1" s="143"/>
      <c r="V1" s="143"/>
      <c r="W1" s="143"/>
      <c r="X1" s="143"/>
      <c r="Y1" s="143"/>
      <c r="Z1" s="143" t="s">
        <v>878</v>
      </c>
      <c r="AA1" s="143"/>
      <c r="AB1" s="143"/>
      <c r="AC1" s="117"/>
      <c r="AD1" s="117"/>
      <c r="AO1" s="94"/>
      <c r="AP1" s="94"/>
    </row>
    <row r="2" spans="2:58" ht="5.15" customHeight="1" x14ac:dyDescent="0.3">
      <c r="E2" s="493"/>
      <c r="F2" s="526"/>
      <c r="G2" s="493"/>
      <c r="H2" s="526"/>
      <c r="I2" s="493"/>
      <c r="J2" s="495"/>
      <c r="K2" s="495"/>
      <c r="L2" s="495"/>
      <c r="M2" s="495"/>
      <c r="N2" s="495"/>
      <c r="O2" s="143"/>
      <c r="P2" s="143"/>
      <c r="Q2" s="143"/>
      <c r="R2" s="143"/>
      <c r="S2" s="143"/>
      <c r="T2" s="143"/>
      <c r="U2" s="143"/>
      <c r="V2" s="143"/>
      <c r="W2" s="143"/>
      <c r="X2" s="143"/>
      <c r="Y2" s="143"/>
      <c r="Z2" s="143"/>
      <c r="AA2" s="143"/>
      <c r="AB2" s="143"/>
      <c r="AC2" s="117"/>
      <c r="AD2" s="117"/>
      <c r="AO2" s="94"/>
      <c r="AP2" s="94"/>
    </row>
    <row r="3" spans="2:58" ht="15" customHeight="1" x14ac:dyDescent="0.3">
      <c r="I3" s="118"/>
      <c r="J3" s="1555" t="s">
        <v>1214</v>
      </c>
      <c r="K3" s="1555"/>
      <c r="L3" s="1555"/>
      <c r="M3" s="1555"/>
      <c r="N3" s="1555"/>
      <c r="O3" s="73"/>
      <c r="P3" s="73"/>
      <c r="Q3" s="73"/>
      <c r="R3" s="73"/>
      <c r="S3" s="505">
        <f>_Step2_AlterationsYesNo</f>
        <v>0</v>
      </c>
      <c r="T3" s="1018" t="s">
        <v>849</v>
      </c>
      <c r="U3" s="73"/>
      <c r="V3" s="73"/>
      <c r="W3" s="360"/>
      <c r="X3" s="360"/>
      <c r="Y3" s="360"/>
      <c r="Z3" s="360"/>
      <c r="AA3" s="360"/>
      <c r="AB3" s="360"/>
      <c r="AC3" s="74"/>
      <c r="AD3" s="74"/>
    </row>
    <row r="4" spans="2:58" ht="5.15" customHeight="1" x14ac:dyDescent="0.3">
      <c r="I4" s="118"/>
      <c r="J4" s="495"/>
      <c r="K4" s="495"/>
      <c r="L4" s="495"/>
      <c r="M4" s="495"/>
      <c r="N4" s="495"/>
      <c r="O4" s="73"/>
      <c r="P4" s="73"/>
      <c r="Q4" s="73"/>
      <c r="R4" s="73"/>
      <c r="S4" s="73"/>
      <c r="T4" s="73"/>
      <c r="U4" s="73"/>
      <c r="V4" s="73"/>
      <c r="W4" s="360"/>
      <c r="X4" s="360"/>
      <c r="Y4" s="360"/>
      <c r="Z4" s="360"/>
      <c r="AA4" s="360"/>
      <c r="AB4" s="360"/>
      <c r="AC4" s="74"/>
      <c r="AD4" s="74"/>
    </row>
    <row r="5" spans="2:58" ht="15" customHeight="1" x14ac:dyDescent="0.25">
      <c r="I5" s="118"/>
      <c r="J5" s="514"/>
      <c r="K5" s="514"/>
      <c r="L5" s="514"/>
      <c r="M5" s="514"/>
      <c r="N5" s="514"/>
      <c r="O5" s="90"/>
      <c r="P5" s="90"/>
      <c r="Q5" s="90"/>
      <c r="R5" s="90"/>
      <c r="S5" s="505">
        <f>IF(S3="Yes",15,0)</f>
        <v>0</v>
      </c>
      <c r="T5" s="365" t="s">
        <v>1179</v>
      </c>
      <c r="U5" s="90"/>
      <c r="V5" s="90"/>
      <c r="W5" s="365"/>
      <c r="X5" s="365"/>
      <c r="Y5" s="365"/>
      <c r="Z5" s="365"/>
      <c r="AA5" s="365"/>
      <c r="AB5" s="365"/>
      <c r="AC5" s="74"/>
      <c r="AD5" s="74"/>
    </row>
    <row r="6" spans="2:58" ht="5.15" customHeight="1" x14ac:dyDescent="0.25">
      <c r="I6" s="118"/>
      <c r="J6" s="514"/>
      <c r="K6" s="514"/>
      <c r="L6" s="514"/>
      <c r="M6" s="514"/>
      <c r="N6" s="514"/>
      <c r="O6" s="90"/>
      <c r="P6" s="90"/>
      <c r="Q6" s="90"/>
      <c r="R6" s="90"/>
      <c r="S6" s="90"/>
      <c r="T6" s="90"/>
      <c r="U6" s="90"/>
      <c r="V6" s="90"/>
      <c r="W6" s="365"/>
      <c r="X6" s="365"/>
      <c r="Y6" s="365"/>
      <c r="Z6" s="365"/>
      <c r="AA6" s="365"/>
      <c r="AB6" s="365"/>
      <c r="AC6" s="74"/>
      <c r="AD6" s="74"/>
    </row>
    <row r="7" spans="2:58" ht="15" customHeight="1" x14ac:dyDescent="0.25">
      <c r="I7" s="118"/>
      <c r="J7" s="1568" t="str">
        <f>IF(S3="Yes","Alteration is selected as ""Yes"" on the Main Compliance page. To use any of the 9.1.2 Exceptions you must use the Space-by-Space path. ","")</f>
        <v/>
      </c>
      <c r="K7" s="1568"/>
      <c r="L7" s="1568"/>
      <c r="M7" s="1568"/>
      <c r="N7" s="1568"/>
      <c r="O7" s="73"/>
      <c r="P7" s="73"/>
      <c r="Q7" s="73"/>
      <c r="R7" s="73"/>
      <c r="S7" s="73"/>
      <c r="T7" s="73"/>
      <c r="U7" s="73"/>
      <c r="V7" s="73"/>
      <c r="W7" s="360"/>
      <c r="X7" s="360"/>
      <c r="Y7" s="360"/>
      <c r="Z7" s="360"/>
      <c r="AA7" s="360"/>
      <c r="AB7" s="360"/>
      <c r="AC7" s="74"/>
      <c r="AD7" s="74"/>
      <c r="BC7" s="75"/>
      <c r="BD7" s="75"/>
    </row>
    <row r="8" spans="2:58" ht="5.15" customHeight="1" x14ac:dyDescent="0.25">
      <c r="I8" s="118"/>
      <c r="J8" s="1568"/>
      <c r="K8" s="1568"/>
      <c r="L8" s="1568"/>
      <c r="M8" s="1568"/>
      <c r="N8" s="1568"/>
      <c r="O8" s="73"/>
      <c r="P8" s="73"/>
      <c r="Q8" s="73"/>
      <c r="R8" s="73"/>
      <c r="S8" s="73"/>
      <c r="T8" s="73"/>
      <c r="U8" s="73"/>
      <c r="V8" s="73"/>
      <c r="W8" s="360"/>
      <c r="X8" s="360"/>
      <c r="Y8" s="360"/>
      <c r="Z8" s="360"/>
      <c r="AA8" s="360"/>
      <c r="AB8" s="360"/>
      <c r="AC8" s="74"/>
      <c r="AD8" s="74"/>
    </row>
    <row r="9" spans="2:58" ht="15" customHeight="1" x14ac:dyDescent="0.25">
      <c r="I9" s="118"/>
      <c r="J9" s="1568"/>
      <c r="K9" s="1568"/>
      <c r="L9" s="1568"/>
      <c r="M9" s="1568"/>
      <c r="N9" s="1568"/>
      <c r="O9" s="90"/>
      <c r="P9" s="90"/>
      <c r="Q9" s="90"/>
      <c r="R9" s="90"/>
      <c r="S9" s="90"/>
      <c r="T9" s="90"/>
      <c r="U9" s="90"/>
      <c r="V9" s="90"/>
      <c r="W9" s="365"/>
      <c r="X9" s="365"/>
      <c r="Y9" s="365"/>
      <c r="Z9" s="365"/>
      <c r="AA9" s="365"/>
      <c r="AB9" s="365"/>
      <c r="AV9" s="290"/>
      <c r="AW9" s="290"/>
      <c r="AX9" s="290"/>
      <c r="AY9" s="290"/>
      <c r="AZ9" s="290"/>
      <c r="BA9" s="290"/>
      <c r="BB9" s="290"/>
      <c r="BC9" s="290"/>
      <c r="BD9" s="290"/>
      <c r="BE9" s="290"/>
    </row>
    <row r="10" spans="2:58" ht="5.15" customHeight="1" x14ac:dyDescent="0.25">
      <c r="I10" s="118"/>
      <c r="J10" s="1568"/>
      <c r="K10" s="1568"/>
      <c r="L10" s="1568"/>
      <c r="M10" s="1568"/>
      <c r="N10" s="1568"/>
      <c r="O10" s="90"/>
      <c r="P10" s="90"/>
      <c r="Q10" s="90"/>
      <c r="R10" s="90"/>
      <c r="S10" s="90"/>
      <c r="T10" s="90"/>
      <c r="U10" s="90"/>
      <c r="V10" s="90"/>
      <c r="W10" s="365"/>
      <c r="X10" s="365"/>
      <c r="Y10" s="365"/>
      <c r="Z10" s="365"/>
      <c r="AA10" s="365"/>
      <c r="AB10" s="365"/>
    </row>
    <row r="11" spans="2:58" ht="15" customHeight="1" x14ac:dyDescent="0.25">
      <c r="I11" s="118"/>
      <c r="J11" s="1568"/>
      <c r="K11" s="1568"/>
      <c r="L11" s="1568"/>
      <c r="M11" s="1568"/>
      <c r="N11" s="1568"/>
      <c r="O11" s="73"/>
      <c r="P11" s="73"/>
      <c r="Q11" s="73"/>
      <c r="S11" s="73"/>
      <c r="T11" s="73"/>
      <c r="U11" s="73"/>
      <c r="V11" s="73"/>
      <c r="W11" s="570">
        <v>4</v>
      </c>
      <c r="X11" s="571"/>
      <c r="Y11" s="570">
        <v>5</v>
      </c>
      <c r="Z11" s="571"/>
      <c r="AA11" s="570">
        <v>6</v>
      </c>
      <c r="AB11" s="571"/>
      <c r="AC11" s="570">
        <v>7</v>
      </c>
      <c r="AD11" s="572"/>
      <c r="AE11" s="570">
        <v>8</v>
      </c>
      <c r="AF11" s="573"/>
      <c r="AG11" s="570">
        <v>9</v>
      </c>
      <c r="AH11" s="573"/>
      <c r="AI11" s="570">
        <v>10</v>
      </c>
      <c r="AJ11" s="573"/>
      <c r="AK11" s="570">
        <v>11</v>
      </c>
      <c r="AL11" s="573"/>
      <c r="AM11" s="570">
        <v>12</v>
      </c>
      <c r="AN11" s="573"/>
      <c r="AO11" s="570">
        <v>13</v>
      </c>
      <c r="AP11" s="573"/>
      <c r="AQ11" s="573"/>
      <c r="AT11" s="1619" t="s">
        <v>639</v>
      </c>
      <c r="AU11" s="1621"/>
      <c r="AV11" s="1619" t="str">
        <f ca="1">W17</f>
        <v xml:space="preserve">9.4.1.1a
Local Control </v>
      </c>
      <c r="AW11" s="1619" t="str">
        <f ca="1">Y17</f>
        <v xml:space="preserve">9.4.1.1b
Restricted to Manual ON </v>
      </c>
      <c r="AX11" s="1619" t="str">
        <f ca="1">AA17</f>
        <v xml:space="preserve">9.4.1.1c
Restricted to Partial Automatic ON </v>
      </c>
      <c r="AY11" s="1619" t="str">
        <f ca="1">AC17</f>
        <v xml:space="preserve">9.4.1.1d
Bilevel Lighting Control </v>
      </c>
      <c r="AZ11" s="1619" t="str">
        <f ca="1">AE17</f>
        <v xml:space="preserve">9.4.1.1e
Automatic Daylight Controls for Sidelighting </v>
      </c>
      <c r="BA11" s="1619" t="str">
        <f ca="1">AG17</f>
        <v xml:space="preserve">9.4.1.1f
Automatic Daylight Controls for Toplighting </v>
      </c>
      <c r="BB11" s="1619" t="str">
        <f ca="1">AI17</f>
        <v xml:space="preserve">9.4.1.1g
Automatic Partial OFF </v>
      </c>
      <c r="BC11" s="1619" t="str">
        <f ca="1">AK17</f>
        <v xml:space="preserve">9.4.1.1h
Automatic Full OFF
</v>
      </c>
      <c r="BD11" s="1619" t="str">
        <f ca="1">AM17</f>
        <v>9.4.1.1i
Scheduled Shutoff</v>
      </c>
      <c r="BE11" s="1619" t="str">
        <f ca="1">AO17</f>
        <v>9.4.1.2b
Garage</v>
      </c>
      <c r="BF11" s="1619" t="s">
        <v>879</v>
      </c>
    </row>
    <row r="12" spans="2:58" ht="5.15" customHeight="1" thickBot="1" x14ac:dyDescent="0.3">
      <c r="I12" s="118"/>
      <c r="J12" s="100"/>
      <c r="K12" s="100"/>
      <c r="L12" s="100"/>
      <c r="M12" s="100"/>
      <c r="N12" s="73"/>
      <c r="O12" s="73"/>
      <c r="P12" s="73"/>
      <c r="Q12" s="73"/>
      <c r="R12" s="73"/>
      <c r="S12" s="73"/>
      <c r="T12" s="73"/>
      <c r="U12" s="73"/>
      <c r="V12" s="73"/>
      <c r="W12" s="498"/>
      <c r="X12" s="360"/>
      <c r="Y12" s="498"/>
      <c r="Z12" s="360"/>
      <c r="AA12" s="498"/>
      <c r="AB12" s="360"/>
      <c r="AC12" s="498"/>
      <c r="AD12" s="74"/>
      <c r="AE12" s="498"/>
      <c r="AG12" s="498"/>
      <c r="AI12" s="498"/>
      <c r="AK12" s="498"/>
      <c r="AM12" s="498"/>
      <c r="AO12" s="498"/>
      <c r="AT12" s="1619"/>
      <c r="AU12" s="1621"/>
      <c r="AV12" s="1619"/>
      <c r="AW12" s="1619"/>
      <c r="AX12" s="1619"/>
      <c r="AY12" s="1619"/>
      <c r="AZ12" s="1619"/>
      <c r="BA12" s="1619"/>
      <c r="BB12" s="1619"/>
      <c r="BC12" s="1619"/>
      <c r="BD12" s="1619"/>
      <c r="BE12" s="1619"/>
      <c r="BF12" s="1619"/>
    </row>
    <row r="13" spans="2:58" ht="15" customHeight="1" thickBot="1" x14ac:dyDescent="0.3">
      <c r="C13" s="1520" t="str">
        <f>CONCATENATE("90.1-",Compliance_Version_Year)</f>
        <v>90.1-2019</v>
      </c>
      <c r="D13" s="1520"/>
      <c r="I13" s="118"/>
      <c r="J13" s="118"/>
      <c r="K13" s="118"/>
      <c r="L13" s="73"/>
      <c r="M13" s="519" t="s">
        <v>880</v>
      </c>
      <c r="N13" s="536">
        <f>N50</f>
        <v>0</v>
      </c>
      <c r="O13" s="73"/>
      <c r="P13" s="73"/>
      <c r="Q13" s="73"/>
      <c r="R13" s="73"/>
      <c r="S13" s="73"/>
      <c r="T13" s="73"/>
      <c r="U13" s="73"/>
      <c r="V13" s="73"/>
      <c r="W13" s="1576" t="s">
        <v>125</v>
      </c>
      <c r="X13" s="1576"/>
      <c r="Y13" s="1576"/>
      <c r="Z13" s="1576"/>
      <c r="AA13" s="1576"/>
      <c r="AB13" s="1576"/>
      <c r="AC13" s="1576"/>
      <c r="AD13" s="1576"/>
      <c r="AE13" s="1576"/>
      <c r="AF13" s="1576"/>
      <c r="AG13" s="1576"/>
      <c r="AH13" s="1576"/>
      <c r="AI13" s="1576"/>
      <c r="AJ13" s="1576"/>
      <c r="AK13" s="1576"/>
      <c r="AL13" s="1576"/>
      <c r="AM13" s="1576"/>
      <c r="AN13" s="1576"/>
      <c r="AO13" s="1576"/>
      <c r="AP13" s="1576"/>
      <c r="AQ13" s="1576"/>
      <c r="AT13" s="1619"/>
      <c r="AU13" s="1621"/>
      <c r="AV13" s="1619"/>
      <c r="AW13" s="1619"/>
      <c r="AX13" s="1619"/>
      <c r="AY13" s="1619"/>
      <c r="AZ13" s="1619"/>
      <c r="BA13" s="1619"/>
      <c r="BB13" s="1619"/>
      <c r="BC13" s="1619"/>
      <c r="BD13" s="1619"/>
      <c r="BE13" s="1619"/>
      <c r="BF13" s="1619"/>
    </row>
    <row r="14" spans="2:58" ht="5.15" customHeight="1" thickBot="1" x14ac:dyDescent="0.3">
      <c r="C14" s="494"/>
      <c r="D14" s="494"/>
      <c r="I14" s="118"/>
      <c r="J14" s="118"/>
      <c r="K14" s="118"/>
      <c r="L14" s="73"/>
      <c r="M14" s="73"/>
      <c r="N14" s="73"/>
      <c r="O14" s="73"/>
      <c r="P14" s="73"/>
      <c r="Q14" s="73"/>
      <c r="R14" s="73"/>
      <c r="S14" s="73"/>
      <c r="T14" s="73"/>
      <c r="U14" s="73"/>
      <c r="V14" s="73"/>
      <c r="X14" s="360"/>
      <c r="Y14" s="360"/>
      <c r="Z14" s="360"/>
      <c r="AA14" s="360"/>
      <c r="AB14" s="360"/>
      <c r="AC14" s="74"/>
      <c r="AD14" s="74"/>
      <c r="AT14" s="1619"/>
      <c r="AU14" s="1621"/>
      <c r="AV14" s="1619"/>
      <c r="AW14" s="1619"/>
      <c r="AX14" s="1619"/>
      <c r="AY14" s="1619"/>
      <c r="AZ14" s="1619"/>
      <c r="BA14" s="1619"/>
      <c r="BB14" s="1619"/>
      <c r="BC14" s="1619"/>
      <c r="BD14" s="1619"/>
      <c r="BE14" s="1619"/>
      <c r="BF14" s="1619"/>
    </row>
    <row r="15" spans="2:58" ht="15" customHeight="1" thickBot="1" x14ac:dyDescent="0.35">
      <c r="B15" s="1563"/>
      <c r="I15" s="127"/>
      <c r="M15" s="519" t="str">
        <f>IF(_BAM_Installed_Watts&gt;N13,"TOTAL designed watts exceeds allowance! :","TOTAL designed watts complies with allowance! :")</f>
        <v>TOTAL designed watts complies with allowance! :</v>
      </c>
      <c r="N15" s="783">
        <f>SUM(N22:N46)</f>
        <v>0</v>
      </c>
      <c r="O15" s="118"/>
      <c r="P15" s="517"/>
      <c r="Q15" s="89"/>
      <c r="U15" s="89"/>
      <c r="V15" s="90"/>
      <c r="W15" s="1575" t="str">
        <f>IF($AT47&lt;&gt;AV47,"Incomplete","Complete")</f>
        <v>Complete</v>
      </c>
      <c r="X15" s="1574"/>
      <c r="Y15" s="1574" t="str">
        <f>IF($AT47&lt;&gt;AW47,"Incomplete","Complete")</f>
        <v>Complete</v>
      </c>
      <c r="Z15" s="1574"/>
      <c r="AA15" s="1574" t="str">
        <f>IF($AT47&lt;&gt;AX47,"Incomplete","Complete")</f>
        <v>Complete</v>
      </c>
      <c r="AB15" s="1574"/>
      <c r="AC15" s="1574" t="str">
        <f>IF($AT47&lt;&gt;AY47,"Incomplete","Complete")</f>
        <v>Complete</v>
      </c>
      <c r="AD15" s="1574"/>
      <c r="AE15" s="1574" t="str">
        <f>IF($AT47&lt;&gt;AZ47,"Incomplete","Complete")</f>
        <v>Complete</v>
      </c>
      <c r="AF15" s="1574"/>
      <c r="AG15" s="1574" t="str">
        <f>IF($AT47&lt;&gt;BA47,"Incomplete","Complete")</f>
        <v>Complete</v>
      </c>
      <c r="AH15" s="1574"/>
      <c r="AI15" s="1574" t="str">
        <f>IF($AT47&lt;&gt;BB47,"Incomplete","Complete")</f>
        <v>Complete</v>
      </c>
      <c r="AJ15" s="1574"/>
      <c r="AK15" s="1574" t="str">
        <f>IF(AL17="Not Used","",IF($AT47&lt;&gt;BC47,"Incomplete","Complete"))</f>
        <v>Complete</v>
      </c>
      <c r="AL15" s="1574"/>
      <c r="AM15" s="1574" t="str">
        <f>IF(AN17="Not Used","",IF($AT47&lt;&gt;BD47,"Incomplete","Complete"))</f>
        <v>Complete</v>
      </c>
      <c r="AN15" s="1574"/>
      <c r="AO15" s="1574" t="str">
        <f>IF($AT47&lt;&gt;BE47,"Incomplete","Complete")</f>
        <v>Complete</v>
      </c>
      <c r="AP15" s="1574"/>
      <c r="AQ15" s="1014" t="str">
        <f>IF(OR(W15="Incomplete",Y15="Incomplete",AA15="Incomplete",AC15="Incomplete",AO15="Incomplete",AE15="Incomplete",AG15="Incomplete",AI15="Incomplete",AK15="Incomplete",AM15="Incomplete"),"Not Compliant","Compliant")</f>
        <v>Compliant</v>
      </c>
      <c r="AR15" s="781"/>
      <c r="AT15" s="1619"/>
      <c r="AU15" s="1621"/>
      <c r="AV15" s="1619"/>
      <c r="AW15" s="1619"/>
      <c r="AX15" s="1619"/>
      <c r="AY15" s="1619"/>
      <c r="AZ15" s="1619"/>
      <c r="BA15" s="1619"/>
      <c r="BB15" s="1619"/>
      <c r="BC15" s="1619"/>
      <c r="BD15" s="1619"/>
      <c r="BE15" s="1619"/>
      <c r="BF15" s="1619"/>
    </row>
    <row r="16" spans="2:58" ht="5.15" customHeight="1" thickBot="1" x14ac:dyDescent="0.35">
      <c r="B16" s="1614"/>
      <c r="I16" s="127"/>
      <c r="M16" s="519"/>
      <c r="N16" s="997"/>
      <c r="O16" s="118"/>
      <c r="P16" s="89"/>
      <c r="Q16" s="89"/>
      <c r="R16" s="63"/>
      <c r="S16" s="63"/>
      <c r="T16" s="63"/>
      <c r="U16" s="89"/>
      <c r="V16" s="90"/>
      <c r="W16" s="780"/>
      <c r="X16" s="780"/>
      <c r="Y16" s="780"/>
      <c r="Z16" s="780"/>
      <c r="AA16" s="780"/>
      <c r="AB16" s="780"/>
      <c r="AC16" s="780"/>
      <c r="AD16" s="780"/>
      <c r="AE16" s="780"/>
      <c r="AF16" s="780"/>
      <c r="AG16" s="780"/>
      <c r="AH16" s="780"/>
      <c r="AI16" s="780"/>
      <c r="AJ16" s="780"/>
      <c r="AK16" s="780"/>
      <c r="AL16" s="780"/>
      <c r="AM16" s="780"/>
      <c r="AN16" s="780"/>
      <c r="AO16" s="780"/>
      <c r="AP16" s="780"/>
      <c r="AQ16" s="779"/>
      <c r="AR16" s="270"/>
      <c r="AS16" s="63"/>
      <c r="AT16" s="1619"/>
      <c r="AU16" s="1621"/>
      <c r="AV16" s="1619"/>
      <c r="AW16" s="1619"/>
      <c r="AX16" s="1619"/>
      <c r="AY16" s="1619"/>
      <c r="AZ16" s="1619"/>
      <c r="BA16" s="1619"/>
      <c r="BB16" s="1619"/>
      <c r="BC16" s="1619"/>
      <c r="BD16" s="1619"/>
      <c r="BE16" s="1619"/>
      <c r="BF16" s="1619"/>
    </row>
    <row r="17" spans="1:59" ht="32.25" customHeight="1" x14ac:dyDescent="0.3">
      <c r="B17" s="1614"/>
      <c r="C17" s="998" t="s">
        <v>126</v>
      </c>
      <c r="D17" s="1610"/>
      <c r="E17" s="1611"/>
      <c r="F17" s="1611"/>
      <c r="G17" s="1611"/>
      <c r="H17" s="1245"/>
      <c r="I17" s="896"/>
      <c r="J17" s="999" t="s">
        <v>127</v>
      </c>
      <c r="K17" s="1000" t="s">
        <v>128</v>
      </c>
      <c r="L17" s="897" t="s">
        <v>129</v>
      </c>
      <c r="M17" s="898" t="s">
        <v>130</v>
      </c>
      <c r="N17" s="1001" t="s">
        <v>131</v>
      </c>
      <c r="O17" s="518"/>
      <c r="P17" s="518"/>
      <c r="Q17" s="502"/>
      <c r="R17" s="502"/>
      <c r="S17" s="502"/>
      <c r="T17" s="502"/>
      <c r="U17" s="502"/>
      <c r="V17" s="90"/>
      <c r="W17" s="1615" t="str">
        <f ca="1">VLOOKUP(CONCATENATE(Compliance_Version_Year," Spaces"),INDIRECT('9.6 Table'!$P$338),W$11,FALSE)</f>
        <v xml:space="preserve">9.4.1.1a
Local Control </v>
      </c>
      <c r="X17" s="1578"/>
      <c r="Y17" s="1577" t="str">
        <f ca="1">VLOOKUP(CONCATENATE(Compliance_Version_Year," Spaces"),INDIRECT('9.6 Table'!$P$338),Y$11,FALSE)</f>
        <v xml:space="preserve">9.4.1.1b
Restricted to Manual ON </v>
      </c>
      <c r="Z17" s="1578"/>
      <c r="AA17" s="1577" t="str">
        <f ca="1">VLOOKUP(CONCATENATE(Compliance_Version_Year," Spaces"),INDIRECT('9.6 Table'!$P$338),AA$11,FALSE)</f>
        <v xml:space="preserve">9.4.1.1c
Restricted to Partial Automatic ON </v>
      </c>
      <c r="AB17" s="1578"/>
      <c r="AC17" s="1577" t="str">
        <f ca="1">VLOOKUP(CONCATENATE(Compliance_Version_Year," Spaces"),INDIRECT('9.6 Table'!$P$338),AC$11,FALSE)</f>
        <v xml:space="preserve">9.4.1.1d
Bilevel Lighting Control </v>
      </c>
      <c r="AD17" s="1578"/>
      <c r="AE17" s="1577" t="str">
        <f ca="1">VLOOKUP(CONCATENATE(Compliance_Version_Year," Spaces"),INDIRECT('9.6 Table'!$P$338),AE$11,FALSE)</f>
        <v xml:space="preserve">9.4.1.1e
Automatic Daylight Controls for Sidelighting </v>
      </c>
      <c r="AF17" s="1578"/>
      <c r="AG17" s="1577" t="str">
        <f ca="1">VLOOKUP(CONCATENATE(Compliance_Version_Year," Spaces"),INDIRECT('9.6 Table'!$P$338),AG$11,FALSE)</f>
        <v xml:space="preserve">9.4.1.1f
Automatic Daylight Controls for Toplighting </v>
      </c>
      <c r="AH17" s="1578"/>
      <c r="AI17" s="1577" t="str">
        <f ca="1">VLOOKUP(CONCATENATE(Compliance_Version_Year," Spaces"),INDIRECT('9.6 Table'!$P$338),AI$11,FALSE)</f>
        <v xml:space="preserve">9.4.1.1g
Automatic Partial OFF </v>
      </c>
      <c r="AJ17" s="1578"/>
      <c r="AK17" s="1577" t="str">
        <f ca="1">VLOOKUP(CONCATENATE(Compliance_Version_Year," Spaces"),INDIRECT('9.6 Table'!$P$338),AK$11,FALSE)</f>
        <v xml:space="preserve">9.4.1.1h
Automatic Full OFF
</v>
      </c>
      <c r="AL17" s="1578"/>
      <c r="AM17" s="1577" t="str">
        <f ca="1">VLOOKUP(CONCATENATE(Compliance_Version_Year," Spaces"),INDIRECT('9.6 Table'!$P$338),AM$11,FALSE)</f>
        <v>9.4.1.1i
Scheduled Shutoff</v>
      </c>
      <c r="AN17" s="1578"/>
      <c r="AO17" s="1577" t="str">
        <f ca="1">VLOOKUP(CONCATENATE(Compliance_Version_Year," Spaces"),INDIRECT('9.6 Table'!$P$338),AO$11,FALSE)</f>
        <v>9.4.1.2b
Garage</v>
      </c>
      <c r="AP17" s="1578"/>
      <c r="AQ17" s="1569" t="s">
        <v>132</v>
      </c>
      <c r="AR17" s="271"/>
      <c r="AT17" s="1620"/>
      <c r="AU17" s="1622"/>
      <c r="AV17" s="1620"/>
      <c r="AW17" s="1620"/>
      <c r="AX17" s="1620"/>
      <c r="AY17" s="1620"/>
      <c r="AZ17" s="1620"/>
      <c r="BA17" s="1620"/>
      <c r="BB17" s="1620"/>
      <c r="BC17" s="1620"/>
      <c r="BD17" s="1620"/>
      <c r="BE17" s="1620"/>
      <c r="BF17" s="1620"/>
    </row>
    <row r="18" spans="1:59" ht="13.5" customHeight="1" x14ac:dyDescent="0.3">
      <c r="B18" s="1614"/>
      <c r="C18" s="1595" t="s">
        <v>875</v>
      </c>
      <c r="D18" s="1585" t="s">
        <v>881</v>
      </c>
      <c r="E18" s="1586"/>
      <c r="F18" s="1586"/>
      <c r="G18" s="1586"/>
      <c r="H18" s="1243"/>
      <c r="I18" s="478"/>
      <c r="J18" s="1608" t="s">
        <v>876</v>
      </c>
      <c r="K18" s="1572" t="s">
        <v>877</v>
      </c>
      <c r="L18" s="288"/>
      <c r="M18" s="1572" t="s">
        <v>134</v>
      </c>
      <c r="N18" s="902"/>
      <c r="O18" s="502"/>
      <c r="P18" s="503"/>
      <c r="Q18" s="503"/>
      <c r="R18" s="503"/>
      <c r="S18" s="503"/>
      <c r="T18" s="503"/>
      <c r="U18" s="503"/>
      <c r="V18" s="90"/>
      <c r="W18" s="1616"/>
      <c r="X18" s="1580"/>
      <c r="Y18" s="1579"/>
      <c r="Z18" s="1580"/>
      <c r="AA18" s="1579"/>
      <c r="AB18" s="1580"/>
      <c r="AC18" s="1579"/>
      <c r="AD18" s="1580"/>
      <c r="AE18" s="1579"/>
      <c r="AF18" s="1580"/>
      <c r="AG18" s="1579"/>
      <c r="AH18" s="1580"/>
      <c r="AI18" s="1579"/>
      <c r="AJ18" s="1580"/>
      <c r="AK18" s="1579"/>
      <c r="AL18" s="1580"/>
      <c r="AM18" s="1579"/>
      <c r="AN18" s="1580"/>
      <c r="AO18" s="1579"/>
      <c r="AP18" s="1580"/>
      <c r="AQ18" s="1570"/>
      <c r="AR18" s="271"/>
      <c r="AV18" s="241"/>
      <c r="AW18" s="241"/>
      <c r="AX18" s="241"/>
      <c r="AY18" s="241"/>
      <c r="AZ18" s="241"/>
      <c r="BA18" s="241"/>
      <c r="BB18" s="241"/>
      <c r="BC18" s="241"/>
      <c r="BD18" s="241"/>
      <c r="BE18" s="241"/>
    </row>
    <row r="19" spans="1:59" ht="13" x14ac:dyDescent="0.3">
      <c r="B19" s="1614"/>
      <c r="C19" s="1595"/>
      <c r="D19" s="1585"/>
      <c r="E19" s="1586"/>
      <c r="F19" s="1586"/>
      <c r="G19" s="1586"/>
      <c r="H19" s="1243"/>
      <c r="I19" s="478"/>
      <c r="J19" s="1608"/>
      <c r="K19" s="1572"/>
      <c r="L19" s="288"/>
      <c r="M19" s="1572"/>
      <c r="N19" s="902"/>
      <c r="O19" s="502"/>
      <c r="P19" s="503"/>
      <c r="Q19" s="503"/>
      <c r="R19" s="503"/>
      <c r="S19" s="503"/>
      <c r="T19" s="503"/>
      <c r="U19" s="503"/>
      <c r="V19" s="90"/>
      <c r="W19" s="1616"/>
      <c r="X19" s="1580"/>
      <c r="Y19" s="1579"/>
      <c r="Z19" s="1580"/>
      <c r="AA19" s="1579"/>
      <c r="AB19" s="1580"/>
      <c r="AC19" s="1579"/>
      <c r="AD19" s="1580"/>
      <c r="AE19" s="1579"/>
      <c r="AF19" s="1580"/>
      <c r="AG19" s="1579"/>
      <c r="AH19" s="1580"/>
      <c r="AI19" s="1579"/>
      <c r="AJ19" s="1580"/>
      <c r="AK19" s="1579"/>
      <c r="AL19" s="1580"/>
      <c r="AM19" s="1579"/>
      <c r="AN19" s="1580"/>
      <c r="AO19" s="1579"/>
      <c r="AP19" s="1580"/>
      <c r="AQ19" s="1570"/>
      <c r="AR19" s="271"/>
      <c r="AV19" s="544"/>
      <c r="AW19" s="544"/>
      <c r="AX19" s="544"/>
      <c r="AY19" s="544"/>
      <c r="AZ19" s="544"/>
      <c r="BA19" s="544"/>
      <c r="BB19" s="544"/>
      <c r="BC19" s="95"/>
      <c r="BD19" s="95"/>
      <c r="BE19" s="544"/>
      <c r="BF19" s="95"/>
    </row>
    <row r="20" spans="1:59" ht="13.5" thickBot="1" x14ac:dyDescent="0.35">
      <c r="B20" s="1614"/>
      <c r="C20" s="1596"/>
      <c r="D20" s="1587"/>
      <c r="E20" s="1588"/>
      <c r="F20" s="1588"/>
      <c r="G20" s="1588"/>
      <c r="H20" s="1244"/>
      <c r="I20" s="1015"/>
      <c r="J20" s="1609"/>
      <c r="K20" s="1573"/>
      <c r="L20" s="289"/>
      <c r="M20" s="1573"/>
      <c r="N20" s="1002"/>
      <c r="O20" s="502"/>
      <c r="P20" s="503"/>
      <c r="Q20" s="503"/>
      <c r="R20" s="503"/>
      <c r="S20" s="503"/>
      <c r="T20" s="503"/>
      <c r="U20" s="503"/>
      <c r="V20" s="90"/>
      <c r="W20" s="1028"/>
      <c r="X20" s="775" t="str">
        <f>IF(W15="Incomplete","Select","")</f>
        <v/>
      </c>
      <c r="Y20" s="1029"/>
      <c r="Z20" s="775" t="str">
        <f>IF(Y15="Incomplete","Select","")</f>
        <v/>
      </c>
      <c r="AA20" s="1029"/>
      <c r="AB20" s="775" t="str">
        <f>IF(AA15="Incomplete","Select","")</f>
        <v/>
      </c>
      <c r="AC20" s="1029"/>
      <c r="AD20" s="775" t="str">
        <f>IF(AC15="Incomplete","Select","")</f>
        <v/>
      </c>
      <c r="AE20" s="1029"/>
      <c r="AF20" s="775" t="str">
        <f>IF(AE15="Incomplete","Select","")</f>
        <v/>
      </c>
      <c r="AG20" s="1029"/>
      <c r="AH20" s="775" t="str">
        <f>IF(AG15="Incomplete","Select","")</f>
        <v/>
      </c>
      <c r="AI20" s="1029"/>
      <c r="AJ20" s="775" t="str">
        <f>IF(AI15="Incomplete","Select","")</f>
        <v/>
      </c>
      <c r="AK20" s="1029"/>
      <c r="AL20" s="775" t="str">
        <f>IF(AK15="Incomplete","Select","")</f>
        <v/>
      </c>
      <c r="AM20" s="1029"/>
      <c r="AN20" s="775" t="str">
        <f>IF(AM15="Incomplete","Select","")</f>
        <v/>
      </c>
      <c r="AO20" s="1029"/>
      <c r="AP20" s="775" t="str">
        <f>IF(AO15="Incomplete","Select","")</f>
        <v/>
      </c>
      <c r="AQ20" s="1571"/>
      <c r="AR20" s="271"/>
      <c r="AY20" s="95"/>
    </row>
    <row r="21" spans="1:59" s="73" customFormat="1" ht="1" customHeight="1" thickBot="1" x14ac:dyDescent="0.35">
      <c r="B21" s="1614"/>
      <c r="C21" s="969"/>
      <c r="D21" s="969"/>
      <c r="E21" s="969"/>
      <c r="F21" s="969"/>
      <c r="G21" s="969"/>
      <c r="H21" s="969"/>
      <c r="I21" s="1618"/>
      <c r="J21" s="1618"/>
      <c r="K21" s="1618"/>
      <c r="L21" s="839"/>
      <c r="M21" s="196"/>
      <c r="N21" s="972"/>
      <c r="O21" s="502"/>
      <c r="P21" s="503"/>
      <c r="Q21" s="503"/>
      <c r="R21" s="503"/>
      <c r="S21" s="503"/>
      <c r="T21" s="503"/>
      <c r="U21" s="503"/>
      <c r="V21" s="90"/>
      <c r="W21" s="1623"/>
      <c r="X21" s="1623"/>
      <c r="Y21" s="1623"/>
      <c r="Z21" s="1623"/>
      <c r="AA21" s="1623"/>
      <c r="AB21" s="1623"/>
      <c r="AC21" s="1623"/>
      <c r="AD21" s="1623"/>
      <c r="AE21" s="1623"/>
      <c r="AF21" s="1623"/>
      <c r="AG21" s="1623"/>
      <c r="AH21" s="1623"/>
      <c r="AI21" s="1623"/>
      <c r="AJ21" s="1623"/>
      <c r="AK21" s="1623"/>
      <c r="AL21" s="1623"/>
      <c r="AM21" s="1623"/>
      <c r="AN21" s="1623"/>
      <c r="AO21" s="1623"/>
      <c r="AP21" s="1623"/>
      <c r="AQ21" s="1623"/>
      <c r="AY21" s="1018"/>
    </row>
    <row r="22" spans="1:59" s="510" customFormat="1" ht="15" customHeight="1" x14ac:dyDescent="0.25">
      <c r="A22" s="470">
        <v>1</v>
      </c>
      <c r="B22" s="1614"/>
      <c r="C22" s="1022"/>
      <c r="D22" s="1583"/>
      <c r="E22" s="1584"/>
      <c r="F22" s="1584"/>
      <c r="G22" s="1584"/>
      <c r="H22" s="1358"/>
      <c r="I22" s="1359"/>
      <c r="J22" s="515"/>
      <c r="K22" s="516"/>
      <c r="L22" s="1023" t="str">
        <f t="shared" ref="L22:L46" si="0">IFERROR(IF($C22&lt;&gt;"",VLOOKUP($J22,_Luminaire_Schedule,5,FALSE)," "),"")</f>
        <v xml:space="preserve"> </v>
      </c>
      <c r="M22" s="1023" t="str">
        <f t="shared" ref="M22:M46" si="1">IFERROR(IF($C22&lt;&gt;"",VLOOKUP($J22,_Luminaire_Schedule,9,FALSE)," "),"")</f>
        <v xml:space="preserve"> </v>
      </c>
      <c r="N22" s="1004" t="str">
        <f t="shared" ref="N22:N31" si="2">IF(AND(C22&lt;&gt;"",K22&gt;0),K22*M22," ")</f>
        <v xml:space="preserve"> </v>
      </c>
      <c r="O22" s="520"/>
      <c r="P22" s="520"/>
      <c r="Q22" s="574"/>
      <c r="R22" s="506"/>
      <c r="S22" s="506"/>
      <c r="T22" s="506"/>
      <c r="U22" s="1617"/>
      <c r="V22" s="90"/>
      <c r="W22" s="1024" t="str">
        <f ca="1">IF($C22="","",IFERROR(IF($C22="Parking Garage","NA",VLOOKUP($D22,INDIRECT('9.6 Table'!$P$338),W$11+S$5,FALSE)),"REQ"))</f>
        <v/>
      </c>
      <c r="X22" s="1025"/>
      <c r="Y22" s="1026" t="str">
        <f ca="1">IF($C22="","",IFERROR(IF($C22="Parking Garage","NA",VLOOKUP($D22,INDIRECT('9.6 Table'!$P$338),Y$11+S$5,FALSE)),"REQ"))</f>
        <v/>
      </c>
      <c r="Z22" s="1025"/>
      <c r="AA22" s="1026" t="str">
        <f ca="1">IF($C22="","",IFERROR(IF($C22="Parking Garage","NA",VLOOKUP($D22,INDIRECT('9.6 Table'!$P$338),AA$11+S$5,FALSE)),"REQ"))</f>
        <v/>
      </c>
      <c r="AB22" s="1025"/>
      <c r="AC22" s="1026" t="str">
        <f ca="1">IF($C22="","",IFERROR(IF($C22="Parking Garage","NA",VLOOKUP($D22,INDIRECT('9.6 Table'!$P$338),AC$11+S$5,FALSE)),"REQ"))</f>
        <v/>
      </c>
      <c r="AD22" s="1025"/>
      <c r="AE22" s="1026" t="str">
        <f ca="1">IF($C22="","",IFERROR(IF($C22="Parking Garage","NA",VLOOKUP($D22,INDIRECT('9.6 Table'!$P$338),AE$11+S$5,FALSE)),"REQ"))</f>
        <v/>
      </c>
      <c r="AF22" s="1025"/>
      <c r="AG22" s="1026" t="str">
        <f ca="1">IF($C22="","",IFERROR(IF($C22="Parking Garage","NA",VLOOKUP($D22,INDIRECT('9.6 Table'!$P$338),AG$11+S$5,FALSE)),"REQ"))</f>
        <v/>
      </c>
      <c r="AH22" s="1025"/>
      <c r="AI22" s="1026" t="str">
        <f ca="1">IF($C22="","",IFERROR(IF($C22="Parking Garage","NA",VLOOKUP($D22,INDIRECT('9.6 Table'!$P$338),AI$11+S$5,FALSE)),"REQ"))</f>
        <v/>
      </c>
      <c r="AJ22" s="1025"/>
      <c r="AK22" s="1026" t="str">
        <f ca="1">IF($C22="","",IFERROR(IF($C22="Parking Garage","NA",VLOOKUP($D22,INDIRECT('9.6 Table'!$P$338),AK$11+S$5,FALSE)),"REQ"))</f>
        <v/>
      </c>
      <c r="AL22" s="1025"/>
      <c r="AM22" s="1026" t="str">
        <f ca="1">IF($C22="","",IFERROR(IF($C22="Parking Garage","NA",VLOOKUP($D22,INDIRECT('9.6 Table'!$P$338),AM$11+S$5,FALSE)),"REQ"))</f>
        <v/>
      </c>
      <c r="AN22" s="1025"/>
      <c r="AO22" s="1026" t="str">
        <f ca="1">IF($C22="","",IFERROR(VLOOKUP($D22,INDIRECT('9.6 Table'!$P$338),AO$11+S$5,FALSE),"REQ"))</f>
        <v/>
      </c>
      <c r="AP22" s="1025"/>
      <c r="AQ22" s="1027" t="str">
        <f t="shared" ref="AQ22:AQ27" si="3">IF(BG22="","",IF(BG22=TRUE,"Complete","Incomplete"))</f>
        <v/>
      </c>
      <c r="AR22" s="511"/>
      <c r="AS22" s="507"/>
      <c r="AT22" s="508">
        <f t="shared" ref="AT22:AT46" si="4">IF(C22&lt;&gt;"",1,0)</f>
        <v>0</v>
      </c>
      <c r="AU22" s="508">
        <f t="shared" ref="AU22:AU46" si="5">IF(O22&lt;&gt;"",1,0)</f>
        <v>0</v>
      </c>
      <c r="AV22" s="508">
        <f>IF($C22="",0,IF(W22="NA",1,IF(X22&lt;&gt;"",1,0)))</f>
        <v>0</v>
      </c>
      <c r="AW22" s="508">
        <f>IF($C22="",0,IF(Y22="NA",1,IF(Z22&lt;&gt;"",1,0)))</f>
        <v>0</v>
      </c>
      <c r="AX22" s="508">
        <f>IF($C22="",0,IF(AA22="NA",1,IF(AB22&lt;&gt;"",1,0)))</f>
        <v>0</v>
      </c>
      <c r="AY22" s="508">
        <f>IF($C22="",0,IF(AC22="NA",1,IF(AD22&lt;&gt;"",1,0)))</f>
        <v>0</v>
      </c>
      <c r="AZ22" s="508">
        <f>IF($C22="",0,IF(AE22="NA",1,IF(AF22&lt;&gt;"",1,0)))</f>
        <v>0</v>
      </c>
      <c r="BA22" s="508">
        <f>IF($C22="",0,IF(AG22="NA",1,IF(AH22&lt;&gt;"",1,0)))</f>
        <v>0</v>
      </c>
      <c r="BB22" s="508">
        <f>IF($C22="",0,IF(AI22="NA",1,IF(AJ22&lt;&gt;"",1,0)))</f>
        <v>0</v>
      </c>
      <c r="BC22" s="508">
        <f>IF($C22="",0,IF(AK22="NA",1,IF(AL22&lt;&gt;"",1,0)))</f>
        <v>0</v>
      </c>
      <c r="BD22" s="508">
        <f t="shared" ref="BD22:BD46" si="6">IF(C22="",0,IF(AM22="NA",1,IF(AN22&lt;&gt;"",1,0)))</f>
        <v>0</v>
      </c>
      <c r="BE22" s="508">
        <f t="shared" ref="BE22:BE46" si="7">IF(C22="",0,IF(RIGHT($C22,6)&lt;&gt;"Garage",1,IF(OR(AP22="",AP22="No"),0,1)))</f>
        <v>0</v>
      </c>
      <c r="BF22" s="509">
        <f>SUM(AV22:BE22)</f>
        <v>0</v>
      </c>
      <c r="BG22" s="510" t="str">
        <f t="shared" ref="BG22:BG46" si="8">IF(C22="","",IF(BF22=10,TRUE,FALSE))</f>
        <v/>
      </c>
    </row>
    <row r="23" spans="1:59" s="510" customFormat="1" ht="15" customHeight="1" x14ac:dyDescent="0.25">
      <c r="A23" s="470">
        <v>2</v>
      </c>
      <c r="B23" s="1614"/>
      <c r="C23" s="1005"/>
      <c r="D23" s="1581"/>
      <c r="E23" s="1582"/>
      <c r="F23" s="1582"/>
      <c r="G23" s="1582"/>
      <c r="H23" s="1360"/>
      <c r="I23" s="1361"/>
      <c r="J23" s="1006"/>
      <c r="K23" s="1007"/>
      <c r="L23" s="1003" t="str">
        <f t="shared" si="0"/>
        <v xml:space="preserve"> </v>
      </c>
      <c r="M23" s="1003" t="str">
        <f t="shared" si="1"/>
        <v xml:space="preserve"> </v>
      </c>
      <c r="N23" s="1008" t="str">
        <f t="shared" si="2"/>
        <v xml:space="preserve"> </v>
      </c>
      <c r="O23" s="520"/>
      <c r="P23" s="520"/>
      <c r="Q23" s="574"/>
      <c r="R23" s="506"/>
      <c r="S23" s="506"/>
      <c r="T23" s="506"/>
      <c r="U23" s="1617"/>
      <c r="V23" s="90"/>
      <c r="W23" s="1024" t="str">
        <f ca="1">IF($C23="","",IFERROR(IF($C23="Parking Garage","NA",VLOOKUP($D23,INDIRECT('9.6 Table'!$P$338),W$11+S$5,FALSE)),"REQ"))</f>
        <v/>
      </c>
      <c r="X23" s="782"/>
      <c r="Y23" s="1026" t="str">
        <f ca="1">IF($C23="","",IFERROR(IF($C23="Parking Garage","NA",VLOOKUP($D23,INDIRECT('9.6 Table'!$P$338),Y$11+S$5,FALSE)),"REQ"))</f>
        <v/>
      </c>
      <c r="Z23" s="782"/>
      <c r="AA23" s="1026" t="str">
        <f ca="1">IF($C23="","",IFERROR(IF($C23="Parking Garage","NA",VLOOKUP($D23,INDIRECT('9.6 Table'!$P$338),AA$11+S$5,FALSE)),"REQ"))</f>
        <v/>
      </c>
      <c r="AB23" s="782"/>
      <c r="AC23" s="1026" t="str">
        <f ca="1">IF($C23="","",IFERROR(IF($C23="Parking Garage","NA",VLOOKUP($D23,INDIRECT('9.6 Table'!$P$338),AC$11+S$5,FALSE)),"REQ"))</f>
        <v/>
      </c>
      <c r="AD23" s="782"/>
      <c r="AE23" s="1026" t="str">
        <f ca="1">IF($C23="","",IFERROR(IF($C23="Parking Garage","NA",VLOOKUP($D23,INDIRECT('9.6 Table'!$P$338),AE$11+S$5,FALSE)),"REQ"))</f>
        <v/>
      </c>
      <c r="AF23" s="782"/>
      <c r="AG23" s="1026" t="str">
        <f ca="1">IF($C23="","",IFERROR(IF($C23="Parking Garage","NA",VLOOKUP($D23,INDIRECT('9.6 Table'!$P$338),AG$11+S$5,FALSE)),"REQ"))</f>
        <v/>
      </c>
      <c r="AH23" s="782"/>
      <c r="AI23" s="1026" t="str">
        <f ca="1">IF($C23="","",IFERROR(IF($C23="Parking Garage","NA",VLOOKUP($D23,INDIRECT('9.6 Table'!$P$338),AI$11+S$5,FALSE)),"REQ"))</f>
        <v/>
      </c>
      <c r="AJ23" s="782"/>
      <c r="AK23" s="1026" t="str">
        <f ca="1">IF($C23="","",IFERROR(IF($C23="Parking Garage","NA",VLOOKUP($D23,INDIRECT('9.6 Table'!$P$338),AK$11+S$5,FALSE)),"REQ"))</f>
        <v/>
      </c>
      <c r="AL23" s="782"/>
      <c r="AM23" s="1026" t="str">
        <f ca="1">IF($C23="","",IFERROR(IF($C23="Parking Garage","NA",VLOOKUP($D23,INDIRECT('9.6 Table'!$P$338),AM$11+S$5,FALSE)),"REQ"))</f>
        <v/>
      </c>
      <c r="AN23" s="782"/>
      <c r="AO23" s="1026" t="str">
        <f ca="1">IF($C23="","",IFERROR(VLOOKUP($D23,INDIRECT('9.6 Table'!$P$338),AO$11+S$5,FALSE),"REQ"))</f>
        <v/>
      </c>
      <c r="AP23" s="782"/>
      <c r="AQ23" s="992" t="str">
        <f t="shared" si="3"/>
        <v/>
      </c>
      <c r="AR23" s="512"/>
      <c r="AS23" s="507"/>
      <c r="AT23" s="508">
        <f t="shared" si="4"/>
        <v>0</v>
      </c>
      <c r="AU23" s="508">
        <f t="shared" si="5"/>
        <v>0</v>
      </c>
      <c r="AV23" s="508">
        <f t="shared" ref="AV23:AV46" si="9">IF($C23="",0,IF(W23="NA",1,IF(X23&lt;&gt;"",1,0)))</f>
        <v>0</v>
      </c>
      <c r="AW23" s="508">
        <f t="shared" ref="AW23:AW46" si="10">IF($C23="",0,IF(Y23="NA",1,IF(Z23&lt;&gt;"",1,0)))</f>
        <v>0</v>
      </c>
      <c r="AX23" s="508">
        <f t="shared" ref="AX23:AX46" si="11">IF($C23="",0,IF(AA23="NA",1,IF(AB23&lt;&gt;"",1,0)))</f>
        <v>0</v>
      </c>
      <c r="AY23" s="508">
        <f t="shared" ref="AY23:AY46" si="12">IF($C23="",0,IF(AC23="NA",1,IF(AD23&lt;&gt;"",1,0)))</f>
        <v>0</v>
      </c>
      <c r="AZ23" s="508">
        <f t="shared" ref="AZ23:AZ46" si="13">IF($C23="",0,IF(AE23="NA",1,IF(AF23&lt;&gt;"",1,0)))</f>
        <v>0</v>
      </c>
      <c r="BA23" s="508">
        <f t="shared" ref="BA23:BA46" si="14">IF($C23="",0,IF(AG23="NA",1,IF(AH23&lt;&gt;"",1,0)))</f>
        <v>0</v>
      </c>
      <c r="BB23" s="508">
        <f t="shared" ref="BB23:BB46" si="15">IF($C23="",0,IF(AI23="NA",1,IF(AJ23&lt;&gt;"",1,0)))</f>
        <v>0</v>
      </c>
      <c r="BC23" s="508">
        <f t="shared" ref="BC23:BC46" si="16">IF($C23="",0,IF(AK23="NA",1,IF(AL23&lt;&gt;"",1,0)))</f>
        <v>0</v>
      </c>
      <c r="BD23" s="508">
        <f t="shared" si="6"/>
        <v>0</v>
      </c>
      <c r="BE23" s="508">
        <f t="shared" si="7"/>
        <v>0</v>
      </c>
      <c r="BF23" s="509">
        <f t="shared" ref="BF23:BF46" si="17">SUM(AV23:BE23)</f>
        <v>0</v>
      </c>
      <c r="BG23" s="510" t="str">
        <f t="shared" si="8"/>
        <v/>
      </c>
    </row>
    <row r="24" spans="1:59" s="510" customFormat="1" ht="15" customHeight="1" x14ac:dyDescent="0.25">
      <c r="A24" s="470">
        <v>3</v>
      </c>
      <c r="B24" s="1614"/>
      <c r="C24" s="1005"/>
      <c r="D24" s="1581"/>
      <c r="E24" s="1582"/>
      <c r="F24" s="1582"/>
      <c r="G24" s="1582"/>
      <c r="H24" s="1360"/>
      <c r="I24" s="1361"/>
      <c r="J24" s="1006"/>
      <c r="K24" s="1007"/>
      <c r="L24" s="1003" t="str">
        <f t="shared" si="0"/>
        <v xml:space="preserve"> </v>
      </c>
      <c r="M24" s="1003" t="str">
        <f t="shared" si="1"/>
        <v xml:space="preserve"> </v>
      </c>
      <c r="N24" s="1008" t="str">
        <f t="shared" si="2"/>
        <v xml:space="preserve"> </v>
      </c>
      <c r="O24" s="520"/>
      <c r="P24" s="520"/>
      <c r="Q24" s="574"/>
      <c r="R24" s="506"/>
      <c r="S24" s="506"/>
      <c r="T24" s="506"/>
      <c r="U24" s="1617"/>
      <c r="V24" s="90"/>
      <c r="W24" s="1024" t="str">
        <f ca="1">IF($C24="","",IFERROR(IF($C24="Parking Garage","NA",VLOOKUP($D24,INDIRECT('9.6 Table'!$P$338),W$11+S$5,FALSE)),"REQ"))</f>
        <v/>
      </c>
      <c r="X24" s="782"/>
      <c r="Y24" s="1026" t="str">
        <f ca="1">IF($C24="","",IFERROR(IF($C24="Parking Garage","NA",VLOOKUP($D24,INDIRECT('9.6 Table'!$P$338),Y$11+S$5,FALSE)),"REQ"))</f>
        <v/>
      </c>
      <c r="Z24" s="782"/>
      <c r="AA24" s="1026" t="str">
        <f ca="1">IF($C24="","",IFERROR(IF($C24="Parking Garage","NA",VLOOKUP($D24,INDIRECT('9.6 Table'!$P$338),AA$11+S$5,FALSE)),"REQ"))</f>
        <v/>
      </c>
      <c r="AB24" s="782"/>
      <c r="AC24" s="1026" t="str">
        <f ca="1">IF($C24="","",IFERROR(IF($C24="Parking Garage","NA",VLOOKUP($D24,INDIRECT('9.6 Table'!$P$338),AC$11+S$5,FALSE)),"REQ"))</f>
        <v/>
      </c>
      <c r="AD24" s="782"/>
      <c r="AE24" s="1026" t="str">
        <f ca="1">IF($C24="","",IFERROR(IF($C24="Parking Garage","NA",VLOOKUP($D24,INDIRECT('9.6 Table'!$P$338),AE$11+S$5,FALSE)),"REQ"))</f>
        <v/>
      </c>
      <c r="AF24" s="782"/>
      <c r="AG24" s="1026" t="str">
        <f ca="1">IF($C24="","",IFERROR(IF($C24="Parking Garage","NA",VLOOKUP($D24,INDIRECT('9.6 Table'!$P$338),AG$11+S$5,FALSE)),"REQ"))</f>
        <v/>
      </c>
      <c r="AH24" s="782"/>
      <c r="AI24" s="1026" t="str">
        <f ca="1">IF($C24="","",IFERROR(IF($C24="Parking Garage","NA",VLOOKUP($D24,INDIRECT('9.6 Table'!$P$338),AI$11+S$5,FALSE)),"REQ"))</f>
        <v/>
      </c>
      <c r="AJ24" s="782"/>
      <c r="AK24" s="1026" t="str">
        <f ca="1">IF($C24="","",IFERROR(IF($C24="Parking Garage","NA",VLOOKUP($D24,INDIRECT('9.6 Table'!$P$338),AK$11+S$5,FALSE)),"REQ"))</f>
        <v/>
      </c>
      <c r="AL24" s="782"/>
      <c r="AM24" s="1026" t="str">
        <f ca="1">IF($C24="","",IFERROR(IF($C24="Parking Garage","NA",VLOOKUP($D24,INDIRECT('9.6 Table'!$P$338),AM$11+S$5,FALSE)),"REQ"))</f>
        <v/>
      </c>
      <c r="AN24" s="782"/>
      <c r="AO24" s="1026" t="str">
        <f ca="1">IF($C24="","",IFERROR(VLOOKUP($D24,INDIRECT('9.6 Table'!$P$338),AO$11+S$5,FALSE),"REQ"))</f>
        <v/>
      </c>
      <c r="AP24" s="782"/>
      <c r="AQ24" s="992" t="str">
        <f t="shared" si="3"/>
        <v/>
      </c>
      <c r="AR24" s="512"/>
      <c r="AS24" s="507"/>
      <c r="AT24" s="508">
        <f t="shared" si="4"/>
        <v>0</v>
      </c>
      <c r="AU24" s="508">
        <f t="shared" si="5"/>
        <v>0</v>
      </c>
      <c r="AV24" s="508">
        <f t="shared" si="9"/>
        <v>0</v>
      </c>
      <c r="AW24" s="508">
        <f t="shared" si="10"/>
        <v>0</v>
      </c>
      <c r="AX24" s="508">
        <f t="shared" si="11"/>
        <v>0</v>
      </c>
      <c r="AY24" s="508">
        <f t="shared" si="12"/>
        <v>0</v>
      </c>
      <c r="AZ24" s="508">
        <f t="shared" si="13"/>
        <v>0</v>
      </c>
      <c r="BA24" s="508">
        <f t="shared" si="14"/>
        <v>0</v>
      </c>
      <c r="BB24" s="508">
        <f t="shared" si="15"/>
        <v>0</v>
      </c>
      <c r="BC24" s="508">
        <f t="shared" si="16"/>
        <v>0</v>
      </c>
      <c r="BD24" s="508">
        <f t="shared" si="6"/>
        <v>0</v>
      </c>
      <c r="BE24" s="508">
        <f t="shared" si="7"/>
        <v>0</v>
      </c>
      <c r="BF24" s="509">
        <f t="shared" si="17"/>
        <v>0</v>
      </c>
      <c r="BG24" s="510" t="str">
        <f t="shared" si="8"/>
        <v/>
      </c>
    </row>
    <row r="25" spans="1:59" s="510" customFormat="1" ht="15" customHeight="1" x14ac:dyDescent="0.25">
      <c r="A25" s="470">
        <v>4</v>
      </c>
      <c r="B25" s="1614"/>
      <c r="C25" s="1005"/>
      <c r="D25" s="1581"/>
      <c r="E25" s="1582"/>
      <c r="F25" s="1582"/>
      <c r="G25" s="1582"/>
      <c r="H25" s="1360"/>
      <c r="I25" s="1361"/>
      <c r="J25" s="1006"/>
      <c r="K25" s="1007"/>
      <c r="L25" s="1003" t="str">
        <f t="shared" si="0"/>
        <v xml:space="preserve"> </v>
      </c>
      <c r="M25" s="1003" t="str">
        <f t="shared" si="1"/>
        <v xml:space="preserve"> </v>
      </c>
      <c r="N25" s="1008" t="str">
        <f t="shared" si="2"/>
        <v xml:space="preserve"> </v>
      </c>
      <c r="O25" s="520"/>
      <c r="P25" s="520"/>
      <c r="Q25" s="574"/>
      <c r="R25" s="506"/>
      <c r="S25" s="506"/>
      <c r="T25" s="506"/>
      <c r="U25" s="1617"/>
      <c r="V25" s="90"/>
      <c r="W25" s="1024" t="str">
        <f ca="1">IF($C25="","",IFERROR(IF($C25="Parking Garage","NA",VLOOKUP($D25,INDIRECT('9.6 Table'!$P$338),W$11+S$5,FALSE)),"REQ"))</f>
        <v/>
      </c>
      <c r="X25" s="782"/>
      <c r="Y25" s="1026" t="str">
        <f ca="1">IF($C25="","",IFERROR(IF($C25="Parking Garage","NA",VLOOKUP($D25,INDIRECT('9.6 Table'!$P$338),Y$11+S$5,FALSE)),"REQ"))</f>
        <v/>
      </c>
      <c r="Z25" s="782"/>
      <c r="AA25" s="1026" t="str">
        <f ca="1">IF($C25="","",IFERROR(IF($C25="Parking Garage","NA",VLOOKUP($D25,INDIRECT('9.6 Table'!$P$338),AA$11+S$5,FALSE)),"REQ"))</f>
        <v/>
      </c>
      <c r="AB25" s="782"/>
      <c r="AC25" s="1026" t="str">
        <f ca="1">IF($C25="","",IFERROR(IF($C25="Parking Garage","NA",VLOOKUP($D25,INDIRECT('9.6 Table'!$P$338),AC$11+S$5,FALSE)),"REQ"))</f>
        <v/>
      </c>
      <c r="AD25" s="782"/>
      <c r="AE25" s="1026" t="str">
        <f ca="1">IF($C25="","",IFERROR(IF($C25="Parking Garage","NA",VLOOKUP($D25,INDIRECT('9.6 Table'!$P$338),AE$11+S$5,FALSE)),"REQ"))</f>
        <v/>
      </c>
      <c r="AF25" s="782"/>
      <c r="AG25" s="1026" t="str">
        <f ca="1">IF($C25="","",IFERROR(IF($C25="Parking Garage","NA",VLOOKUP($D25,INDIRECT('9.6 Table'!$P$338),AG$11+S$5,FALSE)),"REQ"))</f>
        <v/>
      </c>
      <c r="AH25" s="782"/>
      <c r="AI25" s="1026" t="str">
        <f ca="1">IF($C25="","",IFERROR(IF($C25="Parking Garage","NA",VLOOKUP($D25,INDIRECT('9.6 Table'!$P$338),AI$11+S$5,FALSE)),"REQ"))</f>
        <v/>
      </c>
      <c r="AJ25" s="782"/>
      <c r="AK25" s="1026" t="str">
        <f ca="1">IF($C25="","",IFERROR(IF($C25="Parking Garage","NA",VLOOKUP($D25,INDIRECT('9.6 Table'!$P$338),AK$11+S$5,FALSE)),"REQ"))</f>
        <v/>
      </c>
      <c r="AL25" s="782"/>
      <c r="AM25" s="1026" t="str">
        <f ca="1">IF($C25="","",IFERROR(IF($C25="Parking Garage","NA",VLOOKUP($D25,INDIRECT('9.6 Table'!$P$338),AM$11+S$5,FALSE)),"REQ"))</f>
        <v/>
      </c>
      <c r="AN25" s="782"/>
      <c r="AO25" s="1026" t="str">
        <f ca="1">IF($C25="","",IFERROR(VLOOKUP($D25,INDIRECT('9.6 Table'!$P$338),AO$11+S$5,FALSE),"REQ"))</f>
        <v/>
      </c>
      <c r="AP25" s="782"/>
      <c r="AQ25" s="992" t="str">
        <f t="shared" si="3"/>
        <v/>
      </c>
      <c r="AR25" s="512"/>
      <c r="AS25" s="507"/>
      <c r="AT25" s="508">
        <f t="shared" si="4"/>
        <v>0</v>
      </c>
      <c r="AU25" s="508">
        <f t="shared" si="5"/>
        <v>0</v>
      </c>
      <c r="AV25" s="508">
        <f t="shared" si="9"/>
        <v>0</v>
      </c>
      <c r="AW25" s="508">
        <f t="shared" si="10"/>
        <v>0</v>
      </c>
      <c r="AX25" s="508">
        <f t="shared" si="11"/>
        <v>0</v>
      </c>
      <c r="AY25" s="508">
        <f t="shared" si="12"/>
        <v>0</v>
      </c>
      <c r="AZ25" s="508">
        <f t="shared" si="13"/>
        <v>0</v>
      </c>
      <c r="BA25" s="508">
        <f t="shared" si="14"/>
        <v>0</v>
      </c>
      <c r="BB25" s="508">
        <f t="shared" si="15"/>
        <v>0</v>
      </c>
      <c r="BC25" s="508">
        <f t="shared" si="16"/>
        <v>0</v>
      </c>
      <c r="BD25" s="508">
        <f t="shared" si="6"/>
        <v>0</v>
      </c>
      <c r="BE25" s="508">
        <f t="shared" si="7"/>
        <v>0</v>
      </c>
      <c r="BF25" s="509">
        <f t="shared" si="17"/>
        <v>0</v>
      </c>
      <c r="BG25" s="510" t="str">
        <f t="shared" si="8"/>
        <v/>
      </c>
    </row>
    <row r="26" spans="1:59" s="510" customFormat="1" ht="15" customHeight="1" x14ac:dyDescent="0.25">
      <c r="A26" s="470">
        <v>5</v>
      </c>
      <c r="B26" s="1614"/>
      <c r="C26" s="1005"/>
      <c r="D26" s="1581"/>
      <c r="E26" s="1582"/>
      <c r="F26" s="1582"/>
      <c r="G26" s="1582"/>
      <c r="H26" s="1360"/>
      <c r="I26" s="1361"/>
      <c r="J26" s="1006"/>
      <c r="K26" s="1007"/>
      <c r="L26" s="1003" t="str">
        <f t="shared" si="0"/>
        <v xml:space="preserve"> </v>
      </c>
      <c r="M26" s="1003" t="str">
        <f t="shared" si="1"/>
        <v xml:space="preserve"> </v>
      </c>
      <c r="N26" s="1008" t="str">
        <f t="shared" si="2"/>
        <v xml:space="preserve"> </v>
      </c>
      <c r="O26" s="520"/>
      <c r="P26" s="520"/>
      <c r="Q26" s="574"/>
      <c r="R26" s="506"/>
      <c r="S26" s="506"/>
      <c r="T26" s="506"/>
      <c r="U26" s="1617"/>
      <c r="V26" s="90"/>
      <c r="W26" s="1024" t="str">
        <f ca="1">IF($C26="","",IFERROR(IF($C26="Parking Garage","NA",VLOOKUP($D26,INDIRECT('9.6 Table'!$P$338),W$11+S$5,FALSE)),"REQ"))</f>
        <v/>
      </c>
      <c r="X26" s="782"/>
      <c r="Y26" s="1026" t="str">
        <f ca="1">IF($C26="","",IFERROR(IF($C26="Parking Garage","NA",VLOOKUP($D26,INDIRECT('9.6 Table'!$P$338),Y$11+S$5,FALSE)),"REQ"))</f>
        <v/>
      </c>
      <c r="Z26" s="782"/>
      <c r="AA26" s="1026" t="str">
        <f ca="1">IF($C26="","",IFERROR(IF($C26="Parking Garage","NA",VLOOKUP($D26,INDIRECT('9.6 Table'!$P$338),AA$11+S$5,FALSE)),"REQ"))</f>
        <v/>
      </c>
      <c r="AB26" s="782"/>
      <c r="AC26" s="1026" t="str">
        <f ca="1">IF($C26="","",IFERROR(IF($C26="Parking Garage","NA",VLOOKUP($D26,INDIRECT('9.6 Table'!$P$338),AC$11+S$5,FALSE)),"REQ"))</f>
        <v/>
      </c>
      <c r="AD26" s="782"/>
      <c r="AE26" s="1026" t="str">
        <f ca="1">IF($C26="","",IFERROR(IF($C26="Parking Garage","NA",VLOOKUP($D26,INDIRECT('9.6 Table'!$P$338),AE$11+S$5,FALSE)),"REQ"))</f>
        <v/>
      </c>
      <c r="AF26" s="782"/>
      <c r="AG26" s="1026" t="str">
        <f ca="1">IF($C26="","",IFERROR(IF($C26="Parking Garage","NA",VLOOKUP($D26,INDIRECT('9.6 Table'!$P$338),AG$11+S$5,FALSE)),"REQ"))</f>
        <v/>
      </c>
      <c r="AH26" s="782"/>
      <c r="AI26" s="1026" t="str">
        <f ca="1">IF($C26="","",IFERROR(IF($C26="Parking Garage","NA",VLOOKUP($D26,INDIRECT('9.6 Table'!$P$338),AI$11+S$5,FALSE)),"REQ"))</f>
        <v/>
      </c>
      <c r="AJ26" s="782"/>
      <c r="AK26" s="1026" t="str">
        <f ca="1">IF($C26="","",IFERROR(IF($C26="Parking Garage","NA",VLOOKUP($D26,INDIRECT('9.6 Table'!$P$338),AK$11+S$5,FALSE)),"REQ"))</f>
        <v/>
      </c>
      <c r="AL26" s="782"/>
      <c r="AM26" s="1026" t="str">
        <f ca="1">IF($C26="","",IFERROR(IF($C26="Parking Garage","NA",VLOOKUP($D26,INDIRECT('9.6 Table'!$P$338),AM$11+S$5,FALSE)),"REQ"))</f>
        <v/>
      </c>
      <c r="AN26" s="782"/>
      <c r="AO26" s="1026" t="str">
        <f ca="1">IF($C26="","",IFERROR(VLOOKUP($D26,INDIRECT('9.6 Table'!$P$338),AO$11+S$5,FALSE),"REQ"))</f>
        <v/>
      </c>
      <c r="AP26" s="782"/>
      <c r="AQ26" s="992" t="str">
        <f t="shared" si="3"/>
        <v/>
      </c>
      <c r="AR26" s="512"/>
      <c r="AS26" s="507"/>
      <c r="AT26" s="508">
        <f t="shared" si="4"/>
        <v>0</v>
      </c>
      <c r="AU26" s="508">
        <f t="shared" si="5"/>
        <v>0</v>
      </c>
      <c r="AV26" s="508">
        <f t="shared" si="9"/>
        <v>0</v>
      </c>
      <c r="AW26" s="508">
        <f t="shared" si="10"/>
        <v>0</v>
      </c>
      <c r="AX26" s="508">
        <f t="shared" si="11"/>
        <v>0</v>
      </c>
      <c r="AY26" s="508">
        <f t="shared" si="12"/>
        <v>0</v>
      </c>
      <c r="AZ26" s="508">
        <f t="shared" si="13"/>
        <v>0</v>
      </c>
      <c r="BA26" s="508">
        <f t="shared" si="14"/>
        <v>0</v>
      </c>
      <c r="BB26" s="508">
        <f t="shared" si="15"/>
        <v>0</v>
      </c>
      <c r="BC26" s="508">
        <f t="shared" si="16"/>
        <v>0</v>
      </c>
      <c r="BD26" s="508">
        <f t="shared" si="6"/>
        <v>0</v>
      </c>
      <c r="BE26" s="508">
        <f t="shared" si="7"/>
        <v>0</v>
      </c>
      <c r="BF26" s="509">
        <f t="shared" si="17"/>
        <v>0</v>
      </c>
      <c r="BG26" s="510" t="str">
        <f t="shared" si="8"/>
        <v/>
      </c>
    </row>
    <row r="27" spans="1:59" s="510" customFormat="1" ht="15" customHeight="1" x14ac:dyDescent="0.25">
      <c r="A27" s="470">
        <v>6</v>
      </c>
      <c r="B27" s="1614"/>
      <c r="C27" s="1005"/>
      <c r="D27" s="1581"/>
      <c r="E27" s="1582"/>
      <c r="F27" s="1582"/>
      <c r="G27" s="1582"/>
      <c r="H27" s="1360"/>
      <c r="I27" s="1361"/>
      <c r="J27" s="1006"/>
      <c r="K27" s="1007"/>
      <c r="L27" s="1003" t="str">
        <f t="shared" si="0"/>
        <v xml:space="preserve"> </v>
      </c>
      <c r="M27" s="1003" t="str">
        <f t="shared" si="1"/>
        <v xml:space="preserve"> </v>
      </c>
      <c r="N27" s="1008" t="str">
        <f t="shared" si="2"/>
        <v xml:space="preserve"> </v>
      </c>
      <c r="O27" s="520"/>
      <c r="P27" s="520"/>
      <c r="Q27" s="574"/>
      <c r="R27" s="506"/>
      <c r="S27" s="506"/>
      <c r="T27" s="506"/>
      <c r="U27" s="1617"/>
      <c r="V27" s="90"/>
      <c r="W27" s="1024" t="str">
        <f ca="1">IF($C27="","",IFERROR(IF($C27="Parking Garage","NA",VLOOKUP($D27,INDIRECT('9.6 Table'!$P$338),W$11+S$5,FALSE)),"REQ"))</f>
        <v/>
      </c>
      <c r="X27" s="782"/>
      <c r="Y27" s="1026" t="str">
        <f ca="1">IF($C27="","",IFERROR(IF($C27="Parking Garage","NA",VLOOKUP($D27,INDIRECT('9.6 Table'!$P$338),Y$11+S$5,FALSE)),"REQ"))</f>
        <v/>
      </c>
      <c r="Z27" s="782"/>
      <c r="AA27" s="1026" t="str">
        <f ca="1">IF($C27="","",IFERROR(IF($C27="Parking Garage","NA",VLOOKUP($D27,INDIRECT('9.6 Table'!$P$338),AA$11+S$5,FALSE)),"REQ"))</f>
        <v/>
      </c>
      <c r="AB27" s="782"/>
      <c r="AC27" s="1026" t="str">
        <f ca="1">IF($C27="","",IFERROR(IF($C27="Parking Garage","NA",VLOOKUP($D27,INDIRECT('9.6 Table'!$P$338),AC$11+S$5,FALSE)),"REQ"))</f>
        <v/>
      </c>
      <c r="AD27" s="782"/>
      <c r="AE27" s="1026" t="str">
        <f ca="1">IF($C27="","",IFERROR(IF($C27="Parking Garage","NA",VLOOKUP($D27,INDIRECT('9.6 Table'!$P$338),AE$11+S$5,FALSE)),"REQ"))</f>
        <v/>
      </c>
      <c r="AF27" s="782"/>
      <c r="AG27" s="1026" t="str">
        <f ca="1">IF($C27="","",IFERROR(IF($C27="Parking Garage","NA",VLOOKUP($D27,INDIRECT('9.6 Table'!$P$338),AG$11+S$5,FALSE)),"REQ"))</f>
        <v/>
      </c>
      <c r="AH27" s="782"/>
      <c r="AI27" s="1026" t="str">
        <f ca="1">IF($C27="","",IFERROR(IF($C27="Parking Garage","NA",VLOOKUP($D27,INDIRECT('9.6 Table'!$P$338),AI$11+S$5,FALSE)),"REQ"))</f>
        <v/>
      </c>
      <c r="AJ27" s="782"/>
      <c r="AK27" s="1026" t="str">
        <f ca="1">IF($C27="","",IFERROR(IF($C27="Parking Garage","NA",VLOOKUP($D27,INDIRECT('9.6 Table'!$P$338),AK$11+S$5,FALSE)),"REQ"))</f>
        <v/>
      </c>
      <c r="AL27" s="782"/>
      <c r="AM27" s="1026" t="str">
        <f ca="1">IF($C27="","",IFERROR(IF($C27="Parking Garage","NA",VLOOKUP($D27,INDIRECT('9.6 Table'!$P$338),AM$11+S$5,FALSE)),"REQ"))</f>
        <v/>
      </c>
      <c r="AN27" s="782"/>
      <c r="AO27" s="1026" t="str">
        <f ca="1">IF($C27="","",IFERROR(VLOOKUP($D27,INDIRECT('9.6 Table'!$P$338),AO$11+S$5,FALSE),"REQ"))</f>
        <v/>
      </c>
      <c r="AP27" s="782"/>
      <c r="AQ27" s="992" t="str">
        <f t="shared" si="3"/>
        <v/>
      </c>
      <c r="AR27" s="512"/>
      <c r="AS27" s="507"/>
      <c r="AT27" s="508">
        <f t="shared" si="4"/>
        <v>0</v>
      </c>
      <c r="AU27" s="508">
        <f t="shared" si="5"/>
        <v>0</v>
      </c>
      <c r="AV27" s="508">
        <f t="shared" si="9"/>
        <v>0</v>
      </c>
      <c r="AW27" s="508">
        <f t="shared" si="10"/>
        <v>0</v>
      </c>
      <c r="AX27" s="508">
        <f t="shared" si="11"/>
        <v>0</v>
      </c>
      <c r="AY27" s="508">
        <f t="shared" si="12"/>
        <v>0</v>
      </c>
      <c r="AZ27" s="508">
        <f t="shared" si="13"/>
        <v>0</v>
      </c>
      <c r="BA27" s="508">
        <f t="shared" si="14"/>
        <v>0</v>
      </c>
      <c r="BB27" s="508">
        <f t="shared" si="15"/>
        <v>0</v>
      </c>
      <c r="BC27" s="508">
        <f t="shared" si="16"/>
        <v>0</v>
      </c>
      <c r="BD27" s="508">
        <f t="shared" si="6"/>
        <v>0</v>
      </c>
      <c r="BE27" s="508">
        <f t="shared" si="7"/>
        <v>0</v>
      </c>
      <c r="BF27" s="509">
        <f t="shared" si="17"/>
        <v>0</v>
      </c>
      <c r="BG27" s="510" t="str">
        <f t="shared" si="8"/>
        <v/>
      </c>
    </row>
    <row r="28" spans="1:59" s="510" customFormat="1" ht="15" customHeight="1" x14ac:dyDescent="0.25">
      <c r="A28" s="470">
        <v>7</v>
      </c>
      <c r="B28" s="1614"/>
      <c r="C28" s="1005"/>
      <c r="D28" s="1581"/>
      <c r="E28" s="1582"/>
      <c r="F28" s="1582"/>
      <c r="G28" s="1582"/>
      <c r="H28" s="1360"/>
      <c r="I28" s="1361"/>
      <c r="J28" s="1006"/>
      <c r="K28" s="1007"/>
      <c r="L28" s="1003" t="str">
        <f t="shared" si="0"/>
        <v xml:space="preserve"> </v>
      </c>
      <c r="M28" s="1003" t="str">
        <f t="shared" si="1"/>
        <v xml:space="preserve"> </v>
      </c>
      <c r="N28" s="1008" t="str">
        <f t="shared" si="2"/>
        <v xml:space="preserve"> </v>
      </c>
      <c r="O28" s="520"/>
      <c r="P28" s="520"/>
      <c r="Q28" s="574"/>
      <c r="R28" s="506"/>
      <c r="S28" s="506"/>
      <c r="T28" s="506"/>
      <c r="U28" s="1617"/>
      <c r="V28" s="90"/>
      <c r="W28" s="1024" t="str">
        <f ca="1">IF($C28="","",IFERROR(IF($C28="Parking Garage","NA",VLOOKUP($D28,INDIRECT('9.6 Table'!$P$338),W$11+S$5,FALSE)),"REQ"))</f>
        <v/>
      </c>
      <c r="X28" s="782"/>
      <c r="Y28" s="1026" t="str">
        <f ca="1">IF($C28="","",IFERROR(IF($C28="Parking Garage","NA",VLOOKUP($D28,INDIRECT('9.6 Table'!$P$338),Y$11+S$5,FALSE)),"REQ"))</f>
        <v/>
      </c>
      <c r="Z28" s="782"/>
      <c r="AA28" s="1026" t="str">
        <f ca="1">IF($C28="","",IFERROR(IF($C28="Parking Garage","NA",VLOOKUP($D28,INDIRECT('9.6 Table'!$P$338),AA$11+S$5,FALSE)),"REQ"))</f>
        <v/>
      </c>
      <c r="AB28" s="782"/>
      <c r="AC28" s="1026" t="str">
        <f ca="1">IF($C28="","",IFERROR(IF($C28="Parking Garage","NA",VLOOKUP($D28,INDIRECT('9.6 Table'!$P$338),AC$11+S$5,FALSE)),"REQ"))</f>
        <v/>
      </c>
      <c r="AD28" s="782"/>
      <c r="AE28" s="1026" t="str">
        <f ca="1">IF($C28="","",IFERROR(IF($C28="Parking Garage","NA",VLOOKUP($D28,INDIRECT('9.6 Table'!$P$338),AE$11+S$5,FALSE)),"REQ"))</f>
        <v/>
      </c>
      <c r="AF28" s="782"/>
      <c r="AG28" s="1026" t="str">
        <f ca="1">IF($C28="","",IFERROR(IF($C28="Parking Garage","NA",VLOOKUP($D28,INDIRECT('9.6 Table'!$P$338),AG$11+S$5,FALSE)),"REQ"))</f>
        <v/>
      </c>
      <c r="AH28" s="782"/>
      <c r="AI28" s="1026" t="str">
        <f ca="1">IF($C28="","",IFERROR(IF($C28="Parking Garage","NA",VLOOKUP($D28,INDIRECT('9.6 Table'!$P$338),AI$11+S$5,FALSE)),"REQ"))</f>
        <v/>
      </c>
      <c r="AJ28" s="782"/>
      <c r="AK28" s="1026" t="str">
        <f ca="1">IF($C28="","",IFERROR(IF($C28="Parking Garage","NA",VLOOKUP($D28,INDIRECT('9.6 Table'!$P$338),AK$11+S$5,FALSE)),"REQ"))</f>
        <v/>
      </c>
      <c r="AL28" s="782"/>
      <c r="AM28" s="1026" t="str">
        <f ca="1">IF($C28="","",IFERROR(IF($C28="Parking Garage","NA",VLOOKUP($D28,INDIRECT('9.6 Table'!$P$338),AM$11+S$5,FALSE)),"REQ"))</f>
        <v/>
      </c>
      <c r="AN28" s="782"/>
      <c r="AO28" s="1026" t="str">
        <f ca="1">IF($C28="","",IFERROR(VLOOKUP($D28,INDIRECT('9.6 Table'!$P$338),AO$11+S$5,FALSE),"REQ"))</f>
        <v/>
      </c>
      <c r="AP28" s="782"/>
      <c r="AQ28" s="992" t="str">
        <f>IF(BG28="","",IF(BG28=TRUE,"Complete","Incomplete"))</f>
        <v/>
      </c>
      <c r="AR28" s="512"/>
      <c r="AS28" s="507"/>
      <c r="AT28" s="508">
        <f t="shared" si="4"/>
        <v>0</v>
      </c>
      <c r="AU28" s="508">
        <f t="shared" si="5"/>
        <v>0</v>
      </c>
      <c r="AV28" s="508">
        <f t="shared" si="9"/>
        <v>0</v>
      </c>
      <c r="AW28" s="508">
        <f t="shared" si="10"/>
        <v>0</v>
      </c>
      <c r="AX28" s="508">
        <f t="shared" si="11"/>
        <v>0</v>
      </c>
      <c r="AY28" s="508">
        <f t="shared" si="12"/>
        <v>0</v>
      </c>
      <c r="AZ28" s="508">
        <f t="shared" si="13"/>
        <v>0</v>
      </c>
      <c r="BA28" s="508">
        <f t="shared" si="14"/>
        <v>0</v>
      </c>
      <c r="BB28" s="508">
        <f t="shared" si="15"/>
        <v>0</v>
      </c>
      <c r="BC28" s="508">
        <f t="shared" si="16"/>
        <v>0</v>
      </c>
      <c r="BD28" s="508">
        <f t="shared" si="6"/>
        <v>0</v>
      </c>
      <c r="BE28" s="508">
        <f t="shared" si="7"/>
        <v>0</v>
      </c>
      <c r="BF28" s="509">
        <f t="shared" si="17"/>
        <v>0</v>
      </c>
      <c r="BG28" s="510" t="str">
        <f t="shared" si="8"/>
        <v/>
      </c>
    </row>
    <row r="29" spans="1:59" s="510" customFormat="1" ht="15" customHeight="1" x14ac:dyDescent="0.25">
      <c r="A29" s="470">
        <v>8</v>
      </c>
      <c r="B29" s="1614"/>
      <c r="C29" s="1005"/>
      <c r="D29" s="1581"/>
      <c r="E29" s="1582"/>
      <c r="F29" s="1582"/>
      <c r="G29" s="1582"/>
      <c r="H29" s="1360"/>
      <c r="I29" s="1361"/>
      <c r="J29" s="1006"/>
      <c r="K29" s="1007"/>
      <c r="L29" s="1003" t="str">
        <f t="shared" si="0"/>
        <v xml:space="preserve"> </v>
      </c>
      <c r="M29" s="1003" t="str">
        <f t="shared" si="1"/>
        <v xml:space="preserve"> </v>
      </c>
      <c r="N29" s="1008" t="str">
        <f t="shared" si="2"/>
        <v xml:space="preserve"> </v>
      </c>
      <c r="O29" s="520"/>
      <c r="P29" s="520"/>
      <c r="Q29" s="574"/>
      <c r="R29" s="506"/>
      <c r="S29" s="506"/>
      <c r="T29" s="506"/>
      <c r="U29" s="1617"/>
      <c r="V29" s="90"/>
      <c r="W29" s="1024" t="str">
        <f ca="1">IF($C29="","",IFERROR(IF($C29="Parking Garage","NA",VLOOKUP($D29,INDIRECT('9.6 Table'!$P$338),W$11+S$5,FALSE)),"REQ"))</f>
        <v/>
      </c>
      <c r="X29" s="782"/>
      <c r="Y29" s="1026" t="str">
        <f ca="1">IF($C29="","",IFERROR(IF($C29="Parking Garage","NA",VLOOKUP($D29,INDIRECT('9.6 Table'!$P$338),Y$11+S$5,FALSE)),"REQ"))</f>
        <v/>
      </c>
      <c r="Z29" s="782"/>
      <c r="AA29" s="1026" t="str">
        <f ca="1">IF($C29="","",IFERROR(IF($C29="Parking Garage","NA",VLOOKUP($D29,INDIRECT('9.6 Table'!$P$338),AA$11+S$5,FALSE)),"REQ"))</f>
        <v/>
      </c>
      <c r="AB29" s="782"/>
      <c r="AC29" s="1026" t="str">
        <f ca="1">IF($C29="","",IFERROR(IF($C29="Parking Garage","NA",VLOOKUP($D29,INDIRECT('9.6 Table'!$P$338),AC$11+S$5,FALSE)),"REQ"))</f>
        <v/>
      </c>
      <c r="AD29" s="782"/>
      <c r="AE29" s="1026" t="str">
        <f ca="1">IF($C29="","",IFERROR(IF($C29="Parking Garage","NA",VLOOKUP($D29,INDIRECT('9.6 Table'!$P$338),AE$11+S$5,FALSE)),"REQ"))</f>
        <v/>
      </c>
      <c r="AF29" s="782"/>
      <c r="AG29" s="1026" t="str">
        <f ca="1">IF($C29="","",IFERROR(IF($C29="Parking Garage","NA",VLOOKUP($D29,INDIRECT('9.6 Table'!$P$338),AG$11+S$5,FALSE)),"REQ"))</f>
        <v/>
      </c>
      <c r="AH29" s="782"/>
      <c r="AI29" s="1026" t="str">
        <f ca="1">IF($C29="","",IFERROR(IF($C29="Parking Garage","NA",VLOOKUP($D29,INDIRECT('9.6 Table'!$P$338),AI$11+S$5,FALSE)),"REQ"))</f>
        <v/>
      </c>
      <c r="AJ29" s="782"/>
      <c r="AK29" s="1026" t="str">
        <f ca="1">IF($C29="","",IFERROR(IF($C29="Parking Garage","NA",VLOOKUP($D29,INDIRECT('9.6 Table'!$P$338),AK$11+S$5,FALSE)),"REQ"))</f>
        <v/>
      </c>
      <c r="AL29" s="782"/>
      <c r="AM29" s="1026" t="str">
        <f ca="1">IF($C29="","",IFERROR(IF($C29="Parking Garage","NA",VLOOKUP($D29,INDIRECT('9.6 Table'!$P$338),AM$11+S$5,FALSE)),"REQ"))</f>
        <v/>
      </c>
      <c r="AN29" s="782"/>
      <c r="AO29" s="1026" t="str">
        <f ca="1">IF($C29="","",IFERROR(VLOOKUP($D29,INDIRECT('9.6 Table'!$P$338),AO$11+S$5,FALSE),"REQ"))</f>
        <v/>
      </c>
      <c r="AP29" s="782"/>
      <c r="AQ29" s="992" t="str">
        <f t="shared" ref="AQ29:AQ46" si="18">IF(BG29="","",IF(BG29=TRUE,"Complete","Incomplete"))</f>
        <v/>
      </c>
      <c r="AR29" s="512"/>
      <c r="AS29" s="507"/>
      <c r="AT29" s="508">
        <f t="shared" si="4"/>
        <v>0</v>
      </c>
      <c r="AU29" s="508">
        <f t="shared" si="5"/>
        <v>0</v>
      </c>
      <c r="AV29" s="508">
        <f t="shared" si="9"/>
        <v>0</v>
      </c>
      <c r="AW29" s="508">
        <f t="shared" si="10"/>
        <v>0</v>
      </c>
      <c r="AX29" s="508">
        <f t="shared" si="11"/>
        <v>0</v>
      </c>
      <c r="AY29" s="508">
        <f t="shared" si="12"/>
        <v>0</v>
      </c>
      <c r="AZ29" s="508">
        <f t="shared" si="13"/>
        <v>0</v>
      </c>
      <c r="BA29" s="508">
        <f t="shared" si="14"/>
        <v>0</v>
      </c>
      <c r="BB29" s="508">
        <f t="shared" si="15"/>
        <v>0</v>
      </c>
      <c r="BC29" s="508">
        <f t="shared" si="16"/>
        <v>0</v>
      </c>
      <c r="BD29" s="508">
        <f t="shared" si="6"/>
        <v>0</v>
      </c>
      <c r="BE29" s="508">
        <f t="shared" si="7"/>
        <v>0</v>
      </c>
      <c r="BF29" s="509">
        <f t="shared" si="17"/>
        <v>0</v>
      </c>
      <c r="BG29" s="510" t="str">
        <f t="shared" si="8"/>
        <v/>
      </c>
    </row>
    <row r="30" spans="1:59" s="510" customFormat="1" ht="15" customHeight="1" x14ac:dyDescent="0.25">
      <c r="A30" s="470">
        <v>9</v>
      </c>
      <c r="B30" s="1614"/>
      <c r="C30" s="1005"/>
      <c r="D30" s="1581"/>
      <c r="E30" s="1582"/>
      <c r="F30" s="1582"/>
      <c r="G30" s="1582"/>
      <c r="H30" s="1360"/>
      <c r="I30" s="1361"/>
      <c r="J30" s="1006"/>
      <c r="K30" s="1007"/>
      <c r="L30" s="1003" t="str">
        <f t="shared" si="0"/>
        <v xml:space="preserve"> </v>
      </c>
      <c r="M30" s="1003" t="str">
        <f t="shared" si="1"/>
        <v xml:space="preserve"> </v>
      </c>
      <c r="N30" s="1008" t="str">
        <f t="shared" si="2"/>
        <v xml:space="preserve"> </v>
      </c>
      <c r="O30" s="520"/>
      <c r="P30" s="520"/>
      <c r="Q30" s="574"/>
      <c r="R30" s="506"/>
      <c r="S30" s="506"/>
      <c r="T30" s="506"/>
      <c r="U30" s="1617"/>
      <c r="V30" s="90"/>
      <c r="W30" s="1024" t="str">
        <f ca="1">IF($C30="","",IFERROR(IF($C30="Parking Garage","NA",VLOOKUP($D30,INDIRECT('9.6 Table'!$P$338),W$11+S$5,FALSE)),"REQ"))</f>
        <v/>
      </c>
      <c r="X30" s="782"/>
      <c r="Y30" s="1026" t="str">
        <f ca="1">IF($C30="","",IFERROR(IF($C30="Parking Garage","NA",VLOOKUP($D30,INDIRECT('9.6 Table'!$P$338),Y$11+S$5,FALSE)),"REQ"))</f>
        <v/>
      </c>
      <c r="Z30" s="782"/>
      <c r="AA30" s="1026" t="str">
        <f ca="1">IF($C30="","",IFERROR(IF($C30="Parking Garage","NA",VLOOKUP($D30,INDIRECT('9.6 Table'!$P$338),AA$11+S$5,FALSE)),"REQ"))</f>
        <v/>
      </c>
      <c r="AB30" s="782"/>
      <c r="AC30" s="1026" t="str">
        <f ca="1">IF($C30="","",IFERROR(IF($C30="Parking Garage","NA",VLOOKUP($D30,INDIRECT('9.6 Table'!$P$338),AC$11+S$5,FALSE)),"REQ"))</f>
        <v/>
      </c>
      <c r="AD30" s="782"/>
      <c r="AE30" s="1026" t="str">
        <f ca="1">IF($C30="","",IFERROR(IF($C30="Parking Garage","NA",VLOOKUP($D30,INDIRECT('9.6 Table'!$P$338),AE$11+S$5,FALSE)),"REQ"))</f>
        <v/>
      </c>
      <c r="AF30" s="782"/>
      <c r="AG30" s="1026" t="str">
        <f ca="1">IF($C30="","",IFERROR(IF($C30="Parking Garage","NA",VLOOKUP($D30,INDIRECT('9.6 Table'!$P$338),AG$11+S$5,FALSE)),"REQ"))</f>
        <v/>
      </c>
      <c r="AH30" s="782"/>
      <c r="AI30" s="1026" t="str">
        <f ca="1">IF($C30="","",IFERROR(IF($C30="Parking Garage","NA",VLOOKUP($D30,INDIRECT('9.6 Table'!$P$338),AI$11+S$5,FALSE)),"REQ"))</f>
        <v/>
      </c>
      <c r="AJ30" s="782"/>
      <c r="AK30" s="1026" t="str">
        <f ca="1">IF($C30="","",IFERROR(IF($C30="Parking Garage","NA",VLOOKUP($D30,INDIRECT('9.6 Table'!$P$338),AK$11+S$5,FALSE)),"REQ"))</f>
        <v/>
      </c>
      <c r="AL30" s="782"/>
      <c r="AM30" s="1026" t="str">
        <f ca="1">IF($C30="","",IFERROR(IF($C30="Parking Garage","NA",VLOOKUP($D30,INDIRECT('9.6 Table'!$P$338),AM$11+S$5,FALSE)),"REQ"))</f>
        <v/>
      </c>
      <c r="AN30" s="782"/>
      <c r="AO30" s="1026" t="str">
        <f ca="1">IF($C30="","",IFERROR(VLOOKUP($D30,INDIRECT('9.6 Table'!$P$338),AO$11+S$5,FALSE),"REQ"))</f>
        <v/>
      </c>
      <c r="AP30" s="782"/>
      <c r="AQ30" s="992" t="str">
        <f t="shared" si="18"/>
        <v/>
      </c>
      <c r="AR30" s="512"/>
      <c r="AS30" s="507"/>
      <c r="AT30" s="508">
        <f t="shared" si="4"/>
        <v>0</v>
      </c>
      <c r="AU30" s="508">
        <f t="shared" si="5"/>
        <v>0</v>
      </c>
      <c r="AV30" s="508">
        <f t="shared" si="9"/>
        <v>0</v>
      </c>
      <c r="AW30" s="508">
        <f t="shared" si="10"/>
        <v>0</v>
      </c>
      <c r="AX30" s="508">
        <f t="shared" si="11"/>
        <v>0</v>
      </c>
      <c r="AY30" s="508">
        <f t="shared" si="12"/>
        <v>0</v>
      </c>
      <c r="AZ30" s="508">
        <f t="shared" si="13"/>
        <v>0</v>
      </c>
      <c r="BA30" s="508">
        <f t="shared" si="14"/>
        <v>0</v>
      </c>
      <c r="BB30" s="508">
        <f t="shared" si="15"/>
        <v>0</v>
      </c>
      <c r="BC30" s="508">
        <f t="shared" si="16"/>
        <v>0</v>
      </c>
      <c r="BD30" s="508">
        <f t="shared" si="6"/>
        <v>0</v>
      </c>
      <c r="BE30" s="508">
        <f t="shared" si="7"/>
        <v>0</v>
      </c>
      <c r="BF30" s="509">
        <f t="shared" si="17"/>
        <v>0</v>
      </c>
      <c r="BG30" s="510" t="str">
        <f t="shared" si="8"/>
        <v/>
      </c>
    </row>
    <row r="31" spans="1:59" s="510" customFormat="1" ht="15" customHeight="1" x14ac:dyDescent="0.25">
      <c r="A31" s="470">
        <v>10</v>
      </c>
      <c r="B31" s="1614"/>
      <c r="C31" s="1005"/>
      <c r="D31" s="1581"/>
      <c r="E31" s="1582"/>
      <c r="F31" s="1582"/>
      <c r="G31" s="1582"/>
      <c r="H31" s="1360"/>
      <c r="I31" s="1361"/>
      <c r="J31" s="1006"/>
      <c r="K31" s="1007"/>
      <c r="L31" s="1003" t="str">
        <f t="shared" si="0"/>
        <v xml:space="preserve"> </v>
      </c>
      <c r="M31" s="1003" t="str">
        <f t="shared" si="1"/>
        <v xml:space="preserve"> </v>
      </c>
      <c r="N31" s="1008" t="str">
        <f t="shared" si="2"/>
        <v xml:space="preserve"> </v>
      </c>
      <c r="O31" s="520"/>
      <c r="P31" s="520"/>
      <c r="Q31" s="574"/>
      <c r="R31" s="506"/>
      <c r="S31" s="506"/>
      <c r="T31" s="506"/>
      <c r="U31" s="1617"/>
      <c r="V31" s="90"/>
      <c r="W31" s="1024" t="str">
        <f ca="1">IF($C31="","",IFERROR(IF($C31="Parking Garage","NA",VLOOKUP($D31,INDIRECT('9.6 Table'!$P$338),W$11+S$5,FALSE)),"REQ"))</f>
        <v/>
      </c>
      <c r="X31" s="782"/>
      <c r="Y31" s="1026" t="str">
        <f ca="1">IF($C31="","",IFERROR(IF($C31="Parking Garage","NA",VLOOKUP($D31,INDIRECT('9.6 Table'!$P$338),Y$11+S$5,FALSE)),"REQ"))</f>
        <v/>
      </c>
      <c r="Z31" s="782"/>
      <c r="AA31" s="1026" t="str">
        <f ca="1">IF($C31="","",IFERROR(IF($C31="Parking Garage","NA",VLOOKUP($D31,INDIRECT('9.6 Table'!$P$338),AA$11+S$5,FALSE)),"REQ"))</f>
        <v/>
      </c>
      <c r="AB31" s="782"/>
      <c r="AC31" s="1026" t="str">
        <f ca="1">IF($C31="","",IFERROR(IF($C31="Parking Garage","NA",VLOOKUP($D31,INDIRECT('9.6 Table'!$P$338),AC$11+S$5,FALSE)),"REQ"))</f>
        <v/>
      </c>
      <c r="AD31" s="782"/>
      <c r="AE31" s="1026" t="str">
        <f ca="1">IF($C31="","",IFERROR(IF($C31="Parking Garage","NA",VLOOKUP($D31,INDIRECT('9.6 Table'!$P$338),AE$11+S$5,FALSE)),"REQ"))</f>
        <v/>
      </c>
      <c r="AF31" s="782"/>
      <c r="AG31" s="1026" t="str">
        <f ca="1">IF($C31="","",IFERROR(IF($C31="Parking Garage","NA",VLOOKUP($D31,INDIRECT('9.6 Table'!$P$338),AG$11+S$5,FALSE)),"REQ"))</f>
        <v/>
      </c>
      <c r="AH31" s="782"/>
      <c r="AI31" s="1026" t="str">
        <f ca="1">IF($C31="","",IFERROR(IF($C31="Parking Garage","NA",VLOOKUP($D31,INDIRECT('9.6 Table'!$P$338),AI$11+S$5,FALSE)),"REQ"))</f>
        <v/>
      </c>
      <c r="AJ31" s="782"/>
      <c r="AK31" s="1026" t="str">
        <f ca="1">IF($C31="","",IFERROR(IF($C31="Parking Garage","NA",VLOOKUP($D31,INDIRECT('9.6 Table'!$P$338),AK$11+S$5,FALSE)),"REQ"))</f>
        <v/>
      </c>
      <c r="AL31" s="782"/>
      <c r="AM31" s="1026" t="str">
        <f ca="1">IF($C31="","",IFERROR(IF($C31="Parking Garage","NA",VLOOKUP($D31,INDIRECT('9.6 Table'!$P$338),AM$11+S$5,FALSE)),"REQ"))</f>
        <v/>
      </c>
      <c r="AN31" s="782"/>
      <c r="AO31" s="1026" t="str">
        <f ca="1">IF($C31="","",IFERROR(VLOOKUP($D31,INDIRECT('9.6 Table'!$P$338),AO$11+S$5,FALSE),"REQ"))</f>
        <v/>
      </c>
      <c r="AP31" s="782"/>
      <c r="AQ31" s="992" t="str">
        <f t="shared" si="18"/>
        <v/>
      </c>
      <c r="AR31" s="512"/>
      <c r="AS31" s="507"/>
      <c r="AT31" s="508">
        <f t="shared" si="4"/>
        <v>0</v>
      </c>
      <c r="AU31" s="508">
        <f t="shared" si="5"/>
        <v>0</v>
      </c>
      <c r="AV31" s="508">
        <f t="shared" si="9"/>
        <v>0</v>
      </c>
      <c r="AW31" s="508">
        <f t="shared" si="10"/>
        <v>0</v>
      </c>
      <c r="AX31" s="508">
        <f t="shared" si="11"/>
        <v>0</v>
      </c>
      <c r="AY31" s="508">
        <f t="shared" si="12"/>
        <v>0</v>
      </c>
      <c r="AZ31" s="508">
        <f t="shared" si="13"/>
        <v>0</v>
      </c>
      <c r="BA31" s="508">
        <f t="shared" si="14"/>
        <v>0</v>
      </c>
      <c r="BB31" s="508">
        <f t="shared" si="15"/>
        <v>0</v>
      </c>
      <c r="BC31" s="508">
        <f t="shared" si="16"/>
        <v>0</v>
      </c>
      <c r="BD31" s="508">
        <f t="shared" si="6"/>
        <v>0</v>
      </c>
      <c r="BE31" s="508">
        <f t="shared" si="7"/>
        <v>0</v>
      </c>
      <c r="BF31" s="509">
        <f t="shared" si="17"/>
        <v>0</v>
      </c>
      <c r="BG31" s="510" t="str">
        <f t="shared" si="8"/>
        <v/>
      </c>
    </row>
    <row r="32" spans="1:59" s="510" customFormat="1" ht="15" customHeight="1" x14ac:dyDescent="0.25">
      <c r="A32" s="470">
        <v>11</v>
      </c>
      <c r="B32" s="1614"/>
      <c r="C32" s="1005"/>
      <c r="D32" s="1581"/>
      <c r="E32" s="1582"/>
      <c r="F32" s="1582"/>
      <c r="G32" s="1582"/>
      <c r="H32" s="1360"/>
      <c r="I32" s="1361"/>
      <c r="J32" s="1006"/>
      <c r="K32" s="1007"/>
      <c r="L32" s="1003" t="str">
        <f t="shared" si="0"/>
        <v xml:space="preserve"> </v>
      </c>
      <c r="M32" s="1003" t="str">
        <f t="shared" si="1"/>
        <v xml:space="preserve"> </v>
      </c>
      <c r="N32" s="1008" t="str">
        <f t="shared" ref="N32:N46" si="19">IF(AND(C32&lt;&gt;"",K32&gt;0),K32*M32," ")</f>
        <v xml:space="preserve"> </v>
      </c>
      <c r="O32" s="520"/>
      <c r="P32" s="520"/>
      <c r="Q32" s="574"/>
      <c r="R32" s="506"/>
      <c r="S32" s="506"/>
      <c r="T32" s="506"/>
      <c r="U32" s="1617"/>
      <c r="V32" s="90"/>
      <c r="W32" s="1024" t="str">
        <f ca="1">IF($C32="","",IFERROR(IF($C32="Parking Garage","NA",VLOOKUP($D32,INDIRECT('9.6 Table'!$P$338),W$11+S$5,FALSE)),"REQ"))</f>
        <v/>
      </c>
      <c r="X32" s="782"/>
      <c r="Y32" s="1026" t="str">
        <f ca="1">IF($C32="","",IFERROR(IF($C32="Parking Garage","NA",VLOOKUP($D32,INDIRECT('9.6 Table'!$P$338),Y$11+S$5,FALSE)),"REQ"))</f>
        <v/>
      </c>
      <c r="Z32" s="782"/>
      <c r="AA32" s="1026" t="str">
        <f ca="1">IF($C32="","",IFERROR(IF($C32="Parking Garage","NA",VLOOKUP($D32,INDIRECT('9.6 Table'!$P$338),AA$11+S$5,FALSE)),"REQ"))</f>
        <v/>
      </c>
      <c r="AB32" s="782"/>
      <c r="AC32" s="1026" t="str">
        <f ca="1">IF($C32="","",IFERROR(IF($C32="Parking Garage","NA",VLOOKUP($D32,INDIRECT('9.6 Table'!$P$338),AC$11+S$5,FALSE)),"REQ"))</f>
        <v/>
      </c>
      <c r="AD32" s="782"/>
      <c r="AE32" s="1026" t="str">
        <f ca="1">IF($C32="","",IFERROR(IF($C32="Parking Garage","NA",VLOOKUP($D32,INDIRECT('9.6 Table'!$P$338),AE$11+S$5,FALSE)),"REQ"))</f>
        <v/>
      </c>
      <c r="AF32" s="782"/>
      <c r="AG32" s="1026" t="str">
        <f ca="1">IF($C32="","",IFERROR(IF($C32="Parking Garage","NA",VLOOKUP($D32,INDIRECT('9.6 Table'!$P$338),AG$11+S$5,FALSE)),"REQ"))</f>
        <v/>
      </c>
      <c r="AH32" s="782"/>
      <c r="AI32" s="1026" t="str">
        <f ca="1">IF($C32="","",IFERROR(IF($C32="Parking Garage","NA",VLOOKUP($D32,INDIRECT('9.6 Table'!$P$338),AI$11+S$5,FALSE)),"REQ"))</f>
        <v/>
      </c>
      <c r="AJ32" s="782"/>
      <c r="AK32" s="1026" t="str">
        <f ca="1">IF($C32="","",IFERROR(IF($C32="Parking Garage","NA",VLOOKUP($D32,INDIRECT('9.6 Table'!$P$338),AK$11+S$5,FALSE)),"REQ"))</f>
        <v/>
      </c>
      <c r="AL32" s="782"/>
      <c r="AM32" s="1026" t="str">
        <f ca="1">IF($C32="","",IFERROR(IF($C32="Parking Garage","NA",VLOOKUP($D32,INDIRECT('9.6 Table'!$P$338),AM$11+S$5,FALSE)),"REQ"))</f>
        <v/>
      </c>
      <c r="AN32" s="782"/>
      <c r="AO32" s="1026" t="str">
        <f ca="1">IF($C32="","",IFERROR(VLOOKUP($D32,INDIRECT('9.6 Table'!$P$338),AO$11+S$5,FALSE),"REQ"))</f>
        <v/>
      </c>
      <c r="AP32" s="782"/>
      <c r="AQ32" s="992" t="str">
        <f t="shared" si="18"/>
        <v/>
      </c>
      <c r="AR32" s="512"/>
      <c r="AS32" s="507"/>
      <c r="AT32" s="508">
        <f t="shared" si="4"/>
        <v>0</v>
      </c>
      <c r="AU32" s="508">
        <f t="shared" si="5"/>
        <v>0</v>
      </c>
      <c r="AV32" s="508">
        <f t="shared" si="9"/>
        <v>0</v>
      </c>
      <c r="AW32" s="508">
        <f t="shared" si="10"/>
        <v>0</v>
      </c>
      <c r="AX32" s="508">
        <f t="shared" si="11"/>
        <v>0</v>
      </c>
      <c r="AY32" s="508">
        <f t="shared" si="12"/>
        <v>0</v>
      </c>
      <c r="AZ32" s="508">
        <f t="shared" si="13"/>
        <v>0</v>
      </c>
      <c r="BA32" s="508">
        <f t="shared" si="14"/>
        <v>0</v>
      </c>
      <c r="BB32" s="508">
        <f t="shared" si="15"/>
        <v>0</v>
      </c>
      <c r="BC32" s="508">
        <f t="shared" si="16"/>
        <v>0</v>
      </c>
      <c r="BD32" s="508">
        <f t="shared" si="6"/>
        <v>0</v>
      </c>
      <c r="BE32" s="508">
        <f t="shared" si="7"/>
        <v>0</v>
      </c>
      <c r="BF32" s="509">
        <f t="shared" si="17"/>
        <v>0</v>
      </c>
      <c r="BG32" s="510" t="str">
        <f t="shared" si="8"/>
        <v/>
      </c>
    </row>
    <row r="33" spans="1:59" s="510" customFormat="1" ht="15" customHeight="1" x14ac:dyDescent="0.25">
      <c r="A33" s="470">
        <v>12</v>
      </c>
      <c r="B33" s="1614"/>
      <c r="C33" s="1005"/>
      <c r="D33" s="1581"/>
      <c r="E33" s="1582"/>
      <c r="F33" s="1582"/>
      <c r="G33" s="1582"/>
      <c r="H33" s="1360"/>
      <c r="I33" s="1361"/>
      <c r="J33" s="1006"/>
      <c r="K33" s="1007"/>
      <c r="L33" s="1003" t="str">
        <f t="shared" si="0"/>
        <v xml:space="preserve"> </v>
      </c>
      <c r="M33" s="1003" t="str">
        <f t="shared" si="1"/>
        <v xml:space="preserve"> </v>
      </c>
      <c r="N33" s="1008" t="str">
        <f t="shared" si="19"/>
        <v xml:space="preserve"> </v>
      </c>
      <c r="O33" s="520"/>
      <c r="P33" s="520"/>
      <c r="Q33" s="574"/>
      <c r="R33" s="506"/>
      <c r="S33" s="506"/>
      <c r="T33" s="506"/>
      <c r="U33" s="1617"/>
      <c r="V33" s="90"/>
      <c r="W33" s="1024" t="str">
        <f ca="1">IF($C33="","",IFERROR(IF($C33="Parking Garage","NA",VLOOKUP($D33,INDIRECT('9.6 Table'!$P$338),W$11+S$5,FALSE)),"REQ"))</f>
        <v/>
      </c>
      <c r="X33" s="782"/>
      <c r="Y33" s="1026" t="str">
        <f ca="1">IF($C33="","",IFERROR(IF($C33="Parking Garage","NA",VLOOKUP($D33,INDIRECT('9.6 Table'!$P$338),Y$11+S$5,FALSE)),"REQ"))</f>
        <v/>
      </c>
      <c r="Z33" s="782"/>
      <c r="AA33" s="1026" t="str">
        <f ca="1">IF($C33="","",IFERROR(IF($C33="Parking Garage","NA",VLOOKUP($D33,INDIRECT('9.6 Table'!$P$338),AA$11+S$5,FALSE)),"REQ"))</f>
        <v/>
      </c>
      <c r="AB33" s="782"/>
      <c r="AC33" s="1026" t="str">
        <f ca="1">IF($C33="","",IFERROR(IF($C33="Parking Garage","NA",VLOOKUP($D33,INDIRECT('9.6 Table'!$P$338),AC$11+S$5,FALSE)),"REQ"))</f>
        <v/>
      </c>
      <c r="AD33" s="782"/>
      <c r="AE33" s="1026" t="str">
        <f ca="1">IF($C33="","",IFERROR(IF($C33="Parking Garage","NA",VLOOKUP($D33,INDIRECT('9.6 Table'!$P$338),AE$11+S$5,FALSE)),"REQ"))</f>
        <v/>
      </c>
      <c r="AF33" s="782"/>
      <c r="AG33" s="1026" t="str">
        <f ca="1">IF($C33="","",IFERROR(IF($C33="Parking Garage","NA",VLOOKUP($D33,INDIRECT('9.6 Table'!$P$338),AG$11+S$5,FALSE)),"REQ"))</f>
        <v/>
      </c>
      <c r="AH33" s="782"/>
      <c r="AI33" s="1026" t="str">
        <f ca="1">IF($C33="","",IFERROR(IF($C33="Parking Garage","NA",VLOOKUP($D33,INDIRECT('9.6 Table'!$P$338),AI$11+S$5,FALSE)),"REQ"))</f>
        <v/>
      </c>
      <c r="AJ33" s="782"/>
      <c r="AK33" s="1026" t="str">
        <f ca="1">IF($C33="","",IFERROR(IF($C33="Parking Garage","NA",VLOOKUP($D33,INDIRECT('9.6 Table'!$P$338),AK$11+S$5,FALSE)),"REQ"))</f>
        <v/>
      </c>
      <c r="AL33" s="782"/>
      <c r="AM33" s="1026" t="str">
        <f ca="1">IF($C33="","",IFERROR(IF($C33="Parking Garage","NA",VLOOKUP($D33,INDIRECT('9.6 Table'!$P$338),AM$11+S$5,FALSE)),"REQ"))</f>
        <v/>
      </c>
      <c r="AN33" s="782"/>
      <c r="AO33" s="1026" t="str">
        <f ca="1">IF($C33="","",IFERROR(VLOOKUP($D33,INDIRECT('9.6 Table'!$P$338),AO$11+S$5,FALSE),"REQ"))</f>
        <v/>
      </c>
      <c r="AP33" s="782"/>
      <c r="AQ33" s="992" t="str">
        <f t="shared" si="18"/>
        <v/>
      </c>
      <c r="AR33" s="512"/>
      <c r="AS33" s="507"/>
      <c r="AT33" s="508">
        <f t="shared" si="4"/>
        <v>0</v>
      </c>
      <c r="AU33" s="508">
        <f t="shared" si="5"/>
        <v>0</v>
      </c>
      <c r="AV33" s="508">
        <f t="shared" si="9"/>
        <v>0</v>
      </c>
      <c r="AW33" s="508">
        <f t="shared" si="10"/>
        <v>0</v>
      </c>
      <c r="AX33" s="508">
        <f t="shared" si="11"/>
        <v>0</v>
      </c>
      <c r="AY33" s="508">
        <f t="shared" si="12"/>
        <v>0</v>
      </c>
      <c r="AZ33" s="508">
        <f t="shared" si="13"/>
        <v>0</v>
      </c>
      <c r="BA33" s="508">
        <f t="shared" si="14"/>
        <v>0</v>
      </c>
      <c r="BB33" s="508">
        <f t="shared" si="15"/>
        <v>0</v>
      </c>
      <c r="BC33" s="508">
        <f t="shared" si="16"/>
        <v>0</v>
      </c>
      <c r="BD33" s="508">
        <f t="shared" si="6"/>
        <v>0</v>
      </c>
      <c r="BE33" s="508">
        <f t="shared" si="7"/>
        <v>0</v>
      </c>
      <c r="BF33" s="509">
        <f t="shared" si="17"/>
        <v>0</v>
      </c>
      <c r="BG33" s="510" t="str">
        <f t="shared" si="8"/>
        <v/>
      </c>
    </row>
    <row r="34" spans="1:59" s="510" customFormat="1" ht="15" customHeight="1" x14ac:dyDescent="0.25">
      <c r="A34" s="470">
        <v>13</v>
      </c>
      <c r="B34" s="1614"/>
      <c r="C34" s="1005"/>
      <c r="D34" s="1581"/>
      <c r="E34" s="1582"/>
      <c r="F34" s="1582"/>
      <c r="G34" s="1582"/>
      <c r="H34" s="1360"/>
      <c r="I34" s="1361"/>
      <c r="J34" s="1006"/>
      <c r="K34" s="1007"/>
      <c r="L34" s="1003" t="str">
        <f t="shared" si="0"/>
        <v xml:space="preserve"> </v>
      </c>
      <c r="M34" s="1003" t="str">
        <f t="shared" si="1"/>
        <v xml:space="preserve"> </v>
      </c>
      <c r="N34" s="1008" t="str">
        <f t="shared" si="19"/>
        <v xml:space="preserve"> </v>
      </c>
      <c r="O34" s="520"/>
      <c r="P34" s="520"/>
      <c r="Q34" s="574"/>
      <c r="R34" s="506"/>
      <c r="S34" s="506"/>
      <c r="T34" s="506"/>
      <c r="U34" s="1617"/>
      <c r="V34" s="90"/>
      <c r="W34" s="1024" t="str">
        <f ca="1">IF($C34="","",IFERROR(IF($C34="Parking Garage","NA",VLOOKUP($D34,INDIRECT('9.6 Table'!$P$338),W$11+S$5,FALSE)),"REQ"))</f>
        <v/>
      </c>
      <c r="X34" s="782"/>
      <c r="Y34" s="1026" t="str">
        <f ca="1">IF($C34="","",IFERROR(IF($C34="Parking Garage","NA",VLOOKUP($D34,INDIRECT('9.6 Table'!$P$338),Y$11+S$5,FALSE)),"REQ"))</f>
        <v/>
      </c>
      <c r="Z34" s="782"/>
      <c r="AA34" s="1026" t="str">
        <f ca="1">IF($C34="","",IFERROR(IF($C34="Parking Garage","NA",VLOOKUP($D34,INDIRECT('9.6 Table'!$P$338),AA$11+S$5,FALSE)),"REQ"))</f>
        <v/>
      </c>
      <c r="AB34" s="782"/>
      <c r="AC34" s="1026" t="str">
        <f ca="1">IF($C34="","",IFERROR(IF($C34="Parking Garage","NA",VLOOKUP($D34,INDIRECT('9.6 Table'!$P$338),AC$11+S$5,FALSE)),"REQ"))</f>
        <v/>
      </c>
      <c r="AD34" s="782"/>
      <c r="AE34" s="1026" t="str">
        <f ca="1">IF($C34="","",IFERROR(IF($C34="Parking Garage","NA",VLOOKUP($D34,INDIRECT('9.6 Table'!$P$338),AE$11+S$5,FALSE)),"REQ"))</f>
        <v/>
      </c>
      <c r="AF34" s="782"/>
      <c r="AG34" s="1026" t="str">
        <f ca="1">IF($C34="","",IFERROR(IF($C34="Parking Garage","NA",VLOOKUP($D34,INDIRECT('9.6 Table'!$P$338),AG$11+S$5,FALSE)),"REQ"))</f>
        <v/>
      </c>
      <c r="AH34" s="782"/>
      <c r="AI34" s="1026" t="str">
        <f ca="1">IF($C34="","",IFERROR(IF($C34="Parking Garage","NA",VLOOKUP($D34,INDIRECT('9.6 Table'!$P$338),AI$11+S$5,FALSE)),"REQ"))</f>
        <v/>
      </c>
      <c r="AJ34" s="782"/>
      <c r="AK34" s="1026" t="str">
        <f ca="1">IF($C34="","",IFERROR(IF($C34="Parking Garage","NA",VLOOKUP($D34,INDIRECT('9.6 Table'!$P$338),AK$11+S$5,FALSE)),"REQ"))</f>
        <v/>
      </c>
      <c r="AL34" s="782"/>
      <c r="AM34" s="1026" t="str">
        <f ca="1">IF($C34="","",IFERROR(IF($C34="Parking Garage","NA",VLOOKUP($D34,INDIRECT('9.6 Table'!$P$338),AM$11+S$5,FALSE)),"REQ"))</f>
        <v/>
      </c>
      <c r="AN34" s="782"/>
      <c r="AO34" s="1026" t="str">
        <f ca="1">IF($C34="","",IFERROR(VLOOKUP($D34,INDIRECT('9.6 Table'!$P$338),AO$11+S$5,FALSE),"REQ"))</f>
        <v/>
      </c>
      <c r="AP34" s="782"/>
      <c r="AQ34" s="992" t="str">
        <f t="shared" si="18"/>
        <v/>
      </c>
      <c r="AR34" s="512"/>
      <c r="AS34" s="507"/>
      <c r="AT34" s="508">
        <f t="shared" si="4"/>
        <v>0</v>
      </c>
      <c r="AU34" s="508">
        <f t="shared" si="5"/>
        <v>0</v>
      </c>
      <c r="AV34" s="508">
        <f t="shared" si="9"/>
        <v>0</v>
      </c>
      <c r="AW34" s="508">
        <f t="shared" si="10"/>
        <v>0</v>
      </c>
      <c r="AX34" s="508">
        <f t="shared" si="11"/>
        <v>0</v>
      </c>
      <c r="AY34" s="508">
        <f t="shared" si="12"/>
        <v>0</v>
      </c>
      <c r="AZ34" s="508">
        <f t="shared" si="13"/>
        <v>0</v>
      </c>
      <c r="BA34" s="508">
        <f t="shared" si="14"/>
        <v>0</v>
      </c>
      <c r="BB34" s="508">
        <f t="shared" si="15"/>
        <v>0</v>
      </c>
      <c r="BC34" s="508">
        <f t="shared" si="16"/>
        <v>0</v>
      </c>
      <c r="BD34" s="508">
        <f t="shared" si="6"/>
        <v>0</v>
      </c>
      <c r="BE34" s="508">
        <f t="shared" si="7"/>
        <v>0</v>
      </c>
      <c r="BF34" s="509">
        <f t="shared" si="17"/>
        <v>0</v>
      </c>
      <c r="BG34" s="510" t="str">
        <f t="shared" si="8"/>
        <v/>
      </c>
    </row>
    <row r="35" spans="1:59" s="510" customFormat="1" ht="15" customHeight="1" x14ac:dyDescent="0.25">
      <c r="A35" s="470">
        <v>14</v>
      </c>
      <c r="B35" s="1614"/>
      <c r="C35" s="1005"/>
      <c r="D35" s="1581"/>
      <c r="E35" s="1582"/>
      <c r="F35" s="1582"/>
      <c r="G35" s="1582"/>
      <c r="H35" s="1360"/>
      <c r="I35" s="1361"/>
      <c r="J35" s="1006"/>
      <c r="K35" s="1007"/>
      <c r="L35" s="1003" t="str">
        <f t="shared" si="0"/>
        <v xml:space="preserve"> </v>
      </c>
      <c r="M35" s="1003" t="str">
        <f t="shared" si="1"/>
        <v xml:space="preserve"> </v>
      </c>
      <c r="N35" s="1008" t="str">
        <f t="shared" si="19"/>
        <v xml:space="preserve"> </v>
      </c>
      <c r="O35" s="520"/>
      <c r="P35" s="520"/>
      <c r="Q35" s="574"/>
      <c r="R35" s="506"/>
      <c r="S35" s="506"/>
      <c r="T35" s="506"/>
      <c r="U35" s="1617"/>
      <c r="V35" s="90"/>
      <c r="W35" s="1024" t="str">
        <f ca="1">IF($C35="","",IFERROR(IF($C35="Parking Garage","NA",VLOOKUP($D35,INDIRECT('9.6 Table'!$P$338),W$11+S$5,FALSE)),"REQ"))</f>
        <v/>
      </c>
      <c r="X35" s="782"/>
      <c r="Y35" s="1026" t="str">
        <f ca="1">IF($C35="","",IFERROR(IF($C35="Parking Garage","NA",VLOOKUP($D35,INDIRECT('9.6 Table'!$P$338),Y$11+S$5,FALSE)),"REQ"))</f>
        <v/>
      </c>
      <c r="Z35" s="782"/>
      <c r="AA35" s="1026" t="str">
        <f ca="1">IF($C35="","",IFERROR(IF($C35="Parking Garage","NA",VLOOKUP($D35,INDIRECT('9.6 Table'!$P$338),AA$11+S$5,FALSE)),"REQ"))</f>
        <v/>
      </c>
      <c r="AB35" s="782"/>
      <c r="AC35" s="1026" t="str">
        <f ca="1">IF($C35="","",IFERROR(IF($C35="Parking Garage","NA",VLOOKUP($D35,INDIRECT('9.6 Table'!$P$338),AC$11+S$5,FALSE)),"REQ"))</f>
        <v/>
      </c>
      <c r="AD35" s="782"/>
      <c r="AE35" s="1026" t="str">
        <f ca="1">IF($C35="","",IFERROR(IF($C35="Parking Garage","NA",VLOOKUP($D35,INDIRECT('9.6 Table'!$P$338),AE$11+S$5,FALSE)),"REQ"))</f>
        <v/>
      </c>
      <c r="AF35" s="782"/>
      <c r="AG35" s="1026" t="str">
        <f ca="1">IF($C35="","",IFERROR(IF($C35="Parking Garage","NA",VLOOKUP($D35,INDIRECT('9.6 Table'!$P$338),AG$11+S$5,FALSE)),"REQ"))</f>
        <v/>
      </c>
      <c r="AH35" s="782"/>
      <c r="AI35" s="1026" t="str">
        <f ca="1">IF($C35="","",IFERROR(IF($C35="Parking Garage","NA",VLOOKUP($D35,INDIRECT('9.6 Table'!$P$338),AI$11+S$5,FALSE)),"REQ"))</f>
        <v/>
      </c>
      <c r="AJ35" s="782"/>
      <c r="AK35" s="1026" t="str">
        <f ca="1">IF($C35="","",IFERROR(IF($C35="Parking Garage","NA",VLOOKUP($D35,INDIRECT('9.6 Table'!$P$338),AK$11+S$5,FALSE)),"REQ"))</f>
        <v/>
      </c>
      <c r="AL35" s="782"/>
      <c r="AM35" s="1026" t="str">
        <f ca="1">IF($C35="","",IFERROR(IF($C35="Parking Garage","NA",VLOOKUP($D35,INDIRECT('9.6 Table'!$P$338),AM$11+S$5,FALSE)),"REQ"))</f>
        <v/>
      </c>
      <c r="AN35" s="782"/>
      <c r="AO35" s="1026" t="str">
        <f ca="1">IF($C35="","",IFERROR(VLOOKUP($D35,INDIRECT('9.6 Table'!$P$338),AO$11+S$5,FALSE),"REQ"))</f>
        <v/>
      </c>
      <c r="AP35" s="782"/>
      <c r="AQ35" s="992" t="str">
        <f t="shared" si="18"/>
        <v/>
      </c>
      <c r="AR35" s="512"/>
      <c r="AS35" s="507"/>
      <c r="AT35" s="508">
        <f t="shared" si="4"/>
        <v>0</v>
      </c>
      <c r="AU35" s="508">
        <f t="shared" si="5"/>
        <v>0</v>
      </c>
      <c r="AV35" s="508">
        <f t="shared" si="9"/>
        <v>0</v>
      </c>
      <c r="AW35" s="508">
        <f t="shared" si="10"/>
        <v>0</v>
      </c>
      <c r="AX35" s="508">
        <f t="shared" si="11"/>
        <v>0</v>
      </c>
      <c r="AY35" s="508">
        <f t="shared" si="12"/>
        <v>0</v>
      </c>
      <c r="AZ35" s="508">
        <f t="shared" si="13"/>
        <v>0</v>
      </c>
      <c r="BA35" s="508">
        <f t="shared" si="14"/>
        <v>0</v>
      </c>
      <c r="BB35" s="508">
        <f t="shared" si="15"/>
        <v>0</v>
      </c>
      <c r="BC35" s="508">
        <f t="shared" si="16"/>
        <v>0</v>
      </c>
      <c r="BD35" s="508">
        <f t="shared" si="6"/>
        <v>0</v>
      </c>
      <c r="BE35" s="508">
        <f t="shared" si="7"/>
        <v>0</v>
      </c>
      <c r="BF35" s="509">
        <f t="shared" si="17"/>
        <v>0</v>
      </c>
      <c r="BG35" s="510" t="str">
        <f t="shared" si="8"/>
        <v/>
      </c>
    </row>
    <row r="36" spans="1:59" s="510" customFormat="1" ht="15" customHeight="1" x14ac:dyDescent="0.25">
      <c r="A36" s="470">
        <v>15</v>
      </c>
      <c r="B36" s="1614"/>
      <c r="C36" s="1005"/>
      <c r="D36" s="1581"/>
      <c r="E36" s="1582"/>
      <c r="F36" s="1582"/>
      <c r="G36" s="1582"/>
      <c r="H36" s="1360"/>
      <c r="I36" s="1361"/>
      <c r="J36" s="1006"/>
      <c r="K36" s="1007"/>
      <c r="L36" s="1003" t="str">
        <f t="shared" si="0"/>
        <v xml:space="preserve"> </v>
      </c>
      <c r="M36" s="1003" t="str">
        <f t="shared" si="1"/>
        <v xml:space="preserve"> </v>
      </c>
      <c r="N36" s="1008" t="str">
        <f t="shared" si="19"/>
        <v xml:space="preserve"> </v>
      </c>
      <c r="O36" s="520"/>
      <c r="P36" s="520"/>
      <c r="Q36" s="574"/>
      <c r="R36" s="506"/>
      <c r="S36" s="506"/>
      <c r="T36" s="506"/>
      <c r="U36" s="1617"/>
      <c r="V36" s="90"/>
      <c r="W36" s="1024" t="str">
        <f ca="1">IF($C36="","",IFERROR(IF($C36="Parking Garage","NA",VLOOKUP($D36,INDIRECT('9.6 Table'!$P$338),W$11+S$5,FALSE)),"REQ"))</f>
        <v/>
      </c>
      <c r="X36" s="782"/>
      <c r="Y36" s="1026" t="str">
        <f ca="1">IF($C36="","",IFERROR(IF($C36="Parking Garage","NA",VLOOKUP($D36,INDIRECT('9.6 Table'!$P$338),Y$11+S$5,FALSE)),"REQ"))</f>
        <v/>
      </c>
      <c r="Z36" s="782"/>
      <c r="AA36" s="1026" t="str">
        <f ca="1">IF($C36="","",IFERROR(IF($C36="Parking Garage","NA",VLOOKUP($D36,INDIRECT('9.6 Table'!$P$338),AA$11+S$5,FALSE)),"REQ"))</f>
        <v/>
      </c>
      <c r="AB36" s="782"/>
      <c r="AC36" s="1026" t="str">
        <f ca="1">IF($C36="","",IFERROR(IF($C36="Parking Garage","NA",VLOOKUP($D36,INDIRECT('9.6 Table'!$P$338),AC$11+S$5,FALSE)),"REQ"))</f>
        <v/>
      </c>
      <c r="AD36" s="782"/>
      <c r="AE36" s="1026" t="str">
        <f ca="1">IF($C36="","",IFERROR(IF($C36="Parking Garage","NA",VLOOKUP($D36,INDIRECT('9.6 Table'!$P$338),AE$11+S$5,FALSE)),"REQ"))</f>
        <v/>
      </c>
      <c r="AF36" s="782"/>
      <c r="AG36" s="1026" t="str">
        <f ca="1">IF($C36="","",IFERROR(IF($C36="Parking Garage","NA",VLOOKUP($D36,INDIRECT('9.6 Table'!$P$338),AG$11+S$5,FALSE)),"REQ"))</f>
        <v/>
      </c>
      <c r="AH36" s="782"/>
      <c r="AI36" s="1026" t="str">
        <f ca="1">IF($C36="","",IFERROR(IF($C36="Parking Garage","NA",VLOOKUP($D36,INDIRECT('9.6 Table'!$P$338),AI$11+S$5,FALSE)),"REQ"))</f>
        <v/>
      </c>
      <c r="AJ36" s="782"/>
      <c r="AK36" s="1026" t="str">
        <f ca="1">IF($C36="","",IFERROR(IF($C36="Parking Garage","NA",VLOOKUP($D36,INDIRECT('9.6 Table'!$P$338),AK$11+S$5,FALSE)),"REQ"))</f>
        <v/>
      </c>
      <c r="AL36" s="782"/>
      <c r="AM36" s="1026" t="str">
        <f ca="1">IF($C36="","",IFERROR(IF($C36="Parking Garage","NA",VLOOKUP($D36,INDIRECT('9.6 Table'!$P$338),AM$11+S$5,FALSE)),"REQ"))</f>
        <v/>
      </c>
      <c r="AN36" s="782"/>
      <c r="AO36" s="1026" t="str">
        <f ca="1">IF($C36="","",IFERROR(VLOOKUP($D36,INDIRECT('9.6 Table'!$P$338),AO$11+S$5,FALSE),"REQ"))</f>
        <v/>
      </c>
      <c r="AP36" s="782"/>
      <c r="AQ36" s="992" t="str">
        <f t="shared" si="18"/>
        <v/>
      </c>
      <c r="AR36" s="512"/>
      <c r="AS36" s="507"/>
      <c r="AT36" s="508">
        <f t="shared" si="4"/>
        <v>0</v>
      </c>
      <c r="AU36" s="508">
        <f t="shared" si="5"/>
        <v>0</v>
      </c>
      <c r="AV36" s="508">
        <f t="shared" si="9"/>
        <v>0</v>
      </c>
      <c r="AW36" s="508">
        <f t="shared" si="10"/>
        <v>0</v>
      </c>
      <c r="AX36" s="508">
        <f t="shared" si="11"/>
        <v>0</v>
      </c>
      <c r="AY36" s="508">
        <f t="shared" si="12"/>
        <v>0</v>
      </c>
      <c r="AZ36" s="508">
        <f t="shared" si="13"/>
        <v>0</v>
      </c>
      <c r="BA36" s="508">
        <f t="shared" si="14"/>
        <v>0</v>
      </c>
      <c r="BB36" s="508">
        <f t="shared" si="15"/>
        <v>0</v>
      </c>
      <c r="BC36" s="508">
        <f t="shared" si="16"/>
        <v>0</v>
      </c>
      <c r="BD36" s="508">
        <f t="shared" si="6"/>
        <v>0</v>
      </c>
      <c r="BE36" s="508">
        <f t="shared" si="7"/>
        <v>0</v>
      </c>
      <c r="BF36" s="509">
        <f t="shared" si="17"/>
        <v>0</v>
      </c>
      <c r="BG36" s="510" t="str">
        <f t="shared" si="8"/>
        <v/>
      </c>
    </row>
    <row r="37" spans="1:59" s="510" customFormat="1" ht="15" customHeight="1" x14ac:dyDescent="0.25">
      <c r="A37" s="470">
        <v>16</v>
      </c>
      <c r="B37" s="1614"/>
      <c r="C37" s="1005"/>
      <c r="D37" s="1581"/>
      <c r="E37" s="1582"/>
      <c r="F37" s="1582"/>
      <c r="G37" s="1582"/>
      <c r="H37" s="1360"/>
      <c r="I37" s="1361"/>
      <c r="J37" s="1006"/>
      <c r="K37" s="1007"/>
      <c r="L37" s="1003" t="str">
        <f t="shared" si="0"/>
        <v xml:space="preserve"> </v>
      </c>
      <c r="M37" s="1003" t="str">
        <f t="shared" si="1"/>
        <v xml:space="preserve"> </v>
      </c>
      <c r="N37" s="1008" t="str">
        <f t="shared" si="19"/>
        <v xml:space="preserve"> </v>
      </c>
      <c r="O37" s="520"/>
      <c r="P37" s="520"/>
      <c r="Q37" s="574"/>
      <c r="R37" s="506"/>
      <c r="S37" s="506"/>
      <c r="T37" s="506"/>
      <c r="U37" s="1617"/>
      <c r="V37" s="90"/>
      <c r="W37" s="1024" t="str">
        <f ca="1">IF($C37="","",IFERROR(IF($C37="Parking Garage","NA",VLOOKUP($D37,INDIRECT('9.6 Table'!$P$338),W$11+S$5,FALSE)),"REQ"))</f>
        <v/>
      </c>
      <c r="X37" s="782"/>
      <c r="Y37" s="1026" t="str">
        <f ca="1">IF($C37="","",IFERROR(IF($C37="Parking Garage","NA",VLOOKUP($D37,INDIRECT('9.6 Table'!$P$338),Y$11+S$5,FALSE)),"REQ"))</f>
        <v/>
      </c>
      <c r="Z37" s="782"/>
      <c r="AA37" s="1026" t="str">
        <f ca="1">IF($C37="","",IFERROR(IF($C37="Parking Garage","NA",VLOOKUP($D37,INDIRECT('9.6 Table'!$P$338),AA$11+S$5,FALSE)),"REQ"))</f>
        <v/>
      </c>
      <c r="AB37" s="782"/>
      <c r="AC37" s="1026" t="str">
        <f ca="1">IF($C37="","",IFERROR(IF($C37="Parking Garage","NA",VLOOKUP($D37,INDIRECT('9.6 Table'!$P$338),AC$11+S$5,FALSE)),"REQ"))</f>
        <v/>
      </c>
      <c r="AD37" s="782"/>
      <c r="AE37" s="1026" t="str">
        <f ca="1">IF($C37="","",IFERROR(IF($C37="Parking Garage","NA",VLOOKUP($D37,INDIRECT('9.6 Table'!$P$338),AE$11+S$5,FALSE)),"REQ"))</f>
        <v/>
      </c>
      <c r="AF37" s="782"/>
      <c r="AG37" s="1026" t="str">
        <f ca="1">IF($C37="","",IFERROR(IF($C37="Parking Garage","NA",VLOOKUP($D37,INDIRECT('9.6 Table'!$P$338),AG$11+S$5,FALSE)),"REQ"))</f>
        <v/>
      </c>
      <c r="AH37" s="782"/>
      <c r="AI37" s="1026" t="str">
        <f ca="1">IF($C37="","",IFERROR(IF($C37="Parking Garage","NA",VLOOKUP($D37,INDIRECT('9.6 Table'!$P$338),AI$11+S$5,FALSE)),"REQ"))</f>
        <v/>
      </c>
      <c r="AJ37" s="782"/>
      <c r="AK37" s="1026" t="str">
        <f ca="1">IF($C37="","",IFERROR(IF($C37="Parking Garage","NA",VLOOKUP($D37,INDIRECT('9.6 Table'!$P$338),AK$11+S$5,FALSE)),"REQ"))</f>
        <v/>
      </c>
      <c r="AL37" s="782"/>
      <c r="AM37" s="1026" t="str">
        <f ca="1">IF($C37="","",IFERROR(IF($C37="Parking Garage","NA",VLOOKUP($D37,INDIRECT('9.6 Table'!$P$338),AM$11+S$5,FALSE)),"REQ"))</f>
        <v/>
      </c>
      <c r="AN37" s="782"/>
      <c r="AO37" s="1026" t="str">
        <f ca="1">IF($C37="","",IFERROR(VLOOKUP($D37,INDIRECT('9.6 Table'!$P$338),AO$11+S$5,FALSE),"REQ"))</f>
        <v/>
      </c>
      <c r="AP37" s="782"/>
      <c r="AQ37" s="992" t="str">
        <f t="shared" si="18"/>
        <v/>
      </c>
      <c r="AR37" s="512"/>
      <c r="AS37" s="507"/>
      <c r="AT37" s="508">
        <f t="shared" si="4"/>
        <v>0</v>
      </c>
      <c r="AU37" s="508">
        <f t="shared" si="5"/>
        <v>0</v>
      </c>
      <c r="AV37" s="508">
        <f t="shared" si="9"/>
        <v>0</v>
      </c>
      <c r="AW37" s="508">
        <f t="shared" si="10"/>
        <v>0</v>
      </c>
      <c r="AX37" s="508">
        <f t="shared" si="11"/>
        <v>0</v>
      </c>
      <c r="AY37" s="508">
        <f t="shared" si="12"/>
        <v>0</v>
      </c>
      <c r="AZ37" s="508">
        <f t="shared" si="13"/>
        <v>0</v>
      </c>
      <c r="BA37" s="508">
        <f t="shared" si="14"/>
        <v>0</v>
      </c>
      <c r="BB37" s="508">
        <f t="shared" si="15"/>
        <v>0</v>
      </c>
      <c r="BC37" s="508">
        <f t="shared" si="16"/>
        <v>0</v>
      </c>
      <c r="BD37" s="508">
        <f t="shared" si="6"/>
        <v>0</v>
      </c>
      <c r="BE37" s="508">
        <f t="shared" si="7"/>
        <v>0</v>
      </c>
      <c r="BF37" s="509">
        <f t="shared" si="17"/>
        <v>0</v>
      </c>
      <c r="BG37" s="510" t="str">
        <f t="shared" si="8"/>
        <v/>
      </c>
    </row>
    <row r="38" spans="1:59" s="510" customFormat="1" ht="15" customHeight="1" x14ac:dyDescent="0.25">
      <c r="A38" s="470">
        <v>17</v>
      </c>
      <c r="B38" s="1614"/>
      <c r="C38" s="1005"/>
      <c r="D38" s="1581"/>
      <c r="E38" s="1582"/>
      <c r="F38" s="1582"/>
      <c r="G38" s="1582"/>
      <c r="H38" s="1360"/>
      <c r="I38" s="1361"/>
      <c r="J38" s="1006"/>
      <c r="K38" s="1007"/>
      <c r="L38" s="1003" t="str">
        <f t="shared" si="0"/>
        <v xml:space="preserve"> </v>
      </c>
      <c r="M38" s="1003" t="str">
        <f t="shared" si="1"/>
        <v xml:space="preserve"> </v>
      </c>
      <c r="N38" s="1008" t="str">
        <f t="shared" si="19"/>
        <v xml:space="preserve"> </v>
      </c>
      <c r="O38" s="520"/>
      <c r="P38" s="520"/>
      <c r="Q38" s="574"/>
      <c r="R38" s="506"/>
      <c r="S38" s="506"/>
      <c r="T38" s="506"/>
      <c r="U38" s="1617"/>
      <c r="V38" s="90"/>
      <c r="W38" s="1024" t="str">
        <f ca="1">IF($C38="","",IFERROR(IF($C38="Parking Garage","NA",VLOOKUP($D38,INDIRECT('9.6 Table'!$P$338),W$11+S$5,FALSE)),"REQ"))</f>
        <v/>
      </c>
      <c r="X38" s="782"/>
      <c r="Y38" s="1026" t="str">
        <f ca="1">IF($C38="","",IFERROR(IF($C38="Parking Garage","NA",VLOOKUP($D38,INDIRECT('9.6 Table'!$P$338),Y$11+S$5,FALSE)),"REQ"))</f>
        <v/>
      </c>
      <c r="Z38" s="782"/>
      <c r="AA38" s="1026" t="str">
        <f ca="1">IF($C38="","",IFERROR(IF($C38="Parking Garage","NA",VLOOKUP($D38,INDIRECT('9.6 Table'!$P$338),AA$11+S$5,FALSE)),"REQ"))</f>
        <v/>
      </c>
      <c r="AB38" s="782"/>
      <c r="AC38" s="1026" t="str">
        <f ca="1">IF($C38="","",IFERROR(IF($C38="Parking Garage","NA",VLOOKUP($D38,INDIRECT('9.6 Table'!$P$338),AC$11+S$5,FALSE)),"REQ"))</f>
        <v/>
      </c>
      <c r="AD38" s="782"/>
      <c r="AE38" s="1026" t="str">
        <f ca="1">IF($C38="","",IFERROR(IF($C38="Parking Garage","NA",VLOOKUP($D38,INDIRECT('9.6 Table'!$P$338),AE$11+S$5,FALSE)),"REQ"))</f>
        <v/>
      </c>
      <c r="AF38" s="782"/>
      <c r="AG38" s="1026" t="str">
        <f ca="1">IF($C38="","",IFERROR(IF($C38="Parking Garage","NA",VLOOKUP($D38,INDIRECT('9.6 Table'!$P$338),AG$11+S$5,FALSE)),"REQ"))</f>
        <v/>
      </c>
      <c r="AH38" s="782"/>
      <c r="AI38" s="1026" t="str">
        <f ca="1">IF($C38="","",IFERROR(IF($C38="Parking Garage","NA",VLOOKUP($D38,INDIRECT('9.6 Table'!$P$338),AI$11+S$5,FALSE)),"REQ"))</f>
        <v/>
      </c>
      <c r="AJ38" s="782"/>
      <c r="AK38" s="1026" t="str">
        <f ca="1">IF($C38="","",IFERROR(IF($C38="Parking Garage","NA",VLOOKUP($D38,INDIRECT('9.6 Table'!$P$338),AK$11+S$5,FALSE)),"REQ"))</f>
        <v/>
      </c>
      <c r="AL38" s="782"/>
      <c r="AM38" s="1026" t="str">
        <f ca="1">IF($C38="","",IFERROR(IF($C38="Parking Garage","NA",VLOOKUP($D38,INDIRECT('9.6 Table'!$P$338),AM$11+S$5,FALSE)),"REQ"))</f>
        <v/>
      </c>
      <c r="AN38" s="782"/>
      <c r="AO38" s="1026" t="str">
        <f ca="1">IF($C38="","",IFERROR(VLOOKUP($D38,INDIRECT('9.6 Table'!$P$338),AO$11+S$5,FALSE),"REQ"))</f>
        <v/>
      </c>
      <c r="AP38" s="782"/>
      <c r="AQ38" s="992" t="str">
        <f t="shared" si="18"/>
        <v/>
      </c>
      <c r="AR38" s="512"/>
      <c r="AS38" s="507"/>
      <c r="AT38" s="508">
        <f t="shared" si="4"/>
        <v>0</v>
      </c>
      <c r="AU38" s="508">
        <f t="shared" si="5"/>
        <v>0</v>
      </c>
      <c r="AV38" s="508">
        <f t="shared" si="9"/>
        <v>0</v>
      </c>
      <c r="AW38" s="508">
        <f t="shared" si="10"/>
        <v>0</v>
      </c>
      <c r="AX38" s="508">
        <f t="shared" si="11"/>
        <v>0</v>
      </c>
      <c r="AY38" s="508">
        <f t="shared" si="12"/>
        <v>0</v>
      </c>
      <c r="AZ38" s="508">
        <f t="shared" si="13"/>
        <v>0</v>
      </c>
      <c r="BA38" s="508">
        <f t="shared" si="14"/>
        <v>0</v>
      </c>
      <c r="BB38" s="508">
        <f t="shared" si="15"/>
        <v>0</v>
      </c>
      <c r="BC38" s="508">
        <f t="shared" si="16"/>
        <v>0</v>
      </c>
      <c r="BD38" s="508">
        <f t="shared" si="6"/>
        <v>0</v>
      </c>
      <c r="BE38" s="508">
        <f t="shared" si="7"/>
        <v>0</v>
      </c>
      <c r="BF38" s="509">
        <f t="shared" si="17"/>
        <v>0</v>
      </c>
      <c r="BG38" s="510" t="str">
        <f t="shared" si="8"/>
        <v/>
      </c>
    </row>
    <row r="39" spans="1:59" s="510" customFormat="1" ht="15" customHeight="1" x14ac:dyDescent="0.25">
      <c r="A39" s="470">
        <v>18</v>
      </c>
      <c r="B39" s="1614"/>
      <c r="C39" s="1005"/>
      <c r="D39" s="1581"/>
      <c r="E39" s="1582"/>
      <c r="F39" s="1582"/>
      <c r="G39" s="1582"/>
      <c r="H39" s="1360"/>
      <c r="I39" s="1361"/>
      <c r="J39" s="1006"/>
      <c r="K39" s="1007"/>
      <c r="L39" s="1003" t="str">
        <f t="shared" si="0"/>
        <v xml:space="preserve"> </v>
      </c>
      <c r="M39" s="1003" t="str">
        <f t="shared" si="1"/>
        <v xml:space="preserve"> </v>
      </c>
      <c r="N39" s="1008" t="str">
        <f t="shared" si="19"/>
        <v xml:space="preserve"> </v>
      </c>
      <c r="O39" s="520"/>
      <c r="P39" s="520"/>
      <c r="Q39" s="574"/>
      <c r="R39" s="506"/>
      <c r="S39" s="506"/>
      <c r="T39" s="506"/>
      <c r="U39" s="1617"/>
      <c r="V39" s="90"/>
      <c r="W39" s="1024" t="str">
        <f ca="1">IF($C39="","",IFERROR(IF($C39="Parking Garage","NA",VLOOKUP($D39,INDIRECT('9.6 Table'!$P$338),W$11+S$5,FALSE)),"REQ"))</f>
        <v/>
      </c>
      <c r="X39" s="782"/>
      <c r="Y39" s="1026" t="str">
        <f ca="1">IF($C39="","",IFERROR(IF($C39="Parking Garage","NA",VLOOKUP($D39,INDIRECT('9.6 Table'!$P$338),Y$11+S$5,FALSE)),"REQ"))</f>
        <v/>
      </c>
      <c r="Z39" s="782"/>
      <c r="AA39" s="1026" t="str">
        <f ca="1">IF($C39="","",IFERROR(IF($C39="Parking Garage","NA",VLOOKUP($D39,INDIRECT('9.6 Table'!$P$338),AA$11+S$5,FALSE)),"REQ"))</f>
        <v/>
      </c>
      <c r="AB39" s="782"/>
      <c r="AC39" s="1026" t="str">
        <f ca="1">IF($C39="","",IFERROR(IF($C39="Parking Garage","NA",VLOOKUP($D39,INDIRECT('9.6 Table'!$P$338),AC$11+S$5,FALSE)),"REQ"))</f>
        <v/>
      </c>
      <c r="AD39" s="782"/>
      <c r="AE39" s="1026" t="str">
        <f ca="1">IF($C39="","",IFERROR(IF($C39="Parking Garage","NA",VLOOKUP($D39,INDIRECT('9.6 Table'!$P$338),AE$11+S$5,FALSE)),"REQ"))</f>
        <v/>
      </c>
      <c r="AF39" s="782"/>
      <c r="AG39" s="1026" t="str">
        <f ca="1">IF($C39="","",IFERROR(IF($C39="Parking Garage","NA",VLOOKUP($D39,INDIRECT('9.6 Table'!$P$338),AG$11+S$5,FALSE)),"REQ"))</f>
        <v/>
      </c>
      <c r="AH39" s="782"/>
      <c r="AI39" s="1026" t="str">
        <f ca="1">IF($C39="","",IFERROR(IF($C39="Parking Garage","NA",VLOOKUP($D39,INDIRECT('9.6 Table'!$P$338),AI$11+S$5,FALSE)),"REQ"))</f>
        <v/>
      </c>
      <c r="AJ39" s="782"/>
      <c r="AK39" s="1026" t="str">
        <f ca="1">IF($C39="","",IFERROR(IF($C39="Parking Garage","NA",VLOOKUP($D39,INDIRECT('9.6 Table'!$P$338),AK$11+S$5,FALSE)),"REQ"))</f>
        <v/>
      </c>
      <c r="AL39" s="782"/>
      <c r="AM39" s="1026" t="str">
        <f ca="1">IF($C39="","",IFERROR(IF($C39="Parking Garage","NA",VLOOKUP($D39,INDIRECT('9.6 Table'!$P$338),AM$11+S$5,FALSE)),"REQ"))</f>
        <v/>
      </c>
      <c r="AN39" s="782"/>
      <c r="AO39" s="1026" t="str">
        <f ca="1">IF($C39="","",IFERROR(VLOOKUP($D39,INDIRECT('9.6 Table'!$P$338),AO$11+S$5,FALSE),"REQ"))</f>
        <v/>
      </c>
      <c r="AP39" s="782"/>
      <c r="AQ39" s="992" t="str">
        <f t="shared" si="18"/>
        <v/>
      </c>
      <c r="AR39" s="512"/>
      <c r="AS39" s="507"/>
      <c r="AT39" s="508">
        <f t="shared" si="4"/>
        <v>0</v>
      </c>
      <c r="AU39" s="508">
        <f t="shared" si="5"/>
        <v>0</v>
      </c>
      <c r="AV39" s="508">
        <f t="shared" si="9"/>
        <v>0</v>
      </c>
      <c r="AW39" s="508">
        <f t="shared" si="10"/>
        <v>0</v>
      </c>
      <c r="AX39" s="508">
        <f t="shared" si="11"/>
        <v>0</v>
      </c>
      <c r="AY39" s="508">
        <f t="shared" si="12"/>
        <v>0</v>
      </c>
      <c r="AZ39" s="508">
        <f t="shared" si="13"/>
        <v>0</v>
      </c>
      <c r="BA39" s="508">
        <f t="shared" si="14"/>
        <v>0</v>
      </c>
      <c r="BB39" s="508">
        <f t="shared" si="15"/>
        <v>0</v>
      </c>
      <c r="BC39" s="508">
        <f t="shared" si="16"/>
        <v>0</v>
      </c>
      <c r="BD39" s="508">
        <f t="shared" si="6"/>
        <v>0</v>
      </c>
      <c r="BE39" s="508">
        <f t="shared" si="7"/>
        <v>0</v>
      </c>
      <c r="BF39" s="509">
        <f t="shared" si="17"/>
        <v>0</v>
      </c>
      <c r="BG39" s="510" t="str">
        <f t="shared" si="8"/>
        <v/>
      </c>
    </row>
    <row r="40" spans="1:59" s="510" customFormat="1" ht="15" customHeight="1" x14ac:dyDescent="0.25">
      <c r="A40" s="470">
        <v>19</v>
      </c>
      <c r="B40" s="1614"/>
      <c r="C40" s="1005"/>
      <c r="D40" s="1581"/>
      <c r="E40" s="1582"/>
      <c r="F40" s="1582"/>
      <c r="G40" s="1582"/>
      <c r="H40" s="1360"/>
      <c r="I40" s="1361"/>
      <c r="J40" s="1006"/>
      <c r="K40" s="1007"/>
      <c r="L40" s="1003" t="str">
        <f t="shared" si="0"/>
        <v xml:space="preserve"> </v>
      </c>
      <c r="M40" s="1003" t="str">
        <f t="shared" si="1"/>
        <v xml:space="preserve"> </v>
      </c>
      <c r="N40" s="1008" t="str">
        <f t="shared" si="19"/>
        <v xml:space="preserve"> </v>
      </c>
      <c r="O40" s="520"/>
      <c r="P40" s="520"/>
      <c r="Q40" s="574"/>
      <c r="R40" s="506"/>
      <c r="S40" s="506"/>
      <c r="T40" s="506"/>
      <c r="U40" s="1617"/>
      <c r="V40" s="90"/>
      <c r="W40" s="1024" t="str">
        <f ca="1">IF($C40="","",IFERROR(IF($C40="Parking Garage","NA",VLOOKUP($D40,INDIRECT('9.6 Table'!$P$338),W$11+S$5,FALSE)),"REQ"))</f>
        <v/>
      </c>
      <c r="X40" s="782"/>
      <c r="Y40" s="1026" t="str">
        <f ca="1">IF($C40="","",IFERROR(IF($C40="Parking Garage","NA",VLOOKUP($D40,INDIRECT('9.6 Table'!$P$338),Y$11+S$5,FALSE)),"REQ"))</f>
        <v/>
      </c>
      <c r="Z40" s="782"/>
      <c r="AA40" s="1026" t="str">
        <f ca="1">IF($C40="","",IFERROR(IF($C40="Parking Garage","NA",VLOOKUP($D40,INDIRECT('9.6 Table'!$P$338),AA$11+S$5,FALSE)),"REQ"))</f>
        <v/>
      </c>
      <c r="AB40" s="782"/>
      <c r="AC40" s="1026" t="str">
        <f ca="1">IF($C40="","",IFERROR(IF($C40="Parking Garage","NA",VLOOKUP($D40,INDIRECT('9.6 Table'!$P$338),AC$11+S$5,FALSE)),"REQ"))</f>
        <v/>
      </c>
      <c r="AD40" s="782"/>
      <c r="AE40" s="1026" t="str">
        <f ca="1">IF($C40="","",IFERROR(IF($C40="Parking Garage","NA",VLOOKUP($D40,INDIRECT('9.6 Table'!$P$338),AE$11+S$5,FALSE)),"REQ"))</f>
        <v/>
      </c>
      <c r="AF40" s="782"/>
      <c r="AG40" s="1026" t="str">
        <f ca="1">IF($C40="","",IFERROR(IF($C40="Parking Garage","NA",VLOOKUP($D40,INDIRECT('9.6 Table'!$P$338),AG$11+S$5,FALSE)),"REQ"))</f>
        <v/>
      </c>
      <c r="AH40" s="782"/>
      <c r="AI40" s="1026" t="str">
        <f ca="1">IF($C40="","",IFERROR(IF($C40="Parking Garage","NA",VLOOKUP($D40,INDIRECT('9.6 Table'!$P$338),AI$11+S$5,FALSE)),"REQ"))</f>
        <v/>
      </c>
      <c r="AJ40" s="782"/>
      <c r="AK40" s="1026" t="str">
        <f ca="1">IF($C40="","",IFERROR(IF($C40="Parking Garage","NA",VLOOKUP($D40,INDIRECT('9.6 Table'!$P$338),AK$11+S$5,FALSE)),"REQ"))</f>
        <v/>
      </c>
      <c r="AL40" s="782"/>
      <c r="AM40" s="1026" t="str">
        <f ca="1">IF($C40="","",IFERROR(IF($C40="Parking Garage","NA",VLOOKUP($D40,INDIRECT('9.6 Table'!$P$338),AM$11+S$5,FALSE)),"REQ"))</f>
        <v/>
      </c>
      <c r="AN40" s="782"/>
      <c r="AO40" s="1026" t="str">
        <f ca="1">IF($C40="","",IFERROR(VLOOKUP($D40,INDIRECT('9.6 Table'!$P$338),AO$11+S$5,FALSE),"REQ"))</f>
        <v/>
      </c>
      <c r="AP40" s="782"/>
      <c r="AQ40" s="992" t="str">
        <f t="shared" si="18"/>
        <v/>
      </c>
      <c r="AR40" s="512"/>
      <c r="AS40" s="507"/>
      <c r="AT40" s="508">
        <f t="shared" si="4"/>
        <v>0</v>
      </c>
      <c r="AU40" s="508">
        <f t="shared" si="5"/>
        <v>0</v>
      </c>
      <c r="AV40" s="508">
        <f t="shared" si="9"/>
        <v>0</v>
      </c>
      <c r="AW40" s="508">
        <f t="shared" si="10"/>
        <v>0</v>
      </c>
      <c r="AX40" s="508">
        <f t="shared" si="11"/>
        <v>0</v>
      </c>
      <c r="AY40" s="508">
        <f t="shared" si="12"/>
        <v>0</v>
      </c>
      <c r="AZ40" s="508">
        <f t="shared" si="13"/>
        <v>0</v>
      </c>
      <c r="BA40" s="508">
        <f t="shared" si="14"/>
        <v>0</v>
      </c>
      <c r="BB40" s="508">
        <f t="shared" si="15"/>
        <v>0</v>
      </c>
      <c r="BC40" s="508">
        <f t="shared" si="16"/>
        <v>0</v>
      </c>
      <c r="BD40" s="508">
        <f t="shared" si="6"/>
        <v>0</v>
      </c>
      <c r="BE40" s="508">
        <f t="shared" si="7"/>
        <v>0</v>
      </c>
      <c r="BF40" s="509">
        <f t="shared" si="17"/>
        <v>0</v>
      </c>
      <c r="BG40" s="510" t="str">
        <f t="shared" si="8"/>
        <v/>
      </c>
    </row>
    <row r="41" spans="1:59" s="510" customFormat="1" ht="15" customHeight="1" x14ac:dyDescent="0.25">
      <c r="A41" s="470">
        <v>20</v>
      </c>
      <c r="B41" s="1614"/>
      <c r="C41" s="1005"/>
      <c r="D41" s="1581"/>
      <c r="E41" s="1582"/>
      <c r="F41" s="1582"/>
      <c r="G41" s="1582"/>
      <c r="H41" s="1360"/>
      <c r="I41" s="1361"/>
      <c r="J41" s="1006"/>
      <c r="K41" s="1007"/>
      <c r="L41" s="1003" t="str">
        <f t="shared" si="0"/>
        <v xml:space="preserve"> </v>
      </c>
      <c r="M41" s="1003" t="str">
        <f t="shared" si="1"/>
        <v xml:space="preserve"> </v>
      </c>
      <c r="N41" s="1008" t="str">
        <f t="shared" si="19"/>
        <v xml:space="preserve"> </v>
      </c>
      <c r="O41" s="520"/>
      <c r="P41" s="520"/>
      <c r="Q41" s="574"/>
      <c r="R41" s="506"/>
      <c r="S41" s="506"/>
      <c r="T41" s="506"/>
      <c r="U41" s="1617"/>
      <c r="V41" s="90"/>
      <c r="W41" s="1024" t="str">
        <f ca="1">IF($C41="","",IFERROR(IF($C41="Parking Garage","NA",VLOOKUP($D41,INDIRECT('9.6 Table'!$P$338),W$11+S$5,FALSE)),"REQ"))</f>
        <v/>
      </c>
      <c r="X41" s="782"/>
      <c r="Y41" s="1026" t="str">
        <f ca="1">IF($C41="","",IFERROR(IF($C41="Parking Garage","NA",VLOOKUP($D41,INDIRECT('9.6 Table'!$P$338),Y$11+S$5,FALSE)),"REQ"))</f>
        <v/>
      </c>
      <c r="Z41" s="782"/>
      <c r="AA41" s="1026" t="str">
        <f ca="1">IF($C41="","",IFERROR(IF($C41="Parking Garage","NA",VLOOKUP($D41,INDIRECT('9.6 Table'!$P$338),AA$11+S$5,FALSE)),"REQ"))</f>
        <v/>
      </c>
      <c r="AB41" s="782"/>
      <c r="AC41" s="1026" t="str">
        <f ca="1">IF($C41="","",IFERROR(IF($C41="Parking Garage","NA",VLOOKUP($D41,INDIRECT('9.6 Table'!$P$338),AC$11+S$5,FALSE)),"REQ"))</f>
        <v/>
      </c>
      <c r="AD41" s="782"/>
      <c r="AE41" s="1026" t="str">
        <f ca="1">IF($C41="","",IFERROR(IF($C41="Parking Garage","NA",VLOOKUP($D41,INDIRECT('9.6 Table'!$P$338),AE$11+S$5,FALSE)),"REQ"))</f>
        <v/>
      </c>
      <c r="AF41" s="782"/>
      <c r="AG41" s="1026" t="str">
        <f ca="1">IF($C41="","",IFERROR(IF($C41="Parking Garage","NA",VLOOKUP($D41,INDIRECT('9.6 Table'!$P$338),AG$11+S$5,FALSE)),"REQ"))</f>
        <v/>
      </c>
      <c r="AH41" s="782"/>
      <c r="AI41" s="1026" t="str">
        <f ca="1">IF($C41="","",IFERROR(IF($C41="Parking Garage","NA",VLOOKUP($D41,INDIRECT('9.6 Table'!$P$338),AI$11+S$5,FALSE)),"REQ"))</f>
        <v/>
      </c>
      <c r="AJ41" s="782"/>
      <c r="AK41" s="1026" t="str">
        <f ca="1">IF($C41="","",IFERROR(IF($C41="Parking Garage","NA",VLOOKUP($D41,INDIRECT('9.6 Table'!$P$338),AK$11+S$5,FALSE)),"REQ"))</f>
        <v/>
      </c>
      <c r="AL41" s="782"/>
      <c r="AM41" s="1026" t="str">
        <f ca="1">IF($C41="","",IFERROR(IF($C41="Parking Garage","NA",VLOOKUP($D41,INDIRECT('9.6 Table'!$P$338),AM$11+S$5,FALSE)),"REQ"))</f>
        <v/>
      </c>
      <c r="AN41" s="782"/>
      <c r="AO41" s="1026" t="str">
        <f ca="1">IF($C41="","",IFERROR(VLOOKUP($D41,INDIRECT('9.6 Table'!$P$338),AO$11+S$5,FALSE),"REQ"))</f>
        <v/>
      </c>
      <c r="AP41" s="782"/>
      <c r="AQ41" s="992" t="str">
        <f t="shared" si="18"/>
        <v/>
      </c>
      <c r="AR41" s="512"/>
      <c r="AS41" s="507"/>
      <c r="AT41" s="508">
        <f t="shared" si="4"/>
        <v>0</v>
      </c>
      <c r="AU41" s="508">
        <f t="shared" si="5"/>
        <v>0</v>
      </c>
      <c r="AV41" s="508">
        <f t="shared" si="9"/>
        <v>0</v>
      </c>
      <c r="AW41" s="508">
        <f t="shared" si="10"/>
        <v>0</v>
      </c>
      <c r="AX41" s="508">
        <f t="shared" si="11"/>
        <v>0</v>
      </c>
      <c r="AY41" s="508">
        <f t="shared" si="12"/>
        <v>0</v>
      </c>
      <c r="AZ41" s="508">
        <f t="shared" si="13"/>
        <v>0</v>
      </c>
      <c r="BA41" s="508">
        <f t="shared" si="14"/>
        <v>0</v>
      </c>
      <c r="BB41" s="508">
        <f t="shared" si="15"/>
        <v>0</v>
      </c>
      <c r="BC41" s="508">
        <f t="shared" si="16"/>
        <v>0</v>
      </c>
      <c r="BD41" s="508">
        <f t="shared" si="6"/>
        <v>0</v>
      </c>
      <c r="BE41" s="508">
        <f t="shared" si="7"/>
        <v>0</v>
      </c>
      <c r="BF41" s="509">
        <f t="shared" si="17"/>
        <v>0</v>
      </c>
      <c r="BG41" s="510" t="str">
        <f t="shared" si="8"/>
        <v/>
      </c>
    </row>
    <row r="42" spans="1:59" s="510" customFormat="1" ht="15" customHeight="1" x14ac:dyDescent="0.25">
      <c r="A42" s="470">
        <v>21</v>
      </c>
      <c r="B42" s="1614"/>
      <c r="C42" s="1005"/>
      <c r="D42" s="1581"/>
      <c r="E42" s="1582"/>
      <c r="F42" s="1582"/>
      <c r="G42" s="1582"/>
      <c r="H42" s="1360"/>
      <c r="I42" s="1361"/>
      <c r="J42" s="1006"/>
      <c r="K42" s="1007"/>
      <c r="L42" s="1003" t="str">
        <f t="shared" si="0"/>
        <v xml:space="preserve"> </v>
      </c>
      <c r="M42" s="1003" t="str">
        <f t="shared" si="1"/>
        <v xml:space="preserve"> </v>
      </c>
      <c r="N42" s="1008" t="str">
        <f t="shared" si="19"/>
        <v xml:space="preserve"> </v>
      </c>
      <c r="O42" s="520"/>
      <c r="P42" s="520"/>
      <c r="Q42" s="574"/>
      <c r="R42" s="506"/>
      <c r="S42" s="506"/>
      <c r="T42" s="506"/>
      <c r="U42" s="1617"/>
      <c r="V42" s="90"/>
      <c r="W42" s="1024" t="str">
        <f ca="1">IF($C42="","",IFERROR(IF($C42="Parking Garage","NA",VLOOKUP($D42,INDIRECT('9.6 Table'!$P$338),W$11+S$5,FALSE)),"REQ"))</f>
        <v/>
      </c>
      <c r="X42" s="782"/>
      <c r="Y42" s="1026" t="str">
        <f ca="1">IF($C42="","",IFERROR(IF($C42="Parking Garage","NA",VLOOKUP($D42,INDIRECT('9.6 Table'!$P$338),Y$11+S$5,FALSE)),"REQ"))</f>
        <v/>
      </c>
      <c r="Z42" s="782"/>
      <c r="AA42" s="1026" t="str">
        <f ca="1">IF($C42="","",IFERROR(IF($C42="Parking Garage","NA",VLOOKUP($D42,INDIRECT('9.6 Table'!$P$338),AA$11+S$5,FALSE)),"REQ"))</f>
        <v/>
      </c>
      <c r="AB42" s="782"/>
      <c r="AC42" s="1026" t="str">
        <f ca="1">IF($C42="","",IFERROR(IF($C42="Parking Garage","NA",VLOOKUP($D42,INDIRECT('9.6 Table'!$P$338),AC$11+S$5,FALSE)),"REQ"))</f>
        <v/>
      </c>
      <c r="AD42" s="782"/>
      <c r="AE42" s="1026" t="str">
        <f ca="1">IF($C42="","",IFERROR(IF($C42="Parking Garage","NA",VLOOKUP($D42,INDIRECT('9.6 Table'!$P$338),AE$11+S$5,FALSE)),"REQ"))</f>
        <v/>
      </c>
      <c r="AF42" s="782"/>
      <c r="AG42" s="1026" t="str">
        <f ca="1">IF($C42="","",IFERROR(IF($C42="Parking Garage","NA",VLOOKUP($D42,INDIRECT('9.6 Table'!$P$338),AG$11+S$5,FALSE)),"REQ"))</f>
        <v/>
      </c>
      <c r="AH42" s="782"/>
      <c r="AI42" s="1026" t="str">
        <f ca="1">IF($C42="","",IFERROR(IF($C42="Parking Garage","NA",VLOOKUP($D42,INDIRECT('9.6 Table'!$P$338),AI$11+S$5,FALSE)),"REQ"))</f>
        <v/>
      </c>
      <c r="AJ42" s="782"/>
      <c r="AK42" s="1026" t="str">
        <f ca="1">IF($C42="","",IFERROR(IF($C42="Parking Garage","NA",VLOOKUP($D42,INDIRECT('9.6 Table'!$P$338),AK$11+S$5,FALSE)),"REQ"))</f>
        <v/>
      </c>
      <c r="AL42" s="782"/>
      <c r="AM42" s="1026" t="str">
        <f ca="1">IF($C42="","",IFERROR(IF($C42="Parking Garage","NA",VLOOKUP($D42,INDIRECT('9.6 Table'!$P$338),AM$11+S$5,FALSE)),"REQ"))</f>
        <v/>
      </c>
      <c r="AN42" s="782"/>
      <c r="AO42" s="1026" t="str">
        <f ca="1">IF($C42="","",IFERROR(VLOOKUP($D42,INDIRECT('9.6 Table'!$P$338),AO$11+S$5,FALSE),"REQ"))</f>
        <v/>
      </c>
      <c r="AP42" s="782"/>
      <c r="AQ42" s="992" t="str">
        <f t="shared" si="18"/>
        <v/>
      </c>
      <c r="AR42" s="512"/>
      <c r="AS42" s="507"/>
      <c r="AT42" s="508">
        <f t="shared" si="4"/>
        <v>0</v>
      </c>
      <c r="AU42" s="508">
        <f t="shared" si="5"/>
        <v>0</v>
      </c>
      <c r="AV42" s="508">
        <f t="shared" si="9"/>
        <v>0</v>
      </c>
      <c r="AW42" s="508">
        <f t="shared" si="10"/>
        <v>0</v>
      </c>
      <c r="AX42" s="508">
        <f t="shared" si="11"/>
        <v>0</v>
      </c>
      <c r="AY42" s="508">
        <f t="shared" si="12"/>
        <v>0</v>
      </c>
      <c r="AZ42" s="508">
        <f t="shared" si="13"/>
        <v>0</v>
      </c>
      <c r="BA42" s="508">
        <f t="shared" si="14"/>
        <v>0</v>
      </c>
      <c r="BB42" s="508">
        <f t="shared" si="15"/>
        <v>0</v>
      </c>
      <c r="BC42" s="508">
        <f t="shared" si="16"/>
        <v>0</v>
      </c>
      <c r="BD42" s="508">
        <f t="shared" si="6"/>
        <v>0</v>
      </c>
      <c r="BE42" s="508">
        <f t="shared" si="7"/>
        <v>0</v>
      </c>
      <c r="BF42" s="509">
        <f t="shared" si="17"/>
        <v>0</v>
      </c>
      <c r="BG42" s="510" t="str">
        <f t="shared" si="8"/>
        <v/>
      </c>
    </row>
    <row r="43" spans="1:59" s="510" customFormat="1" ht="15" customHeight="1" x14ac:dyDescent="0.25">
      <c r="A43" s="470">
        <v>22</v>
      </c>
      <c r="B43" s="1614"/>
      <c r="C43" s="1005"/>
      <c r="D43" s="1581"/>
      <c r="E43" s="1582"/>
      <c r="F43" s="1582"/>
      <c r="G43" s="1582"/>
      <c r="H43" s="1360"/>
      <c r="I43" s="1361"/>
      <c r="J43" s="1006"/>
      <c r="K43" s="1007"/>
      <c r="L43" s="1003" t="str">
        <f t="shared" si="0"/>
        <v xml:space="preserve"> </v>
      </c>
      <c r="M43" s="1003" t="str">
        <f t="shared" si="1"/>
        <v xml:space="preserve"> </v>
      </c>
      <c r="N43" s="1008" t="str">
        <f t="shared" si="19"/>
        <v xml:space="preserve"> </v>
      </c>
      <c r="O43" s="520"/>
      <c r="P43" s="520"/>
      <c r="Q43" s="574"/>
      <c r="R43" s="506"/>
      <c r="S43" s="506"/>
      <c r="T43" s="506"/>
      <c r="U43" s="1617"/>
      <c r="V43" s="90"/>
      <c r="W43" s="1024" t="str">
        <f ca="1">IF($C43="","",IFERROR(IF($C43="Parking Garage","NA",VLOOKUP($D43,INDIRECT('9.6 Table'!$P$338),W$11+S$5,FALSE)),"REQ"))</f>
        <v/>
      </c>
      <c r="X43" s="782"/>
      <c r="Y43" s="1026" t="str">
        <f ca="1">IF($C43="","",IFERROR(IF($C43="Parking Garage","NA",VLOOKUP($D43,INDIRECT('9.6 Table'!$P$338),Y$11+S$5,FALSE)),"REQ"))</f>
        <v/>
      </c>
      <c r="Z43" s="782"/>
      <c r="AA43" s="1026" t="str">
        <f ca="1">IF($C43="","",IFERROR(IF($C43="Parking Garage","NA",VLOOKUP($D43,INDIRECT('9.6 Table'!$P$338),AA$11+S$5,FALSE)),"REQ"))</f>
        <v/>
      </c>
      <c r="AB43" s="782"/>
      <c r="AC43" s="1026" t="str">
        <f ca="1">IF($C43="","",IFERROR(IF($C43="Parking Garage","NA",VLOOKUP($D43,INDIRECT('9.6 Table'!$P$338),AC$11+S$5,FALSE)),"REQ"))</f>
        <v/>
      </c>
      <c r="AD43" s="782"/>
      <c r="AE43" s="1026" t="str">
        <f ca="1">IF($C43="","",IFERROR(IF($C43="Parking Garage","NA",VLOOKUP($D43,INDIRECT('9.6 Table'!$P$338),AE$11+S$5,FALSE)),"REQ"))</f>
        <v/>
      </c>
      <c r="AF43" s="782"/>
      <c r="AG43" s="1026" t="str">
        <f ca="1">IF($C43="","",IFERROR(IF($C43="Parking Garage","NA",VLOOKUP($D43,INDIRECT('9.6 Table'!$P$338),AG$11+S$5,FALSE)),"REQ"))</f>
        <v/>
      </c>
      <c r="AH43" s="782"/>
      <c r="AI43" s="1026" t="str">
        <f ca="1">IF($C43="","",IFERROR(IF($C43="Parking Garage","NA",VLOOKUP($D43,INDIRECT('9.6 Table'!$P$338),AI$11+S$5,FALSE)),"REQ"))</f>
        <v/>
      </c>
      <c r="AJ43" s="782"/>
      <c r="AK43" s="1026" t="str">
        <f ca="1">IF($C43="","",IFERROR(IF($C43="Parking Garage","NA",VLOOKUP($D43,INDIRECT('9.6 Table'!$P$338),AK$11+S$5,FALSE)),"REQ"))</f>
        <v/>
      </c>
      <c r="AL43" s="782"/>
      <c r="AM43" s="1026" t="str">
        <f ca="1">IF($C43="","",IFERROR(IF($C43="Parking Garage","NA",VLOOKUP($D43,INDIRECT('9.6 Table'!$P$338),AM$11+S$5,FALSE)),"REQ"))</f>
        <v/>
      </c>
      <c r="AN43" s="782"/>
      <c r="AO43" s="1026" t="str">
        <f ca="1">IF($C43="","",IFERROR(VLOOKUP($D43,INDIRECT('9.6 Table'!$P$338),AO$11+S$5,FALSE),"REQ"))</f>
        <v/>
      </c>
      <c r="AP43" s="782"/>
      <c r="AQ43" s="992" t="str">
        <f t="shared" si="18"/>
        <v/>
      </c>
      <c r="AR43" s="512"/>
      <c r="AS43" s="507"/>
      <c r="AT43" s="508">
        <f t="shared" si="4"/>
        <v>0</v>
      </c>
      <c r="AU43" s="508">
        <f t="shared" si="5"/>
        <v>0</v>
      </c>
      <c r="AV43" s="508">
        <f t="shared" si="9"/>
        <v>0</v>
      </c>
      <c r="AW43" s="508">
        <f t="shared" si="10"/>
        <v>0</v>
      </c>
      <c r="AX43" s="508">
        <f t="shared" si="11"/>
        <v>0</v>
      </c>
      <c r="AY43" s="508">
        <f t="shared" si="12"/>
        <v>0</v>
      </c>
      <c r="AZ43" s="508">
        <f t="shared" si="13"/>
        <v>0</v>
      </c>
      <c r="BA43" s="508">
        <f t="shared" si="14"/>
        <v>0</v>
      </c>
      <c r="BB43" s="508">
        <f t="shared" si="15"/>
        <v>0</v>
      </c>
      <c r="BC43" s="508">
        <f t="shared" si="16"/>
        <v>0</v>
      </c>
      <c r="BD43" s="508">
        <f t="shared" si="6"/>
        <v>0</v>
      </c>
      <c r="BE43" s="508">
        <f t="shared" si="7"/>
        <v>0</v>
      </c>
      <c r="BF43" s="509">
        <f t="shared" si="17"/>
        <v>0</v>
      </c>
      <c r="BG43" s="510" t="str">
        <f t="shared" si="8"/>
        <v/>
      </c>
    </row>
    <row r="44" spans="1:59" s="510" customFormat="1" ht="15" customHeight="1" x14ac:dyDescent="0.25">
      <c r="A44" s="470">
        <v>23</v>
      </c>
      <c r="B44" s="1614"/>
      <c r="C44" s="1005"/>
      <c r="D44" s="1581"/>
      <c r="E44" s="1582"/>
      <c r="F44" s="1582"/>
      <c r="G44" s="1582"/>
      <c r="H44" s="1360"/>
      <c r="I44" s="1361"/>
      <c r="J44" s="1006"/>
      <c r="K44" s="1007"/>
      <c r="L44" s="1003" t="str">
        <f t="shared" si="0"/>
        <v xml:space="preserve"> </v>
      </c>
      <c r="M44" s="1003" t="str">
        <f t="shared" si="1"/>
        <v xml:space="preserve"> </v>
      </c>
      <c r="N44" s="1008" t="str">
        <f t="shared" si="19"/>
        <v xml:space="preserve"> </v>
      </c>
      <c r="O44" s="520"/>
      <c r="P44" s="520"/>
      <c r="Q44" s="574"/>
      <c r="R44" s="506"/>
      <c r="S44" s="506"/>
      <c r="T44" s="506"/>
      <c r="U44" s="1617"/>
      <c r="V44" s="90"/>
      <c r="W44" s="1024" t="str">
        <f ca="1">IF($C44="","",IFERROR(IF($C44="Parking Garage","NA",VLOOKUP($D44,INDIRECT('9.6 Table'!$P$338),W$11+S$5,FALSE)),"REQ"))</f>
        <v/>
      </c>
      <c r="X44" s="782"/>
      <c r="Y44" s="1026" t="str">
        <f ca="1">IF($C44="","",IFERROR(IF($C44="Parking Garage","NA",VLOOKUP($D44,INDIRECT('9.6 Table'!$P$338),Y$11+S$5,FALSE)),"REQ"))</f>
        <v/>
      </c>
      <c r="Z44" s="782"/>
      <c r="AA44" s="1026" t="str">
        <f ca="1">IF($C44="","",IFERROR(IF($C44="Parking Garage","NA",VLOOKUP($D44,INDIRECT('9.6 Table'!$P$338),AA$11+S$5,FALSE)),"REQ"))</f>
        <v/>
      </c>
      <c r="AB44" s="782"/>
      <c r="AC44" s="1026" t="str">
        <f ca="1">IF($C44="","",IFERROR(IF($C44="Parking Garage","NA",VLOOKUP($D44,INDIRECT('9.6 Table'!$P$338),AC$11+S$5,FALSE)),"REQ"))</f>
        <v/>
      </c>
      <c r="AD44" s="782"/>
      <c r="AE44" s="1026" t="str">
        <f ca="1">IF($C44="","",IFERROR(IF($C44="Parking Garage","NA",VLOOKUP($D44,INDIRECT('9.6 Table'!$P$338),AE$11+S$5,FALSE)),"REQ"))</f>
        <v/>
      </c>
      <c r="AF44" s="782"/>
      <c r="AG44" s="1026" t="str">
        <f ca="1">IF($C44="","",IFERROR(IF($C44="Parking Garage","NA",VLOOKUP($D44,INDIRECT('9.6 Table'!$P$338),AG$11+S$5,FALSE)),"REQ"))</f>
        <v/>
      </c>
      <c r="AH44" s="782"/>
      <c r="AI44" s="1026" t="str">
        <f ca="1">IF($C44="","",IFERROR(IF($C44="Parking Garage","NA",VLOOKUP($D44,INDIRECT('9.6 Table'!$P$338),AI$11+S$5,FALSE)),"REQ"))</f>
        <v/>
      </c>
      <c r="AJ44" s="782"/>
      <c r="AK44" s="1026" t="str">
        <f ca="1">IF($C44="","",IFERROR(IF($C44="Parking Garage","NA",VLOOKUP($D44,INDIRECT('9.6 Table'!$P$338),AK$11+S$5,FALSE)),"REQ"))</f>
        <v/>
      </c>
      <c r="AL44" s="782"/>
      <c r="AM44" s="1026" t="str">
        <f ca="1">IF($C44="","",IFERROR(IF($C44="Parking Garage","NA",VLOOKUP($D44,INDIRECT('9.6 Table'!$P$338),AM$11+S$5,FALSE)),"REQ"))</f>
        <v/>
      </c>
      <c r="AN44" s="782"/>
      <c r="AO44" s="1026" t="str">
        <f ca="1">IF($C44="","",IFERROR(VLOOKUP($D44,INDIRECT('9.6 Table'!$P$338),AO$11+S$5,FALSE),"REQ"))</f>
        <v/>
      </c>
      <c r="AP44" s="782"/>
      <c r="AQ44" s="992" t="str">
        <f t="shared" si="18"/>
        <v/>
      </c>
      <c r="AR44" s="512"/>
      <c r="AS44" s="507"/>
      <c r="AT44" s="508">
        <f t="shared" si="4"/>
        <v>0</v>
      </c>
      <c r="AU44" s="508">
        <f t="shared" si="5"/>
        <v>0</v>
      </c>
      <c r="AV44" s="508">
        <f t="shared" si="9"/>
        <v>0</v>
      </c>
      <c r="AW44" s="508">
        <f t="shared" si="10"/>
        <v>0</v>
      </c>
      <c r="AX44" s="508">
        <f t="shared" si="11"/>
        <v>0</v>
      </c>
      <c r="AY44" s="508">
        <f t="shared" si="12"/>
        <v>0</v>
      </c>
      <c r="AZ44" s="508">
        <f t="shared" si="13"/>
        <v>0</v>
      </c>
      <c r="BA44" s="508">
        <f t="shared" si="14"/>
        <v>0</v>
      </c>
      <c r="BB44" s="508">
        <f t="shared" si="15"/>
        <v>0</v>
      </c>
      <c r="BC44" s="508">
        <f t="shared" si="16"/>
        <v>0</v>
      </c>
      <c r="BD44" s="508">
        <f t="shared" si="6"/>
        <v>0</v>
      </c>
      <c r="BE44" s="508">
        <f t="shared" si="7"/>
        <v>0</v>
      </c>
      <c r="BF44" s="509">
        <f t="shared" si="17"/>
        <v>0</v>
      </c>
      <c r="BG44" s="510" t="str">
        <f t="shared" si="8"/>
        <v/>
      </c>
    </row>
    <row r="45" spans="1:59" s="510" customFormat="1" ht="15" customHeight="1" x14ac:dyDescent="0.25">
      <c r="A45" s="470">
        <v>24</v>
      </c>
      <c r="B45" s="1614"/>
      <c r="C45" s="1005"/>
      <c r="D45" s="1581"/>
      <c r="E45" s="1582"/>
      <c r="F45" s="1582"/>
      <c r="G45" s="1582"/>
      <c r="H45" s="1360"/>
      <c r="I45" s="1361"/>
      <c r="J45" s="1006"/>
      <c r="K45" s="1007"/>
      <c r="L45" s="1003" t="str">
        <f t="shared" si="0"/>
        <v xml:space="preserve"> </v>
      </c>
      <c r="M45" s="1003" t="str">
        <f t="shared" si="1"/>
        <v xml:space="preserve"> </v>
      </c>
      <c r="N45" s="1008" t="str">
        <f t="shared" si="19"/>
        <v xml:space="preserve"> </v>
      </c>
      <c r="O45" s="520"/>
      <c r="P45" s="520"/>
      <c r="Q45" s="574"/>
      <c r="R45" s="506"/>
      <c r="S45" s="506"/>
      <c r="T45" s="506"/>
      <c r="U45" s="1617"/>
      <c r="V45" s="90"/>
      <c r="W45" s="1024" t="str">
        <f ca="1">IF($C45="","",IFERROR(IF($C45="Parking Garage","NA",VLOOKUP($D45,INDIRECT('9.6 Table'!$P$338),W$11+S$5,FALSE)),"REQ"))</f>
        <v/>
      </c>
      <c r="X45" s="782"/>
      <c r="Y45" s="1026" t="str">
        <f ca="1">IF($C45="","",IFERROR(IF($C45="Parking Garage","NA",VLOOKUP($D45,INDIRECT('9.6 Table'!$P$338),Y$11+S$5,FALSE)),"REQ"))</f>
        <v/>
      </c>
      <c r="Z45" s="782"/>
      <c r="AA45" s="1026" t="str">
        <f ca="1">IF($C45="","",IFERROR(IF($C45="Parking Garage","NA",VLOOKUP($D45,INDIRECT('9.6 Table'!$P$338),AA$11+S$5,FALSE)),"REQ"))</f>
        <v/>
      </c>
      <c r="AB45" s="782"/>
      <c r="AC45" s="1026" t="str">
        <f ca="1">IF($C45="","",IFERROR(IF($C45="Parking Garage","NA",VLOOKUP($D45,INDIRECT('9.6 Table'!$P$338),AC$11+S$5,FALSE)),"REQ"))</f>
        <v/>
      </c>
      <c r="AD45" s="782"/>
      <c r="AE45" s="1026" t="str">
        <f ca="1">IF($C45="","",IFERROR(IF($C45="Parking Garage","NA",VLOOKUP($D45,INDIRECT('9.6 Table'!$P$338),AE$11+S$5,FALSE)),"REQ"))</f>
        <v/>
      </c>
      <c r="AF45" s="782"/>
      <c r="AG45" s="1026" t="str">
        <f ca="1">IF($C45="","",IFERROR(IF($C45="Parking Garage","NA",VLOOKUP($D45,INDIRECT('9.6 Table'!$P$338),AG$11+S$5,FALSE)),"REQ"))</f>
        <v/>
      </c>
      <c r="AH45" s="782"/>
      <c r="AI45" s="1026" t="str">
        <f ca="1">IF($C45="","",IFERROR(IF($C45="Parking Garage","NA",VLOOKUP($D45,INDIRECT('9.6 Table'!$P$338),AI$11+S$5,FALSE)),"REQ"))</f>
        <v/>
      </c>
      <c r="AJ45" s="782"/>
      <c r="AK45" s="1026" t="str">
        <f ca="1">IF($C45="","",IFERROR(IF($C45="Parking Garage","NA",VLOOKUP($D45,INDIRECT('9.6 Table'!$P$338),AK$11+S$5,FALSE)),"REQ"))</f>
        <v/>
      </c>
      <c r="AL45" s="782"/>
      <c r="AM45" s="1026" t="str">
        <f ca="1">IF($C45="","",IFERROR(IF($C45="Parking Garage","NA",VLOOKUP($D45,INDIRECT('9.6 Table'!$P$338),AM$11+S$5,FALSE)),"REQ"))</f>
        <v/>
      </c>
      <c r="AN45" s="782"/>
      <c r="AO45" s="1026" t="str">
        <f ca="1">IF($C45="","",IFERROR(VLOOKUP($D45,INDIRECT('9.6 Table'!$P$338),AO$11+S$5,FALSE),"REQ"))</f>
        <v/>
      </c>
      <c r="AP45" s="782"/>
      <c r="AQ45" s="992" t="str">
        <f t="shared" si="18"/>
        <v/>
      </c>
      <c r="AR45" s="512"/>
      <c r="AS45" s="507"/>
      <c r="AT45" s="508">
        <f t="shared" si="4"/>
        <v>0</v>
      </c>
      <c r="AU45" s="508">
        <f t="shared" si="5"/>
        <v>0</v>
      </c>
      <c r="AV45" s="508">
        <f t="shared" si="9"/>
        <v>0</v>
      </c>
      <c r="AW45" s="508">
        <f t="shared" si="10"/>
        <v>0</v>
      </c>
      <c r="AX45" s="508">
        <f t="shared" si="11"/>
        <v>0</v>
      </c>
      <c r="AY45" s="508">
        <f t="shared" si="12"/>
        <v>0</v>
      </c>
      <c r="AZ45" s="508">
        <f t="shared" si="13"/>
        <v>0</v>
      </c>
      <c r="BA45" s="508">
        <f t="shared" si="14"/>
        <v>0</v>
      </c>
      <c r="BB45" s="508">
        <f t="shared" si="15"/>
        <v>0</v>
      </c>
      <c r="BC45" s="508">
        <f t="shared" si="16"/>
        <v>0</v>
      </c>
      <c r="BD45" s="508">
        <f t="shared" si="6"/>
        <v>0</v>
      </c>
      <c r="BE45" s="508">
        <f t="shared" si="7"/>
        <v>0</v>
      </c>
      <c r="BF45" s="509">
        <f t="shared" si="17"/>
        <v>0</v>
      </c>
      <c r="BG45" s="510" t="str">
        <f t="shared" si="8"/>
        <v/>
      </c>
    </row>
    <row r="46" spans="1:59" s="510" customFormat="1" ht="15" customHeight="1" thickBot="1" x14ac:dyDescent="0.3">
      <c r="A46" s="470">
        <v>25</v>
      </c>
      <c r="B46" s="1614"/>
      <c r="C46" s="1009"/>
      <c r="D46" s="1601"/>
      <c r="E46" s="1602"/>
      <c r="F46" s="1602"/>
      <c r="G46" s="1602"/>
      <c r="H46" s="1362"/>
      <c r="I46" s="1232"/>
      <c r="J46" s="1010"/>
      <c r="K46" s="1011"/>
      <c r="L46" s="1012" t="str">
        <f t="shared" si="0"/>
        <v xml:space="preserve"> </v>
      </c>
      <c r="M46" s="1012" t="str">
        <f t="shared" si="1"/>
        <v xml:space="preserve"> </v>
      </c>
      <c r="N46" s="1013" t="str">
        <f t="shared" si="19"/>
        <v xml:space="preserve"> </v>
      </c>
      <c r="O46" s="520"/>
      <c r="P46" s="520"/>
      <c r="Q46" s="574"/>
      <c r="R46" s="506"/>
      <c r="S46" s="506"/>
      <c r="T46" s="506"/>
      <c r="U46" s="1617"/>
      <c r="V46" s="90"/>
      <c r="W46" s="993" t="str">
        <f ca="1">IF($C46="","",IFERROR(IF($C46="Parking Garage","NA",VLOOKUP($D46,INDIRECT('9.6 Table'!$P$338),W$11+S$5,FALSE)),"REQ"))</f>
        <v/>
      </c>
      <c r="X46" s="994"/>
      <c r="Y46" s="995" t="str">
        <f ca="1">IF($C46="","",IFERROR(IF($C46="Parking Garage","NA",VLOOKUP($D46,INDIRECT('9.6 Table'!$P$338),Y$11+S$5,FALSE)),"REQ"))</f>
        <v/>
      </c>
      <c r="Z46" s="994"/>
      <c r="AA46" s="995" t="str">
        <f ca="1">IF($C46="","",IFERROR(IF($C46="Parking Garage","NA",VLOOKUP($D46,INDIRECT('9.6 Table'!$P$338),AA$11+S$5,FALSE)),"REQ"))</f>
        <v/>
      </c>
      <c r="AB46" s="994"/>
      <c r="AC46" s="995" t="str">
        <f ca="1">IF($C46="","",IFERROR(IF($C46="Parking Garage","NA",VLOOKUP($D46,INDIRECT('9.6 Table'!$P$338),AC$11+S$5,FALSE)),"REQ"))</f>
        <v/>
      </c>
      <c r="AD46" s="994"/>
      <c r="AE46" s="995" t="str">
        <f ca="1">IF($C46="","",IFERROR(IF($C46="Parking Garage","NA",VLOOKUP($D46,INDIRECT('9.6 Table'!$P$338),AE$11+S$5,FALSE)),"REQ"))</f>
        <v/>
      </c>
      <c r="AF46" s="994"/>
      <c r="AG46" s="995" t="str">
        <f ca="1">IF($C46="","",IFERROR(IF($C46="Parking Garage","NA",VLOOKUP($D46,INDIRECT('9.6 Table'!$P$338),AG$11+S$5,FALSE)),"REQ"))</f>
        <v/>
      </c>
      <c r="AH46" s="994"/>
      <c r="AI46" s="995" t="str">
        <f ca="1">IF($C46="","",IFERROR(IF($C46="Parking Garage","NA",VLOOKUP($D46,INDIRECT('9.6 Table'!$P$338),AI$11+S$5,FALSE)),"REQ"))</f>
        <v/>
      </c>
      <c r="AJ46" s="994"/>
      <c r="AK46" s="995" t="str">
        <f ca="1">IF($C46="","",IFERROR(IF($C46="Parking Garage","NA",VLOOKUP($D46,INDIRECT('9.6 Table'!$P$338),AK$11,FALSE)),"REQ"))</f>
        <v/>
      </c>
      <c r="AL46" s="994"/>
      <c r="AM46" s="995" t="str">
        <f ca="1">IF($C46="","",IFERROR(IF($C46="Parking Garage","NA",VLOOKUP($D46,INDIRECT('9.6 Table'!$P$338),AM$11+S$5,FALSE)),"REQ"))</f>
        <v/>
      </c>
      <c r="AN46" s="994"/>
      <c r="AO46" s="995" t="str">
        <f ca="1">IF($C46="","",IFERROR(VLOOKUP($D46,INDIRECT('9.6 Table'!$P$338),AO$11+S$5,FALSE),"REQ"))</f>
        <v/>
      </c>
      <c r="AP46" s="994"/>
      <c r="AQ46" s="996" t="str">
        <f t="shared" si="18"/>
        <v/>
      </c>
      <c r="AR46" s="513"/>
      <c r="AS46" s="507"/>
      <c r="AT46" s="508">
        <f t="shared" si="4"/>
        <v>0</v>
      </c>
      <c r="AU46" s="508">
        <f t="shared" si="5"/>
        <v>0</v>
      </c>
      <c r="AV46" s="508">
        <f t="shared" si="9"/>
        <v>0</v>
      </c>
      <c r="AW46" s="508">
        <f t="shared" si="10"/>
        <v>0</v>
      </c>
      <c r="AX46" s="508">
        <f t="shared" si="11"/>
        <v>0</v>
      </c>
      <c r="AY46" s="508">
        <f t="shared" si="12"/>
        <v>0</v>
      </c>
      <c r="AZ46" s="508">
        <f t="shared" si="13"/>
        <v>0</v>
      </c>
      <c r="BA46" s="508">
        <f t="shared" si="14"/>
        <v>0</v>
      </c>
      <c r="BB46" s="508">
        <f t="shared" si="15"/>
        <v>0</v>
      </c>
      <c r="BC46" s="508">
        <f t="shared" si="16"/>
        <v>0</v>
      </c>
      <c r="BD46" s="508">
        <f t="shared" si="6"/>
        <v>0</v>
      </c>
      <c r="BE46" s="508">
        <f t="shared" si="7"/>
        <v>0</v>
      </c>
      <c r="BF46" s="509">
        <f t="shared" si="17"/>
        <v>0</v>
      </c>
      <c r="BG46" s="510" t="str">
        <f t="shared" si="8"/>
        <v/>
      </c>
    </row>
    <row r="47" spans="1:59" s="43" customFormat="1" ht="10.5" x14ac:dyDescent="0.25">
      <c r="O47" s="500"/>
      <c r="P47" s="521"/>
      <c r="Q47" s="236"/>
      <c r="R47" s="236"/>
      <c r="S47" s="236"/>
      <c r="T47" s="236"/>
      <c r="U47" s="236"/>
      <c r="V47" s="236"/>
      <c r="AS47" s="179"/>
      <c r="AT47" s="501">
        <f>SUM(AT22:AT46)</f>
        <v>0</v>
      </c>
      <c r="AU47" s="501">
        <f>AT47</f>
        <v>0</v>
      </c>
      <c r="AV47" s="501">
        <f t="shared" ref="AV47:BD47" si="20">IF(SUM(AV22:AV46)&gt;=$AT47,$AT47,SUM(AV22:AV46))</f>
        <v>0</v>
      </c>
      <c r="AW47" s="501">
        <f t="shared" si="20"/>
        <v>0</v>
      </c>
      <c r="AX47" s="501">
        <f t="shared" si="20"/>
        <v>0</v>
      </c>
      <c r="AY47" s="501">
        <f t="shared" si="20"/>
        <v>0</v>
      </c>
      <c r="AZ47" s="501">
        <f t="shared" si="20"/>
        <v>0</v>
      </c>
      <c r="BA47" s="501">
        <f t="shared" si="20"/>
        <v>0</v>
      </c>
      <c r="BB47" s="501">
        <f t="shared" si="20"/>
        <v>0</v>
      </c>
      <c r="BC47" s="501">
        <f t="shared" si="20"/>
        <v>0</v>
      </c>
      <c r="BD47" s="501">
        <f t="shared" si="20"/>
        <v>0</v>
      </c>
      <c r="BE47" s="501">
        <f>IF(SUM(BE22:BE46)&gt;=$AT47,$AT47,SUM(BE22:BE46))</f>
        <v>0</v>
      </c>
    </row>
    <row r="48" spans="1:59" x14ac:dyDescent="0.25">
      <c r="C48" s="121"/>
      <c r="D48" s="67"/>
      <c r="E48" s="122"/>
      <c r="F48" s="122"/>
      <c r="G48" s="121"/>
      <c r="H48" s="121"/>
      <c r="I48" s="121"/>
      <c r="J48" s="121"/>
      <c r="K48" s="121"/>
      <c r="L48" s="63"/>
      <c r="M48" s="63"/>
      <c r="N48" s="63"/>
      <c r="O48" s="237"/>
      <c r="P48" s="73"/>
      <c r="Q48" s="73"/>
      <c r="R48" s="73"/>
      <c r="S48" s="73"/>
      <c r="T48" s="73"/>
      <c r="U48" s="73"/>
      <c r="V48" s="73"/>
      <c r="W48" s="115">
        <f>IF(W15="Incomplete",1,0)</f>
        <v>0</v>
      </c>
      <c r="X48" s="115">
        <f>IF(W15="Incomplete",1,0)</f>
        <v>0</v>
      </c>
      <c r="Y48" s="115">
        <f>IF(Y15="Incomplete",1,0)</f>
        <v>0</v>
      </c>
      <c r="Z48" s="115">
        <f>IF(Y15="Incomplete",1,0)</f>
        <v>0</v>
      </c>
      <c r="AA48" s="115">
        <f>IF(AA15="Incomplete",1,0)</f>
        <v>0</v>
      </c>
      <c r="AB48" s="115">
        <f>IF(AA15="Incomplete",1,0)</f>
        <v>0</v>
      </c>
      <c r="AC48" s="115">
        <f>IF(AC15="Incomplete",1,0)</f>
        <v>0</v>
      </c>
      <c r="AD48" s="115">
        <f>IF(AC15="Incomplete",1,0)</f>
        <v>0</v>
      </c>
      <c r="AE48" s="115">
        <f>IF(AE15="Incomplete",1,0)</f>
        <v>0</v>
      </c>
      <c r="AF48" s="115">
        <f>IF(AE15="Incomplete",1,0)</f>
        <v>0</v>
      </c>
      <c r="AG48" s="115">
        <f>IF(AG15="Incomplete",1,0)</f>
        <v>0</v>
      </c>
      <c r="AH48" s="115">
        <f>IF(AG15="Incomplete",1,0)</f>
        <v>0</v>
      </c>
      <c r="AI48" s="115">
        <f>IF(AI15="Incomplete",1,0)</f>
        <v>0</v>
      </c>
      <c r="AJ48" s="115">
        <f>IF(AI15="Incomplete",1,0)</f>
        <v>0</v>
      </c>
      <c r="AK48" s="115">
        <f>IF(AK15="Incomplete",1,0)</f>
        <v>0</v>
      </c>
      <c r="AL48" s="115">
        <f>IF(AK15="Incomplete",1,0)</f>
        <v>0</v>
      </c>
      <c r="AM48" s="115">
        <f>IF(AM15="Incomplete",1,0)</f>
        <v>0</v>
      </c>
      <c r="AN48" s="115">
        <f>IF(AM15="Incomplete",1,0)</f>
        <v>0</v>
      </c>
      <c r="AO48" s="115">
        <f>IF(AO15="Incomplete",1,0)</f>
        <v>0</v>
      </c>
      <c r="AP48" s="115">
        <f>IF(AO15="Incomplete",1,0)</f>
        <v>0</v>
      </c>
      <c r="AQ48" s="115">
        <f>IF(AQ15="Incomplete",1,0)</f>
        <v>0</v>
      </c>
      <c r="AR48" s="63"/>
      <c r="AS48" s="63"/>
      <c r="AU48" s="43"/>
      <c r="AX48" s="43"/>
      <c r="BA48" s="43"/>
      <c r="BD48" s="43"/>
    </row>
    <row r="49" spans="1:57" ht="13" thickBot="1" x14ac:dyDescent="0.3">
      <c r="C49" s="43"/>
      <c r="D49" s="43"/>
      <c r="E49" s="43"/>
      <c r="F49" s="43"/>
      <c r="G49" s="43"/>
      <c r="H49" s="43"/>
      <c r="I49" s="43"/>
      <c r="J49" s="43"/>
      <c r="K49" s="43"/>
      <c r="L49" s="43"/>
      <c r="M49" s="43"/>
      <c r="N49" s="43"/>
      <c r="O49" s="491"/>
      <c r="P49" s="491"/>
      <c r="Q49" s="237"/>
      <c r="R49" s="237"/>
      <c r="S49" s="237"/>
      <c r="T49" s="237"/>
      <c r="U49" s="237"/>
      <c r="V49" s="237"/>
      <c r="W49" s="43"/>
      <c r="X49" s="43"/>
      <c r="Y49" s="43"/>
      <c r="Z49" s="43"/>
      <c r="AA49" s="43"/>
      <c r="AB49" s="43"/>
      <c r="AC49" s="43"/>
      <c r="AD49" s="43"/>
      <c r="AE49" s="43"/>
      <c r="AF49" s="43"/>
      <c r="AG49" s="490"/>
      <c r="AH49" s="315"/>
      <c r="AO49" s="43"/>
      <c r="AP49" s="43"/>
      <c r="AV49" s="43"/>
      <c r="AY49" s="43"/>
      <c r="BB49" s="43"/>
      <c r="BE49" s="43"/>
    </row>
    <row r="50" spans="1:57" ht="22.5" customHeight="1" x14ac:dyDescent="0.25">
      <c r="C50" s="1612" t="s">
        <v>135</v>
      </c>
      <c r="D50" s="1613"/>
      <c r="E50" s="1605" t="s">
        <v>136</v>
      </c>
      <c r="F50" s="1607"/>
      <c r="G50" s="1606"/>
      <c r="H50" s="541"/>
      <c r="I50" s="1603" t="s">
        <v>137</v>
      </c>
      <c r="J50" s="1604"/>
      <c r="K50" s="1605" t="s">
        <v>138</v>
      </c>
      <c r="L50" s="1606"/>
      <c r="N50" s="496">
        <f>ROUND(SUM(N51:N56),0)</f>
        <v>0</v>
      </c>
      <c r="Q50" s="73"/>
      <c r="R50" s="73"/>
      <c r="S50" s="73"/>
      <c r="T50" s="73"/>
      <c r="U50" s="73"/>
      <c r="V50" s="73"/>
      <c r="AW50" s="43"/>
      <c r="AZ50" s="43"/>
      <c r="BC50" s="43"/>
    </row>
    <row r="51" spans="1:57" x14ac:dyDescent="0.25">
      <c r="C51" s="1593">
        <f>'Int Room Schedule'!J16</f>
        <v>0</v>
      </c>
      <c r="D51" s="1594"/>
      <c r="E51" s="1598" t="str">
        <f t="shared" ref="E51:E56" si="21">IF(I51=" ",0,IF(K51&gt;0,I51*K51," "))</f>
        <v xml:space="preserve"> </v>
      </c>
      <c r="F51" s="1599"/>
      <c r="G51" s="1600"/>
      <c r="H51" s="542"/>
      <c r="I51" s="1592" t="str">
        <f>IF($C51&lt;&gt;"",'Int Room Schedule'!M16," ")</f>
        <v/>
      </c>
      <c r="J51" s="1592"/>
      <c r="K51" s="1592">
        <f>IF($C51&lt;&gt;"",'Int Room Schedule'!L16," ")</f>
        <v>0</v>
      </c>
      <c r="L51" s="1597"/>
      <c r="M51" s="499">
        <f t="shared" ref="M51:M52" si="22">COUNTIFS($C$22:$C$46,C51,N$22:N$46,"&gt;0")</f>
        <v>0</v>
      </c>
      <c r="N51" s="497">
        <f>IF(M51&lt;&gt;0,I51*K51,0)</f>
        <v>0</v>
      </c>
      <c r="P51" s="190">
        <f>C51</f>
        <v>0</v>
      </c>
      <c r="Q51" s="504"/>
      <c r="R51" s="504"/>
      <c r="S51" s="504"/>
      <c r="T51" s="504"/>
      <c r="U51" s="504"/>
      <c r="V51" s="504"/>
    </row>
    <row r="52" spans="1:57" x14ac:dyDescent="0.25">
      <c r="C52" s="1593">
        <f>'Int Room Schedule'!J17</f>
        <v>0</v>
      </c>
      <c r="D52" s="1594"/>
      <c r="E52" s="1598" t="str">
        <f t="shared" si="21"/>
        <v xml:space="preserve"> </v>
      </c>
      <c r="F52" s="1599"/>
      <c r="G52" s="1600"/>
      <c r="H52" s="542"/>
      <c r="I52" s="1592" t="str">
        <f>IF($C52&lt;&gt;"",'Int Room Schedule'!M17," ")</f>
        <v/>
      </c>
      <c r="J52" s="1592"/>
      <c r="K52" s="1592">
        <f>IF($C52&lt;&gt;"",'Int Room Schedule'!L17," ")</f>
        <v>0</v>
      </c>
      <c r="L52" s="1597"/>
      <c r="M52" s="499">
        <f t="shared" si="22"/>
        <v>0</v>
      </c>
      <c r="N52" s="497">
        <f>IF(M52&lt;&gt;0,I52*K52,0)</f>
        <v>0</v>
      </c>
      <c r="P52" s="190">
        <f>C52</f>
        <v>0</v>
      </c>
      <c r="Q52" s="504"/>
      <c r="R52" s="504"/>
      <c r="S52" s="504"/>
      <c r="T52" s="504"/>
      <c r="U52" s="504"/>
      <c r="V52" s="504"/>
    </row>
    <row r="53" spans="1:57" x14ac:dyDescent="0.25">
      <c r="C53" s="1593">
        <f>'Int Room Schedule'!J18</f>
        <v>0</v>
      </c>
      <c r="D53" s="1594"/>
      <c r="E53" s="1598" t="str">
        <f t="shared" si="21"/>
        <v xml:space="preserve"> </v>
      </c>
      <c r="F53" s="1599"/>
      <c r="G53" s="1600"/>
      <c r="H53" s="542"/>
      <c r="I53" s="1592" t="str">
        <f>IF($C53&lt;&gt;"",'Int Room Schedule'!M18," ")</f>
        <v/>
      </c>
      <c r="J53" s="1592"/>
      <c r="K53" s="1592">
        <f>IF($C53&lt;&gt;"",'Int Room Schedule'!L18," ")</f>
        <v>0</v>
      </c>
      <c r="L53" s="1597"/>
      <c r="M53" s="497">
        <f>COUNTIFS($C$22:$C$46,C53,N$22:N$46,"&gt;0")</f>
        <v>0</v>
      </c>
      <c r="N53" s="497">
        <f t="shared" ref="N53:N56" si="23">IF(M53&lt;&gt;0,I53*K53,0)</f>
        <v>0</v>
      </c>
      <c r="P53" s="190">
        <f>C53</f>
        <v>0</v>
      </c>
      <c r="Q53" s="504"/>
      <c r="R53" s="504"/>
      <c r="S53" s="504"/>
      <c r="T53" s="504"/>
      <c r="U53" s="504"/>
      <c r="V53" s="504"/>
    </row>
    <row r="54" spans="1:57" x14ac:dyDescent="0.25">
      <c r="C54" s="1593">
        <f>'Int Room Schedule'!J19</f>
        <v>0</v>
      </c>
      <c r="D54" s="1594"/>
      <c r="E54" s="1598" t="str">
        <f t="shared" si="21"/>
        <v xml:space="preserve"> </v>
      </c>
      <c r="F54" s="1599"/>
      <c r="G54" s="1600"/>
      <c r="H54" s="542"/>
      <c r="I54" s="1592" t="str">
        <f>IF($C54&lt;&gt;"",'Int Room Schedule'!M19," ")</f>
        <v/>
      </c>
      <c r="J54" s="1592"/>
      <c r="K54" s="1592">
        <f>IF($C54&lt;&gt;"",'Int Room Schedule'!L19," ")</f>
        <v>0</v>
      </c>
      <c r="L54" s="1597"/>
      <c r="M54" s="499">
        <f t="shared" ref="M54:M56" si="24">COUNTIFS($C$22:$C$46,C54,N$22:N$46,"&gt;0")</f>
        <v>0</v>
      </c>
      <c r="N54" s="497">
        <f t="shared" si="23"/>
        <v>0</v>
      </c>
      <c r="P54" s="190">
        <f>C54</f>
        <v>0</v>
      </c>
      <c r="Q54" s="504"/>
      <c r="R54" s="504"/>
      <c r="S54" s="504"/>
      <c r="T54" s="504"/>
      <c r="U54" s="504"/>
      <c r="V54" s="504"/>
    </row>
    <row r="55" spans="1:57" x14ac:dyDescent="0.25">
      <c r="C55" s="1593">
        <f>'Int Room Schedule'!J20</f>
        <v>0</v>
      </c>
      <c r="D55" s="1594"/>
      <c r="E55" s="1598" t="str">
        <f t="shared" si="21"/>
        <v xml:space="preserve"> </v>
      </c>
      <c r="F55" s="1599"/>
      <c r="G55" s="1600"/>
      <c r="H55" s="542"/>
      <c r="I55" s="1592" t="str">
        <f>IF($C55&lt;&gt;"",'Int Room Schedule'!M20," ")</f>
        <v/>
      </c>
      <c r="J55" s="1592"/>
      <c r="K55" s="1592">
        <f>IF($C55&lt;&gt;"",'Int Room Schedule'!L20," ")</f>
        <v>0</v>
      </c>
      <c r="L55" s="1597"/>
      <c r="M55" s="499">
        <f t="shared" si="24"/>
        <v>0</v>
      </c>
      <c r="N55" s="497">
        <f t="shared" si="23"/>
        <v>0</v>
      </c>
      <c r="P55" s="190">
        <f t="shared" ref="P55:P56" si="25">C55</f>
        <v>0</v>
      </c>
      <c r="Q55" s="190"/>
      <c r="R55" s="190"/>
      <c r="S55" s="190"/>
      <c r="T55" s="190"/>
      <c r="U55" s="190"/>
      <c r="V55" s="190"/>
    </row>
    <row r="56" spans="1:57" x14ac:dyDescent="0.25">
      <c r="C56" s="1593">
        <f>'Int Room Schedule'!J21</f>
        <v>0</v>
      </c>
      <c r="D56" s="1594"/>
      <c r="E56" s="1598" t="str">
        <f t="shared" si="21"/>
        <v xml:space="preserve"> </v>
      </c>
      <c r="F56" s="1599"/>
      <c r="G56" s="1600"/>
      <c r="H56" s="542"/>
      <c r="I56" s="1592" t="str">
        <f>IF($C56&lt;&gt;"",'Int Room Schedule'!M21," ")</f>
        <v/>
      </c>
      <c r="J56" s="1592"/>
      <c r="K56" s="1592">
        <f>IF($C56&lt;&gt;"",'Int Room Schedule'!L21," ")</f>
        <v>0</v>
      </c>
      <c r="L56" s="1597"/>
      <c r="M56" s="499">
        <f t="shared" si="24"/>
        <v>0</v>
      </c>
      <c r="N56" s="497">
        <f t="shared" si="23"/>
        <v>0</v>
      </c>
      <c r="P56" s="190">
        <f t="shared" si="25"/>
        <v>0</v>
      </c>
      <c r="Q56" s="190"/>
      <c r="R56" s="190"/>
      <c r="S56" s="190"/>
      <c r="T56" s="190"/>
      <c r="U56" s="190"/>
      <c r="V56" s="190"/>
    </row>
    <row r="57" spans="1:57" ht="13.5" thickBot="1" x14ac:dyDescent="0.35">
      <c r="C57" s="325"/>
      <c r="D57" s="168" t="s">
        <v>124</v>
      </c>
      <c r="E57" s="1589">
        <f>SUM(E51:G56)</f>
        <v>0</v>
      </c>
      <c r="F57" s="1590"/>
      <c r="G57" s="1591"/>
      <c r="H57" s="543"/>
      <c r="L57" s="91"/>
      <c r="AC57" s="79">
        <v>0.6</v>
      </c>
      <c r="AD57" s="79">
        <v>0.6</v>
      </c>
    </row>
    <row r="58" spans="1:57" x14ac:dyDescent="0.25">
      <c r="A58" s="65"/>
      <c r="B58" s="65"/>
      <c r="C58" s="314"/>
      <c r="I58" s="121"/>
      <c r="J58" s="67"/>
      <c r="K58" s="122"/>
      <c r="L58" s="121"/>
      <c r="M58" s="121"/>
      <c r="N58" s="121"/>
      <c r="O58" s="121"/>
      <c r="P58" s="121"/>
      <c r="Q58" s="121"/>
      <c r="R58" s="121"/>
      <c r="S58" s="121"/>
      <c r="T58" s="121"/>
      <c r="U58" s="121"/>
      <c r="V58" s="121"/>
      <c r="AE58" s="43"/>
      <c r="AF58" s="43"/>
      <c r="AG58" s="68"/>
      <c r="AH58" s="68"/>
      <c r="AO58" s="79"/>
      <c r="AP58" s="79"/>
    </row>
    <row r="59" spans="1:57" x14ac:dyDescent="0.25">
      <c r="C59" s="121"/>
      <c r="D59" s="67"/>
      <c r="E59" s="122"/>
      <c r="F59" s="122"/>
      <c r="G59" s="121"/>
      <c r="H59" s="121"/>
      <c r="I59" s="121"/>
      <c r="J59" s="121"/>
      <c r="K59" s="121"/>
      <c r="L59" s="63"/>
      <c r="M59" s="63"/>
      <c r="N59" s="63"/>
      <c r="O59" s="63"/>
      <c r="P59" s="63"/>
      <c r="Q59" s="63"/>
      <c r="R59" s="63"/>
      <c r="S59" s="63"/>
      <c r="T59" s="63"/>
      <c r="U59" s="63"/>
      <c r="V59" s="63"/>
      <c r="W59" s="115"/>
      <c r="X59" s="115"/>
      <c r="Y59" s="115"/>
      <c r="Z59" s="115"/>
      <c r="AA59" s="115"/>
      <c r="AB59" s="115"/>
      <c r="AC59" s="115"/>
      <c r="AD59" s="115"/>
      <c r="AE59" s="115"/>
      <c r="AF59" s="115"/>
      <c r="AG59" s="115"/>
      <c r="AH59" s="115"/>
      <c r="AI59" s="115"/>
      <c r="AJ59" s="115"/>
      <c r="AK59" s="115"/>
      <c r="AL59" s="115"/>
      <c r="AM59" s="115"/>
      <c r="AN59" s="115"/>
      <c r="AO59" s="115"/>
      <c r="AP59" s="115"/>
      <c r="AQ59" s="115"/>
      <c r="AR59" s="63"/>
      <c r="AS59" s="63"/>
    </row>
    <row r="85" spans="2:2" x14ac:dyDescent="0.25">
      <c r="B85" s="65"/>
    </row>
  </sheetData>
  <sheetProtection sheet="1" objects="1" scenarios="1" selectLockedCells="1"/>
  <mergeCells count="104">
    <mergeCell ref="W21:AQ21"/>
    <mergeCell ref="AT11:AT17"/>
    <mergeCell ref="AA17:AB19"/>
    <mergeCell ref="AC17:AD19"/>
    <mergeCell ref="AE17:AF19"/>
    <mergeCell ref="AG17:AH19"/>
    <mergeCell ref="AI17:AJ19"/>
    <mergeCell ref="BC11:BC17"/>
    <mergeCell ref="BD11:BD17"/>
    <mergeCell ref="BE11:BE17"/>
    <mergeCell ref="BF11:BF17"/>
    <mergeCell ref="AU11:AU17"/>
    <mergeCell ref="AX11:AX17"/>
    <mergeCell ref="AY11:AY17"/>
    <mergeCell ref="AZ11:AZ17"/>
    <mergeCell ref="BA11:BA17"/>
    <mergeCell ref="BB11:BB17"/>
    <mergeCell ref="AV11:AV17"/>
    <mergeCell ref="AW11:AW17"/>
    <mergeCell ref="B15:B46"/>
    <mergeCell ref="W17:X19"/>
    <mergeCell ref="Y17:Z19"/>
    <mergeCell ref="K55:L55"/>
    <mergeCell ref="K56:L56"/>
    <mergeCell ref="E55:G55"/>
    <mergeCell ref="E56:G56"/>
    <mergeCell ref="D23:G23"/>
    <mergeCell ref="D24:G24"/>
    <mergeCell ref="D25:G25"/>
    <mergeCell ref="D26:G26"/>
    <mergeCell ref="D27:G27"/>
    <mergeCell ref="D28:G28"/>
    <mergeCell ref="D29:G29"/>
    <mergeCell ref="D30:G30"/>
    <mergeCell ref="D31:G31"/>
    <mergeCell ref="C54:D54"/>
    <mergeCell ref="K54:L54"/>
    <mergeCell ref="E54:G54"/>
    <mergeCell ref="K53:L53"/>
    <mergeCell ref="E53:G53"/>
    <mergeCell ref="I53:J53"/>
    <mergeCell ref="U22:U46"/>
    <mergeCell ref="I21:K21"/>
    <mergeCell ref="E1:G1"/>
    <mergeCell ref="J1:N1"/>
    <mergeCell ref="K51:L51"/>
    <mergeCell ref="E51:G51"/>
    <mergeCell ref="I52:J52"/>
    <mergeCell ref="K52:L52"/>
    <mergeCell ref="E52:G52"/>
    <mergeCell ref="D37:G37"/>
    <mergeCell ref="D38:G38"/>
    <mergeCell ref="D39:G39"/>
    <mergeCell ref="D40:G40"/>
    <mergeCell ref="D41:G41"/>
    <mergeCell ref="D43:G43"/>
    <mergeCell ref="D44:G44"/>
    <mergeCell ref="D45:G45"/>
    <mergeCell ref="D46:G46"/>
    <mergeCell ref="I51:J51"/>
    <mergeCell ref="J3:N3"/>
    <mergeCell ref="I50:J50"/>
    <mergeCell ref="K50:L50"/>
    <mergeCell ref="E50:G50"/>
    <mergeCell ref="J18:J20"/>
    <mergeCell ref="D17:G17"/>
    <mergeCell ref="C50:D50"/>
    <mergeCell ref="C13:D13"/>
    <mergeCell ref="D34:G34"/>
    <mergeCell ref="D35:G35"/>
    <mergeCell ref="D36:G36"/>
    <mergeCell ref="D22:G22"/>
    <mergeCell ref="D18:G20"/>
    <mergeCell ref="E57:G57"/>
    <mergeCell ref="I55:J55"/>
    <mergeCell ref="I56:J56"/>
    <mergeCell ref="C51:D51"/>
    <mergeCell ref="C52:D52"/>
    <mergeCell ref="C53:D53"/>
    <mergeCell ref="C55:D55"/>
    <mergeCell ref="C56:D56"/>
    <mergeCell ref="I54:J54"/>
    <mergeCell ref="D32:G32"/>
    <mergeCell ref="D33:G33"/>
    <mergeCell ref="D42:G42"/>
    <mergeCell ref="C18:C20"/>
    <mergeCell ref="J7:N11"/>
    <mergeCell ref="AQ17:AQ20"/>
    <mergeCell ref="K18:K20"/>
    <mergeCell ref="M18:M20"/>
    <mergeCell ref="AG15:AH15"/>
    <mergeCell ref="AI15:AJ15"/>
    <mergeCell ref="AK15:AL15"/>
    <mergeCell ref="AM15:AN15"/>
    <mergeCell ref="W15:X15"/>
    <mergeCell ref="Y15:Z15"/>
    <mergeCell ref="AA15:AB15"/>
    <mergeCell ref="AC15:AD15"/>
    <mergeCell ref="AE15:AF15"/>
    <mergeCell ref="AO15:AP15"/>
    <mergeCell ref="W13:AQ13"/>
    <mergeCell ref="AK17:AL19"/>
    <mergeCell ref="AM17:AN19"/>
    <mergeCell ref="AO17:AP19"/>
  </mergeCells>
  <phoneticPr fontId="4" type="noConversion"/>
  <conditionalFormatting sqref="D22:I46">
    <cfRule type="expression" dxfId="379" priority="47">
      <formula>AND($C22&lt;&gt;"",$C22&lt;&gt;"")</formula>
    </cfRule>
    <cfRule type="expression" dxfId="378" priority="45">
      <formula>AND($C22&lt;&gt;"",$D22="")</formula>
    </cfRule>
  </conditionalFormatting>
  <conditionalFormatting sqref="D22:K46">
    <cfRule type="expression" dxfId="377" priority="2">
      <formula>$C22=""</formula>
    </cfRule>
  </conditionalFormatting>
  <conditionalFormatting sqref="J22:J46">
    <cfRule type="expression" dxfId="376" priority="149">
      <formula>AND($C22&lt;&gt;"",$J22="")</formula>
    </cfRule>
    <cfRule type="expression" dxfId="375" priority="124">
      <formula>AND($C22&lt;&gt;"",$J22&lt;&gt;"")</formula>
    </cfRule>
  </conditionalFormatting>
  <conditionalFormatting sqref="J7:N11">
    <cfRule type="expression" dxfId="374" priority="46">
      <formula>$J$7&lt;&gt;""</formula>
    </cfRule>
  </conditionalFormatting>
  <conditionalFormatting sqref="K22:K46">
    <cfRule type="expression" dxfId="373" priority="122">
      <formula>AND($C22&lt;&gt;"",$K22&lt;&gt;"")</formula>
    </cfRule>
    <cfRule type="expression" dxfId="372" priority="150">
      <formula>AND($C22&lt;&gt;"",$K22="")</formula>
    </cfRule>
  </conditionalFormatting>
  <conditionalFormatting sqref="L22:N46">
    <cfRule type="notContainsBlanks" dxfId="371" priority="120">
      <formula>LEN(TRIM(L22))&gt;0</formula>
    </cfRule>
  </conditionalFormatting>
  <conditionalFormatting sqref="N15:N16">
    <cfRule type="expression" dxfId="370" priority="48">
      <formula>$N$15&gt;$N$13</formula>
    </cfRule>
  </conditionalFormatting>
  <conditionalFormatting sqref="O47">
    <cfRule type="cellIs" dxfId="369" priority="147" operator="equal">
      <formula>"Incomplete"</formula>
    </cfRule>
  </conditionalFormatting>
  <conditionalFormatting sqref="W15:AP15">
    <cfRule type="cellIs" dxfId="368" priority="5" operator="equal">
      <formula>"Complete"</formula>
    </cfRule>
    <cfRule type="cellIs" dxfId="367" priority="7" operator="equal">
      <formula>"Incomplete"</formula>
    </cfRule>
  </conditionalFormatting>
  <conditionalFormatting sqref="W16:AQ16">
    <cfRule type="cellIs" dxfId="366" priority="52" operator="equal">
      <formula>"Complete"</formula>
    </cfRule>
    <cfRule type="cellIs" dxfId="365" priority="53" operator="equal">
      <formula>"incomplete"</formula>
    </cfRule>
  </conditionalFormatting>
  <conditionalFormatting sqref="X22:X46 Z22:Z46 AB22:AB46 AD22:AD46 AF22:AF46 AH22:AH46 AJ22:AJ46 AL22:AL46 AN22:AN46 AP22:AP46">
    <cfRule type="expression" dxfId="364" priority="51">
      <formula>$C22=""</formula>
    </cfRule>
  </conditionalFormatting>
  <conditionalFormatting sqref="X22:X46">
    <cfRule type="expression" dxfId="363" priority="58">
      <formula>AND($C22&lt;&gt;"",$X22="")</formula>
    </cfRule>
    <cfRule type="notContainsBlanks" dxfId="362" priority="57">
      <formula>LEN(TRIM(X22))&gt;0</formula>
    </cfRule>
    <cfRule type="expression" dxfId="361" priority="56">
      <formula>AND($C22&lt;&gt;"",$X22&lt;&gt;"")</formula>
    </cfRule>
    <cfRule type="expression" dxfId="360" priority="40">
      <formula>W22="NA"</formula>
    </cfRule>
  </conditionalFormatting>
  <conditionalFormatting sqref="Z22:Z46">
    <cfRule type="expression" dxfId="359" priority="36">
      <formula>Y22="NA"</formula>
    </cfRule>
    <cfRule type="expression" dxfId="358" priority="43">
      <formula>AND($C22&lt;&gt;"",$X22="")</formula>
    </cfRule>
    <cfRule type="notContainsBlanks" dxfId="357" priority="42">
      <formula>LEN(TRIM(Z22))&gt;0</formula>
    </cfRule>
    <cfRule type="expression" dxfId="356" priority="41">
      <formula>AND($C22&lt;&gt;"",$X22&lt;&gt;"")</formula>
    </cfRule>
  </conditionalFormatting>
  <conditionalFormatting sqref="AB22:AB46">
    <cfRule type="expression" dxfId="355" priority="37">
      <formula>AND($C22&lt;&gt;"",$X22&lt;&gt;"")</formula>
    </cfRule>
    <cfRule type="expression" dxfId="354" priority="39">
      <formula>AND($C22&lt;&gt;"",$X22="")</formula>
    </cfRule>
    <cfRule type="expression" dxfId="353" priority="32">
      <formula>AA22="NA"</formula>
    </cfRule>
    <cfRule type="notContainsBlanks" dxfId="352" priority="38">
      <formula>LEN(TRIM(AB22))&gt;0</formula>
    </cfRule>
  </conditionalFormatting>
  <conditionalFormatting sqref="AD22:AD46">
    <cfRule type="notContainsBlanks" dxfId="351" priority="34">
      <formula>LEN(TRIM(AD22))&gt;0</formula>
    </cfRule>
    <cfRule type="expression" dxfId="350" priority="35">
      <formula>AND($C22&lt;&gt;"",$X22="")</formula>
    </cfRule>
    <cfRule type="expression" dxfId="349" priority="28">
      <formula>AC22="NA"</formula>
    </cfRule>
    <cfRule type="expression" dxfId="348" priority="33">
      <formula>AND($C22&lt;&gt;"",$X22&lt;&gt;"")</formula>
    </cfRule>
  </conditionalFormatting>
  <conditionalFormatting sqref="AF22:AF46">
    <cfRule type="expression" dxfId="347" priority="31">
      <formula>AND($C22&lt;&gt;"",$X22="")</formula>
    </cfRule>
    <cfRule type="notContainsBlanks" dxfId="346" priority="30">
      <formula>LEN(TRIM(AF22))&gt;0</formula>
    </cfRule>
    <cfRule type="expression" dxfId="345" priority="29">
      <formula>AND($C22&lt;&gt;"",$X22&lt;&gt;"")</formula>
    </cfRule>
    <cfRule type="expression" dxfId="344" priority="24">
      <formula>AE22="NA"</formula>
    </cfRule>
  </conditionalFormatting>
  <conditionalFormatting sqref="AH22:AH46">
    <cfRule type="expression" dxfId="343" priority="27">
      <formula>AND($C22&lt;&gt;"",$X22="")</formula>
    </cfRule>
    <cfRule type="notContainsBlanks" dxfId="342" priority="26">
      <formula>LEN(TRIM(AH22))&gt;0</formula>
    </cfRule>
    <cfRule type="expression" dxfId="341" priority="25">
      <formula>AND($C22&lt;&gt;"",$X22&lt;&gt;"")</formula>
    </cfRule>
    <cfRule type="expression" dxfId="340" priority="20">
      <formula>AG22="NA"</formula>
    </cfRule>
  </conditionalFormatting>
  <conditionalFormatting sqref="AJ22:AJ46">
    <cfRule type="expression" dxfId="339" priority="1">
      <formula>AI22="NA"</formula>
    </cfRule>
    <cfRule type="expression" dxfId="338" priority="23">
      <formula>AND($C22&lt;&gt;"",$X22="")</formula>
    </cfRule>
    <cfRule type="notContainsBlanks" dxfId="337" priority="22">
      <formula>LEN(TRIM(AJ22))&gt;0</formula>
    </cfRule>
    <cfRule type="expression" dxfId="336" priority="21">
      <formula>AND($C22&lt;&gt;"",$X22&lt;&gt;"")</formula>
    </cfRule>
  </conditionalFormatting>
  <conditionalFormatting sqref="AL22:AL46">
    <cfRule type="expression" dxfId="335" priority="19">
      <formula>AND($C22&lt;&gt;"",$X22="")</formula>
    </cfRule>
    <cfRule type="notContainsBlanks" dxfId="334" priority="18">
      <formula>LEN(TRIM(AL22))&gt;0</formula>
    </cfRule>
    <cfRule type="expression" dxfId="333" priority="17">
      <formula>AND($C22&lt;&gt;"",$X22&lt;&gt;"")</formula>
    </cfRule>
    <cfRule type="expression" dxfId="332" priority="16">
      <formula>AK22="NA"</formula>
    </cfRule>
  </conditionalFormatting>
  <conditionalFormatting sqref="AN22:AN46">
    <cfRule type="expression" dxfId="331" priority="15">
      <formula>AND($C22&lt;&gt;"",$X22="")</formula>
    </cfRule>
    <cfRule type="notContainsBlanks" dxfId="330" priority="14">
      <formula>LEN(TRIM(AN22))&gt;0</formula>
    </cfRule>
    <cfRule type="expression" dxfId="329" priority="13">
      <formula>AND($C22&lt;&gt;"",$X22&lt;&gt;"")</formula>
    </cfRule>
    <cfRule type="expression" dxfId="328" priority="12">
      <formula>AM22="NA"</formula>
    </cfRule>
  </conditionalFormatting>
  <conditionalFormatting sqref="AP22:AP46">
    <cfRule type="expression" dxfId="327" priority="9">
      <formula>AND($C22&lt;&gt;"",$X22&lt;&gt;"")</formula>
    </cfRule>
    <cfRule type="expression" dxfId="326" priority="11">
      <formula>AND($C22&lt;&gt;"",$X22="")</formula>
    </cfRule>
    <cfRule type="notContainsBlanks" dxfId="325" priority="10">
      <formula>LEN(TRIM(AP22))&gt;0</formula>
    </cfRule>
    <cfRule type="expression" dxfId="324" priority="8">
      <formula>AO22="NA"</formula>
    </cfRule>
  </conditionalFormatting>
  <conditionalFormatting sqref="AQ15">
    <cfRule type="cellIs" dxfId="323" priority="3" operator="equal">
      <formula>"Compliant"</formula>
    </cfRule>
    <cfRule type="cellIs" dxfId="322" priority="4" operator="equal">
      <formula>"Not Compliant"</formula>
    </cfRule>
  </conditionalFormatting>
  <conditionalFormatting sqref="AQ16">
    <cfRule type="cellIs" dxfId="321" priority="44" operator="equal">
      <formula>"Not Compliant"</formula>
    </cfRule>
  </conditionalFormatting>
  <conditionalFormatting sqref="AQ22:AQ46">
    <cfRule type="cellIs" dxfId="320" priority="54" operator="equal">
      <formula>"Complete"</formula>
    </cfRule>
    <cfRule type="cellIs" dxfId="319" priority="55" operator="equal">
      <formula>"Incomplete"</formula>
    </cfRule>
  </conditionalFormatting>
  <conditionalFormatting sqref="AS47">
    <cfRule type="cellIs" dxfId="318" priority="145" operator="equal">
      <formula>"Compliant"</formula>
    </cfRule>
    <cfRule type="cellIs" dxfId="317" priority="146" operator="equal">
      <formula>"Non Compliant"</formula>
    </cfRule>
  </conditionalFormatting>
  <dataValidations count="11">
    <dataValidation type="list" allowBlank="1" showInputMessage="1" showErrorMessage="1" sqref="AP22:AP46" xr:uid="{00000000-0002-0000-0500-000000000000}">
      <formula1>"Yes, NA"</formula1>
    </dataValidation>
    <dataValidation type="list" allowBlank="1" showInputMessage="1" showErrorMessage="1" sqref="AP22:AP46" xr:uid="{00000000-0002-0000-0500-000001000000}">
      <formula1>"Yes,Exempt,N/A"</formula1>
    </dataValidation>
    <dataValidation type="list" allowBlank="1" showInputMessage="1" sqref="Q23:Q46 R22:T46" xr:uid="{00000000-0002-0000-0500-000002000000}">
      <formula1>_BAM_Control_Types</formula1>
    </dataValidation>
    <dataValidation type="list" allowBlank="1" showInputMessage="1" showErrorMessage="1" sqref="C22:C46" xr:uid="{00000000-0002-0000-0500-000003000000}">
      <formula1>_SpaceList_BAM</formula1>
    </dataValidation>
    <dataValidation type="list" allowBlank="1" showInputMessage="1" showErrorMessage="1" sqref="J22:J46" xr:uid="{00000000-0002-0000-0500-000004000000}">
      <formula1>_FixtureList</formula1>
    </dataValidation>
    <dataValidation type="list" allowBlank="1" showInputMessage="1" showErrorMessage="1" sqref="Z22:Z46" xr:uid="{00000000-0002-0000-0500-000005000000}">
      <formula1>"Yes,N/A,9.4.1.1c"</formula1>
    </dataValidation>
    <dataValidation type="list" allowBlank="1" showInputMessage="1" showErrorMessage="1" sqref="AB22:AB46" xr:uid="{00000000-0002-0000-0500-000006000000}">
      <formula1>"Yes,N/A,9.4.1.1b"</formula1>
    </dataValidation>
    <dataValidation type="list" allowBlank="1" showInputMessage="1" showErrorMessage="1" sqref="AL22:AL46" xr:uid="{00000000-0002-0000-0500-000007000000}">
      <formula1>"Yes,N/A,9.4.1.1i"</formula1>
    </dataValidation>
    <dataValidation type="list" allowBlank="1" showInputMessage="1" showErrorMessage="1" sqref="AN22:AN46" xr:uid="{00000000-0002-0000-0500-000008000000}">
      <formula1>"Yes,N/A,9.4.1.1h"</formula1>
    </dataValidation>
    <dataValidation type="list" allowBlank="1" showInputMessage="1" showErrorMessage="1" sqref="D22:G46" xr:uid="{00000000-0002-0000-0500-000009000000}">
      <formula1>_Space_Lookup</formula1>
    </dataValidation>
    <dataValidation type="list" allowBlank="1" showInputMessage="1" showErrorMessage="1" sqref="AJ22:AJ46 AH22:AH46 AF22:AF46 AD22:AD46 X22:X46" xr:uid="{00000000-0002-0000-0500-00000A000000}">
      <formula1>"Yes,N/A"</formula1>
    </dataValidation>
  </dataValidations>
  <pageMargins left="0.5" right="0.5" top="1" bottom="1" header="0.5" footer="0.5"/>
  <pageSetup scale="51" orientation="landscape" r:id="rId1"/>
  <headerFooter alignWithMargins="0">
    <oddHeader>&amp;LLighting Compliance Documentation&amp;R&amp;D</oddHeader>
    <oddFooter>&amp;RPage &amp;P of &amp;N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theme="8" tint="-0.249977111117893"/>
    <pageSetUpPr fitToPage="1"/>
  </sheetPr>
  <dimension ref="A1:CS95"/>
  <sheetViews>
    <sheetView showGridLines="0" showRowColHeaders="0" workbookViewId="0">
      <pane xSplit="6" ySplit="20" topLeftCell="G21" activePane="bottomRight" state="frozen"/>
      <selection pane="topRight" activeCell="G1" sqref="G1"/>
      <selection pane="bottomLeft" activeCell="A21" sqref="A21"/>
      <selection pane="bottomRight" activeCell="G21" sqref="G21"/>
    </sheetView>
  </sheetViews>
  <sheetFormatPr defaultColWidth="9.1796875" defaultRowHeight="12.5" x14ac:dyDescent="0.25"/>
  <cols>
    <col min="1" max="1" width="2.54296875" style="42" customWidth="1"/>
    <col min="2" max="5" width="11.7265625" style="42" customWidth="1"/>
    <col min="6" max="7" width="2.7265625" style="42" customWidth="1"/>
    <col min="8" max="8" width="2" style="42" hidden="1" customWidth="1"/>
    <col min="9" max="22" width="11.54296875" style="42" customWidth="1"/>
    <col min="23" max="25" width="6.54296875" style="42" customWidth="1"/>
    <col min="26" max="37" width="11.54296875" style="42" hidden="1" customWidth="1"/>
    <col min="38" max="40" width="9.1796875" style="42" hidden="1" customWidth="1"/>
    <col min="41" max="41" width="5.54296875" style="42" hidden="1" customWidth="1"/>
    <col min="42" max="51" width="16.54296875" style="42" hidden="1" customWidth="1"/>
    <col min="52" max="89" width="9.1796875" style="42" hidden="1" customWidth="1"/>
    <col min="90" max="90" width="21.81640625" style="42" hidden="1" customWidth="1"/>
    <col min="91" max="95" width="9.1796875" style="42" hidden="1" customWidth="1"/>
    <col min="96" max="96" width="9.1796875" style="42" customWidth="1"/>
    <col min="97" max="16384" width="9.1796875" style="42"/>
  </cols>
  <sheetData>
    <row r="1" spans="1:89" ht="15" customHeight="1" x14ac:dyDescent="0.3">
      <c r="D1" s="1498" t="s">
        <v>0</v>
      </c>
      <c r="E1" s="1498"/>
      <c r="F1" s="1338"/>
      <c r="G1" s="316"/>
      <c r="H1" s="316"/>
      <c r="I1" s="1472" t="str">
        <f>'Main Compliance Page'!K1</f>
        <v>ASHRAE/IES 90.1-2019 Lighting Compliance Documentation (v4.0)</v>
      </c>
      <c r="J1" s="1472"/>
      <c r="K1" s="1472"/>
      <c r="L1" s="1472"/>
      <c r="M1" s="1472"/>
      <c r="N1" s="1472"/>
      <c r="O1" s="459"/>
      <c r="P1" s="143"/>
      <c r="Q1" s="143"/>
      <c r="R1" s="143"/>
      <c r="S1" s="116" t="s">
        <v>139</v>
      </c>
      <c r="T1" s="43" t="s">
        <v>140</v>
      </c>
      <c r="CB1" s="95" t="s">
        <v>942</v>
      </c>
    </row>
    <row r="2" spans="1:89" ht="5.15" customHeight="1" x14ac:dyDescent="0.3">
      <c r="D2" s="934"/>
      <c r="E2" s="934"/>
      <c r="F2" s="1338"/>
      <c r="G2" s="934"/>
      <c r="H2" s="934"/>
      <c r="I2" s="933"/>
      <c r="J2" s="933"/>
      <c r="K2" s="933"/>
      <c r="L2" s="933"/>
      <c r="M2" s="933"/>
      <c r="N2" s="933"/>
      <c r="O2" s="933"/>
      <c r="P2" s="143"/>
      <c r="Q2" s="143"/>
      <c r="R2" s="143"/>
      <c r="S2" s="116"/>
      <c r="T2" s="43"/>
      <c r="CB2" s="95"/>
    </row>
    <row r="3" spans="1:89" ht="15" customHeight="1" x14ac:dyDescent="0.3">
      <c r="H3" s="118"/>
      <c r="I3" s="1472" t="s">
        <v>1138</v>
      </c>
      <c r="J3" s="1472"/>
      <c r="K3" s="1472"/>
      <c r="L3" s="1472"/>
      <c r="M3" s="1472"/>
      <c r="N3" s="1472"/>
      <c r="O3" s="459"/>
      <c r="P3" s="73"/>
      <c r="Q3" s="360"/>
      <c r="R3" s="360"/>
      <c r="S3" s="116" t="s">
        <v>142</v>
      </c>
      <c r="T3" s="43" t="s">
        <v>143</v>
      </c>
      <c r="AB3" s="1073">
        <v>2010</v>
      </c>
      <c r="AC3" s="1073">
        <v>1</v>
      </c>
      <c r="AE3" s="74"/>
      <c r="AF3" s="74"/>
    </row>
    <row r="4" spans="1:89" ht="5.15" customHeight="1" x14ac:dyDescent="0.3">
      <c r="H4" s="118"/>
      <c r="I4" s="933"/>
      <c r="J4" s="933"/>
      <c r="K4" s="933"/>
      <c r="L4" s="933"/>
      <c r="M4" s="933"/>
      <c r="N4" s="933"/>
      <c r="O4" s="933"/>
      <c r="P4" s="73"/>
      <c r="Q4" s="360"/>
      <c r="R4" s="360"/>
      <c r="S4" s="116"/>
      <c r="T4" s="43"/>
      <c r="AB4" s="1073"/>
      <c r="AC4" s="1073"/>
      <c r="AE4" s="74"/>
      <c r="AF4" s="74"/>
    </row>
    <row r="5" spans="1:89" ht="15" customHeight="1" x14ac:dyDescent="0.3">
      <c r="D5" s="1635"/>
      <c r="E5" s="1635"/>
      <c r="F5" s="1339"/>
      <c r="G5" s="322"/>
      <c r="H5" s="118"/>
      <c r="I5" s="1472" t="s">
        <v>145</v>
      </c>
      <c r="J5" s="1472"/>
      <c r="K5" s="1472"/>
      <c r="L5" s="1472"/>
      <c r="M5" s="1472"/>
      <c r="N5" s="1472"/>
      <c r="O5" s="459"/>
      <c r="P5" s="90"/>
      <c r="Q5" s="361"/>
      <c r="R5" s="361"/>
      <c r="S5" s="116" t="s">
        <v>146</v>
      </c>
      <c r="T5" s="43" t="s">
        <v>147</v>
      </c>
      <c r="AB5" s="1073">
        <v>2016</v>
      </c>
      <c r="AC5" s="1073">
        <v>0.75</v>
      </c>
      <c r="AE5" s="74"/>
      <c r="AF5" s="74"/>
      <c r="CB5" s="42" t="s">
        <v>941</v>
      </c>
    </row>
    <row r="6" spans="1:89" ht="5.15" customHeight="1" x14ac:dyDescent="0.3">
      <c r="D6" s="935"/>
      <c r="E6" s="935"/>
      <c r="F6" s="1339"/>
      <c r="G6" s="935"/>
      <c r="H6" s="118"/>
      <c r="I6" s="933"/>
      <c r="J6" s="933"/>
      <c r="K6" s="933"/>
      <c r="L6" s="933"/>
      <c r="M6" s="933"/>
      <c r="N6" s="933"/>
      <c r="O6" s="933"/>
      <c r="P6" s="90"/>
      <c r="Q6" s="361"/>
      <c r="R6" s="361"/>
      <c r="S6" s="116"/>
      <c r="T6" s="43"/>
      <c r="AB6" s="1073"/>
      <c r="AC6" s="1073"/>
      <c r="AE6" s="74"/>
      <c r="AF6" s="74"/>
    </row>
    <row r="7" spans="1:89" ht="15" customHeight="1" x14ac:dyDescent="0.25">
      <c r="D7"/>
      <c r="E7"/>
      <c r="F7"/>
      <c r="G7"/>
      <c r="H7" s="118"/>
      <c r="I7" s="118"/>
      <c r="J7" s="118"/>
      <c r="K7" s="73"/>
      <c r="L7" s="73"/>
      <c r="M7" s="73"/>
      <c r="N7" s="73"/>
      <c r="O7" s="73"/>
      <c r="P7" s="73"/>
      <c r="Q7" s="360"/>
      <c r="R7" s="360"/>
      <c r="S7" s="116" t="s">
        <v>148</v>
      </c>
      <c r="T7" s="43" t="s">
        <v>149</v>
      </c>
      <c r="AB7" s="1073">
        <v>2019</v>
      </c>
      <c r="AC7" s="1073">
        <v>0.75</v>
      </c>
      <c r="AE7" s="74"/>
      <c r="AF7" s="74"/>
    </row>
    <row r="8" spans="1:89" ht="5.15" customHeight="1" x14ac:dyDescent="0.25">
      <c r="D8"/>
      <c r="E8"/>
      <c r="F8"/>
      <c r="G8"/>
      <c r="H8" s="118"/>
      <c r="I8" s="118"/>
      <c r="J8" s="118"/>
      <c r="K8" s="73"/>
      <c r="L8" s="73"/>
      <c r="M8" s="73"/>
      <c r="N8" s="73"/>
      <c r="O8" s="73"/>
      <c r="P8" s="73"/>
      <c r="Q8" s="360"/>
      <c r="R8" s="360"/>
      <c r="S8" s="116"/>
      <c r="T8" s="43"/>
      <c r="AE8" s="74"/>
      <c r="AF8" s="74"/>
    </row>
    <row r="9" spans="1:89" ht="15" customHeight="1" x14ac:dyDescent="0.25">
      <c r="D9"/>
      <c r="E9"/>
      <c r="F9"/>
      <c r="G9"/>
      <c r="H9" s="118"/>
      <c r="I9" s="118"/>
      <c r="N9" s="90"/>
      <c r="O9" s="90"/>
      <c r="P9" s="90"/>
      <c r="Q9" s="361"/>
      <c r="R9" s="361"/>
      <c r="S9" s="361"/>
      <c r="X9" s="43"/>
      <c r="Y9" s="43"/>
      <c r="AE9" s="43"/>
      <c r="AF9" s="43"/>
    </row>
    <row r="10" spans="1:89" ht="5.15" customHeight="1" x14ac:dyDescent="0.25">
      <c r="D10"/>
      <c r="E10"/>
      <c r="F10"/>
      <c r="G10"/>
      <c r="H10" s="118"/>
      <c r="I10" s="118"/>
      <c r="N10" s="90"/>
      <c r="O10" s="90"/>
      <c r="P10" s="90"/>
      <c r="Q10" s="361"/>
      <c r="R10" s="361"/>
      <c r="S10" s="361"/>
      <c r="X10" s="43"/>
      <c r="Y10" s="43"/>
      <c r="AE10" s="43"/>
      <c r="AF10" s="43"/>
    </row>
    <row r="11" spans="1:89" ht="15" customHeight="1" x14ac:dyDescent="0.25">
      <c r="D11"/>
      <c r="E11"/>
      <c r="F11"/>
      <c r="G11"/>
      <c r="H11" s="118"/>
      <c r="I11" s="118"/>
      <c r="N11" s="73"/>
      <c r="O11" s="73"/>
      <c r="P11" s="73"/>
      <c r="Q11" s="360"/>
      <c r="R11" s="360"/>
      <c r="S11" s="360"/>
      <c r="T11" s="74"/>
      <c r="X11" s="43"/>
      <c r="Y11" s="43"/>
      <c r="AE11" s="74"/>
      <c r="AF11" s="74"/>
    </row>
    <row r="12" spans="1:89" ht="5.15" customHeight="1" x14ac:dyDescent="0.25">
      <c r="D12"/>
      <c r="E12"/>
      <c r="F12"/>
      <c r="G12"/>
      <c r="H12" s="118"/>
      <c r="I12" s="118"/>
      <c r="N12" s="73"/>
      <c r="O12" s="73"/>
      <c r="P12" s="73"/>
      <c r="Q12" s="360"/>
      <c r="R12" s="360"/>
      <c r="S12" s="360"/>
      <c r="T12" s="74"/>
      <c r="X12" s="43"/>
      <c r="Y12" s="43"/>
      <c r="AE12" s="74"/>
      <c r="AF12" s="74"/>
    </row>
    <row r="13" spans="1:89" ht="15" customHeight="1" x14ac:dyDescent="0.25">
      <c r="B13" s="1561" t="str">
        <f>CONCATENATE("90.1-",Compliance_Version_Year)</f>
        <v>90.1-2019</v>
      </c>
      <c r="C13" s="1561"/>
      <c r="H13" s="118"/>
      <c r="J13" s="118"/>
      <c r="K13" s="73"/>
      <c r="L13" s="73"/>
      <c r="M13" s="73"/>
      <c r="N13" s="73"/>
      <c r="O13" s="73"/>
      <c r="P13" s="73"/>
      <c r="Q13" s="360"/>
      <c r="R13" s="1200">
        <f>VLOOKUP(Compliance_Version_Year,AB3:AC7,2,FALSE)</f>
        <v>0.75</v>
      </c>
      <c r="S13" s="360"/>
      <c r="T13" s="74"/>
      <c r="X13" s="43"/>
      <c r="Y13" s="43"/>
      <c r="AE13" s="74"/>
      <c r="AF13" s="74"/>
    </row>
    <row r="14" spans="1:89" ht="17.149999999999999" customHeight="1" thickBot="1" x14ac:dyDescent="0.35">
      <c r="H14" s="118"/>
      <c r="I14" s="62" t="s">
        <v>150</v>
      </c>
      <c r="J14" s="118"/>
      <c r="K14" s="73"/>
      <c r="L14" s="73"/>
      <c r="M14" s="73"/>
      <c r="N14" s="90"/>
      <c r="O14" s="90"/>
      <c r="P14" s="90"/>
      <c r="Q14" s="365"/>
      <c r="R14" s="365"/>
      <c r="S14" s="365"/>
      <c r="T14" s="82"/>
      <c r="X14" s="43"/>
      <c r="Y14" s="43"/>
      <c r="AE14" s="43"/>
      <c r="AF14" s="43"/>
    </row>
    <row r="15" spans="1:89" ht="17.149999999999999" hidden="1" customHeight="1" thickBot="1" x14ac:dyDescent="0.35">
      <c r="A15" s="101"/>
      <c r="B15" s="62"/>
      <c r="H15" s="324"/>
      <c r="I15" s="325"/>
      <c r="S15" s="45"/>
      <c r="T15" s="43"/>
      <c r="U15" s="68"/>
      <c r="BI15" s="480" t="s">
        <v>844</v>
      </c>
      <c r="BJ15" s="480" t="s">
        <v>304</v>
      </c>
      <c r="BK15" s="480"/>
      <c r="BL15" s="473" t="s">
        <v>304</v>
      </c>
      <c r="BM15" s="480"/>
      <c r="BN15" s="473" t="s">
        <v>304</v>
      </c>
      <c r="BO15" s="480"/>
      <c r="BP15" s="473" t="s">
        <v>304</v>
      </c>
      <c r="BQ15" s="480"/>
      <c r="BR15" s="473" t="s">
        <v>304</v>
      </c>
      <c r="BS15" s="480"/>
      <c r="BT15" s="473" t="s">
        <v>304</v>
      </c>
      <c r="BU15" s="480"/>
      <c r="BV15" s="473" t="s">
        <v>304</v>
      </c>
      <c r="BW15" s="480"/>
      <c r="BX15" s="473" t="s">
        <v>304</v>
      </c>
      <c r="BY15" s="480"/>
      <c r="BZ15" s="473" t="s">
        <v>304</v>
      </c>
      <c r="CA15" s="480"/>
      <c r="CB15" s="473" t="s">
        <v>304</v>
      </c>
      <c r="CC15" s="480"/>
      <c r="CD15" s="473" t="s">
        <v>304</v>
      </c>
      <c r="CE15" s="480"/>
      <c r="CF15" s="473" t="s">
        <v>304</v>
      </c>
      <c r="CG15" s="480"/>
      <c r="CH15" s="473" t="s">
        <v>304</v>
      </c>
      <c r="CI15" s="134"/>
      <c r="CJ15" s="134"/>
      <c r="CK15" s="134"/>
    </row>
    <row r="16" spans="1:89" ht="17.149999999999999" customHeight="1" thickBot="1" x14ac:dyDescent="0.3">
      <c r="A16" s="101"/>
      <c r="B16" s="1642"/>
      <c r="C16" s="1643"/>
      <c r="D16" s="1643"/>
      <c r="E16" s="1643"/>
      <c r="F16" s="1341"/>
      <c r="G16" s="1046"/>
      <c r="H16" s="1641" t="s">
        <v>1319</v>
      </c>
      <c r="I16" s="1641"/>
      <c r="J16" s="1641"/>
      <c r="K16" s="1641"/>
      <c r="L16" s="1641"/>
      <c r="M16" s="1641"/>
      <c r="N16" s="1641"/>
      <c r="O16" s="1047"/>
      <c r="P16" s="1648" t="s">
        <v>151</v>
      </c>
      <c r="Q16" s="1649"/>
      <c r="R16" s="1650"/>
      <c r="S16" s="1625" t="s">
        <v>152</v>
      </c>
      <c r="T16" s="1626"/>
      <c r="U16" s="1626"/>
      <c r="V16" s="275"/>
      <c r="BI16" s="480" t="s">
        <v>845</v>
      </c>
      <c r="BJ16" s="473" t="s">
        <v>304</v>
      </c>
      <c r="BL16" s="473" t="s">
        <v>304</v>
      </c>
      <c r="BN16" s="473" t="s">
        <v>304</v>
      </c>
      <c r="BP16" s="473" t="s">
        <v>304</v>
      </c>
      <c r="BR16" s="473" t="s">
        <v>304</v>
      </c>
      <c r="BT16" s="473" t="s">
        <v>304</v>
      </c>
      <c r="BV16" s="473" t="s">
        <v>304</v>
      </c>
      <c r="BX16" s="473"/>
      <c r="BZ16" s="473"/>
      <c r="CB16" s="473" t="s">
        <v>304</v>
      </c>
      <c r="CD16" s="473" t="s">
        <v>304</v>
      </c>
      <c r="CF16" s="473" t="s">
        <v>304</v>
      </c>
      <c r="CH16" s="473" t="s">
        <v>304</v>
      </c>
      <c r="CI16" s="134"/>
      <c r="CJ16" s="134"/>
      <c r="CK16" s="134"/>
    </row>
    <row r="17" spans="1:97" ht="17.149999999999999" customHeight="1" thickBot="1" x14ac:dyDescent="0.3">
      <c r="A17" s="101"/>
      <c r="B17" s="1644"/>
      <c r="C17" s="1645"/>
      <c r="D17" s="1645"/>
      <c r="E17" s="1645"/>
      <c r="F17" s="1342"/>
      <c r="G17" s="1038"/>
      <c r="H17" s="1048"/>
      <c r="I17" s="1048"/>
      <c r="J17" s="1048"/>
      <c r="K17" s="1048"/>
      <c r="L17" s="1048"/>
      <c r="M17" s="1048"/>
      <c r="N17" s="1048"/>
      <c r="O17" s="1049"/>
      <c r="P17" s="269"/>
      <c r="Q17" s="270"/>
      <c r="R17" s="271"/>
      <c r="S17" s="256"/>
      <c r="T17" s="257"/>
      <c r="U17" s="257"/>
      <c r="V17" s="263">
        <f>IF(SUM(V22:V71)=0,0,'9.6 Table'!G341)</f>
        <v>0</v>
      </c>
      <c r="BI17" s="480" t="s">
        <v>1036</v>
      </c>
      <c r="BJ17" s="473"/>
      <c r="BL17" s="473"/>
      <c r="BN17" s="473"/>
      <c r="BP17" s="473"/>
      <c r="BR17" s="473" t="s">
        <v>304</v>
      </c>
      <c r="BT17" s="473" t="s">
        <v>304</v>
      </c>
      <c r="BV17" s="473"/>
      <c r="BX17" s="473"/>
      <c r="BZ17" s="473"/>
      <c r="CB17" s="473" t="s">
        <v>304</v>
      </c>
      <c r="CD17" s="473" t="s">
        <v>304</v>
      </c>
      <c r="CF17" s="473" t="s">
        <v>304</v>
      </c>
      <c r="CH17" s="473" t="s">
        <v>304</v>
      </c>
    </row>
    <row r="18" spans="1:97" ht="13.5" thickBot="1" x14ac:dyDescent="0.35">
      <c r="A18" s="101"/>
      <c r="B18" s="1644"/>
      <c r="C18" s="1645"/>
      <c r="D18" s="1645"/>
      <c r="E18" s="1645"/>
      <c r="F18" s="1342"/>
      <c r="G18" s="1038"/>
      <c r="H18" s="199"/>
      <c r="I18" s="1055">
        <f>SUM(I22:I71)</f>
        <v>0</v>
      </c>
      <c r="J18" s="1050"/>
      <c r="K18" s="1050"/>
      <c r="L18" s="1636"/>
      <c r="M18" s="1636"/>
      <c r="N18" s="1048"/>
      <c r="O18" s="1056">
        <f ca="1">SUM(O22:O71)</f>
        <v>0</v>
      </c>
      <c r="P18" s="258"/>
      <c r="Q18" s="259"/>
      <c r="R18" s="260">
        <f>SUM(R22:R71)</f>
        <v>0</v>
      </c>
      <c r="S18" s="265"/>
      <c r="T18" s="262">
        <f>SUM(T22:T71)</f>
        <v>0</v>
      </c>
      <c r="U18" s="256"/>
      <c r="V18" s="264">
        <f>IF(SUM(V22:V72)&gt;0,SUM(V22:V72)+V17,0)</f>
        <v>0</v>
      </c>
      <c r="W18" s="1646">
        <f ca="1">SUM(W22:X71)</f>
        <v>0</v>
      </c>
      <c r="X18" s="1647"/>
      <c r="AM18" s="91"/>
      <c r="BJ18" s="42">
        <v>4</v>
      </c>
      <c r="BL18" s="42">
        <v>5</v>
      </c>
      <c r="BN18" s="42">
        <v>6</v>
      </c>
      <c r="BP18" s="42">
        <v>7</v>
      </c>
      <c r="BR18" s="42">
        <v>8</v>
      </c>
      <c r="BT18" s="42">
        <v>9</v>
      </c>
      <c r="BV18" s="42">
        <v>10</v>
      </c>
      <c r="BX18" s="42">
        <v>11</v>
      </c>
      <c r="BZ18" s="42">
        <v>12</v>
      </c>
      <c r="CB18" s="42">
        <v>13</v>
      </c>
      <c r="CD18" s="42">
        <v>13</v>
      </c>
      <c r="CF18" s="42">
        <v>13</v>
      </c>
      <c r="CH18" s="42">
        <v>14</v>
      </c>
    </row>
    <row r="19" spans="1:97" ht="5.15" customHeight="1" thickBot="1" x14ac:dyDescent="0.35">
      <c r="A19" s="101"/>
      <c r="B19" s="1039"/>
      <c r="C19" s="1038"/>
      <c r="D19" s="1038"/>
      <c r="E19" s="1038"/>
      <c r="F19" s="1038"/>
      <c r="G19" s="1038"/>
      <c r="H19" s="1051"/>
      <c r="I19" s="1051"/>
      <c r="J19" s="1050"/>
      <c r="K19" s="1050"/>
      <c r="L19" s="1052"/>
      <c r="M19" s="1052"/>
      <c r="N19" s="1053"/>
      <c r="O19" s="1054"/>
      <c r="P19" s="228"/>
      <c r="Q19" s="259"/>
      <c r="R19" s="272"/>
      <c r="S19" s="266"/>
      <c r="T19" s="261"/>
      <c r="U19" s="257"/>
      <c r="V19" s="267"/>
      <c r="AM19" s="91"/>
    </row>
    <row r="20" spans="1:97" s="46" customFormat="1" ht="55.5" customHeight="1" thickBot="1" x14ac:dyDescent="0.3">
      <c r="A20" s="101"/>
      <c r="B20" s="1637" t="s">
        <v>153</v>
      </c>
      <c r="C20" s="1637"/>
      <c r="D20" s="1637"/>
      <c r="E20" s="1638"/>
      <c r="F20" s="1368"/>
      <c r="G20" s="1057"/>
      <c r="H20" s="1040"/>
      <c r="I20" s="1041" t="s">
        <v>154</v>
      </c>
      <c r="J20" s="1042" t="str">
        <f>IF(B22&lt;&gt;"C-Atrium","LPD Allow. (watts per sq.ft)","LPD Allow. (watts per sq.ft per foot in height)")</f>
        <v>LPD Allow. (watts per sq.ft)</v>
      </c>
      <c r="K20" s="1042" t="s">
        <v>155</v>
      </c>
      <c r="L20" s="1043" t="s">
        <v>156</v>
      </c>
      <c r="M20" s="1042" t="s">
        <v>157</v>
      </c>
      <c r="N20" s="1044" t="s">
        <v>859</v>
      </c>
      <c r="O20" s="1045" t="s">
        <v>860</v>
      </c>
      <c r="P20" s="252" t="s">
        <v>158</v>
      </c>
      <c r="Q20" s="253" t="s">
        <v>159</v>
      </c>
      <c r="R20" s="273" t="s">
        <v>160</v>
      </c>
      <c r="S20" s="254" t="s">
        <v>161</v>
      </c>
      <c r="T20" s="255" t="s">
        <v>162</v>
      </c>
      <c r="U20" s="255" t="s">
        <v>163</v>
      </c>
      <c r="V20" s="268" t="s">
        <v>164</v>
      </c>
      <c r="W20" s="1651" t="s">
        <v>1068</v>
      </c>
      <c r="X20" s="1652"/>
      <c r="Y20" s="274"/>
      <c r="Z20" s="274" t="s">
        <v>897</v>
      </c>
      <c r="AB20" s="46" t="s">
        <v>1064</v>
      </c>
      <c r="AM20" s="196" t="s">
        <v>165</v>
      </c>
      <c r="AN20" s="232" t="s">
        <v>166</v>
      </c>
      <c r="AR20" s="213" t="str">
        <f t="shared" ref="AR20:AR52" si="0">B20</f>
        <v>Space</v>
      </c>
      <c r="AS20" s="213"/>
      <c r="AT20" s="213"/>
      <c r="AU20" s="213"/>
      <c r="AV20" s="213"/>
      <c r="AW20" s="213"/>
      <c r="AX20" s="213" t="s">
        <v>167</v>
      </c>
      <c r="AY20" s="46">
        <f>COUNTIF(AY22:AY71,"=" &amp; 1)</f>
        <v>0</v>
      </c>
      <c r="BA20" s="46" t="s">
        <v>168</v>
      </c>
      <c r="BB20" s="46" t="s">
        <v>169</v>
      </c>
      <c r="BC20" s="213"/>
      <c r="BD20" s="213"/>
      <c r="BE20" s="213" t="s">
        <v>36</v>
      </c>
      <c r="BF20" s="46">
        <f>COUNTIF(BF22:BF71,"=" &amp; 1)</f>
        <v>0</v>
      </c>
      <c r="BH20" s="213"/>
      <c r="BI20" s="213"/>
      <c r="BJ20" s="213" t="s">
        <v>862</v>
      </c>
      <c r="BK20" s="213"/>
      <c r="BL20" s="213" t="s">
        <v>863</v>
      </c>
      <c r="BM20" s="213"/>
      <c r="BN20" s="46" t="s">
        <v>864</v>
      </c>
      <c r="BP20" s="46" t="s">
        <v>865</v>
      </c>
      <c r="BR20" s="46" t="s">
        <v>866</v>
      </c>
      <c r="BT20" s="46" t="s">
        <v>867</v>
      </c>
      <c r="BV20" s="46" t="s">
        <v>868</v>
      </c>
      <c r="BX20" s="46" t="s">
        <v>869</v>
      </c>
      <c r="BZ20" s="46" t="s">
        <v>870</v>
      </c>
      <c r="CB20" s="46" t="s">
        <v>942</v>
      </c>
      <c r="CD20" s="46" t="s">
        <v>943</v>
      </c>
      <c r="CF20" s="46" t="s">
        <v>944</v>
      </c>
      <c r="CH20" s="46" t="s">
        <v>945</v>
      </c>
    </row>
    <row r="21" spans="1:97" s="196" customFormat="1" ht="1" customHeight="1" x14ac:dyDescent="0.25">
      <c r="A21" s="90"/>
      <c r="B21" s="966"/>
      <c r="C21" s="966"/>
      <c r="D21" s="966"/>
      <c r="E21" s="966"/>
      <c r="F21" s="966"/>
      <c r="G21" s="970"/>
      <c r="I21" s="967"/>
      <c r="J21" s="967"/>
      <c r="K21" s="967"/>
      <c r="L21" s="502"/>
      <c r="M21" s="967"/>
      <c r="N21" s="967"/>
      <c r="O21" s="967"/>
      <c r="P21" s="967"/>
      <c r="Q21" s="967"/>
      <c r="R21" s="967"/>
      <c r="S21" s="967"/>
      <c r="T21" s="967"/>
      <c r="U21" s="967"/>
      <c r="V21" s="967"/>
      <c r="W21" s="968"/>
      <c r="X21" s="968"/>
      <c r="Y21" s="274"/>
      <c r="Z21" s="274"/>
      <c r="AN21" s="969"/>
      <c r="AR21" s="128"/>
      <c r="AS21" s="128"/>
      <c r="AT21" s="128"/>
      <c r="AU21" s="128"/>
      <c r="AV21" s="128"/>
      <c r="AW21" s="128"/>
      <c r="AX21" s="128"/>
      <c r="BC21" s="128"/>
      <c r="BD21" s="128"/>
      <c r="BE21" s="128"/>
      <c r="BH21" s="128"/>
      <c r="BI21" s="128"/>
      <c r="BJ21" s="128"/>
      <c r="BK21" s="128"/>
      <c r="BL21" s="128"/>
      <c r="BM21" s="128"/>
    </row>
    <row r="22" spans="1:97" x14ac:dyDescent="0.25">
      <c r="A22" s="5">
        <v>1</v>
      </c>
      <c r="B22" s="1639" t="str">
        <f>'Int Room Schedule'!Z16</f>
        <v/>
      </c>
      <c r="C22" s="1640"/>
      <c r="D22" s="1640"/>
      <c r="E22" s="1640"/>
      <c r="F22" s="1340"/>
      <c r="G22" s="971"/>
      <c r="H22" s="472" t="str">
        <f>'Int Room Schedule'!AA16</f>
        <v/>
      </c>
      <c r="I22" s="466" t="str">
        <f t="shared" ref="I22:I53" si="1">IF(B22="","",VLOOKUP(B22,_SpaceDefinition2,4,FALSE))</f>
        <v/>
      </c>
      <c r="J22" s="362" t="str">
        <f ca="1">IF($B22&lt;&gt;"",VLOOKUP($AN22,INDIRECT('9.6 Table'!$P$338),2,FALSE)," ")</f>
        <v xml:space="preserve"> </v>
      </c>
      <c r="K22" s="362" t="str">
        <f ca="1">IF($B22&lt;&gt;"",VLOOKUP($AN22,INDIRECT('9.6 Table'!$P$338),3,FALSE)," ")</f>
        <v xml:space="preserve"> </v>
      </c>
      <c r="L22" s="483"/>
      <c r="M22" s="362">
        <f t="shared" ref="M22:M29" ca="1" si="2">IF(B22="C-Atrium",1,IF(K22="8' wide",IF(L22&lt;8,1.2,1),IF(L22&gt;K22,1.2,1)))</f>
        <v>1</v>
      </c>
      <c r="N22" s="464">
        <f t="shared" ref="N22:N53" si="3">IF(B22&lt;&gt;"",IF(J22="Not 2010",0,IF(LEFT(RIGHT(B22,LEN(B22)-FIND("-",B22)),8)=" Atrium ",IF(AM22&gt;40,40*0.03*I22+(AM22-40)*0.02*I22,AM22*0.03*I22),ROUND(J22*I22*M22,0))),0)</f>
        <v>0</v>
      </c>
      <c r="O22" s="166">
        <f ca="1">IFERROR(IF(SUMIF('SpxSp (step-b)'!B$26:F$75,'SpxSp (step-a)'!B22,'SpxSp (step-b)'!L$26:L$75)&gt;0,N22,0),0)</f>
        <v>0</v>
      </c>
      <c r="P22" s="486"/>
      <c r="Q22" s="487"/>
      <c r="R22" s="328">
        <f>IF(AND(P22="YES",Q22&lt;=I22),ROUND(Q22*R$13,0),IF(AND(P22="YES",Q22&gt;I22),"sq.ft. ERROR",0))</f>
        <v>0</v>
      </c>
      <c r="S22" s="486"/>
      <c r="T22" s="487"/>
      <c r="U22" s="487"/>
      <c r="V22" s="328" t="str">
        <f t="shared" ref="V22:V53" si="4">IF(S22="YES",IF(T22&gt;I22,"sq.ft. ERROR",VLOOKUP(U22,_Space_by_Space_9_6_2_Additional_Interior_Lighting_Power,2,FALSE)*T22),"")</f>
        <v/>
      </c>
      <c r="W22" s="1631">
        <f ca="1">SUMIFS('SpxSp (step-b)'!AZ26:AZ75,'SpxSp (step-b)'!AX$26:AX$75,AB22)</f>
        <v>0</v>
      </c>
      <c r="X22" s="1632"/>
      <c r="Y22" s="244"/>
      <c r="Z22" s="244">
        <f>IF(B22="",0,COUNTIF('SpxSp (step-b)'!B26:F75,B22))</f>
        <v>0</v>
      </c>
      <c r="AB22" s="737" t="str">
        <f ca="1">IF(OR($B22="",O22=0),"",VLOOKUP($AN22,INDIRECT('9.6 Table'!$P$338),17,FALSE))</f>
        <v/>
      </c>
      <c r="AC22" s="326"/>
      <c r="AD22" s="326"/>
      <c r="AE22" s="326"/>
      <c r="AF22" s="326"/>
      <c r="AG22" s="326"/>
      <c r="AH22" s="326"/>
      <c r="AI22" s="326"/>
      <c r="AJ22" s="326"/>
      <c r="AK22" s="326"/>
      <c r="AL22" s="326"/>
      <c r="AM22" s="231">
        <f>'Int Room Schedule'!U16</f>
        <v>0</v>
      </c>
      <c r="AN22" s="78" t="str">
        <f t="shared" ref="AN22:AN53" si="5">VLOOKUP(B22,_SpaceDefinition2,2,FALSE)</f>
        <v/>
      </c>
      <c r="AO22" s="78"/>
      <c r="AP22" s="78"/>
      <c r="AQ22" s="78"/>
      <c r="AR22" s="43" t="str">
        <f t="shared" si="0"/>
        <v/>
      </c>
      <c r="AS22" s="43"/>
      <c r="AT22" s="43"/>
      <c r="AU22" s="43"/>
      <c r="AV22" s="43"/>
      <c r="AW22" s="43"/>
      <c r="AX22" s="43" t="str">
        <f t="shared" ref="AX22:AX53" si="6">IF(P22="YES",AR22,"")</f>
        <v/>
      </c>
      <c r="AY22" s="326" t="str">
        <f>IF($B22="","",IF(AZ22&lt;&gt;" ",1,0))</f>
        <v/>
      </c>
      <c r="AZ22" s="194" t="e">
        <f t="array" ref="AZ22">IF(ROWS(AX$22:AX22)&gt;COUNTA($AX$22:$AX$71),"",INDEX($AX$22:$AX$71,SMALL(IF($AX$22:$AX$71&lt;&gt;"",ROW($AX$22:$AX$71)-ROW($AX$22)+1),ROWS($AX$22:AX22))))</f>
        <v>#NUM!</v>
      </c>
      <c r="BA22" s="326" t="str">
        <f>IFERROR(VLOOKUP(AZ22,B$22:V$71,16,FALSE),"")</f>
        <v/>
      </c>
      <c r="BB22" s="326" t="str">
        <f>IF(BA22="","",SUMIF('SpxSp (step-c)'!B$18:E$67,AZ22,'SpxSp (step-c)'!T$18:T$67))</f>
        <v/>
      </c>
      <c r="BC22" s="326">
        <f>IF(BB22&gt;BA22,"ERROR",0)</f>
        <v>0</v>
      </c>
      <c r="BE22" s="43" t="str">
        <f t="shared" ref="BE22:BE53" si="7">IF(S22="YES",AR22,"")</f>
        <v/>
      </c>
      <c r="BF22" s="326" t="str">
        <f>IF($B22="","",IF(BG22&lt;&gt;" ",1,0))</f>
        <v/>
      </c>
      <c r="BG22" s="194" t="e">
        <f t="array" ref="BG22">IF(ROWS(BE$22:BE22)&gt;COUNTA($BE$22:$BE$71),"",INDEX($BE$22:$BE$71,SMALL(IF($BE$22:$BE$71&lt;&gt;"",ROW($BE$22:$BE$71)-ROW($BE$22)+1),ROWS($BE$22:BE22))))</f>
        <v>#NUM!</v>
      </c>
      <c r="BI22" s="480" t="str">
        <f>IF(B22="","",VLOOKUP(B22,'SpxSp Compliance Details'!$Z$18:$BK$67,36,FALSE))</f>
        <v/>
      </c>
      <c r="BJ22" s="473" t="str">
        <f>IF($B22="","",IF($BI22="#1",BJ$15,IF($BI22="#2",BJ$16,VLOOKUP($H22,Table_9.6.1_2016[],IF(Compliance_Version_Year=2010,18,BJ$18),FALSE))))</f>
        <v/>
      </c>
      <c r="BK22" s="473" t="str">
        <f>IF(BJ22="REQ","a, ","")</f>
        <v/>
      </c>
      <c r="BL22" s="473" t="str">
        <f>IF($B22="","",IF($BI22="#1",BL$15,IF($BI22="#2",BL$16,VLOOKUP($H22,Table_9.6.1_2016[],IF(Compliance_Version_Year=2010,18,BL$18),FALSE))))</f>
        <v/>
      </c>
      <c r="BM22" s="473" t="str">
        <f>IF(OR(BL22="ADD1",BL22="REQ"),"b, ","")</f>
        <v/>
      </c>
      <c r="BN22" s="473" t="str">
        <f>IF($B22="","",IF($BI22="#1",BN$15,IF($BI22="#2",BN$16,VLOOKUP($H22,Table_9.6.1_2016[],IF(Compliance_Version_Year=2010,18,BN$18),FALSE))))</f>
        <v/>
      </c>
      <c r="BO22" s="473" t="str">
        <f>IF(OR(BN22="ADD1",BN22="REQ"),"c, ","")</f>
        <v/>
      </c>
      <c r="BP22" s="473" t="str">
        <f>IF($B22="","",IF($BI22="#1",BP$15,IF($BI22="#2",BP$16,VLOOKUP($H22,Table_9.6.1_2016[],IF(Compliance_Version_Year=2010,18,BP$18),FALSE))))</f>
        <v/>
      </c>
      <c r="BQ22" s="473" t="str">
        <f>IF(BP22="REQ","d, ","")</f>
        <v/>
      </c>
      <c r="BR22" s="473" t="str">
        <f>IF($B22="","",IF($BI22="#1",BR$15,IF($BI22="#2",BR$16,IF($BI22="ALT",BR$17,VLOOKUP($H22,Table_9.6.1_2016[],IF(Compliance_Version_Year=2010,18,BR$18),FALSE)))))</f>
        <v/>
      </c>
      <c r="BS22" s="473" t="str">
        <f>IF(BR22="REQ","e, ","")</f>
        <v/>
      </c>
      <c r="BT22" s="473" t="str">
        <f>IF($B22="","",IF($BI22="#1",BT$15,IF($BI22="#2",BT$16,IF($BI22="ALT",BT$17,VLOOKUP($H22,Table_9.6.1_2016[],IF(Compliance_Version_Year=2010,18,BT$18),FALSE)))))</f>
        <v/>
      </c>
      <c r="BU22" s="473" t="str">
        <f>IF(BT22="REQ","f, ","")</f>
        <v/>
      </c>
      <c r="BV22" s="473" t="str">
        <f>IF($B22="","",IF($BI22="#1",BV$15,IF($BI22="#2",BV$16,VLOOKUP($H22,Table_9.6.1_2016[],IF(Compliance_Version_Year=2010,18,BV$18),FALSE))))</f>
        <v/>
      </c>
      <c r="BW22" s="473" t="str">
        <f>IF(BV22="REQ","g, ","")</f>
        <v/>
      </c>
      <c r="BX22" s="473" t="str">
        <f>IF($B22="","",IF($BI22="#1",BX$15,VLOOKUP($H22,Table_9.6.1_2016[],IF(Compliance_Version_Year=2010,18,BX$18),FALSE)))</f>
        <v/>
      </c>
      <c r="BY22" s="473" t="str">
        <f>IF(OR(BX22="ADD2",BX22="REQ"),"h, ","")</f>
        <v/>
      </c>
      <c r="BZ22" s="473" t="str">
        <f>IF($B22="","",IF($BI22="#1",BZ$15,VLOOKUP($H22,Table_9.6.1_2016[],IF(Compliance_Version_Year=2010,18,BZ$18),FALSE)))</f>
        <v/>
      </c>
      <c r="CA22" s="473" t="str">
        <f>IF(OR(BZ22="ADD2",BZ22="REQ"),"i, ","")</f>
        <v/>
      </c>
      <c r="CB22" s="473" t="str">
        <f>IF($B22="","",IF($BI22="#1",CB$15,IF($BI22="#2",CB$16,VLOOKUP($H22,Table_9.6.1_2016[],IF(Compliance_Version_Year=2010,18,CB$18),FALSE))))</f>
        <v/>
      </c>
      <c r="CC22" s="473" t="str">
        <f>IF(OR(CB22="ADD2",CB22="REQ"),"9.4.1.2b, ","")</f>
        <v/>
      </c>
      <c r="CD22" s="473" t="str">
        <f>IF($B22="","",IF($BI22="#1",CD$15,IF($BI22="#2",CD$16,VLOOKUP($H22,Table_9.6.1_2016[],IF(Compliance_Version_Year=2010,18,CD$18),FALSE))))</f>
        <v/>
      </c>
      <c r="CE22" s="473" t="str">
        <f>IF(OR(CD22="ADD2",CD22="REQ"),"9.4.1.2c, ","")</f>
        <v/>
      </c>
      <c r="CF22" s="473" t="str">
        <f>IF($B22="","",IF($BI22="#1",CF$15,IF($BI22="#2",CF$16,VLOOKUP($H22,Table_9.6.1_2016[],IF(Compliance_Version_Year=2010,18,CF$18),FALSE))))</f>
        <v/>
      </c>
      <c r="CG22" s="473" t="str">
        <f t="shared" ref="CG22:CG28" si="8">IF(OR(CF22="ADD2",CF22="REQ"),"9.4.1.2d, ","")</f>
        <v/>
      </c>
      <c r="CH22" s="473" t="str">
        <f>IF($B22="","",IF($BI22="#1",CH$15,IF($BI22="#2",CH$16,VLOOKUP($H22,Table_9.6.1_2016[],IF(Compliance_Version_Year=2010,18,CH$18),FALSE))))</f>
        <v/>
      </c>
      <c r="CI22" s="473" t="str">
        <f t="shared" ref="CI22:CI29" si="9">IF(OR(CH22="ADD2",CH22="REQ"),"9.4.1.3b.2, ","")</f>
        <v/>
      </c>
      <c r="CL22" s="43" t="str">
        <f t="shared" ref="CL22:CL53" si="10">IF(B22="","",CONCATENATE(BK22,BM22,BO22,BQ22,BS22,BU22,BW22,BY22,CA22,CC22,CE22,CG22,CI22))</f>
        <v/>
      </c>
      <c r="CM22" s="43" t="str">
        <f t="shared" ref="CM22:CM53" si="11">IF(B22="","",IF(CL22="","No control changes required",IF(LEFT(AN22,5)="Guest",CONCATENATE("Meet control requirements of Section ",LEFT(CL22,LEN(CL22)-2)),CONCATENATE("Meet control requirements of Section 9.4.1.1 ",LEFT(CL22,LEN(CL22)-2)))))</f>
        <v/>
      </c>
      <c r="CR22" s="42" t="str">
        <f>B22</f>
        <v/>
      </c>
      <c r="CS22" s="42" t="str">
        <f>'SpxSp Compliance Details'!I18</f>
        <v/>
      </c>
    </row>
    <row r="23" spans="1:97" x14ac:dyDescent="0.25">
      <c r="A23" s="5">
        <v>2</v>
      </c>
      <c r="B23" s="1627" t="str">
        <f>'Int Room Schedule'!Z17</f>
        <v/>
      </c>
      <c r="C23" s="1628"/>
      <c r="D23" s="1628"/>
      <c r="E23" s="1628"/>
      <c r="F23" s="1367"/>
      <c r="G23" s="321"/>
      <c r="H23" s="472" t="str">
        <f>'Int Room Schedule'!AA17</f>
        <v/>
      </c>
      <c r="I23" s="466" t="str">
        <f t="shared" si="1"/>
        <v/>
      </c>
      <c r="J23" s="655" t="str">
        <f ca="1">IF($B23&lt;&gt;"",VLOOKUP($AN23,INDIRECT('9.6 Table'!$P$338),2,FALSE)," ")</f>
        <v xml:space="preserve"> </v>
      </c>
      <c r="K23" s="948" t="str">
        <f ca="1">IF($B23&lt;&gt;"",VLOOKUP($AN23,INDIRECT('9.6 Table'!$P$338),3,FALSE)," ")</f>
        <v xml:space="preserve"> </v>
      </c>
      <c r="L23" s="483"/>
      <c r="M23" s="362">
        <f t="shared" ca="1" si="2"/>
        <v>1</v>
      </c>
      <c r="N23" s="464">
        <f t="shared" si="3"/>
        <v>0</v>
      </c>
      <c r="O23" s="166">
        <f ca="1">IFERROR(IF(SUMIF('SpxSp (step-b)'!B$26:F$75,'SpxSp (step-a)'!B23,'SpxSp (step-b)'!L$26:L$75)&gt;0,N23,0),0)</f>
        <v>0</v>
      </c>
      <c r="P23" s="486"/>
      <c r="Q23" s="487"/>
      <c r="R23" s="1074">
        <f t="shared" ref="R23:R71" si="12">IF(AND(P23="YES",Q23&lt;=I23),ROUND(Q23*R$13,0),IF(AND(P23="YES",Q23&gt;I23),"sq.ft. ERROR",0))</f>
        <v>0</v>
      </c>
      <c r="S23" s="486"/>
      <c r="T23" s="487"/>
      <c r="U23" s="487"/>
      <c r="V23" s="328" t="str">
        <f t="shared" si="4"/>
        <v/>
      </c>
      <c r="W23" s="1631">
        <f ca="1">SUMIFS('SpxSp (step-b)'!AZ27:AZ76,'SpxSp (step-b)'!AX$26:AX$75,AB23)</f>
        <v>0</v>
      </c>
      <c r="X23" s="1632"/>
      <c r="Y23" s="244"/>
      <c r="Z23" s="244">
        <f>IF(B23="",0,COUNTIF('SpxSp (step-b)'!B27:F76,B23))</f>
        <v>0</v>
      </c>
      <c r="AB23" s="737" t="str">
        <f ca="1">IF(OR($B23="",O23=0),"",VLOOKUP($AN23,INDIRECT('9.6 Table'!$P$338),17,FALSE))</f>
        <v/>
      </c>
      <c r="AC23" s="326"/>
      <c r="AD23" s="326"/>
      <c r="AE23" s="326"/>
      <c r="AF23" s="326"/>
      <c r="AG23" s="326"/>
      <c r="AH23" s="326"/>
      <c r="AI23" s="326"/>
      <c r="AJ23" s="326"/>
      <c r="AK23" s="326"/>
      <c r="AL23" s="326"/>
      <c r="AM23" s="231">
        <f>'Int Room Schedule'!U17</f>
        <v>0</v>
      </c>
      <c r="AN23" s="78" t="str">
        <f t="shared" si="5"/>
        <v/>
      </c>
      <c r="AO23" s="78"/>
      <c r="AP23" s="78"/>
      <c r="AQ23" s="78"/>
      <c r="AR23" s="43" t="str">
        <f t="shared" si="0"/>
        <v/>
      </c>
      <c r="AS23" s="43"/>
      <c r="AT23" s="43"/>
      <c r="AU23" s="43"/>
      <c r="AV23" s="43"/>
      <c r="AW23" s="43"/>
      <c r="AX23" s="43" t="str">
        <f t="shared" si="6"/>
        <v/>
      </c>
      <c r="AY23" s="326" t="str">
        <f>IF($B23="","",IF(AZ23&lt;&gt;" ",1,0))</f>
        <v/>
      </c>
      <c r="AZ23" s="194" t="e">
        <f t="array" ref="AZ23">IF(ROWS(AX$22:AX23)&gt;COUNTA($AX$22:$AX$71),"",INDEX($AX$22:$AX$71,SMALL(IF($AX$22:$AX$71&lt;&gt;"",ROW($AX$22:$AX$71)-ROW($AX$22)+1),ROWS($AX$22:AX23))))</f>
        <v>#NUM!</v>
      </c>
      <c r="BA23" s="730" t="str">
        <f t="shared" ref="BA23:BA71" si="13">IFERROR(VLOOKUP(AZ23,B$22:V$71,16,FALSE),"")</f>
        <v/>
      </c>
      <c r="BB23" s="326" t="str">
        <f>IF(BA23="","",SUMIF('SpxSp (step-c)'!B$18:E$67,AZ23,'SpxSp (step-c)'!T$18:T$67))</f>
        <v/>
      </c>
      <c r="BC23" s="326">
        <f t="shared" ref="BC23:BC30" si="14">IF(BB23&gt;BA23,"ERROR",0)</f>
        <v>0</v>
      </c>
      <c r="BD23" s="43"/>
      <c r="BE23" s="43" t="str">
        <f t="shared" si="7"/>
        <v/>
      </c>
      <c r="BF23" s="326" t="str">
        <f t="shared" ref="BF23:BF29" si="15">IF($B23="","",IF(BG23&lt;&gt;" ",1,0))</f>
        <v/>
      </c>
      <c r="BG23" s="194" t="e">
        <f t="array" ref="BG23">IF(ROWS(BE$22:BE23)&gt;COUNTA($BE$22:$BE$71),"",INDEX($BE$22:$BE$71,SMALL(IF($BE$22:$BE$71&lt;&gt;"",ROW($BE$22:$BE$71)-ROW($BE$22)+1),ROWS($BE$22:BE23))))</f>
        <v>#NUM!</v>
      </c>
      <c r="BH23" s="43"/>
      <c r="BI23" s="480" t="str">
        <f>IF(B23="","",VLOOKUP(B23,'SpxSp Compliance Details'!$Z$18:$BK$67,36,FALSE))</f>
        <v/>
      </c>
      <c r="BJ23" s="473" t="str">
        <f>IF($B23="","",IF($BI23="#1",BJ$15,IF($BI23="#2",BJ$16,VLOOKUP($H23,Table_9.6.1_2016[],IF(Compliance_Version_Year=2010,18,BJ$18),FALSE))))</f>
        <v/>
      </c>
      <c r="BK23" s="473" t="str">
        <f t="shared" ref="BK23:BK71" si="16">IF(BJ23="REQ","a, ","")</f>
        <v/>
      </c>
      <c r="BL23" s="473" t="str">
        <f>IF($B23="","",IF($BI23="#1",BL$15,IF($BI23="#2",BL$16,VLOOKUP($H23,Table_9.6.1_2016[],IF(Compliance_Version_Year=2010,18,BL$18),FALSE))))</f>
        <v/>
      </c>
      <c r="BM23" s="473" t="str">
        <f t="shared" ref="BM23:BM71" si="17">IF(OR(BL23="ADD1",BL23="REQ"),"b, ","")</f>
        <v/>
      </c>
      <c r="BN23" s="473" t="str">
        <f>IF($B23="","",IF($BI23="#1",BN$15,IF($BI23="#2",BN$16,VLOOKUP($H23,Table_9.6.1_2016[],IF(Compliance_Version_Year=2010,18,BN$18),FALSE))))</f>
        <v/>
      </c>
      <c r="BO23" s="473" t="str">
        <f t="shared" ref="BO23:BO71" si="18">IF(OR(BN23="ADD1",BN23="REQ"),"c, ","")</f>
        <v/>
      </c>
      <c r="BP23" s="473" t="str">
        <f>IF($B23="","",IF($BI23="#1",BP$15,IF($BI23="#2",BP$16,VLOOKUP($H23,Table_9.6.1_2016[],IF(Compliance_Version_Year=2010,18,BP$18),FALSE))))</f>
        <v/>
      </c>
      <c r="BQ23" s="473" t="str">
        <f t="shared" ref="BQ23:BQ71" si="19">IF(BP23="REQ","d, ","")</f>
        <v/>
      </c>
      <c r="BR23" s="473" t="str">
        <f>IF($B23="","",IF($BI23="#1",BR$15,IF($BI23="#2",BR$16,IF($BI23="ALT",BR$17,VLOOKUP($H23,Table_9.6.1_2016[],IF(Compliance_Version_Year=2010,18,BR$18),FALSE)))))</f>
        <v/>
      </c>
      <c r="BS23" s="473" t="str">
        <f t="shared" ref="BS23:BS71" si="20">IF(BR23="REQ","e, ","")</f>
        <v/>
      </c>
      <c r="BT23" s="473" t="str">
        <f>IF($B23="","",IF($BI23="#1",BT$15,IF($BI23="#2",BT$16,IF($BI23="ALT",BT$17,VLOOKUP($H23,Table_9.6.1_2016[],IF(Compliance_Version_Year=2010,18,BT$18),FALSE)))))</f>
        <v/>
      </c>
      <c r="BU23" s="473" t="str">
        <f t="shared" ref="BU23:BU71" si="21">IF(BT23="REQ","f, ","")</f>
        <v/>
      </c>
      <c r="BV23" s="473" t="str">
        <f>IF($B23="","",IF($BI23="#1",BV$15,IF($BI23="#2",BV$16,VLOOKUP($H23,Table_9.6.1_2016[],IF(Compliance_Version_Year=2010,18,BV$18),FALSE))))</f>
        <v/>
      </c>
      <c r="BW23" s="473" t="str">
        <f t="shared" ref="BW23:BW71" si="22">IF(BV23="REQ","g, ","")</f>
        <v/>
      </c>
      <c r="BX23" s="473" t="str">
        <f>IF($B23="","",IF($BI23="#1",BX$15,VLOOKUP($H23,Table_9.6.1_2016[],IF(Compliance_Version_Year=2010,18,BX$18),FALSE)))</f>
        <v/>
      </c>
      <c r="BY23" s="473" t="str">
        <f t="shared" ref="BY23:BY71" si="23">IF(OR(BX23="ADD2",BX23="REQ"),"h, ","")</f>
        <v/>
      </c>
      <c r="BZ23" s="473" t="str">
        <f>IF($B23="","",IF($BI23="#1",BZ$15,VLOOKUP($H23,Table_9.6.1_2016[],IF(Compliance_Version_Year=2010,18,BZ$18),FALSE)))</f>
        <v/>
      </c>
      <c r="CA23" s="473" t="str">
        <f t="shared" ref="CA23:CA71" si="24">IF(OR(BZ23="ADD2",BZ23="REQ"),"i, ","")</f>
        <v/>
      </c>
      <c r="CB23" s="473" t="str">
        <f>IF($B23="","",IF($BI23="#1",CB$15,IF($BI23="#2",CB$16,VLOOKUP($H23,Table_9.6.1_2016[],IF(Compliance_Version_Year=2010,18,CB$18),FALSE))))</f>
        <v/>
      </c>
      <c r="CC23" s="473" t="str">
        <f t="shared" ref="CC23:CC71" si="25">IF(OR(CB23="ADD2",CB23="REQ"),"9.4.1.2b, ","")</f>
        <v/>
      </c>
      <c r="CD23" s="473" t="str">
        <f>IF($B23="","",IF($BI23="#1",CD$15,IF($BI23="#2",CD$16,VLOOKUP($H23,Table_9.6.1_2016[],IF(Compliance_Version_Year=2010,18,CD$18),FALSE))))</f>
        <v/>
      </c>
      <c r="CE23" s="473" t="str">
        <f t="shared" ref="CE23:CE32" si="26">IF(OR(CD23="ADD2",CD23="REQ"),"9.4.1.2c, ","")</f>
        <v/>
      </c>
      <c r="CF23" s="473" t="str">
        <f>IF($B23="","",IF($BI23="#1",CF$15,IF($BI23="#2",CF$16,VLOOKUP($H23,Table_9.6.1_2016[],IF(Compliance_Version_Year=2010,18,CF$18),FALSE))))</f>
        <v/>
      </c>
      <c r="CG23" s="473" t="str">
        <f t="shared" si="8"/>
        <v/>
      </c>
      <c r="CH23" s="473" t="str">
        <f>IF($B23="","",IF($BI23="#1",CH$15,IF($BI23="#2",CH$16,VLOOKUP($H23,Table_9.6.1_2016[],IF(Compliance_Version_Year=2010,18,CH$18),FALSE))))</f>
        <v/>
      </c>
      <c r="CI23" s="473" t="str">
        <f t="shared" si="9"/>
        <v/>
      </c>
      <c r="CL23" s="43" t="str">
        <f t="shared" si="10"/>
        <v/>
      </c>
      <c r="CM23" s="43" t="str">
        <f t="shared" si="11"/>
        <v/>
      </c>
      <c r="CR23" s="42" t="str">
        <f t="shared" ref="CR23:CR71" si="27">B23</f>
        <v/>
      </c>
      <c r="CS23" s="42" t="str">
        <f>'SpxSp Compliance Details'!I19</f>
        <v/>
      </c>
    </row>
    <row r="24" spans="1:97" x14ac:dyDescent="0.25">
      <c r="A24" s="5">
        <v>3</v>
      </c>
      <c r="B24" s="1627" t="str">
        <f>'Int Room Schedule'!Z18</f>
        <v/>
      </c>
      <c r="C24" s="1628"/>
      <c r="D24" s="1628"/>
      <c r="E24" s="1628"/>
      <c r="F24" s="1367"/>
      <c r="G24" s="321"/>
      <c r="H24" s="472" t="str">
        <f>'Int Room Schedule'!AA18</f>
        <v/>
      </c>
      <c r="I24" s="466" t="str">
        <f t="shared" si="1"/>
        <v/>
      </c>
      <c r="J24" s="655" t="str">
        <f ca="1">IF($B24&lt;&gt;"",VLOOKUP($AN24,INDIRECT('9.6 Table'!$P$338),2,FALSE)," ")</f>
        <v xml:space="preserve"> </v>
      </c>
      <c r="K24" s="948" t="str">
        <f ca="1">IF($B24&lt;&gt;"",VLOOKUP($AN24,INDIRECT('9.6 Table'!$P$338),3,FALSE)," ")</f>
        <v xml:space="preserve"> </v>
      </c>
      <c r="L24" s="483"/>
      <c r="M24" s="362">
        <f t="shared" ca="1" si="2"/>
        <v>1</v>
      </c>
      <c r="N24" s="464">
        <f t="shared" si="3"/>
        <v>0</v>
      </c>
      <c r="O24" s="166">
        <f ca="1">IFERROR(IF(SUMIF('SpxSp (step-b)'!B$26:F$75,'SpxSp (step-a)'!B24,'SpxSp (step-b)'!L$26:L$75)&gt;0,N24,0),0)</f>
        <v>0</v>
      </c>
      <c r="P24" s="486"/>
      <c r="Q24" s="487"/>
      <c r="R24" s="1074">
        <f t="shared" si="12"/>
        <v>0</v>
      </c>
      <c r="S24" s="486"/>
      <c r="T24" s="487"/>
      <c r="U24" s="487"/>
      <c r="V24" s="328" t="str">
        <f t="shared" si="4"/>
        <v/>
      </c>
      <c r="W24" s="1631">
        <f ca="1">SUMIFS('SpxSp (step-b)'!AZ28:AZ77,'SpxSp (step-b)'!AX$26:AX$75,AB24)</f>
        <v>0</v>
      </c>
      <c r="X24" s="1632"/>
      <c r="Y24" s="244"/>
      <c r="Z24" s="244">
        <f>IF(B24="",0,COUNTIF('SpxSp (step-b)'!B28:F77,B24))</f>
        <v>0</v>
      </c>
      <c r="AB24" s="737" t="str">
        <f ca="1">IF(OR($B24="",O24=0),"",VLOOKUP($AN24,INDIRECT('9.6 Table'!$P$338),17,FALSE))</f>
        <v/>
      </c>
      <c r="AC24" s="326"/>
      <c r="AD24" s="326"/>
      <c r="AE24" s="326"/>
      <c r="AF24" s="326"/>
      <c r="AG24" s="326"/>
      <c r="AH24" s="326"/>
      <c r="AI24" s="326"/>
      <c r="AJ24" s="326"/>
      <c r="AK24" s="326"/>
      <c r="AL24" s="326"/>
      <c r="AM24" s="231">
        <f>'Int Room Schedule'!U18</f>
        <v>0</v>
      </c>
      <c r="AN24" s="78" t="str">
        <f t="shared" si="5"/>
        <v/>
      </c>
      <c r="AO24" s="78"/>
      <c r="AP24" s="78"/>
      <c r="AQ24" s="78"/>
      <c r="AR24" s="43" t="str">
        <f t="shared" si="0"/>
        <v/>
      </c>
      <c r="AW24" s="43"/>
      <c r="AX24" s="43" t="str">
        <f t="shared" si="6"/>
        <v/>
      </c>
      <c r="AY24" s="326" t="str">
        <f t="shared" ref="AY24:AY29" si="28">IFERROR(IF($B24="","",IF(AZ24&lt;&gt;" ",1,0)),"")</f>
        <v/>
      </c>
      <c r="AZ24" s="194" t="e">
        <f t="array" ref="AZ24">IF(ROWS(AX$22:AX24)&gt;COUNTA($AX$22:$AX$71),"",INDEX($AX$22:$AX$71,SMALL(IF($AX$22:$AX$71&lt;&gt;"",ROW($AX$22:$AX$71)-ROW($AX$22)+1),ROWS($AX$22:AX24))))</f>
        <v>#NUM!</v>
      </c>
      <c r="BA24" s="730" t="str">
        <f t="shared" si="13"/>
        <v/>
      </c>
      <c r="BB24" s="326" t="str">
        <f>IF(BA24="","",SUMIF('SpxSp (step-c)'!B$18:E$67,AZ24,'SpxSp (step-c)'!T$18:T$67))</f>
        <v/>
      </c>
      <c r="BC24" s="326">
        <f t="shared" si="14"/>
        <v>0</v>
      </c>
      <c r="BE24" s="43" t="str">
        <f t="shared" si="7"/>
        <v/>
      </c>
      <c r="BF24" s="326" t="str">
        <f t="shared" si="15"/>
        <v/>
      </c>
      <c r="BG24" s="194" t="e">
        <f t="array" ref="BG24">IF(ROWS(BE$22:BE24)&gt;COUNTA($BE$22:$BE$71),"",INDEX($BE$22:$BE$71,SMALL(IF($BE$22:$BE$71&lt;&gt;"",ROW($BE$22:$BE$71)-ROW($BE$22)+1),ROWS($BE$22:BE24))))</f>
        <v>#NUM!</v>
      </c>
      <c r="BI24" s="480" t="str">
        <f>IF(B24="","",VLOOKUP(B24,'SpxSp Compliance Details'!$Z$18:$BK$67,36,FALSE))</f>
        <v/>
      </c>
      <c r="BJ24" s="473" t="str">
        <f>IF($B24="","",IF($BI24="#1",BJ$15,IF($BI24="#2",BJ$16,VLOOKUP($H24,Table_9.6.1_2016[],IF(Compliance_Version_Year=2010,18,BJ$18),FALSE))))</f>
        <v/>
      </c>
      <c r="BK24" s="473" t="str">
        <f t="shared" si="16"/>
        <v/>
      </c>
      <c r="BL24" s="473" t="str">
        <f>IF($B24="","",IF($BI24="#1",BL$15,IF($BI24="#2",BL$16,VLOOKUP($H24,Table_9.6.1_2016[],IF(Compliance_Version_Year=2010,18,BL$18),FALSE))))</f>
        <v/>
      </c>
      <c r="BM24" s="473" t="str">
        <f t="shared" si="17"/>
        <v/>
      </c>
      <c r="BN24" s="473" t="str">
        <f>IF($B24="","",IF($BI24="#1",BN$15,IF($BI24="#2",BN$16,VLOOKUP($H24,Table_9.6.1_2016[],IF(Compliance_Version_Year=2010,18,BN$18),FALSE))))</f>
        <v/>
      </c>
      <c r="BO24" s="473" t="str">
        <f t="shared" si="18"/>
        <v/>
      </c>
      <c r="BP24" s="473" t="str">
        <f>IF($B24="","",IF($BI24="#1",BP$15,IF($BI24="#2",BP$16,VLOOKUP($H24,Table_9.6.1_2016[],IF(Compliance_Version_Year=2010,18,BP$18),FALSE))))</f>
        <v/>
      </c>
      <c r="BQ24" s="473" t="str">
        <f t="shared" si="19"/>
        <v/>
      </c>
      <c r="BR24" s="473" t="str">
        <f>IF($B24="","",IF($BI24="#1",BR$15,IF($BI24="#2",BR$16,IF($BI24="ALT",BR$17,VLOOKUP($H24,Table_9.6.1_2016[],IF(Compliance_Version_Year=2010,18,BR$18),FALSE)))))</f>
        <v/>
      </c>
      <c r="BS24" s="473" t="str">
        <f t="shared" si="20"/>
        <v/>
      </c>
      <c r="BT24" s="473" t="str">
        <f>IF($B24="","",IF($BI24="#1",BT$15,IF($BI24="#2",BT$16,IF($BI24="ALT",BT$17,VLOOKUP($H24,Table_9.6.1_2016[],IF(Compliance_Version_Year=2010,18,BT$18),FALSE)))))</f>
        <v/>
      </c>
      <c r="BU24" s="473" t="str">
        <f t="shared" si="21"/>
        <v/>
      </c>
      <c r="BV24" s="473" t="str">
        <f>IF($B24="","",IF($BI24="#1",BV$15,IF($BI24="#2",BV$16,VLOOKUP($H24,Table_9.6.1_2016[],IF(Compliance_Version_Year=2010,18,BV$18),FALSE))))</f>
        <v/>
      </c>
      <c r="BW24" s="473" t="str">
        <f t="shared" si="22"/>
        <v/>
      </c>
      <c r="BX24" s="473" t="str">
        <f>IF($B24="","",IF($BI24="#1",BX$15,VLOOKUP($H24,Table_9.6.1_2016[],IF(Compliance_Version_Year=2010,18,BX$18),FALSE)))</f>
        <v/>
      </c>
      <c r="BY24" s="473" t="str">
        <f t="shared" si="23"/>
        <v/>
      </c>
      <c r="BZ24" s="473" t="str">
        <f>IF($B24="","",IF($BI24="#1",BZ$15,VLOOKUP($H24,Table_9.6.1_2016[],IF(Compliance_Version_Year=2010,18,BZ$18),FALSE)))</f>
        <v/>
      </c>
      <c r="CA24" s="473" t="str">
        <f t="shared" si="24"/>
        <v/>
      </c>
      <c r="CB24" s="473" t="str">
        <f>IF($B24="","",IF($BI24="#1",CB$15,IF($BI24="#2",CB$16,VLOOKUP($H24,Table_9.6.1_2016[],IF(Compliance_Version_Year=2010,18,CB$18),FALSE))))</f>
        <v/>
      </c>
      <c r="CC24" s="473" t="str">
        <f t="shared" si="25"/>
        <v/>
      </c>
      <c r="CD24" s="473" t="str">
        <f>IF($B24="","",IF($BI24="#1",CD$15,IF($BI24="#2",CD$16,VLOOKUP($H24,Table_9.6.1_2016[],IF(Compliance_Version_Year=2010,18,CD$18),FALSE))))</f>
        <v/>
      </c>
      <c r="CE24" s="473" t="str">
        <f t="shared" si="26"/>
        <v/>
      </c>
      <c r="CF24" s="473" t="str">
        <f>IF($B24="","",IF($BI24="#1",CF$15,IF($BI24="#2",CF$16,VLOOKUP($H24,Table_9.6.1_2016[],IF(Compliance_Version_Year=2010,18,CF$18),FALSE))))</f>
        <v/>
      </c>
      <c r="CG24" s="473" t="str">
        <f t="shared" si="8"/>
        <v/>
      </c>
      <c r="CH24" s="473" t="str">
        <f>IF($B24="","",IF($BI24="#1",CH$15,IF($BI24="#2",CH$16,VLOOKUP($H24,Table_9.6.1_2016[],IF(Compliance_Version_Year=2010,18,CH$18),FALSE))))</f>
        <v/>
      </c>
      <c r="CI24" s="473" t="str">
        <f t="shared" si="9"/>
        <v/>
      </c>
      <c r="CL24" s="43" t="str">
        <f t="shared" si="10"/>
        <v/>
      </c>
      <c r="CM24" s="43" t="str">
        <f t="shared" si="11"/>
        <v/>
      </c>
      <c r="CR24" s="42" t="str">
        <f t="shared" si="27"/>
        <v/>
      </c>
      <c r="CS24" s="42" t="str">
        <f>'SpxSp Compliance Details'!I20</f>
        <v/>
      </c>
    </row>
    <row r="25" spans="1:97" x14ac:dyDescent="0.25">
      <c r="A25" s="5">
        <v>4</v>
      </c>
      <c r="B25" s="1627" t="str">
        <f>'Int Room Schedule'!Z19</f>
        <v/>
      </c>
      <c r="C25" s="1628"/>
      <c r="D25" s="1628"/>
      <c r="E25" s="1628"/>
      <c r="F25" s="1367"/>
      <c r="G25" s="321"/>
      <c r="H25" s="472" t="str">
        <f>'Int Room Schedule'!AA19</f>
        <v/>
      </c>
      <c r="I25" s="466" t="str">
        <f t="shared" si="1"/>
        <v/>
      </c>
      <c r="J25" s="655" t="str">
        <f ca="1">IF($B25&lt;&gt;"",VLOOKUP($AN25,INDIRECT('9.6 Table'!$P$338),2,FALSE)," ")</f>
        <v xml:space="preserve"> </v>
      </c>
      <c r="K25" s="948" t="str">
        <f ca="1">IF($B25&lt;&gt;"",VLOOKUP($AN25,INDIRECT('9.6 Table'!$P$338),3,FALSE)," ")</f>
        <v xml:space="preserve"> </v>
      </c>
      <c r="L25" s="483"/>
      <c r="M25" s="362">
        <f t="shared" ca="1" si="2"/>
        <v>1</v>
      </c>
      <c r="N25" s="464">
        <f t="shared" si="3"/>
        <v>0</v>
      </c>
      <c r="O25" s="166">
        <f ca="1">IFERROR(IF(SUMIF('SpxSp (step-b)'!B$26:F$75,'SpxSp (step-a)'!B25,'SpxSp (step-b)'!L$26:L$75)&gt;0,N25,0),0)</f>
        <v>0</v>
      </c>
      <c r="P25" s="486"/>
      <c r="Q25" s="487"/>
      <c r="R25" s="1074">
        <f t="shared" si="12"/>
        <v>0</v>
      </c>
      <c r="S25" s="486"/>
      <c r="T25" s="487"/>
      <c r="U25" s="487"/>
      <c r="V25" s="328" t="str">
        <f t="shared" si="4"/>
        <v/>
      </c>
      <c r="W25" s="1631">
        <f ca="1">SUMIFS('SpxSp (step-b)'!AZ29:AZ78,'SpxSp (step-b)'!AX$26:AX$75,AB25)</f>
        <v>0</v>
      </c>
      <c r="X25" s="1632"/>
      <c r="Y25" s="244"/>
      <c r="Z25" s="244">
        <f>IF(B25="",0,COUNTIF('SpxSp (step-b)'!B29:F80,B25))</f>
        <v>0</v>
      </c>
      <c r="AB25" s="737" t="str">
        <f ca="1">IF(OR($B25="",O25=0),"",VLOOKUP($AN25,INDIRECT('9.6 Table'!$P$338),17,FALSE))</f>
        <v/>
      </c>
      <c r="AC25" s="326"/>
      <c r="AD25" s="326"/>
      <c r="AE25" s="326"/>
      <c r="AF25" s="326"/>
      <c r="AG25" s="326"/>
      <c r="AH25" s="326"/>
      <c r="AI25" s="326"/>
      <c r="AJ25" s="326"/>
      <c r="AK25" s="326"/>
      <c r="AL25" s="326"/>
      <c r="AM25" s="231">
        <f>'Int Room Schedule'!U19</f>
        <v>0</v>
      </c>
      <c r="AN25" s="78" t="str">
        <f t="shared" si="5"/>
        <v/>
      </c>
      <c r="AO25" s="78"/>
      <c r="AP25" s="78"/>
      <c r="AQ25" s="78"/>
      <c r="AR25" s="43" t="str">
        <f t="shared" si="0"/>
        <v/>
      </c>
      <c r="AW25" s="43"/>
      <c r="AX25" s="43" t="str">
        <f t="shared" si="6"/>
        <v/>
      </c>
      <c r="AY25" s="326" t="str">
        <f t="shared" si="28"/>
        <v/>
      </c>
      <c r="AZ25" s="194" t="e">
        <f t="array" ref="AZ25">IF(ROWS(AX$22:AX25)&gt;COUNTA($AX$22:$AX$71),"",INDEX($AX$22:$AX$71,SMALL(IF($AX$22:$AX$71&lt;&gt;"",ROW($AX$22:$AX$71)-ROW($AX$22)+1),ROWS($AX$22:AX25))))</f>
        <v>#NUM!</v>
      </c>
      <c r="BA25" s="730" t="str">
        <f t="shared" si="13"/>
        <v/>
      </c>
      <c r="BB25" s="326" t="str">
        <f>IF(BA25="","",SUMIF('SpxSp (step-c)'!B$18:E$67,AZ25,'SpxSp (step-c)'!T$18:T$67))</f>
        <v/>
      </c>
      <c r="BC25" s="326">
        <f t="shared" si="14"/>
        <v>0</v>
      </c>
      <c r="BE25" s="43" t="str">
        <f t="shared" si="7"/>
        <v/>
      </c>
      <c r="BF25" s="326" t="str">
        <f t="shared" si="15"/>
        <v/>
      </c>
      <c r="BG25" s="194" t="e">
        <f t="array" ref="BG25">IF(ROWS(BE$22:BE25)&gt;COUNTA($BE$22:$BE$71),"",INDEX($BE$22:$BE$71,SMALL(IF($BE$22:$BE$71&lt;&gt;"",ROW($BE$22:$BE$71)-ROW($BE$22)+1),ROWS($BE$22:BE25))))</f>
        <v>#NUM!</v>
      </c>
      <c r="BI25" s="480" t="str">
        <f>IF(B25="","",VLOOKUP(B25,'SpxSp Compliance Details'!$Z$18:$BK$67,36,FALSE))</f>
        <v/>
      </c>
      <c r="BJ25" s="473" t="str">
        <f>IF($B25="","",IF($BI25="#1",BJ$15,IF($BI25="#2",BJ$16,VLOOKUP($H25,Table_9.6.1_2016[],IF(Compliance_Version_Year=2010,18,BJ$18),FALSE))))</f>
        <v/>
      </c>
      <c r="BK25" s="473" t="str">
        <f t="shared" si="16"/>
        <v/>
      </c>
      <c r="BL25" s="473" t="str">
        <f>IF($B25="","",IF($BI25="#1",BL$15,IF($BI25="#2",BL$16,VLOOKUP($H25,Table_9.6.1_2016[],IF(Compliance_Version_Year=2010,18,BL$18),FALSE))))</f>
        <v/>
      </c>
      <c r="BM25" s="473" t="str">
        <f t="shared" si="17"/>
        <v/>
      </c>
      <c r="BN25" s="473" t="str">
        <f>IF($B25="","",IF($BI25="#1",BN$15,IF($BI25="#2",BN$16,VLOOKUP($H25,Table_9.6.1_2016[],IF(Compliance_Version_Year=2010,18,BN$18),FALSE))))</f>
        <v/>
      </c>
      <c r="BO25" s="473" t="str">
        <f t="shared" si="18"/>
        <v/>
      </c>
      <c r="BP25" s="473" t="str">
        <f>IF($B25="","",IF($BI25="#1",BP$15,IF($BI25="#2",BP$16,VLOOKUP($H25,Table_9.6.1_2016[],IF(Compliance_Version_Year=2010,18,BP$18),FALSE))))</f>
        <v/>
      </c>
      <c r="BQ25" s="473" t="str">
        <f t="shared" si="19"/>
        <v/>
      </c>
      <c r="BR25" s="473" t="str">
        <f>IF($B25="","",IF($BI25="#1",BR$15,IF($BI25="#2",BR$16,IF($BI25="ALT",BR$17,VLOOKUP($H25,Table_9.6.1_2016[],IF(Compliance_Version_Year=2010,18,BR$18),FALSE)))))</f>
        <v/>
      </c>
      <c r="BS25" s="473" t="str">
        <f t="shared" si="20"/>
        <v/>
      </c>
      <c r="BT25" s="473" t="str">
        <f>IF($B25="","",IF($BI25="#1",BT$15,IF($BI25="#2",BT$16,IF($BI25="ALT",BT$17,VLOOKUP($H25,Table_9.6.1_2016[],IF(Compliance_Version_Year=2010,18,BT$18),FALSE)))))</f>
        <v/>
      </c>
      <c r="BU25" s="473" t="str">
        <f t="shared" si="21"/>
        <v/>
      </c>
      <c r="BV25" s="473" t="str">
        <f>IF($B25="","",IF($BI25="#1",BV$15,IF($BI25="#2",BV$16,VLOOKUP($H25,Table_9.6.1_2016[],IF(Compliance_Version_Year=2010,18,BV$18),FALSE))))</f>
        <v/>
      </c>
      <c r="BW25" s="473" t="str">
        <f t="shared" si="22"/>
        <v/>
      </c>
      <c r="BX25" s="473" t="str">
        <f>IF($B25="","",VLOOKUP($H25,Table_9.6.1_2016[],IF(Compliance_Version_Year=2010,18,BX$18),FALSE))</f>
        <v/>
      </c>
      <c r="BY25" s="473" t="str">
        <f t="shared" si="23"/>
        <v/>
      </c>
      <c r="BZ25" s="473" t="str">
        <f>IF($B25="","",IF($BI25="#1",BZ$15,VLOOKUP($H25,Table_9.6.1_2016[],IF(Compliance_Version_Year=2010,18,BZ$18),FALSE)))</f>
        <v/>
      </c>
      <c r="CA25" s="473" t="str">
        <f t="shared" si="24"/>
        <v/>
      </c>
      <c r="CB25" s="473" t="str">
        <f>IF($B25="","",IF($BI25="#1",CB$15,IF($BI25="#2",CB$16,VLOOKUP($H25,Table_9.6.1_2016[],IF(Compliance_Version_Year=2010,18,CB$18),FALSE))))</f>
        <v/>
      </c>
      <c r="CC25" s="473" t="str">
        <f t="shared" si="25"/>
        <v/>
      </c>
      <c r="CD25" s="473" t="str">
        <f>IF($B25="","",IF($BI25="#1",CD$15,IF($BI25="#2",CD$16,VLOOKUP($H25,Table_9.6.1_2016[],IF(Compliance_Version_Year=2010,18,CD$18),FALSE))))</f>
        <v/>
      </c>
      <c r="CE25" s="473" t="str">
        <f t="shared" si="26"/>
        <v/>
      </c>
      <c r="CF25" s="473" t="str">
        <f>IF($B25="","",IF($BI25="#1",CF$15,IF($BI25="#2",CF$16,VLOOKUP($H25,Table_9.6.1_2016[],IF(Compliance_Version_Year=2010,18,CF$18),FALSE))))</f>
        <v/>
      </c>
      <c r="CG25" s="473" t="str">
        <f t="shared" si="8"/>
        <v/>
      </c>
      <c r="CH25" s="473" t="str">
        <f>IF($B25="","",IF($BI25="#1",CH$15,IF($BI25="#2",CH$16,VLOOKUP($H25,Table_9.6.1_2016[],IF(Compliance_Version_Year=2010,18,CH$18),FALSE))))</f>
        <v/>
      </c>
      <c r="CI25" s="473" t="str">
        <f t="shared" si="9"/>
        <v/>
      </c>
      <c r="CL25" s="43" t="str">
        <f t="shared" si="10"/>
        <v/>
      </c>
      <c r="CM25" s="43" t="str">
        <f t="shared" si="11"/>
        <v/>
      </c>
      <c r="CR25" s="42" t="str">
        <f t="shared" si="27"/>
        <v/>
      </c>
      <c r="CS25" s="42" t="str">
        <f>'SpxSp Compliance Details'!I21</f>
        <v/>
      </c>
    </row>
    <row r="26" spans="1:97" x14ac:dyDescent="0.25">
      <c r="A26" s="5">
        <v>5</v>
      </c>
      <c r="B26" s="1627" t="str">
        <f>'Int Room Schedule'!Z20</f>
        <v/>
      </c>
      <c r="C26" s="1628"/>
      <c r="D26" s="1628"/>
      <c r="E26" s="1628"/>
      <c r="F26" s="1367"/>
      <c r="G26" s="321"/>
      <c r="H26" s="472" t="str">
        <f>'Int Room Schedule'!AA20</f>
        <v/>
      </c>
      <c r="I26" s="466" t="str">
        <f t="shared" si="1"/>
        <v/>
      </c>
      <c r="J26" s="655" t="str">
        <f ca="1">IF($B26&lt;&gt;"",VLOOKUP($AN26,INDIRECT('9.6 Table'!$P$338),2,FALSE)," ")</f>
        <v xml:space="preserve"> </v>
      </c>
      <c r="K26" s="948" t="str">
        <f ca="1">IF($B26&lt;&gt;"",VLOOKUP($AN26,INDIRECT('9.6 Table'!$P$338),3,FALSE)," ")</f>
        <v xml:space="preserve"> </v>
      </c>
      <c r="L26" s="483"/>
      <c r="M26" s="362">
        <f t="shared" ca="1" si="2"/>
        <v>1</v>
      </c>
      <c r="N26" s="464">
        <f t="shared" si="3"/>
        <v>0</v>
      </c>
      <c r="O26" s="166">
        <f ca="1">IFERROR(IF(SUMIF('SpxSp (step-b)'!B$26:F$75,'SpxSp (step-a)'!B26,'SpxSp (step-b)'!L$26:L$75)&gt;0,N26,0),0)</f>
        <v>0</v>
      </c>
      <c r="P26" s="486"/>
      <c r="Q26" s="487"/>
      <c r="R26" s="1074">
        <f t="shared" si="12"/>
        <v>0</v>
      </c>
      <c r="S26" s="486"/>
      <c r="T26" s="487"/>
      <c r="U26" s="487"/>
      <c r="V26" s="328" t="str">
        <f t="shared" si="4"/>
        <v/>
      </c>
      <c r="W26" s="1631">
        <f ca="1">SUMIFS('SpxSp (step-b)'!AZ30:AZ79,'SpxSp (step-b)'!AX$26:AX$75,AB26)</f>
        <v>0</v>
      </c>
      <c r="X26" s="1632"/>
      <c r="Y26" s="244"/>
      <c r="Z26" s="244">
        <f>IF(B26="",0,COUNTIF('SpxSp (step-b)'!B30:F80,B26))</f>
        <v>0</v>
      </c>
      <c r="AB26" s="737" t="str">
        <f ca="1">IF(OR($B26="",O26=0),"",VLOOKUP($AN26,INDIRECT('9.6 Table'!$P$338),17,FALSE))</f>
        <v/>
      </c>
      <c r="AC26" s="326"/>
      <c r="AD26" s="326"/>
      <c r="AE26" s="326"/>
      <c r="AF26" s="326"/>
      <c r="AG26" s="326"/>
      <c r="AH26" s="326"/>
      <c r="AI26" s="326"/>
      <c r="AJ26" s="326"/>
      <c r="AK26" s="326"/>
      <c r="AL26" s="326"/>
      <c r="AM26" s="231">
        <f>'Int Room Schedule'!U20</f>
        <v>0</v>
      </c>
      <c r="AN26" s="78" t="str">
        <f t="shared" si="5"/>
        <v/>
      </c>
      <c r="AO26" s="78"/>
      <c r="AP26" s="78"/>
      <c r="AQ26" s="78"/>
      <c r="AR26" s="43" t="str">
        <f t="shared" si="0"/>
        <v/>
      </c>
      <c r="AW26" s="43"/>
      <c r="AX26" s="43" t="str">
        <f t="shared" si="6"/>
        <v/>
      </c>
      <c r="AY26" s="326" t="str">
        <f t="shared" si="28"/>
        <v/>
      </c>
      <c r="AZ26" s="194" t="e">
        <f t="array" ref="AZ26">IF(ROWS(AX$22:AX26)&gt;COUNTA($AX$22:$AX$71),"",INDEX($AX$22:$AX$71,SMALL(IF($AX$22:$AX$71&lt;&gt;"",ROW($AX$22:$AX$71)-ROW($AX$22)+1),ROWS($AX$22:AX26))))</f>
        <v>#NUM!</v>
      </c>
      <c r="BA26" s="730" t="str">
        <f t="shared" si="13"/>
        <v/>
      </c>
      <c r="BB26" s="326" t="str">
        <f>IF(BA26="","",SUMIF('SpxSp (step-c)'!B$18:E$67,AZ26,'SpxSp (step-c)'!T$18:T$67))</f>
        <v/>
      </c>
      <c r="BC26" s="326">
        <f t="shared" si="14"/>
        <v>0</v>
      </c>
      <c r="BE26" s="43" t="str">
        <f t="shared" si="7"/>
        <v/>
      </c>
      <c r="BF26" s="326" t="str">
        <f t="shared" si="15"/>
        <v/>
      </c>
      <c r="BG26" s="194" t="e">
        <f t="array" ref="BG26">IF(ROWS(BE$22:BE26)&gt;COUNTA($BE$22:$BE$71),"",INDEX($BE$22:$BE$71,SMALL(IF($BE$22:$BE$71&lt;&gt;"",ROW($BE$22:$BE$71)-ROW($BE$22)+1),ROWS($BE$22:BE26))))</f>
        <v>#NUM!</v>
      </c>
      <c r="BI26" s="480" t="str">
        <f>IF(B26="","",VLOOKUP(B26,'SpxSp Compliance Details'!$Z$18:$BK$67,36,FALSE))</f>
        <v/>
      </c>
      <c r="BJ26" s="473" t="str">
        <f>IF($B26="","",IF($BI26="#1",BJ$15,IF($BI26="#2",BJ$16,VLOOKUP($H26,Table_9.6.1_2016[],IF(Compliance_Version_Year=2010,18,BJ$18),FALSE))))</f>
        <v/>
      </c>
      <c r="BK26" s="473" t="str">
        <f t="shared" si="16"/>
        <v/>
      </c>
      <c r="BL26" s="473" t="str">
        <f>IF($B26="","",IF($BI26="#1",BL$15,IF($BI26="#2",BL$16,VLOOKUP($H26,Table_9.6.1_2016[],IF(Compliance_Version_Year=2010,18,BL$18),FALSE))))</f>
        <v/>
      </c>
      <c r="BM26" s="473" t="str">
        <f t="shared" si="17"/>
        <v/>
      </c>
      <c r="BN26" s="473" t="str">
        <f>IF($B26="","",IF($BI26="#1",BN$15,IF($BI26="#2",BN$16,VLOOKUP($H26,Table_9.6.1_2016[],IF(Compliance_Version_Year=2010,18,BN$18),FALSE))))</f>
        <v/>
      </c>
      <c r="BO26" s="473" t="str">
        <f t="shared" si="18"/>
        <v/>
      </c>
      <c r="BP26" s="473" t="str">
        <f>IF($B26="","",IF($BI26="#1",BP$15,IF($BI26="#2",BP$16,VLOOKUP($H26,Table_9.6.1_2016[],IF(Compliance_Version_Year=2010,18,BP$18),FALSE))))</f>
        <v/>
      </c>
      <c r="BQ26" s="473" t="str">
        <f t="shared" si="19"/>
        <v/>
      </c>
      <c r="BR26" s="473" t="str">
        <f>IF($B26="","",IF($BI26="#1",BR$15,IF($BI26="#2",BR$16,IF($BI26="ALT",BR$17,VLOOKUP($H26,Table_9.6.1_2016[],IF(Compliance_Version_Year=2010,18,BR$18),FALSE)))))</f>
        <v/>
      </c>
      <c r="BS26" s="473" t="str">
        <f t="shared" si="20"/>
        <v/>
      </c>
      <c r="BT26" s="473" t="str">
        <f>IF($B26="","",IF($BI26="#1",BT$15,IF($BI26="#2",BT$16,IF($BI26="ALT",BT$17,VLOOKUP($H26,Table_9.6.1_2016[],IF(Compliance_Version_Year=2010,18,BT$18),FALSE)))))</f>
        <v/>
      </c>
      <c r="BU26" s="473" t="str">
        <f t="shared" si="21"/>
        <v/>
      </c>
      <c r="BV26" s="473" t="str">
        <f>IF($B26="","",IF($BI26="#1",BV$15,IF($BI26="#2",BV$16,VLOOKUP($H26,Table_9.6.1_2016[],IF(Compliance_Version_Year=2010,18,BV$18),FALSE))))</f>
        <v/>
      </c>
      <c r="BW26" s="473" t="str">
        <f t="shared" si="22"/>
        <v/>
      </c>
      <c r="BX26" s="473" t="str">
        <f>IF($B26="","",VLOOKUP($H26,Table_9.6.1_2016[],IF(Compliance_Version_Year=2010,18,BX$18),FALSE))</f>
        <v/>
      </c>
      <c r="BY26" s="473" t="str">
        <f t="shared" si="23"/>
        <v/>
      </c>
      <c r="BZ26" s="473" t="str">
        <f>IF($B26="","",IF($BI26="#1",BZ$15,VLOOKUP($H26,Table_9.6.1_2016[],IF(Compliance_Version_Year=2010,18,BZ$18),FALSE)))</f>
        <v/>
      </c>
      <c r="CA26" s="473" t="str">
        <f t="shared" si="24"/>
        <v/>
      </c>
      <c r="CB26" s="473" t="str">
        <f>IF($B26="","",IF($BI26="#1",CB$15,IF($BI26="#2",CB$16,VLOOKUP($H26,Table_9.6.1_2016[],IF(Compliance_Version_Year=2010,18,CB$18),FALSE))))</f>
        <v/>
      </c>
      <c r="CC26" s="473" t="str">
        <f t="shared" si="25"/>
        <v/>
      </c>
      <c r="CD26" s="473" t="str">
        <f>IF($B26="","",IF($BI26="#1",CD$15,IF($BI26="#2",CD$16,VLOOKUP($H26,Table_9.6.1_2016[],IF(Compliance_Version_Year=2010,18,CD$18),FALSE))))</f>
        <v/>
      </c>
      <c r="CE26" s="473" t="str">
        <f t="shared" si="26"/>
        <v/>
      </c>
      <c r="CF26" s="473" t="str">
        <f>IF($B26="","",IF($BI26="#1",CF$15,IF($BI26="#2",CF$16,VLOOKUP($H26,Table_9.6.1_2016[],IF(Compliance_Version_Year=2010,18,CF$18),FALSE))))</f>
        <v/>
      </c>
      <c r="CG26" s="473" t="str">
        <f t="shared" si="8"/>
        <v/>
      </c>
      <c r="CH26" s="473" t="str">
        <f>IF($B26="","",IF($BI26="#1",CH$15,IF($BI26="#2",CH$16,VLOOKUP($H26,Table_9.6.1_2016[],IF(Compliance_Version_Year=2010,18,CH$18),FALSE))))</f>
        <v/>
      </c>
      <c r="CI26" s="473" t="str">
        <f t="shared" si="9"/>
        <v/>
      </c>
      <c r="CL26" s="43" t="str">
        <f t="shared" si="10"/>
        <v/>
      </c>
      <c r="CM26" s="43" t="str">
        <f t="shared" si="11"/>
        <v/>
      </c>
      <c r="CR26" s="42" t="str">
        <f t="shared" si="27"/>
        <v/>
      </c>
      <c r="CS26" s="42" t="str">
        <f>'SpxSp Compliance Details'!I22</f>
        <v/>
      </c>
    </row>
    <row r="27" spans="1:97" x14ac:dyDescent="0.25">
      <c r="A27" s="5">
        <v>6</v>
      </c>
      <c r="B27" s="1627" t="str">
        <f>'Int Room Schedule'!Z21</f>
        <v/>
      </c>
      <c r="C27" s="1628"/>
      <c r="D27" s="1628"/>
      <c r="E27" s="1628"/>
      <c r="F27" s="1367"/>
      <c r="G27" s="321"/>
      <c r="H27" s="472" t="str">
        <f>'Int Room Schedule'!AA21</f>
        <v/>
      </c>
      <c r="I27" s="466" t="str">
        <f t="shared" si="1"/>
        <v/>
      </c>
      <c r="J27" s="655" t="str">
        <f ca="1">IF($B27&lt;&gt;"",VLOOKUP($AN27,INDIRECT('9.6 Table'!$P$338),2,FALSE)," ")</f>
        <v xml:space="preserve"> </v>
      </c>
      <c r="K27" s="948" t="str">
        <f ca="1">IF($B27&lt;&gt;"",VLOOKUP($AN27,INDIRECT('9.6 Table'!$P$338),3,FALSE)," ")</f>
        <v xml:space="preserve"> </v>
      </c>
      <c r="L27" s="484"/>
      <c r="M27" s="362">
        <f t="shared" ca="1" si="2"/>
        <v>1</v>
      </c>
      <c r="N27" s="464">
        <f t="shared" si="3"/>
        <v>0</v>
      </c>
      <c r="O27" s="166">
        <f ca="1">IFERROR(IF(SUMIF('SpxSp (step-b)'!B$26:F$75,'SpxSp (step-a)'!B27,'SpxSp (step-b)'!L$26:L$75)&gt;0,N27,0),0)</f>
        <v>0</v>
      </c>
      <c r="P27" s="486"/>
      <c r="Q27" s="487"/>
      <c r="R27" s="1074">
        <f t="shared" si="12"/>
        <v>0</v>
      </c>
      <c r="S27" s="486"/>
      <c r="T27" s="487"/>
      <c r="U27" s="487"/>
      <c r="V27" s="328" t="str">
        <f t="shared" si="4"/>
        <v/>
      </c>
      <c r="W27" s="1631">
        <f ca="1">SUMIFS('SpxSp (step-b)'!AZ31:AZ80,'SpxSp (step-b)'!AX$26:AX$75,AB27)</f>
        <v>0</v>
      </c>
      <c r="X27" s="1632"/>
      <c r="Y27" s="244"/>
      <c r="Z27" s="244">
        <f>IF(B27="",0,COUNTIF('SpxSp (step-b)'!B31:F80,B27))</f>
        <v>0</v>
      </c>
      <c r="AB27" s="737" t="str">
        <f ca="1">IF(OR($B27="",O27=0),"",VLOOKUP($AN27,INDIRECT('9.6 Table'!$P$338),17,FALSE))</f>
        <v/>
      </c>
      <c r="AC27" s="326"/>
      <c r="AD27" s="326"/>
      <c r="AE27" s="326"/>
      <c r="AF27" s="326"/>
      <c r="AG27" s="326"/>
      <c r="AH27" s="326"/>
      <c r="AI27" s="326"/>
      <c r="AJ27" s="326"/>
      <c r="AK27" s="326"/>
      <c r="AL27" s="326"/>
      <c r="AM27" s="231">
        <f>'Int Room Schedule'!U21</f>
        <v>0</v>
      </c>
      <c r="AN27" s="78" t="str">
        <f t="shared" si="5"/>
        <v/>
      </c>
      <c r="AO27" s="78"/>
      <c r="AP27" s="78"/>
      <c r="AQ27" s="78"/>
      <c r="AR27" s="43" t="str">
        <f t="shared" si="0"/>
        <v/>
      </c>
      <c r="AW27" s="43"/>
      <c r="AX27" s="43" t="str">
        <f t="shared" si="6"/>
        <v/>
      </c>
      <c r="AY27" s="326" t="str">
        <f t="shared" si="28"/>
        <v/>
      </c>
      <c r="AZ27" s="194" t="e">
        <f t="array" ref="AZ27">IF(ROWS(AX$22:AX27)&gt;COUNTA($AX$22:$AX$71),"",INDEX($AX$22:$AX$71,SMALL(IF($AX$22:$AX$71&lt;&gt;"",ROW($AX$22:$AX$71)-ROW($AX$22)+1),ROWS($AX$22:AX27))))</f>
        <v>#NUM!</v>
      </c>
      <c r="BA27" s="730" t="str">
        <f t="shared" si="13"/>
        <v/>
      </c>
      <c r="BB27" s="326" t="str">
        <f>IF(BA27="","",SUMIF('SpxSp (step-c)'!B$18:E$67,AZ27,'SpxSp (step-c)'!T$18:T$67))</f>
        <v/>
      </c>
      <c r="BC27" s="326">
        <f t="shared" si="14"/>
        <v>0</v>
      </c>
      <c r="BE27" s="43" t="str">
        <f t="shared" si="7"/>
        <v/>
      </c>
      <c r="BF27" s="326" t="str">
        <f t="shared" si="15"/>
        <v/>
      </c>
      <c r="BG27" s="194" t="e">
        <f t="array" ref="BG27">IF(ROWS(BE$22:BE27)&gt;COUNTA($BE$22:$BE$71),"",INDEX($BE$22:$BE$71,SMALL(IF($BE$22:$BE$71&lt;&gt;"",ROW($BE$22:$BE$71)-ROW($BE$22)+1),ROWS($BE$22:BE27))))</f>
        <v>#NUM!</v>
      </c>
      <c r="BI27" s="480" t="str">
        <f>IF(B27="","",VLOOKUP(B27,'SpxSp Compliance Details'!$Z$18:$BK$67,36,FALSE))</f>
        <v/>
      </c>
      <c r="BJ27" s="473" t="str">
        <f>IF($B27="","",IF($BI27="#1",BJ$15,IF($BI27="#2",BJ$16,VLOOKUP($H27,Table_9.6.1_2016[],IF(Compliance_Version_Year=2010,18,BJ$18),FALSE))))</f>
        <v/>
      </c>
      <c r="BK27" s="473" t="str">
        <f t="shared" si="16"/>
        <v/>
      </c>
      <c r="BL27" s="473" t="str">
        <f>IF($B27="","",IF($BI27="#1",BL$15,IF($BI27="#2",BL$16,VLOOKUP($H27,Table_9.6.1_2016[],IF(Compliance_Version_Year=2010,18,BL$18),FALSE))))</f>
        <v/>
      </c>
      <c r="BM27" s="473" t="str">
        <f t="shared" si="17"/>
        <v/>
      </c>
      <c r="BN27" s="473" t="str">
        <f>IF($B27="","",IF($BI27="#1",BN$15,IF($BI27="#2",BN$16,VLOOKUP($H27,Table_9.6.1_2016[],IF(Compliance_Version_Year=2010,18,BN$18),FALSE))))</f>
        <v/>
      </c>
      <c r="BO27" s="473" t="str">
        <f t="shared" si="18"/>
        <v/>
      </c>
      <c r="BP27" s="473" t="str">
        <f>IF($B27="","",IF($BI27="#1",BP$15,IF($BI27="#2",BP$16,VLOOKUP($H27,Table_9.6.1_2016[],IF(Compliance_Version_Year=2010,18,BP$18),FALSE))))</f>
        <v/>
      </c>
      <c r="BQ27" s="473" t="str">
        <f t="shared" si="19"/>
        <v/>
      </c>
      <c r="BR27" s="473" t="str">
        <f>IF($B27="","",IF($BI27="#1",BR$15,IF($BI27="#2",BR$16,IF($BI27="ALT",BR$17,VLOOKUP($H27,Table_9.6.1_2016[],IF(Compliance_Version_Year=2010,18,BR$18),FALSE)))))</f>
        <v/>
      </c>
      <c r="BS27" s="473" t="str">
        <f t="shared" si="20"/>
        <v/>
      </c>
      <c r="BT27" s="473" t="str">
        <f>IF($B27="","",IF($BI27="#1",BT$15,IF($BI27="#2",BT$16,IF($BI27="ALT",BT$17,VLOOKUP($H27,Table_9.6.1_2016[],IF(Compliance_Version_Year=2010,18,BT$18),FALSE)))))</f>
        <v/>
      </c>
      <c r="BU27" s="473" t="str">
        <f t="shared" si="21"/>
        <v/>
      </c>
      <c r="BV27" s="473" t="str">
        <f>IF($B27="","",IF($BI27="#1",BV$15,IF($BI27="#2",BV$16,VLOOKUP($H27,Table_9.6.1_2016[],IF(Compliance_Version_Year=2010,18,BV$18),FALSE))))</f>
        <v/>
      </c>
      <c r="BW27" s="473" t="str">
        <f t="shared" si="22"/>
        <v/>
      </c>
      <c r="BX27" s="473" t="str">
        <f>IF($B27="","",VLOOKUP($H27,Table_9.6.1_2016[],IF(Compliance_Version_Year=2010,18,BX$18),FALSE))</f>
        <v/>
      </c>
      <c r="BY27" s="473" t="str">
        <f t="shared" si="23"/>
        <v/>
      </c>
      <c r="BZ27" s="473" t="str">
        <f>IF($B27="","",IF($BI27="#1",BZ$15,VLOOKUP($H27,Table_9.6.1_2016[],IF(Compliance_Version_Year=2010,18,BZ$18),FALSE)))</f>
        <v/>
      </c>
      <c r="CA27" s="473" t="str">
        <f t="shared" si="24"/>
        <v/>
      </c>
      <c r="CB27" s="473" t="str">
        <f>IF($B27="","",IF($BI27="#1",CB$15,IF($BI27="#2",CB$16,VLOOKUP($H27,Table_9.6.1_2016[],IF(Compliance_Version_Year=2010,18,CB$18),FALSE))))</f>
        <v/>
      </c>
      <c r="CC27" s="473" t="str">
        <f t="shared" si="25"/>
        <v/>
      </c>
      <c r="CD27" s="473" t="str">
        <f>IF($B27="","",IF($BI27="#1",CD$15,IF($BI27="#2",CD$16,VLOOKUP($H27,Table_9.6.1_2016[],IF(Compliance_Version_Year=2010,18,CD$18),FALSE))))</f>
        <v/>
      </c>
      <c r="CE27" s="473" t="str">
        <f t="shared" si="26"/>
        <v/>
      </c>
      <c r="CF27" s="473" t="str">
        <f>IF($B27="","",IF($BI27="#1",CF$15,IF($BI27="#2",CF$16,VLOOKUP($H27,Table_9.6.1_2016[],IF(Compliance_Version_Year=2010,18,CF$18),FALSE))))</f>
        <v/>
      </c>
      <c r="CG27" s="473" t="str">
        <f t="shared" si="8"/>
        <v/>
      </c>
      <c r="CH27" s="473" t="str">
        <f>IF($B27="","",IF($BI27="#1",CH$15,IF($BI27="#2",CH$16,VLOOKUP($H27,Table_9.6.1_2016[],IF(Compliance_Version_Year=2010,18,CH$18),FALSE))))</f>
        <v/>
      </c>
      <c r="CI27" s="473" t="str">
        <f t="shared" si="9"/>
        <v/>
      </c>
      <c r="CL27" s="43" t="str">
        <f t="shared" si="10"/>
        <v/>
      </c>
      <c r="CM27" s="43" t="str">
        <f t="shared" si="11"/>
        <v/>
      </c>
      <c r="CR27" s="42" t="str">
        <f t="shared" si="27"/>
        <v/>
      </c>
      <c r="CS27" s="42" t="str">
        <f>'SpxSp Compliance Details'!I23</f>
        <v/>
      </c>
    </row>
    <row r="28" spans="1:97" x14ac:dyDescent="0.25">
      <c r="A28" s="5">
        <v>7</v>
      </c>
      <c r="B28" s="1627" t="str">
        <f>'Int Room Schedule'!Z22</f>
        <v/>
      </c>
      <c r="C28" s="1628"/>
      <c r="D28" s="1628"/>
      <c r="E28" s="1628"/>
      <c r="F28" s="1367"/>
      <c r="G28" s="321"/>
      <c r="H28" s="472" t="str">
        <f>'Int Room Schedule'!AA22</f>
        <v/>
      </c>
      <c r="I28" s="466" t="str">
        <f t="shared" si="1"/>
        <v/>
      </c>
      <c r="J28" s="655" t="str">
        <f ca="1">IF($B28&lt;&gt;"",VLOOKUP($AN28,INDIRECT('9.6 Table'!$P$338),2,FALSE)," ")</f>
        <v xml:space="preserve"> </v>
      </c>
      <c r="K28" s="948" t="str">
        <f ca="1">IF($B28&lt;&gt;"",VLOOKUP($AN28,INDIRECT('9.6 Table'!$P$338),3,FALSE)," ")</f>
        <v xml:space="preserve"> </v>
      </c>
      <c r="L28" s="484"/>
      <c r="M28" s="362">
        <f t="shared" ca="1" si="2"/>
        <v>1</v>
      </c>
      <c r="N28" s="464">
        <f t="shared" si="3"/>
        <v>0</v>
      </c>
      <c r="O28" s="166">
        <f ca="1">IFERROR(IF(SUMIF('SpxSp (step-b)'!B$26:F$75,'SpxSp (step-a)'!B28,'SpxSp (step-b)'!L$26:L$75)&gt;0,N28,0),0)</f>
        <v>0</v>
      </c>
      <c r="P28" s="486"/>
      <c r="Q28" s="487"/>
      <c r="R28" s="1074">
        <f t="shared" si="12"/>
        <v>0</v>
      </c>
      <c r="S28" s="486"/>
      <c r="T28" s="487"/>
      <c r="U28" s="487"/>
      <c r="V28" s="328" t="str">
        <f t="shared" si="4"/>
        <v/>
      </c>
      <c r="W28" s="1631">
        <f ca="1">SUMIFS('SpxSp (step-b)'!AZ32:AZ81,'SpxSp (step-b)'!AX$26:AX$75,AB28)</f>
        <v>0</v>
      </c>
      <c r="X28" s="1632"/>
      <c r="Y28" s="244"/>
      <c r="Z28" s="244">
        <f>IF(B28="",0,COUNTIF('SpxSp (step-b)'!B32:F80,B28))</f>
        <v>0</v>
      </c>
      <c r="AB28" s="737" t="str">
        <f ca="1">IF(OR($B28="",O28=0),"",VLOOKUP($AN28,INDIRECT('9.6 Table'!$P$338),17,FALSE))</f>
        <v/>
      </c>
      <c r="AC28" s="326"/>
      <c r="AD28" s="326"/>
      <c r="AE28" s="326"/>
      <c r="AF28" s="326"/>
      <c r="AG28" s="326"/>
      <c r="AH28" s="326"/>
      <c r="AI28" s="326"/>
      <c r="AJ28" s="326"/>
      <c r="AK28" s="326"/>
      <c r="AL28" s="326"/>
      <c r="AM28" s="231">
        <f>'Int Room Schedule'!U22</f>
        <v>0</v>
      </c>
      <c r="AN28" s="78" t="str">
        <f t="shared" si="5"/>
        <v/>
      </c>
      <c r="AO28" s="78"/>
      <c r="AP28" s="78"/>
      <c r="AQ28" s="78"/>
      <c r="AR28" s="43" t="str">
        <f t="shared" si="0"/>
        <v/>
      </c>
      <c r="AW28" s="43"/>
      <c r="AX28" s="43" t="str">
        <f t="shared" si="6"/>
        <v/>
      </c>
      <c r="AY28" s="326" t="str">
        <f t="shared" si="28"/>
        <v/>
      </c>
      <c r="AZ28" s="194" t="e">
        <f t="array" ref="AZ28">IF(ROWS(AX$22:AX28)&gt;COUNTA($AX$22:$AX$71),"",INDEX($AX$22:$AX$71,SMALL(IF($AX$22:$AX$71&lt;&gt;"",ROW($AX$22:$AX$71)-ROW($AX$22)+1),ROWS($AX$22:AX28))))</f>
        <v>#NUM!</v>
      </c>
      <c r="BA28" s="730" t="str">
        <f t="shared" si="13"/>
        <v/>
      </c>
      <c r="BB28" s="326" t="str">
        <f>IF(BA28="","",SUMIF('SpxSp (step-c)'!B$18:E$67,AZ28,'SpxSp (step-c)'!T$18:T$67))</f>
        <v/>
      </c>
      <c r="BC28" s="326">
        <f t="shared" si="14"/>
        <v>0</v>
      </c>
      <c r="BE28" s="43" t="str">
        <f t="shared" si="7"/>
        <v/>
      </c>
      <c r="BF28" s="326" t="str">
        <f t="shared" si="15"/>
        <v/>
      </c>
      <c r="BG28" s="194" t="e">
        <f t="array" ref="BG28">IF(ROWS(BE$22:BE28)&gt;COUNTA($BE$22:$BE$71),"",INDEX($BE$22:$BE$71,SMALL(IF($BE$22:$BE$71&lt;&gt;"",ROW($BE$22:$BE$71)-ROW($BE$22)+1),ROWS($BE$22:BE28))))</f>
        <v>#NUM!</v>
      </c>
      <c r="BI28" s="480" t="str">
        <f>IF(B28="","",VLOOKUP(B28,'SpxSp Compliance Details'!$Z$18:$BK$67,36,FALSE))</f>
        <v/>
      </c>
      <c r="BJ28" s="473" t="str">
        <f>IF($B28="","",IF($BI28="#1",BJ$15,IF($BI28="#2",BJ$16,VLOOKUP($H28,Table_9.6.1_2016[],IF(Compliance_Version_Year=2010,18,BJ$18),FALSE))))</f>
        <v/>
      </c>
      <c r="BK28" s="473" t="str">
        <f t="shared" si="16"/>
        <v/>
      </c>
      <c r="BL28" s="473" t="str">
        <f>IF($B28="","",IF($BI28="#1",BL$15,IF($BI28="#2",BL$16,VLOOKUP($H28,Table_9.6.1_2016[],IF(Compliance_Version_Year=2010,18,BL$18),FALSE))))</f>
        <v/>
      </c>
      <c r="BM28" s="473" t="str">
        <f t="shared" si="17"/>
        <v/>
      </c>
      <c r="BN28" s="473" t="str">
        <f>IF($B28="","",IF($BI28="#1",BN$15,IF($BI28="#2",BN$16,VLOOKUP($H28,Table_9.6.1_2016[],IF(Compliance_Version_Year=2010,18,BN$18),FALSE))))</f>
        <v/>
      </c>
      <c r="BO28" s="473" t="str">
        <f t="shared" si="18"/>
        <v/>
      </c>
      <c r="BP28" s="473" t="str">
        <f>IF($B28="","",IF($BI28="#1",BP$15,IF($BI28="#2",BP$16,VLOOKUP($H28,Table_9.6.1_2016[],IF(Compliance_Version_Year=2010,18,BP$18),FALSE))))</f>
        <v/>
      </c>
      <c r="BQ28" s="473" t="str">
        <f t="shared" si="19"/>
        <v/>
      </c>
      <c r="BR28" s="473" t="str">
        <f>IF($B28="","",IF($BI28="#1",BR$15,IF($BI28="#2",BR$16,IF($BI28="ALT",BR$17,VLOOKUP($H28,Table_9.6.1_2016[],IF(Compliance_Version_Year=2010,18,BR$18),FALSE)))))</f>
        <v/>
      </c>
      <c r="BS28" s="473" t="str">
        <f t="shared" si="20"/>
        <v/>
      </c>
      <c r="BT28" s="473" t="str">
        <f>IF($B28="","",IF($BI28="#1",BT$15,IF($BI28="#2",BT$16,IF($BI28="ALT",BT$17,VLOOKUP($H28,Table_9.6.1_2016[],IF(Compliance_Version_Year=2010,18,BT$18),FALSE)))))</f>
        <v/>
      </c>
      <c r="BU28" s="473" t="str">
        <f t="shared" si="21"/>
        <v/>
      </c>
      <c r="BV28" s="473" t="str">
        <f>IF($B28="","",IF($BI28="#1",BV$15,IF($BI28="#2",BV$16,VLOOKUP($H28,Table_9.6.1_2016[],IF(Compliance_Version_Year=2010,18,BV$18),FALSE))))</f>
        <v/>
      </c>
      <c r="BW28" s="473" t="str">
        <f t="shared" si="22"/>
        <v/>
      </c>
      <c r="BX28" s="473" t="str">
        <f>IF($B28="","",VLOOKUP($H28,Table_9.6.1_2016[],IF(Compliance_Version_Year=2010,18,BX$18),FALSE))</f>
        <v/>
      </c>
      <c r="BY28" s="473" t="str">
        <f t="shared" si="23"/>
        <v/>
      </c>
      <c r="BZ28" s="473" t="str">
        <f>IF($B28="","",IF($BI28="#1",BZ$15,VLOOKUP($H28,Table_9.6.1_2016[],IF(Compliance_Version_Year=2010,18,BZ$18),FALSE)))</f>
        <v/>
      </c>
      <c r="CA28" s="473" t="str">
        <f t="shared" si="24"/>
        <v/>
      </c>
      <c r="CB28" s="473" t="str">
        <f>IF($B28="","",IF($BI28="#1",CB$15,IF($BI28="#2",CB$16,VLOOKUP($H28,Table_9.6.1_2016[],IF(Compliance_Version_Year=2010,18,CB$18),FALSE))))</f>
        <v/>
      </c>
      <c r="CC28" s="473" t="str">
        <f t="shared" si="25"/>
        <v/>
      </c>
      <c r="CD28" s="473" t="str">
        <f>IF($B28="","",IF($BI28="#1",CD$15,IF($BI28="#2",CD$16,VLOOKUP($H28,Table_9.6.1_2016[],IF(Compliance_Version_Year=2010,18,CD$18),FALSE))))</f>
        <v/>
      </c>
      <c r="CE28" s="473" t="str">
        <f t="shared" si="26"/>
        <v/>
      </c>
      <c r="CF28" s="473" t="str">
        <f>IF($B28="","",IF($BI28="#1",CF$15,IF($BI28="#2",CF$16,VLOOKUP($H28,Table_9.6.1_2016[],IF(Compliance_Version_Year=2010,18,CF$18),FALSE))))</f>
        <v/>
      </c>
      <c r="CG28" s="473" t="str">
        <f t="shared" si="8"/>
        <v/>
      </c>
      <c r="CH28" s="473" t="str">
        <f>IF($B28="","",IF($BI28="#1",CH$15,IF($BI28="#2",CH$16,VLOOKUP($H28,Table_9.6.1_2016[],IF(Compliance_Version_Year=2010,18,CH$18),FALSE))))</f>
        <v/>
      </c>
      <c r="CI28" s="473" t="str">
        <f t="shared" si="9"/>
        <v/>
      </c>
      <c r="CL28" s="43" t="str">
        <f t="shared" si="10"/>
        <v/>
      </c>
      <c r="CM28" s="43" t="str">
        <f t="shared" si="11"/>
        <v/>
      </c>
      <c r="CR28" s="42" t="str">
        <f t="shared" si="27"/>
        <v/>
      </c>
      <c r="CS28" s="42" t="str">
        <f>'SpxSp Compliance Details'!I24</f>
        <v/>
      </c>
    </row>
    <row r="29" spans="1:97" x14ac:dyDescent="0.25">
      <c r="A29" s="5">
        <v>8</v>
      </c>
      <c r="B29" s="1627" t="str">
        <f>'Int Room Schedule'!Z23</f>
        <v/>
      </c>
      <c r="C29" s="1628"/>
      <c r="D29" s="1628"/>
      <c r="E29" s="1628"/>
      <c r="F29" s="1367"/>
      <c r="G29" s="321"/>
      <c r="H29" s="472" t="str">
        <f>'Int Room Schedule'!AA23</f>
        <v/>
      </c>
      <c r="I29" s="466" t="str">
        <f t="shared" si="1"/>
        <v/>
      </c>
      <c r="J29" s="655" t="str">
        <f ca="1">IF($B29&lt;&gt;"",VLOOKUP($AN29,INDIRECT('9.6 Table'!$P$338),2,FALSE)," ")</f>
        <v xml:space="preserve"> </v>
      </c>
      <c r="K29" s="948" t="str">
        <f ca="1">IF($B29&lt;&gt;"",VLOOKUP($AN29,INDIRECT('9.6 Table'!$P$338),3,FALSE)," ")</f>
        <v xml:space="preserve"> </v>
      </c>
      <c r="L29" s="484"/>
      <c r="M29" s="362">
        <f t="shared" ca="1" si="2"/>
        <v>1</v>
      </c>
      <c r="N29" s="464">
        <f t="shared" si="3"/>
        <v>0</v>
      </c>
      <c r="O29" s="166">
        <f ca="1">IFERROR(IF(SUMIF('SpxSp (step-b)'!B$26:F$75,'SpxSp (step-a)'!B29,'SpxSp (step-b)'!L$26:L$75)&gt;0,N29,0),0)</f>
        <v>0</v>
      </c>
      <c r="P29" s="486"/>
      <c r="Q29" s="487"/>
      <c r="R29" s="1074">
        <f t="shared" si="12"/>
        <v>0</v>
      </c>
      <c r="S29" s="486"/>
      <c r="T29" s="487"/>
      <c r="U29" s="487"/>
      <c r="V29" s="328" t="str">
        <f t="shared" si="4"/>
        <v/>
      </c>
      <c r="W29" s="1631">
        <f ca="1">SUMIFS('SpxSp (step-b)'!AZ33:AZ82,'SpxSp (step-b)'!AX$26:AX$75,AB29)</f>
        <v>0</v>
      </c>
      <c r="X29" s="1632"/>
      <c r="Y29" s="244"/>
      <c r="Z29" s="244">
        <f>IF(B29="",0,COUNTIF('SpxSp (step-b)'!B33:F80,B29))</f>
        <v>0</v>
      </c>
      <c r="AB29" s="737" t="str">
        <f ca="1">IF(OR($B29="",O29=0),"",VLOOKUP($AN29,INDIRECT('9.6 Table'!$P$338),17,FALSE))</f>
        <v/>
      </c>
      <c r="AC29" s="326"/>
      <c r="AD29" s="326"/>
      <c r="AE29" s="326"/>
      <c r="AF29" s="326"/>
      <c r="AG29" s="326"/>
      <c r="AH29" s="326"/>
      <c r="AI29" s="326"/>
      <c r="AJ29" s="326"/>
      <c r="AK29" s="326"/>
      <c r="AL29" s="326"/>
      <c r="AM29" s="231">
        <f>'Int Room Schedule'!U23</f>
        <v>0</v>
      </c>
      <c r="AN29" s="78" t="str">
        <f t="shared" si="5"/>
        <v/>
      </c>
      <c r="AO29" s="78"/>
      <c r="AP29" s="78"/>
      <c r="AQ29" s="78"/>
      <c r="AR29" s="43" t="str">
        <f t="shared" si="0"/>
        <v/>
      </c>
      <c r="AW29" s="43"/>
      <c r="AX29" s="43" t="str">
        <f t="shared" si="6"/>
        <v/>
      </c>
      <c r="AY29" s="326" t="str">
        <f t="shared" si="28"/>
        <v/>
      </c>
      <c r="AZ29" s="194" t="e">
        <f t="array" ref="AZ29">IF(ROWS(AX$22:AX29)&gt;COUNTA($AX$22:$AX$71),"",INDEX($AX$22:$AX$71,SMALL(IF($AX$22:$AX$71&lt;&gt;"",ROW($AX$22:$AX$71)-ROW($AX$22)+1),ROWS($AX$22:AX29))))</f>
        <v>#NUM!</v>
      </c>
      <c r="BA29" s="730" t="str">
        <f t="shared" si="13"/>
        <v/>
      </c>
      <c r="BB29" s="326" t="str">
        <f>IF(BA29="","",SUMIF('SpxSp (step-c)'!B$18:E$67,AZ29,'SpxSp (step-c)'!T$18:T$67))</f>
        <v/>
      </c>
      <c r="BC29" s="326">
        <f t="shared" si="14"/>
        <v>0</v>
      </c>
      <c r="BE29" s="43" t="str">
        <f t="shared" si="7"/>
        <v/>
      </c>
      <c r="BF29" s="326" t="str">
        <f t="shared" si="15"/>
        <v/>
      </c>
      <c r="BG29" s="194" t="e">
        <f t="array" ref="BG29">IF(ROWS(BE$22:BE29)&gt;COUNTA($BE$22:$BE$71),"",INDEX($BE$22:$BE$71,SMALL(IF($BE$22:$BE$71&lt;&gt;"",ROW($BE$22:$BE$71)-ROW($BE$22)+1),ROWS($BE$22:BE29))))</f>
        <v>#NUM!</v>
      </c>
      <c r="BI29" s="480" t="str">
        <f>IF(B29="","",VLOOKUP(B29,'SpxSp Compliance Details'!$Z$18:$BK$67,36,FALSE))</f>
        <v/>
      </c>
      <c r="BJ29" s="473" t="str">
        <f>IF($B29="","",IF($BI29="#1",BJ$15,IF($BI29="#2",BJ$16,VLOOKUP($H29,Table_9.6.1_2016[],IF(Compliance_Version_Year=2010,18,BJ$18),FALSE))))</f>
        <v/>
      </c>
      <c r="BK29" s="473" t="str">
        <f t="shared" si="16"/>
        <v/>
      </c>
      <c r="BL29" s="473" t="str">
        <f>IF($B29="","",IF($BI29="#1",BL$15,IF($BI29="#2",BL$16,VLOOKUP($H29,Table_9.6.1_2016[],IF(Compliance_Version_Year=2010,18,BL$18),FALSE))))</f>
        <v/>
      </c>
      <c r="BM29" s="473" t="str">
        <f t="shared" si="17"/>
        <v/>
      </c>
      <c r="BN29" s="473" t="str">
        <f>IF($B29="","",IF($BI29="#1",BN$15,IF($BI29="#2",BN$16,VLOOKUP($H29,Table_9.6.1_2016[],IF(Compliance_Version_Year=2010,18,BN$18),FALSE))))</f>
        <v/>
      </c>
      <c r="BO29" s="473" t="str">
        <f t="shared" si="18"/>
        <v/>
      </c>
      <c r="BP29" s="473" t="str">
        <f>IF($B29="","",IF($BI29="#1",BP$15,IF($BI29="#2",BP$16,VLOOKUP($H29,Table_9.6.1_2016[],IF(Compliance_Version_Year=2010,18,BP$18),FALSE))))</f>
        <v/>
      </c>
      <c r="BQ29" s="473" t="str">
        <f t="shared" si="19"/>
        <v/>
      </c>
      <c r="BR29" s="473" t="str">
        <f>IF($B29="","",IF($BI29="#1",BR$15,IF($BI29="#2",BR$16,IF($BI29="ALT",BR$17,VLOOKUP($H29,Table_9.6.1_2016[],IF(Compliance_Version_Year=2010,18,BR$18),FALSE)))))</f>
        <v/>
      </c>
      <c r="BS29" s="473" t="str">
        <f t="shared" si="20"/>
        <v/>
      </c>
      <c r="BT29" s="473" t="str">
        <f>IF($B29="","",IF($BI29="#1",BT$15,IF($BI29="#2",BT$16,IF($BI29="ALT",BT$17,VLOOKUP($H29,Table_9.6.1_2016[],IF(Compliance_Version_Year=2010,18,BT$18),FALSE)))))</f>
        <v/>
      </c>
      <c r="BU29" s="473" t="str">
        <f t="shared" si="21"/>
        <v/>
      </c>
      <c r="BV29" s="473" t="str">
        <f>IF($B29="","",IF($BI29="#1",BV$15,IF($BI29="#2",BV$16,VLOOKUP($H29,Table_9.6.1_2016[],IF(Compliance_Version_Year=2010,18,BV$18),FALSE))))</f>
        <v/>
      </c>
      <c r="BW29" s="473" t="str">
        <f t="shared" si="22"/>
        <v/>
      </c>
      <c r="BX29" s="473" t="str">
        <f>IF($B29="","",VLOOKUP($H29,Table_9.6.1_2016[],IF(Compliance_Version_Year=2010,18,BX$18),FALSE))</f>
        <v/>
      </c>
      <c r="BY29" s="473" t="str">
        <f t="shared" si="23"/>
        <v/>
      </c>
      <c r="BZ29" s="473" t="str">
        <f>IF($B29="","",IF($BI29="#1",BZ$15,VLOOKUP($H29,Table_9.6.1_2016[],IF(Compliance_Version_Year=2010,18,BZ$18),FALSE)))</f>
        <v/>
      </c>
      <c r="CA29" s="473" t="str">
        <f t="shared" si="24"/>
        <v/>
      </c>
      <c r="CB29" s="473" t="str">
        <f>IF($B29="","",IF($BI29="#1",CB$15,IF($BI29="#2",CB$16,VLOOKUP($H29,Table_9.6.1_2016[],IF(Compliance_Version_Year=2010,18,CB$18),FALSE))))</f>
        <v/>
      </c>
      <c r="CC29" s="473" t="str">
        <f t="shared" si="25"/>
        <v/>
      </c>
      <c r="CD29" s="473" t="str">
        <f>IF($B29="","",IF($BI29="#1",CD$15,IF($BI29="#2",CD$16,VLOOKUP($H29,Table_9.6.1_2016[],IF(Compliance_Version_Year=2010,18,CD$18),FALSE))))</f>
        <v/>
      </c>
      <c r="CE29" s="473" t="str">
        <f t="shared" si="26"/>
        <v/>
      </c>
      <c r="CF29" s="473" t="str">
        <f>IF($B29="","",IF($BI29="#1",CF$15,IF($BI29="#2",CF$16,VLOOKUP($H29,Table_9.6.1_2016[],IF(Compliance_Version_Year=2010,18,CF$18),FALSE))))</f>
        <v/>
      </c>
      <c r="CG29" s="473" t="str">
        <f>IF(OR(CF29="ADD2",CF29="REQ"),"9.4.1.2d, ","")</f>
        <v/>
      </c>
      <c r="CH29" s="473" t="str">
        <f>IF($B29="","",IF($BI29="#1",CH$15,IF($BI29="#2",CH$16,VLOOKUP($H29,Table_9.6.1_2016[],IF(Compliance_Version_Year=2010,18,CH$18),FALSE))))</f>
        <v/>
      </c>
      <c r="CI29" s="473" t="str">
        <f t="shared" si="9"/>
        <v/>
      </c>
      <c r="CL29" s="43" t="str">
        <f t="shared" si="10"/>
        <v/>
      </c>
      <c r="CM29" s="43" t="str">
        <f t="shared" si="11"/>
        <v/>
      </c>
      <c r="CR29" s="42" t="str">
        <f t="shared" si="27"/>
        <v/>
      </c>
      <c r="CS29" s="42" t="str">
        <f>'SpxSp Compliance Details'!I25</f>
        <v/>
      </c>
    </row>
    <row r="30" spans="1:97" x14ac:dyDescent="0.25">
      <c r="A30" s="5">
        <v>9</v>
      </c>
      <c r="B30" s="1627" t="str">
        <f>'Int Room Schedule'!Z24</f>
        <v/>
      </c>
      <c r="C30" s="1628"/>
      <c r="D30" s="1628"/>
      <c r="E30" s="1628"/>
      <c r="F30" s="1367"/>
      <c r="G30" s="321"/>
      <c r="H30" s="472" t="str">
        <f>'Int Room Schedule'!AA24</f>
        <v/>
      </c>
      <c r="I30" s="466" t="str">
        <f t="shared" si="1"/>
        <v/>
      </c>
      <c r="J30" s="655" t="str">
        <f ca="1">IF($B30&lt;&gt;"",VLOOKUP($AN30,INDIRECT('9.6 Table'!$P$338),2,FALSE)," ")</f>
        <v xml:space="preserve"> </v>
      </c>
      <c r="K30" s="948" t="str">
        <f ca="1">IF($B30&lt;&gt;"",VLOOKUP($AN30,INDIRECT('9.6 Table'!$P$338),3,FALSE)," ")</f>
        <v xml:space="preserve"> </v>
      </c>
      <c r="L30" s="484"/>
      <c r="M30" s="362">
        <f t="shared" ref="M30:M42" ca="1" si="29">IF(B30="C-Atrium",1,IF(K30="8' wide",IF(L30&lt;8,1.2,1),IF(L30&gt;K30,1.2,1)))</f>
        <v>1</v>
      </c>
      <c r="N30" s="464">
        <f t="shared" si="3"/>
        <v>0</v>
      </c>
      <c r="O30" s="166">
        <f ca="1">IFERROR(IF(SUMIF('SpxSp (step-b)'!B$26:F$75,'SpxSp (step-a)'!B30,'SpxSp (step-b)'!L$26:L$75)&gt;0,N30,0),0)</f>
        <v>0</v>
      </c>
      <c r="P30" s="486"/>
      <c r="Q30" s="487"/>
      <c r="R30" s="1074">
        <f t="shared" si="12"/>
        <v>0</v>
      </c>
      <c r="S30" s="486"/>
      <c r="T30" s="487"/>
      <c r="U30" s="487"/>
      <c r="V30" s="328" t="str">
        <f t="shared" si="4"/>
        <v/>
      </c>
      <c r="W30" s="1631">
        <f ca="1">SUMIFS('SpxSp (step-b)'!AZ34:AZ83,'SpxSp (step-b)'!AX$26:AX$75,AB30)</f>
        <v>0</v>
      </c>
      <c r="X30" s="1632"/>
      <c r="Y30" s="244"/>
      <c r="Z30" s="244">
        <f>IF(B30="",0,COUNTIF('SpxSp (step-b)'!B34:F80,B30))</f>
        <v>0</v>
      </c>
      <c r="AB30" s="737" t="str">
        <f ca="1">IF(OR($B30="",O30=0),"",VLOOKUP($AN30,INDIRECT('9.6 Table'!$P$338),17,FALSE))</f>
        <v/>
      </c>
      <c r="AC30" s="326"/>
      <c r="AD30" s="326"/>
      <c r="AE30" s="326"/>
      <c r="AF30" s="326"/>
      <c r="AG30" s="326"/>
      <c r="AH30" s="326"/>
      <c r="AI30" s="326"/>
      <c r="AJ30" s="326"/>
      <c r="AK30" s="326"/>
      <c r="AL30" s="326"/>
      <c r="AM30" s="231">
        <f>'Int Room Schedule'!U24</f>
        <v>0</v>
      </c>
      <c r="AN30" s="78" t="str">
        <f t="shared" si="5"/>
        <v/>
      </c>
      <c r="AO30" s="78"/>
      <c r="AP30" s="78"/>
      <c r="AQ30" s="78"/>
      <c r="AR30" s="43" t="str">
        <f t="shared" si="0"/>
        <v/>
      </c>
      <c r="AX30" s="43" t="str">
        <f t="shared" si="6"/>
        <v/>
      </c>
      <c r="AY30" s="326" t="str">
        <f t="shared" ref="AY30:AY42" si="30">IFERROR(IF($B30="","",IF(AZ30&lt;&gt;" ",1,0)),"")</f>
        <v/>
      </c>
      <c r="AZ30" s="194" t="e">
        <f t="array" ref="AZ30">IF(ROWS(AX$22:AX30)&gt;COUNTA($AX$22:$AX$71),"",INDEX($AX$22:$AX$71,SMALL(IF($AX$22:$AX$71&lt;&gt;"",ROW($AX$22:$AX$71)-ROW($AX$22)+1),ROWS($AX$22:AX30))))</f>
        <v>#NUM!</v>
      </c>
      <c r="BA30" s="730" t="str">
        <f t="shared" si="13"/>
        <v/>
      </c>
      <c r="BB30" s="326" t="str">
        <f>IF(BA30="","",SUMIF('SpxSp (step-c)'!B$18:E$67,AZ30,'SpxSp (step-c)'!T$18:T$67))</f>
        <v/>
      </c>
      <c r="BC30" s="326">
        <f t="shared" si="14"/>
        <v>0</v>
      </c>
      <c r="BE30" s="43" t="str">
        <f t="shared" si="7"/>
        <v/>
      </c>
      <c r="BF30" s="326" t="str">
        <f t="shared" ref="BF30:BF71" si="31">IF($B30="","",IF(BG30&lt;&gt;" ",1,0))</f>
        <v/>
      </c>
      <c r="BG30" s="194" t="e">
        <f t="array" ref="BG30">IF(ROWS(BE$22:BE30)&gt;COUNTA($BE$22:$BE$71),"",INDEX($BE$22:$BE$71,SMALL(IF($BE$22:$BE$71&lt;&gt;"",ROW($BE$22:$BE$71)-ROW($BE$22)+1),ROWS($BE$22:BE30))))</f>
        <v>#NUM!</v>
      </c>
      <c r="BI30" s="480" t="str">
        <f>IF(B30="","",VLOOKUP(B30,'SpxSp Compliance Details'!$Z$18:$BK$67,36,FALSE))</f>
        <v/>
      </c>
      <c r="BJ30" s="473" t="str">
        <f>IF($B30="","",IF($BI30="#1",BJ$15,IF($BI30="#2",BJ$16,VLOOKUP($H30,Table_9.6.1_2016[],IF(Compliance_Version_Year=2010,18,BJ$18),FALSE))))</f>
        <v/>
      </c>
      <c r="BK30" s="473" t="str">
        <f t="shared" si="16"/>
        <v/>
      </c>
      <c r="BL30" s="473" t="str">
        <f>IF($B30="","",IF($BI30="#1",BL$15,IF($BI30="#2",BL$16,VLOOKUP($H30,Table_9.6.1_2016[],IF(Compliance_Version_Year=2010,18,BL$18),FALSE))))</f>
        <v/>
      </c>
      <c r="BM30" s="473" t="str">
        <f t="shared" si="17"/>
        <v/>
      </c>
      <c r="BN30" s="473" t="str">
        <f>IF($B30="","",IF($BI30="#1",BN$15,IF($BI30="#2",BN$16,VLOOKUP($H30,Table_9.6.1_2016[],IF(Compliance_Version_Year=2010,18,BN$18),FALSE))))</f>
        <v/>
      </c>
      <c r="BO30" s="473" t="str">
        <f t="shared" si="18"/>
        <v/>
      </c>
      <c r="BP30" s="473" t="str">
        <f>IF($B30="","",IF($BI30="#1",BP$15,IF($BI30="#2",BP$16,VLOOKUP($H30,Table_9.6.1_2016[],IF(Compliance_Version_Year=2010,18,BP$18),FALSE))))</f>
        <v/>
      </c>
      <c r="BQ30" s="473" t="str">
        <f t="shared" si="19"/>
        <v/>
      </c>
      <c r="BR30" s="473" t="str">
        <f>IF($B30="","",IF($BI30="#1",BR$15,IF($BI30="#2",BR$16,IF($BI30="ALT",BR$17,VLOOKUP($H30,Table_9.6.1_2016[],IF(Compliance_Version_Year=2010,18,BR$18),FALSE)))))</f>
        <v/>
      </c>
      <c r="BS30" s="473" t="str">
        <f t="shared" si="20"/>
        <v/>
      </c>
      <c r="BT30" s="473" t="str">
        <f>IF($B30="","",IF($BI30="#1",BT$15,IF($BI30="#2",BT$16,IF($BI30="ALT",BT$17,VLOOKUP($H30,Table_9.6.1_2016[],IF(Compliance_Version_Year=2010,18,BT$18),FALSE)))))</f>
        <v/>
      </c>
      <c r="BU30" s="473" t="str">
        <f t="shared" si="21"/>
        <v/>
      </c>
      <c r="BV30" s="473" t="str">
        <f>IF($B30="","",IF($BI30="#1",BV$15,IF($BI30="#2",BV$16,VLOOKUP($H30,Table_9.6.1_2016[],IF(Compliance_Version_Year=2010,18,BV$18),FALSE))))</f>
        <v/>
      </c>
      <c r="BW30" s="473" t="str">
        <f t="shared" si="22"/>
        <v/>
      </c>
      <c r="BX30" s="473" t="str">
        <f>IF($B30="","",VLOOKUP($H30,Table_9.6.1_2016[],IF(Compliance_Version_Year=2010,18,BX$18),FALSE))</f>
        <v/>
      </c>
      <c r="BY30" s="473" t="str">
        <f t="shared" si="23"/>
        <v/>
      </c>
      <c r="BZ30" s="473" t="str">
        <f>IF($B30="","",IF($BI30="#1",BZ$15,VLOOKUP($H30,Table_9.6.1_2016[],IF(Compliance_Version_Year=2010,18,BZ$18),FALSE)))</f>
        <v/>
      </c>
      <c r="CA30" s="473" t="str">
        <f t="shared" si="24"/>
        <v/>
      </c>
      <c r="CB30" s="473" t="str">
        <f>IF($B30="","",IF($BI30="#1",CB$15,IF($BI30="#2",CB$16,VLOOKUP($H30,Table_9.6.1_2016[],IF(Compliance_Version_Year=2010,18,CB$18),FALSE))))</f>
        <v/>
      </c>
      <c r="CC30" s="473" t="str">
        <f t="shared" si="25"/>
        <v/>
      </c>
      <c r="CD30" s="473" t="str">
        <f>IF($B30="","",IF($BI30="#1",CD$15,IF($BI30="#2",CD$16,VLOOKUP($H30,Table_9.6.1_2016[],IF(Compliance_Version_Year=2010,18,CD$18),FALSE))))</f>
        <v/>
      </c>
      <c r="CE30" s="473" t="str">
        <f t="shared" si="26"/>
        <v/>
      </c>
      <c r="CF30" s="473" t="str">
        <f>IF($B30="","",IF($BI30="#1",CF$15,IF($BI30="#2",CF$16,VLOOKUP($H30,Table_9.6.1_2016[],IF(Compliance_Version_Year=2010,18,CF$18),FALSE))))</f>
        <v/>
      </c>
      <c r="CG30" s="473" t="str">
        <f t="shared" ref="CG30:CG71" si="32">IF(OR(CF30="ADD2",CF30="REQ"),"9.4.1.2d, ","")</f>
        <v/>
      </c>
      <c r="CH30" s="473" t="str">
        <f>IF($B30="","",IF($BI30="#1",CH$15,IF($BI30="#2",CH$16,VLOOKUP($H30,Table_9.6.1_2016[],IF(Compliance_Version_Year=2010,18,CH$18),FALSE))))</f>
        <v/>
      </c>
      <c r="CI30" s="473" t="str">
        <f>IF(OR(CH30="ADD2",CH30="REQ"),"9.4.1.3b.2, ","")</f>
        <v/>
      </c>
      <c r="CL30" s="43" t="str">
        <f t="shared" si="10"/>
        <v/>
      </c>
      <c r="CM30" s="43" t="str">
        <f t="shared" si="11"/>
        <v/>
      </c>
      <c r="CR30" s="42" t="str">
        <f t="shared" si="27"/>
        <v/>
      </c>
      <c r="CS30" s="42" t="str">
        <f>'SpxSp Compliance Details'!I26</f>
        <v/>
      </c>
    </row>
    <row r="31" spans="1:97" x14ac:dyDescent="0.25">
      <c r="A31" s="5">
        <v>10</v>
      </c>
      <c r="B31" s="1627" t="str">
        <f>'Int Room Schedule'!Z25</f>
        <v/>
      </c>
      <c r="C31" s="1628"/>
      <c r="D31" s="1628"/>
      <c r="E31" s="1628"/>
      <c r="F31" s="1367"/>
      <c r="G31" s="321"/>
      <c r="H31" s="472" t="str">
        <f>'Int Room Schedule'!AA25</f>
        <v/>
      </c>
      <c r="I31" s="466" t="str">
        <f t="shared" si="1"/>
        <v/>
      </c>
      <c r="J31" s="655" t="str">
        <f ca="1">IF($B31&lt;&gt;"",VLOOKUP($AN31,INDIRECT('9.6 Table'!$P$338),2,FALSE)," ")</f>
        <v xml:space="preserve"> </v>
      </c>
      <c r="K31" s="948" t="str">
        <f ca="1">IF($B31&lt;&gt;"",VLOOKUP($AN31,INDIRECT('9.6 Table'!$P$338),3,FALSE)," ")</f>
        <v xml:space="preserve"> </v>
      </c>
      <c r="L31" s="484"/>
      <c r="M31" s="362">
        <f t="shared" ca="1" si="29"/>
        <v>1</v>
      </c>
      <c r="N31" s="464">
        <f t="shared" si="3"/>
        <v>0</v>
      </c>
      <c r="O31" s="166">
        <f ca="1">IFERROR(IF(SUMIF('SpxSp (step-b)'!B$26:F$75,'SpxSp (step-a)'!B31,'SpxSp (step-b)'!L$26:L$75)&gt;0,N31,0),0)</f>
        <v>0</v>
      </c>
      <c r="P31" s="486"/>
      <c r="Q31" s="487"/>
      <c r="R31" s="1074">
        <f t="shared" si="12"/>
        <v>0</v>
      </c>
      <c r="S31" s="486"/>
      <c r="T31" s="487"/>
      <c r="U31" s="487"/>
      <c r="V31" s="328" t="str">
        <f t="shared" si="4"/>
        <v/>
      </c>
      <c r="W31" s="1631">
        <f ca="1">SUMIFS('SpxSp (step-b)'!AZ35:AZ84,'SpxSp (step-b)'!AX$26:AX$75,AB31)</f>
        <v>0</v>
      </c>
      <c r="X31" s="1632"/>
      <c r="Y31" s="244"/>
      <c r="Z31" s="244">
        <f>IF(B31="",0,COUNTIF('SpxSp (step-b)'!B35:F80,B31))</f>
        <v>0</v>
      </c>
      <c r="AB31" s="737" t="str">
        <f ca="1">IF(OR($B31="",O31=0),"",VLOOKUP($AN31,INDIRECT('9.6 Table'!$P$338),17,FALSE))</f>
        <v/>
      </c>
      <c r="AC31" s="326"/>
      <c r="AD31" s="326"/>
      <c r="AE31" s="326"/>
      <c r="AF31" s="326"/>
      <c r="AG31" s="326"/>
      <c r="AH31" s="326"/>
      <c r="AI31" s="326"/>
      <c r="AJ31" s="326"/>
      <c r="AK31" s="326"/>
      <c r="AL31" s="326"/>
      <c r="AM31" s="231">
        <f>'Int Room Schedule'!U25</f>
        <v>0</v>
      </c>
      <c r="AN31" s="78" t="str">
        <f t="shared" si="5"/>
        <v/>
      </c>
      <c r="AO31" s="78"/>
      <c r="AP31" s="78"/>
      <c r="AQ31" s="78"/>
      <c r="AR31" s="43" t="str">
        <f t="shared" si="0"/>
        <v/>
      </c>
      <c r="AX31" s="43" t="str">
        <f t="shared" si="6"/>
        <v/>
      </c>
      <c r="AY31" s="326" t="str">
        <f t="shared" si="30"/>
        <v/>
      </c>
      <c r="AZ31" s="194" t="e">
        <f t="array" ref="AZ31">IF(ROWS(AX$22:AX31)&gt;COUNTA($AX$22:$AX$71),"",INDEX($AX$22:$AX$71,SMALL(IF($AX$22:$AX$71&lt;&gt;"",ROW($AX$22:$AX$71)-ROW($AX$22)+1),ROWS($AX$22:AX31))))</f>
        <v>#NUM!</v>
      </c>
      <c r="BA31" s="730" t="str">
        <f t="shared" si="13"/>
        <v/>
      </c>
      <c r="BB31" s="326" t="str">
        <f>IF(BA31="","",SUMIF('SpxSp (step-c)'!B$18:E$67,AZ31,'SpxSp (step-c)'!T$18:T$67))</f>
        <v/>
      </c>
      <c r="BC31" s="326">
        <f t="shared" ref="BC31:BC71" si="33">IF(BB31&gt;BA31,"ERROR",0)</f>
        <v>0</v>
      </c>
      <c r="BE31" s="43" t="str">
        <f t="shared" si="7"/>
        <v/>
      </c>
      <c r="BF31" s="326" t="str">
        <f t="shared" si="31"/>
        <v/>
      </c>
      <c r="BG31" s="194" t="e">
        <f t="array" ref="BG31">IF(ROWS(BE$22:BE31)&gt;COUNTA($BE$22:$BE$71),"",INDEX($BE$22:$BE$71,SMALL(IF($BE$22:$BE$71&lt;&gt;"",ROW($BE$22:$BE$71)-ROW($BE$22)+1),ROWS($BE$22:BE31))))</f>
        <v>#NUM!</v>
      </c>
      <c r="BI31" s="480" t="str">
        <f>IF(B31="","",VLOOKUP(B31,'SpxSp Compliance Details'!$Z$18:$BK$67,36,FALSE))</f>
        <v/>
      </c>
      <c r="BJ31" s="473" t="str">
        <f>IF($B31="","",VLOOKUP($H31,Table_9.6.1_2016[],IF(Compliance_Version_Year=2010,18,BJ$18),FALSE))</f>
        <v/>
      </c>
      <c r="BK31" s="473" t="str">
        <f t="shared" si="16"/>
        <v/>
      </c>
      <c r="BL31" s="473" t="str">
        <f>IF($B31="","",VLOOKUP($H31,Table_9.6.1_2016[],IF(Compliance_Version_Year=2010,18,BL$18),FALSE))</f>
        <v/>
      </c>
      <c r="BM31" s="473" t="str">
        <f t="shared" si="17"/>
        <v/>
      </c>
      <c r="BN31" s="473" t="str">
        <f>IF($B31="","",IF($BI31="#1",BN$15,IF($BI31="#2",BN$16,VLOOKUP($H31,Table_9.6.1_2016[],IF(Compliance_Version_Year=2010,18,BN$18),FALSE))))</f>
        <v/>
      </c>
      <c r="BO31" s="473" t="str">
        <f t="shared" si="18"/>
        <v/>
      </c>
      <c r="BP31" s="473" t="str">
        <f>IF($B31="","",IF($BI31="#1",BP$15,IF($BI31="#2",BP$16,VLOOKUP($H31,Table_9.6.1_2016[],IF(Compliance_Version_Year=2010,18,BP$18),FALSE))))</f>
        <v/>
      </c>
      <c r="BQ31" s="473" t="str">
        <f t="shared" si="19"/>
        <v/>
      </c>
      <c r="BR31" s="473" t="str">
        <f>IF($B31="","",IF($BI31="#1",BR$15,IF($BI31="#2",BR$17,VLOOKUP($H31,Table_9.6.1_2016[],IF(Compliance_Version_Year=2010,18,BR$18),FALSE))))</f>
        <v/>
      </c>
      <c r="BS31" s="473" t="str">
        <f t="shared" si="20"/>
        <v/>
      </c>
      <c r="BT31" s="473" t="str">
        <f>IF($B31="","",IF($BI31="#1",BT$15,IF($BI31="#2",BT$16,VLOOKUP($H31,Table_9.6.1_2016[],IF(Compliance_Version_Year=2010,18,BT$18),FALSE))))</f>
        <v/>
      </c>
      <c r="BU31" s="473" t="str">
        <f t="shared" si="21"/>
        <v/>
      </c>
      <c r="BV31" s="473" t="str">
        <f>IF($B31="","",IF($BI31="#1",BV$15,IF($BI31="#2",BV$16,VLOOKUP($H31,Table_9.6.1_2016[],IF(Compliance_Version_Year=2010,18,BV$18),FALSE))))</f>
        <v/>
      </c>
      <c r="BW31" s="473" t="str">
        <f t="shared" si="22"/>
        <v/>
      </c>
      <c r="BX31" s="473" t="str">
        <f>IF($B31="","",VLOOKUP($H31,Table_9.6.1_2016[],IF(Compliance_Version_Year=2010,18,BX$18),FALSE))</f>
        <v/>
      </c>
      <c r="BY31" s="473" t="str">
        <f t="shared" si="23"/>
        <v/>
      </c>
      <c r="BZ31" s="473" t="str">
        <f>IF($B31="","",IF($BI31="#1",BZ$15,VLOOKUP($H31,Table_9.6.1_2016[],IF(Compliance_Version_Year=2010,18,BZ$18),FALSE)))</f>
        <v/>
      </c>
      <c r="CA31" s="473" t="str">
        <f t="shared" si="24"/>
        <v/>
      </c>
      <c r="CB31" s="473" t="str">
        <f>IF($B31="","",IF($BI31="#1",CB$15,IF($BI31="#2",CB$16,VLOOKUP($H31,Table_9.6.1_2016[],IF(Compliance_Version_Year=2010,18,CB$18),FALSE))))</f>
        <v/>
      </c>
      <c r="CC31" s="473" t="str">
        <f t="shared" si="25"/>
        <v/>
      </c>
      <c r="CD31" s="473" t="str">
        <f>IF($B31="","",IF($BI31="#1",CD$15,IF($BI31="#2",CD$16,VLOOKUP($H31,Table_9.6.1_2016[],IF(Compliance_Version_Year=2010,18,CD$18),FALSE))))</f>
        <v/>
      </c>
      <c r="CE31" s="473" t="str">
        <f t="shared" si="26"/>
        <v/>
      </c>
      <c r="CF31" s="473" t="str">
        <f>IF($B31="","",IF($BI31="#1",CF$15,IF($BI31="#2",CF$16,VLOOKUP($H31,Table_9.6.1_2016[],IF(Compliance_Version_Year=2010,18,CF$18),FALSE))))</f>
        <v/>
      </c>
      <c r="CG31" s="473" t="str">
        <f t="shared" si="32"/>
        <v/>
      </c>
      <c r="CH31" s="473" t="str">
        <f>IF($B31="","",IF($BI31="#1",CH$15,IF($BI31="#2",CH$16,VLOOKUP($H31,Table_9.6.1_2016[],IF(Compliance_Version_Year=2010,18,CH$18),FALSE))))</f>
        <v/>
      </c>
      <c r="CI31" s="473" t="str">
        <f t="shared" ref="CI31:CI71" si="34">IF(OR(CH31="ADD2",CH31="REQ"),"9.4.1.3b.2, ","")</f>
        <v/>
      </c>
      <c r="CL31" s="43" t="str">
        <f t="shared" si="10"/>
        <v/>
      </c>
      <c r="CM31" s="43" t="str">
        <f t="shared" si="11"/>
        <v/>
      </c>
      <c r="CR31" s="42" t="str">
        <f t="shared" si="27"/>
        <v/>
      </c>
      <c r="CS31" s="42" t="str">
        <f>'SpxSp Compliance Details'!I27</f>
        <v/>
      </c>
    </row>
    <row r="32" spans="1:97" x14ac:dyDescent="0.25">
      <c r="A32" s="5">
        <v>11</v>
      </c>
      <c r="B32" s="1627" t="str">
        <f>'Int Room Schedule'!Z26</f>
        <v/>
      </c>
      <c r="C32" s="1628"/>
      <c r="D32" s="1628"/>
      <c r="E32" s="1628"/>
      <c r="F32" s="1367"/>
      <c r="G32" s="321"/>
      <c r="H32" s="472" t="str">
        <f>'Int Room Schedule'!AA26</f>
        <v/>
      </c>
      <c r="I32" s="466" t="str">
        <f t="shared" si="1"/>
        <v/>
      </c>
      <c r="J32" s="655" t="str">
        <f ca="1">IF($B32&lt;&gt;"",VLOOKUP($AN32,INDIRECT('9.6 Table'!$P$338),2,FALSE)," ")</f>
        <v xml:space="preserve"> </v>
      </c>
      <c r="K32" s="948" t="str">
        <f ca="1">IF($B32&lt;&gt;"",VLOOKUP($AN32,INDIRECT('9.6 Table'!$P$338),3,FALSE)," ")</f>
        <v xml:space="preserve"> </v>
      </c>
      <c r="L32" s="484"/>
      <c r="M32" s="362">
        <f t="shared" ca="1" si="29"/>
        <v>1</v>
      </c>
      <c r="N32" s="464">
        <f t="shared" si="3"/>
        <v>0</v>
      </c>
      <c r="O32" s="166">
        <f ca="1">IFERROR(IF(SUMIF('SpxSp (step-b)'!B$26:F$75,'SpxSp (step-a)'!B32,'SpxSp (step-b)'!L$26:L$75)&gt;0,N32,0),0)</f>
        <v>0</v>
      </c>
      <c r="P32" s="486"/>
      <c r="Q32" s="487"/>
      <c r="R32" s="1074">
        <f t="shared" si="12"/>
        <v>0</v>
      </c>
      <c r="S32" s="486"/>
      <c r="T32" s="487"/>
      <c r="U32" s="487"/>
      <c r="V32" s="328" t="str">
        <f t="shared" si="4"/>
        <v/>
      </c>
      <c r="W32" s="1631">
        <f ca="1">SUMIFS('SpxSp (step-b)'!AZ36:AZ85,'SpxSp (step-b)'!AX$26:AX$75,AB32)</f>
        <v>0</v>
      </c>
      <c r="X32" s="1632"/>
      <c r="Y32" s="244"/>
      <c r="Z32" s="244">
        <f>IF(B32="",0,COUNTIF('SpxSp (step-b)'!B36:F80,B32))</f>
        <v>0</v>
      </c>
      <c r="AB32" s="737" t="str">
        <f ca="1">IF(OR($B32="",O32=0),"",VLOOKUP($AN32,INDIRECT('9.6 Table'!$P$338),17,FALSE))</f>
        <v/>
      </c>
      <c r="AC32" s="326"/>
      <c r="AD32" s="326"/>
      <c r="AE32" s="326"/>
      <c r="AF32" s="326"/>
      <c r="AG32" s="326"/>
      <c r="AH32" s="326"/>
      <c r="AI32" s="326"/>
      <c r="AJ32" s="326"/>
      <c r="AK32" s="326"/>
      <c r="AL32" s="326"/>
      <c r="AM32" s="231">
        <f>'Int Room Schedule'!U26</f>
        <v>0</v>
      </c>
      <c r="AN32" s="78" t="str">
        <f t="shared" si="5"/>
        <v/>
      </c>
      <c r="AO32" s="78"/>
      <c r="AP32" s="78"/>
      <c r="AQ32" s="78"/>
      <c r="AR32" s="43" t="str">
        <f t="shared" si="0"/>
        <v/>
      </c>
      <c r="AX32" s="43" t="str">
        <f t="shared" si="6"/>
        <v/>
      </c>
      <c r="AY32" s="326" t="str">
        <f t="shared" si="30"/>
        <v/>
      </c>
      <c r="AZ32" s="194" t="e">
        <f t="array" ref="AZ32">IF(ROWS(AX$22:AX32)&gt;COUNTA($AX$22:$AX$71),"",INDEX($AX$22:$AX$71,SMALL(IF($AX$22:$AX$71&lt;&gt;"",ROW($AX$22:$AX$71)-ROW($AX$22)+1),ROWS($AX$22:AX32))))</f>
        <v>#NUM!</v>
      </c>
      <c r="BA32" s="730" t="str">
        <f t="shared" si="13"/>
        <v/>
      </c>
      <c r="BB32" s="326" t="str">
        <f>IF(BA32="","",SUMIF('SpxSp (step-c)'!B$18:E$67,AZ32,'SpxSp (step-c)'!T$18:T$67))</f>
        <v/>
      </c>
      <c r="BC32" s="326">
        <f t="shared" si="33"/>
        <v>0</v>
      </c>
      <c r="BE32" s="43" t="str">
        <f t="shared" si="7"/>
        <v/>
      </c>
      <c r="BF32" s="326" t="str">
        <f t="shared" si="31"/>
        <v/>
      </c>
      <c r="BG32" s="194" t="e">
        <f t="array" ref="BG32">IF(ROWS(BE$22:BE32)&gt;COUNTA($BE$22:$BE$71),"",INDEX($BE$22:$BE$71,SMALL(IF($BE$22:$BE$71&lt;&gt;"",ROW($BE$22:$BE$71)-ROW($BE$22)+1),ROWS($BE$22:BE32))))</f>
        <v>#NUM!</v>
      </c>
      <c r="BI32" s="480" t="str">
        <f>IF(B32="","",VLOOKUP(B32,'SpxSp Compliance Details'!$Z$18:$BK$67,36,FALSE))</f>
        <v/>
      </c>
      <c r="BJ32" s="473" t="str">
        <f>IF($B32="","",VLOOKUP($H32,Table_9.6.1_2016[],IF(Compliance_Version_Year=2010,18,BJ$18),FALSE))</f>
        <v/>
      </c>
      <c r="BK32" s="473" t="str">
        <f t="shared" si="16"/>
        <v/>
      </c>
      <c r="BL32" s="473" t="str">
        <f>IF($B32="","",VLOOKUP($H32,Table_9.6.1_2016[],IF(Compliance_Version_Year=2010,18,BL$18),FALSE))</f>
        <v/>
      </c>
      <c r="BM32" s="473" t="str">
        <f t="shared" si="17"/>
        <v/>
      </c>
      <c r="BN32" s="473" t="str">
        <f>IF($B32="","",IF($BI32="#1",BN$15,IF($BI32="#2",BN$16,VLOOKUP($H32,Table_9.6.1_2016[],IF(Compliance_Version_Year=2010,18,BN$18),FALSE))))</f>
        <v/>
      </c>
      <c r="BO32" s="473" t="str">
        <f t="shared" si="18"/>
        <v/>
      </c>
      <c r="BP32" s="473" t="str">
        <f>IF($B32="","",IF($BI32="#1",BP$15,IF($BI32="#2",BP$16,VLOOKUP($H32,Table_9.6.1_2016[],IF(Compliance_Version_Year=2010,18,BP$18),FALSE))))</f>
        <v/>
      </c>
      <c r="BQ32" s="473" t="str">
        <f t="shared" si="19"/>
        <v/>
      </c>
      <c r="BR32" s="473" t="str">
        <f>IF($B32="","",IF($BI32="#1",BR$15,IF($BI32="#2",BR$17,VLOOKUP($H32,Table_9.6.1_2016[],IF(Compliance_Version_Year=2010,18,BR$18),FALSE))))</f>
        <v/>
      </c>
      <c r="BS32" s="473" t="str">
        <f t="shared" si="20"/>
        <v/>
      </c>
      <c r="BT32" s="473" t="str">
        <f>IF($B32="","",IF($BI32="#1",BT$15,IF($BI32="#2",BT$16,VLOOKUP($H32,Table_9.6.1_2016[],IF(Compliance_Version_Year=2010,18,BT$18),FALSE))))</f>
        <v/>
      </c>
      <c r="BU32" s="473" t="str">
        <f t="shared" si="21"/>
        <v/>
      </c>
      <c r="BV32" s="473" t="str">
        <f>IF($B32="","",IF($BI32="#1",BV$15,IF($BI32="#2",BV$16,VLOOKUP($H32,Table_9.6.1_2016[],IF(Compliance_Version_Year=2010,18,BV$18),FALSE))))</f>
        <v/>
      </c>
      <c r="BW32" s="473" t="str">
        <f t="shared" si="22"/>
        <v/>
      </c>
      <c r="BX32" s="473" t="str">
        <f>IF($B32="","",VLOOKUP($H32,Table_9.6.1_2016[],IF(Compliance_Version_Year=2010,18,BX$18),FALSE))</f>
        <v/>
      </c>
      <c r="BY32" s="473" t="str">
        <f t="shared" si="23"/>
        <v/>
      </c>
      <c r="BZ32" s="473" t="str">
        <f>IF($B32="","",IF($BI32="#1",BZ$15,VLOOKUP($H32,Table_9.6.1_2016[],IF(Compliance_Version_Year=2010,18,BZ$18),FALSE)))</f>
        <v/>
      </c>
      <c r="CA32" s="473" t="str">
        <f t="shared" si="24"/>
        <v/>
      </c>
      <c r="CB32" s="473" t="str">
        <f>IF($B32="","",IF($BI32="#1",CB$15,IF($BI32="#2",CB$16,VLOOKUP($H32,Table_9.6.1_2016[],IF(Compliance_Version_Year=2010,18,CB$18),FALSE))))</f>
        <v/>
      </c>
      <c r="CC32" s="473" t="str">
        <f t="shared" si="25"/>
        <v/>
      </c>
      <c r="CD32" s="473" t="str">
        <f>IF($B32="","",IF($BI32="#1",CD$15,IF($BI32="#2",CD$16,VLOOKUP($H32,Table_9.6.1_2016[],IF(Compliance_Version_Year=2010,18,CD$18),FALSE))))</f>
        <v/>
      </c>
      <c r="CE32" s="473" t="str">
        <f t="shared" si="26"/>
        <v/>
      </c>
      <c r="CF32" s="473" t="str">
        <f>IF($B32="","",IF($BI32="#1",CF$15,IF($BI32="#2",CF$16,VLOOKUP($H32,Table_9.6.1_2016[],IF(Compliance_Version_Year=2010,18,CF$18),FALSE))))</f>
        <v/>
      </c>
      <c r="CG32" s="473" t="str">
        <f t="shared" si="32"/>
        <v/>
      </c>
      <c r="CH32" s="473" t="str">
        <f>IF($B32="","",IF($BI32="#1",CH$15,IF($BI32="#2",CH$16,VLOOKUP($H32,Table_9.6.1_2016[],IF(Compliance_Version_Year=2010,18,CH$18),FALSE))))</f>
        <v/>
      </c>
      <c r="CI32" s="473" t="str">
        <f t="shared" si="34"/>
        <v/>
      </c>
      <c r="CL32" s="43" t="str">
        <f t="shared" si="10"/>
        <v/>
      </c>
      <c r="CM32" s="43" t="str">
        <f t="shared" si="11"/>
        <v/>
      </c>
      <c r="CR32" s="42" t="str">
        <f t="shared" si="27"/>
        <v/>
      </c>
      <c r="CS32" s="42" t="str">
        <f>'SpxSp Compliance Details'!I28</f>
        <v/>
      </c>
    </row>
    <row r="33" spans="1:97" x14ac:dyDescent="0.25">
      <c r="A33" s="5">
        <v>12</v>
      </c>
      <c r="B33" s="1627" t="str">
        <f>'Int Room Schedule'!Z27</f>
        <v/>
      </c>
      <c r="C33" s="1628"/>
      <c r="D33" s="1628"/>
      <c r="E33" s="1628"/>
      <c r="F33" s="1367"/>
      <c r="G33" s="321"/>
      <c r="H33" s="472" t="str">
        <f>'Int Room Schedule'!AA27</f>
        <v/>
      </c>
      <c r="I33" s="466" t="str">
        <f t="shared" si="1"/>
        <v/>
      </c>
      <c r="J33" s="655" t="str">
        <f ca="1">IF($B33&lt;&gt;"",VLOOKUP($AN33,INDIRECT('9.6 Table'!$P$338),2,FALSE)," ")</f>
        <v xml:space="preserve"> </v>
      </c>
      <c r="K33" s="948" t="str">
        <f ca="1">IF($B33&lt;&gt;"",VLOOKUP($AN33,INDIRECT('9.6 Table'!$P$338),3,FALSE)," ")</f>
        <v xml:space="preserve"> </v>
      </c>
      <c r="L33" s="484"/>
      <c r="M33" s="362">
        <f t="shared" ca="1" si="29"/>
        <v>1</v>
      </c>
      <c r="N33" s="464">
        <f t="shared" si="3"/>
        <v>0</v>
      </c>
      <c r="O33" s="166">
        <f ca="1">IFERROR(IF(SUMIF('SpxSp (step-b)'!B$26:F$75,'SpxSp (step-a)'!B33,'SpxSp (step-b)'!L$26:L$75)&gt;0,N33,0),0)</f>
        <v>0</v>
      </c>
      <c r="P33" s="486"/>
      <c r="Q33" s="487"/>
      <c r="R33" s="1074">
        <f t="shared" si="12"/>
        <v>0</v>
      </c>
      <c r="S33" s="486"/>
      <c r="T33" s="487"/>
      <c r="U33" s="487"/>
      <c r="V33" s="328" t="str">
        <f t="shared" si="4"/>
        <v/>
      </c>
      <c r="W33" s="1631">
        <f ca="1">SUMIFS('SpxSp (step-b)'!AZ37:AZ86,'SpxSp (step-b)'!AX$26:AX$75,AB33)</f>
        <v>0</v>
      </c>
      <c r="X33" s="1632"/>
      <c r="Y33" s="244"/>
      <c r="Z33" s="244">
        <f>IF(B33="",0,COUNTIF('SpxSp (step-b)'!B37:F80,B33))</f>
        <v>0</v>
      </c>
      <c r="AB33" s="737" t="str">
        <f ca="1">IF(OR($B33="",O33=0),"",VLOOKUP($AN33,INDIRECT('9.6 Table'!$P$338),17,FALSE))</f>
        <v/>
      </c>
      <c r="AC33" s="326"/>
      <c r="AD33" s="326"/>
      <c r="AE33" s="326"/>
      <c r="AF33" s="326"/>
      <c r="AG33" s="326"/>
      <c r="AH33" s="326"/>
      <c r="AI33" s="326"/>
      <c r="AJ33" s="326"/>
      <c r="AK33" s="326"/>
      <c r="AL33" s="326"/>
      <c r="AM33" s="231">
        <f>'Int Room Schedule'!U27</f>
        <v>0</v>
      </c>
      <c r="AN33" s="78" t="str">
        <f t="shared" si="5"/>
        <v/>
      </c>
      <c r="AO33" s="78"/>
      <c r="AP33" s="78"/>
      <c r="AQ33" s="78"/>
      <c r="AR33" s="43" t="str">
        <f t="shared" si="0"/>
        <v/>
      </c>
      <c r="AX33" s="43" t="str">
        <f t="shared" si="6"/>
        <v/>
      </c>
      <c r="AY33" s="326" t="str">
        <f t="shared" si="30"/>
        <v/>
      </c>
      <c r="AZ33" s="194" t="e">
        <f t="array" ref="AZ33">IF(ROWS(AX$22:AX33)&gt;COUNTA($AX$22:$AX$71),"",INDEX($AX$22:$AX$71,SMALL(IF($AX$22:$AX$71&lt;&gt;"",ROW($AX$22:$AX$71)-ROW($AX$22)+1),ROWS($AX$22:AX33))))</f>
        <v>#NUM!</v>
      </c>
      <c r="BA33" s="730" t="str">
        <f t="shared" si="13"/>
        <v/>
      </c>
      <c r="BB33" s="326" t="str">
        <f>IF(BA33="","",SUMIF('SpxSp (step-c)'!B$18:E$67,AZ33,'SpxSp (step-c)'!T$18:T$67))</f>
        <v/>
      </c>
      <c r="BC33" s="326">
        <f t="shared" si="33"/>
        <v>0</v>
      </c>
      <c r="BE33" s="43" t="str">
        <f t="shared" si="7"/>
        <v/>
      </c>
      <c r="BF33" s="326" t="str">
        <f t="shared" si="31"/>
        <v/>
      </c>
      <c r="BG33" s="194" t="e">
        <f t="array" ref="BG33">IF(ROWS(BE$22:BE33)&gt;COUNTA($BE$22:$BE$71),"",INDEX($BE$22:$BE$71,SMALL(IF($BE$22:$BE$71&lt;&gt;"",ROW($BE$22:$BE$71)-ROW($BE$22)+1),ROWS($BE$22:BE33))))</f>
        <v>#NUM!</v>
      </c>
      <c r="BI33" s="480" t="str">
        <f>IF(B33="","",VLOOKUP(B33,'SpxSp Compliance Details'!$Z$18:$BK$67,36,FALSE))</f>
        <v/>
      </c>
      <c r="BJ33" s="473" t="str">
        <f>IF($B33="","",VLOOKUP($H33,Table_9.6.1_2016[],IF(Compliance_Version_Year=2010,18,BJ$18),FALSE))</f>
        <v/>
      </c>
      <c r="BK33" s="473" t="str">
        <f t="shared" si="16"/>
        <v/>
      </c>
      <c r="BL33" s="473" t="str">
        <f>IF($B33="","",VLOOKUP($H33,Table_9.6.1_2016[],IF(Compliance_Version_Year=2010,18,BL$18),FALSE))</f>
        <v/>
      </c>
      <c r="BM33" s="473" t="str">
        <f t="shared" si="17"/>
        <v/>
      </c>
      <c r="BN33" s="473" t="str">
        <f>IF($B33="","",IF($BI33="#1",BN$15,IF($BI33="#2",BN$16,VLOOKUP($H33,Table_9.6.1_2016[],IF(Compliance_Version_Year=2010,18,BN$18),FALSE))))</f>
        <v/>
      </c>
      <c r="BO33" s="473" t="str">
        <f t="shared" si="18"/>
        <v/>
      </c>
      <c r="BP33" s="473" t="str">
        <f>IF($B33="","",IF($BI33="#1",BP$15,IF($BI33="#2",BP$16,VLOOKUP($H33,Table_9.6.1_2016[],IF(Compliance_Version_Year=2010,18,BP$18),FALSE))))</f>
        <v/>
      </c>
      <c r="BQ33" s="473" t="str">
        <f t="shared" si="19"/>
        <v/>
      </c>
      <c r="BR33" s="473" t="str">
        <f>IF($B33="","",IF($BI33="#1",BR$15,IF($BI33="#2",BR$17,VLOOKUP($H33,Table_9.6.1_2016[],IF(Compliance_Version_Year=2010,18,BR$18),FALSE))))</f>
        <v/>
      </c>
      <c r="BS33" s="473" t="str">
        <f t="shared" si="20"/>
        <v/>
      </c>
      <c r="BT33" s="473" t="str">
        <f>IF($B33="","",IF($BI33="#1",BT$15,IF($BI33="#2",BT$16,VLOOKUP($H33,Table_9.6.1_2016[],IF(Compliance_Version_Year=2010,18,BT$18),FALSE))))</f>
        <v/>
      </c>
      <c r="BU33" s="473" t="str">
        <f t="shared" si="21"/>
        <v/>
      </c>
      <c r="BV33" s="473" t="str">
        <f>IF($B33="","",IF($BI33="#1",BV$15,IF($BI33="#2",BV$16,VLOOKUP($H33,Table_9.6.1_2016[],IF(Compliance_Version_Year=2010,18,BV$18),FALSE))))</f>
        <v/>
      </c>
      <c r="BW33" s="473" t="str">
        <f t="shared" si="22"/>
        <v/>
      </c>
      <c r="BX33" s="473" t="str">
        <f>IF($B33="","",VLOOKUP($H33,Table_9.6.1_2016[],IF(Compliance_Version_Year=2010,18,BX$18),FALSE))</f>
        <v/>
      </c>
      <c r="BY33" s="473" t="str">
        <f t="shared" si="23"/>
        <v/>
      </c>
      <c r="BZ33" s="473" t="str">
        <f>IF($B33="","",IF($BI33="#1",BZ$15,VLOOKUP($H33,Table_9.6.1_2016[],IF(Compliance_Version_Year=2010,18,BZ$18),FALSE)))</f>
        <v/>
      </c>
      <c r="CA33" s="473" t="str">
        <f t="shared" si="24"/>
        <v/>
      </c>
      <c r="CB33" s="473" t="str">
        <f>IF($B33="","",IF($BI33="#1",CB$15,IF($BI33="#2",CB$16,VLOOKUP($H33,Table_9.6.1_2016[],IF(Compliance_Version_Year=2010,18,CB$18),FALSE))))</f>
        <v/>
      </c>
      <c r="CC33" s="473" t="str">
        <f t="shared" si="25"/>
        <v/>
      </c>
      <c r="CD33" s="473" t="str">
        <f>IF($B33="","",IF($BI33="#1",CD$15,IF($BI33="#2",CD$16,VLOOKUP($H33,Table_9.6.1_2016[],IF(Compliance_Version_Year=2010,18,CD$18),FALSE))))</f>
        <v/>
      </c>
      <c r="CE33" s="473" t="str">
        <f t="shared" ref="CE33" si="35">IF(OR(CD33="ADD2",CD33="REQ"),"9.4.1.2c, ","")</f>
        <v/>
      </c>
      <c r="CF33" s="473" t="str">
        <f>IF($B33="","",IF($BI33="#1",CF$15,IF($BI33="#2",CF$16,VLOOKUP($H33,Table_9.6.1_2016[],IF(Compliance_Version_Year=2010,18,CF$18),FALSE))))</f>
        <v/>
      </c>
      <c r="CG33" s="473" t="str">
        <f t="shared" si="32"/>
        <v/>
      </c>
      <c r="CH33" s="473" t="str">
        <f>IF($B33="","",IF($BI33="#1",CH$15,IF($BI33="#2",CH$16,VLOOKUP($H33,Table_9.6.1_2016[],IF(Compliance_Version_Year=2010,18,CH$18),FALSE))))</f>
        <v/>
      </c>
      <c r="CI33" s="473" t="str">
        <f t="shared" si="34"/>
        <v/>
      </c>
      <c r="CL33" s="43" t="str">
        <f t="shared" si="10"/>
        <v/>
      </c>
      <c r="CM33" s="43" t="str">
        <f t="shared" si="11"/>
        <v/>
      </c>
      <c r="CR33" s="42" t="str">
        <f t="shared" si="27"/>
        <v/>
      </c>
      <c r="CS33" s="42" t="str">
        <f>'SpxSp Compliance Details'!I29</f>
        <v/>
      </c>
    </row>
    <row r="34" spans="1:97" x14ac:dyDescent="0.25">
      <c r="A34" s="5">
        <v>13</v>
      </c>
      <c r="B34" s="1627" t="str">
        <f>'Int Room Schedule'!Z28</f>
        <v/>
      </c>
      <c r="C34" s="1628"/>
      <c r="D34" s="1628"/>
      <c r="E34" s="1628"/>
      <c r="F34" s="1367"/>
      <c r="G34" s="321"/>
      <c r="H34" s="472" t="str">
        <f>'Int Room Schedule'!AA28</f>
        <v/>
      </c>
      <c r="I34" s="466" t="str">
        <f t="shared" si="1"/>
        <v/>
      </c>
      <c r="J34" s="655" t="str">
        <f ca="1">IF($B34&lt;&gt;"",VLOOKUP($AN34,INDIRECT('9.6 Table'!$P$338),2,FALSE)," ")</f>
        <v xml:space="preserve"> </v>
      </c>
      <c r="K34" s="948" t="str">
        <f ca="1">IF($B34&lt;&gt;"",VLOOKUP($AN34,INDIRECT('9.6 Table'!$P$338),3,FALSE)," ")</f>
        <v xml:space="preserve"> </v>
      </c>
      <c r="L34" s="484"/>
      <c r="M34" s="362">
        <f t="shared" ca="1" si="29"/>
        <v>1</v>
      </c>
      <c r="N34" s="464">
        <f t="shared" si="3"/>
        <v>0</v>
      </c>
      <c r="O34" s="166">
        <f ca="1">IFERROR(IF(SUMIF('SpxSp (step-b)'!B$26:F$75,'SpxSp (step-a)'!B34,'SpxSp (step-b)'!L$26:L$75)&gt;0,N34,0),0)</f>
        <v>0</v>
      </c>
      <c r="P34" s="486"/>
      <c r="Q34" s="487"/>
      <c r="R34" s="1074">
        <f t="shared" si="12"/>
        <v>0</v>
      </c>
      <c r="S34" s="486"/>
      <c r="T34" s="487"/>
      <c r="U34" s="487"/>
      <c r="V34" s="328" t="str">
        <f t="shared" si="4"/>
        <v/>
      </c>
      <c r="W34" s="1631">
        <f ca="1">SUMIFS('SpxSp (step-b)'!AZ38:AZ87,'SpxSp (step-b)'!AX$26:AX$75,AB34)</f>
        <v>0</v>
      </c>
      <c r="X34" s="1632"/>
      <c r="Y34" s="244"/>
      <c r="Z34" s="244">
        <f>IF(B34="",0,COUNTIF('SpxSp (step-b)'!B38:F80,B34))</f>
        <v>0</v>
      </c>
      <c r="AB34" s="737" t="str">
        <f ca="1">IF(OR($B34="",O34=0),"",VLOOKUP($AN34,INDIRECT('9.6 Table'!$P$338),17,FALSE))</f>
        <v/>
      </c>
      <c r="AC34" s="326"/>
      <c r="AD34" s="326"/>
      <c r="AE34" s="326"/>
      <c r="AF34" s="326"/>
      <c r="AG34" s="326"/>
      <c r="AH34" s="326"/>
      <c r="AI34" s="326"/>
      <c r="AJ34" s="326"/>
      <c r="AK34" s="326"/>
      <c r="AL34" s="326"/>
      <c r="AM34" s="231">
        <f>'Int Room Schedule'!U28</f>
        <v>0</v>
      </c>
      <c r="AN34" s="78" t="str">
        <f t="shared" si="5"/>
        <v/>
      </c>
      <c r="AO34" s="78"/>
      <c r="AP34" s="78"/>
      <c r="AQ34" s="78"/>
      <c r="AR34" s="43" t="str">
        <f t="shared" si="0"/>
        <v/>
      </c>
      <c r="AX34" s="43" t="str">
        <f t="shared" si="6"/>
        <v/>
      </c>
      <c r="AY34" s="326" t="str">
        <f t="shared" si="30"/>
        <v/>
      </c>
      <c r="AZ34" s="194" t="e">
        <f t="array" ref="AZ34">IF(ROWS(AX$22:AX34)&gt;COUNTA($AX$22:$AX$71),"",INDEX($AX$22:$AX$71,SMALL(IF($AX$22:$AX$71&lt;&gt;"",ROW($AX$22:$AX$71)-ROW($AX$22)+1),ROWS($AX$22:AX34))))</f>
        <v>#NUM!</v>
      </c>
      <c r="BA34" s="730" t="str">
        <f t="shared" si="13"/>
        <v/>
      </c>
      <c r="BB34" s="326" t="str">
        <f>IF(BA34="","",SUMIF('SpxSp (step-c)'!B$18:E$67,AZ34,'SpxSp (step-c)'!T$18:T$67))</f>
        <v/>
      </c>
      <c r="BC34" s="326">
        <f t="shared" si="33"/>
        <v>0</v>
      </c>
      <c r="BE34" s="43" t="str">
        <f t="shared" si="7"/>
        <v/>
      </c>
      <c r="BF34" s="326" t="str">
        <f t="shared" si="31"/>
        <v/>
      </c>
      <c r="BG34" s="194" t="e">
        <f t="array" ref="BG34">IF(ROWS(BE$22:BE34)&gt;COUNTA($BE$22:$BE$71),"",INDEX($BE$22:$BE$71,SMALL(IF($BE$22:$BE$71&lt;&gt;"",ROW($BE$22:$BE$71)-ROW($BE$22)+1),ROWS($BE$22:BE34))))</f>
        <v>#NUM!</v>
      </c>
      <c r="BI34" s="480" t="str">
        <f>IF(B34="","",VLOOKUP(B34,'SpxSp Compliance Details'!$Z$18:$BK$67,36,FALSE))</f>
        <v/>
      </c>
      <c r="BJ34" s="473" t="str">
        <f>IF($B34="","",VLOOKUP($H34,Table_9.6.1_2016[],IF(Compliance_Version_Year=2010,18,BJ$18),FALSE))</f>
        <v/>
      </c>
      <c r="BK34" s="473" t="str">
        <f t="shared" si="16"/>
        <v/>
      </c>
      <c r="BL34" s="473" t="str">
        <f>IF($B34="","",VLOOKUP($H34,Table_9.6.1_2016[],IF(Compliance_Version_Year=2010,18,BL$18),FALSE))</f>
        <v/>
      </c>
      <c r="BM34" s="473" t="str">
        <f t="shared" si="17"/>
        <v/>
      </c>
      <c r="BN34" s="473" t="str">
        <f>IF($B34="","",IF($BI34="#1",BN$15,IF($BI34="#2",BN$16,VLOOKUP($H34,Table_9.6.1_2016[],IF(Compliance_Version_Year=2010,18,BN$18),FALSE))))</f>
        <v/>
      </c>
      <c r="BO34" s="473" t="str">
        <f t="shared" si="18"/>
        <v/>
      </c>
      <c r="BP34" s="473" t="str">
        <f>IF($B34="","",IF($BI34="#1",BP$15,IF($BI34="#2",BP$16,VLOOKUP($H34,Table_9.6.1_2016[],IF(Compliance_Version_Year=2010,18,BP$18),FALSE))))</f>
        <v/>
      </c>
      <c r="BQ34" s="473" t="str">
        <f t="shared" si="19"/>
        <v/>
      </c>
      <c r="BR34" s="473" t="str">
        <f>IF($B34="","",IF($BI34="#1",BR$15,IF($BI34="#2",BR$17,VLOOKUP($H34,Table_9.6.1_2016[],IF(Compliance_Version_Year=2010,18,BR$18),FALSE))))</f>
        <v/>
      </c>
      <c r="BS34" s="473" t="str">
        <f t="shared" si="20"/>
        <v/>
      </c>
      <c r="BT34" s="473" t="str">
        <f>IF($B34="","",IF($BI34="#1",BT$15,IF($BI34="#2",BT$16,VLOOKUP($H34,Table_9.6.1_2016[],IF(Compliance_Version_Year=2010,18,BT$18),FALSE))))</f>
        <v/>
      </c>
      <c r="BU34" s="473" t="str">
        <f t="shared" si="21"/>
        <v/>
      </c>
      <c r="BV34" s="473" t="str">
        <f>IF($B34="","",IF($BI34="#1",BV$15,IF($BI34="#2",BV$16,VLOOKUP($H34,Table_9.6.1_2016[],IF(Compliance_Version_Year=2010,18,BV$18),FALSE))))</f>
        <v/>
      </c>
      <c r="BW34" s="473" t="str">
        <f t="shared" si="22"/>
        <v/>
      </c>
      <c r="BX34" s="473" t="str">
        <f>IF($B34="","",VLOOKUP($H34,Table_9.6.1_2016[],IF(Compliance_Version_Year=2010,18,BX$18),FALSE))</f>
        <v/>
      </c>
      <c r="BY34" s="473" t="str">
        <f t="shared" si="23"/>
        <v/>
      </c>
      <c r="BZ34" s="473" t="str">
        <f>IF($B34="","",IF($BI34="#1",BZ$15,VLOOKUP($H34,Table_9.6.1_2016[],IF(Compliance_Version_Year=2010,18,BZ$18),FALSE)))</f>
        <v/>
      </c>
      <c r="CA34" s="473" t="str">
        <f t="shared" si="24"/>
        <v/>
      </c>
      <c r="CB34" s="473" t="str">
        <f>IF($B34="","",IF($BI34="#1",CB$15,IF($BI34="#2",CB$16,VLOOKUP($H34,Table_9.6.1_2016[],IF(Compliance_Version_Year=2010,18,CB$18),FALSE))))</f>
        <v/>
      </c>
      <c r="CC34" s="473" t="str">
        <f t="shared" si="25"/>
        <v/>
      </c>
      <c r="CD34" s="473" t="str">
        <f>IF($B34="","",IF($BI34="#1",CD$15,IF($BI34="#2",CD$16,VLOOKUP($H34,Table_9.6.1_2016[],IF(Compliance_Version_Year=2010,18,CD$18),FALSE))))</f>
        <v/>
      </c>
      <c r="CE34" s="473" t="str">
        <f t="shared" ref="CE34" si="36">IF(OR(CD34="ADD2",CD34="REQ"),"9.4.1.2c, ","")</f>
        <v/>
      </c>
      <c r="CF34" s="473" t="str">
        <f>IF($B34="","",IF($BI34="#1",CF$15,IF($BI34="#2",CF$16,VLOOKUP($H34,Table_9.6.1_2016[],IF(Compliance_Version_Year=2010,18,CF$18),FALSE))))</f>
        <v/>
      </c>
      <c r="CG34" s="473" t="str">
        <f t="shared" si="32"/>
        <v/>
      </c>
      <c r="CH34" s="473" t="str">
        <f>IF($B34="","",IF($BI34="#1",CH$15,IF($BI34="#2",CH$16,VLOOKUP($H34,Table_9.6.1_2016[],IF(Compliance_Version_Year=2010,18,CH$18),FALSE))))</f>
        <v/>
      </c>
      <c r="CI34" s="473" t="str">
        <f t="shared" si="34"/>
        <v/>
      </c>
      <c r="CL34" s="43" t="str">
        <f t="shared" si="10"/>
        <v/>
      </c>
      <c r="CM34" s="43" t="str">
        <f t="shared" si="11"/>
        <v/>
      </c>
      <c r="CR34" s="42" t="str">
        <f t="shared" si="27"/>
        <v/>
      </c>
      <c r="CS34" s="42" t="str">
        <f>'SpxSp Compliance Details'!I30</f>
        <v/>
      </c>
    </row>
    <row r="35" spans="1:97" x14ac:dyDescent="0.25">
      <c r="A35" s="5">
        <v>14</v>
      </c>
      <c r="B35" s="1627" t="str">
        <f>'Int Room Schedule'!Z29</f>
        <v/>
      </c>
      <c r="C35" s="1628"/>
      <c r="D35" s="1628"/>
      <c r="E35" s="1628"/>
      <c r="F35" s="1367"/>
      <c r="G35" s="321"/>
      <c r="H35" s="472" t="str">
        <f>'Int Room Schedule'!AA29</f>
        <v/>
      </c>
      <c r="I35" s="466" t="str">
        <f t="shared" si="1"/>
        <v/>
      </c>
      <c r="J35" s="655" t="str">
        <f ca="1">IF($B35&lt;&gt;"",VLOOKUP($AN35,INDIRECT('9.6 Table'!$P$338),2,FALSE)," ")</f>
        <v xml:space="preserve"> </v>
      </c>
      <c r="K35" s="948" t="str">
        <f ca="1">IF($B35&lt;&gt;"",VLOOKUP($AN35,INDIRECT('9.6 Table'!$P$338),3,FALSE)," ")</f>
        <v xml:space="preserve"> </v>
      </c>
      <c r="L35" s="484"/>
      <c r="M35" s="362">
        <f t="shared" ca="1" si="29"/>
        <v>1</v>
      </c>
      <c r="N35" s="464">
        <f t="shared" si="3"/>
        <v>0</v>
      </c>
      <c r="O35" s="166">
        <f ca="1">IFERROR(IF(SUMIF('SpxSp (step-b)'!B$26:F$75,'SpxSp (step-a)'!B35,'SpxSp (step-b)'!L$26:L$75)&gt;0,N35,0),0)</f>
        <v>0</v>
      </c>
      <c r="P35" s="486"/>
      <c r="Q35" s="487"/>
      <c r="R35" s="1074">
        <f t="shared" si="12"/>
        <v>0</v>
      </c>
      <c r="S35" s="486"/>
      <c r="T35" s="487"/>
      <c r="U35" s="487"/>
      <c r="V35" s="328" t="str">
        <f t="shared" si="4"/>
        <v/>
      </c>
      <c r="W35" s="1631">
        <f ca="1">SUMIFS('SpxSp (step-b)'!AZ39:AZ88,'SpxSp (step-b)'!AX$26:AX$75,AB35)</f>
        <v>0</v>
      </c>
      <c r="X35" s="1632"/>
      <c r="Y35" s="244"/>
      <c r="Z35" s="244">
        <f>IF(B35="",0,COUNTIF('SpxSp (step-b)'!B39:F80,B35))</f>
        <v>0</v>
      </c>
      <c r="AB35" s="737" t="str">
        <f ca="1">IF(OR($B35="",O35=0),"",VLOOKUP($AN35,INDIRECT('9.6 Table'!$P$338),17,FALSE))</f>
        <v/>
      </c>
      <c r="AC35" s="326"/>
      <c r="AD35" s="326"/>
      <c r="AE35" s="326"/>
      <c r="AF35" s="326"/>
      <c r="AG35" s="326"/>
      <c r="AH35" s="326"/>
      <c r="AI35" s="326"/>
      <c r="AJ35" s="326"/>
      <c r="AK35" s="326"/>
      <c r="AL35" s="326"/>
      <c r="AM35" s="231">
        <f>'Int Room Schedule'!U29</f>
        <v>0</v>
      </c>
      <c r="AN35" s="78" t="str">
        <f t="shared" si="5"/>
        <v/>
      </c>
      <c r="AO35" s="78"/>
      <c r="AP35" s="78"/>
      <c r="AQ35" s="78"/>
      <c r="AR35" s="43" t="str">
        <f t="shared" si="0"/>
        <v/>
      </c>
      <c r="AX35" s="43" t="str">
        <f t="shared" si="6"/>
        <v/>
      </c>
      <c r="AY35" s="326" t="str">
        <f t="shared" si="30"/>
        <v/>
      </c>
      <c r="AZ35" s="194" t="e">
        <f t="array" ref="AZ35">IF(ROWS(AX$22:AX35)&gt;COUNTA($AX$22:$AX$71),"",INDEX($AX$22:$AX$71,SMALL(IF($AX$22:$AX$71&lt;&gt;"",ROW($AX$22:$AX$71)-ROW($AX$22)+1),ROWS($AX$22:AX35))))</f>
        <v>#NUM!</v>
      </c>
      <c r="BA35" s="730" t="str">
        <f t="shared" si="13"/>
        <v/>
      </c>
      <c r="BB35" s="326" t="str">
        <f>IF(BA35="","",SUMIF('SpxSp (step-c)'!B$18:E$67,AZ35,'SpxSp (step-c)'!T$18:T$67))</f>
        <v/>
      </c>
      <c r="BC35" s="326">
        <f t="shared" si="33"/>
        <v>0</v>
      </c>
      <c r="BE35" s="43" t="str">
        <f t="shared" si="7"/>
        <v/>
      </c>
      <c r="BF35" s="326" t="str">
        <f t="shared" si="31"/>
        <v/>
      </c>
      <c r="BG35" s="194" t="e">
        <f t="array" ref="BG35">IF(ROWS(BE$22:BE35)&gt;COUNTA($BE$22:$BE$71),"",INDEX($BE$22:$BE$71,SMALL(IF($BE$22:$BE$71&lt;&gt;"",ROW($BE$22:$BE$71)-ROW($BE$22)+1),ROWS($BE$22:BE35))))</f>
        <v>#NUM!</v>
      </c>
      <c r="BI35" s="480" t="str">
        <f>IF(B35="","",VLOOKUP(B35,'SpxSp Compliance Details'!$Z$18:$BK$67,36,FALSE))</f>
        <v/>
      </c>
      <c r="BJ35" s="473" t="str">
        <f>IF($B35="","",VLOOKUP($H35,Table_9.6.1_2016[],IF(Compliance_Version_Year=2010,18,BJ$18),FALSE))</f>
        <v/>
      </c>
      <c r="BK35" s="473" t="str">
        <f t="shared" si="16"/>
        <v/>
      </c>
      <c r="BL35" s="473" t="str">
        <f>IF($B35="","",VLOOKUP($H35,Table_9.6.1_2016[],IF(Compliance_Version_Year=2010,18,BL$18),FALSE))</f>
        <v/>
      </c>
      <c r="BM35" s="473" t="str">
        <f t="shared" si="17"/>
        <v/>
      </c>
      <c r="BN35" s="473" t="str">
        <f>IF($B35="","",IF($BI35="#1",BN$15,IF($BI35="#2",BN$16,VLOOKUP($H35,Table_9.6.1_2016[],IF(Compliance_Version_Year=2010,18,BN$18),FALSE))))</f>
        <v/>
      </c>
      <c r="BO35" s="473" t="str">
        <f t="shared" si="18"/>
        <v/>
      </c>
      <c r="BP35" s="473" t="str">
        <f>IF($B35="","",IF($BI35="#1",BP$15,IF($BI35="#2",BP$16,VLOOKUP($H35,Table_9.6.1_2016[],IF(Compliance_Version_Year=2010,18,BP$18),FALSE))))</f>
        <v/>
      </c>
      <c r="BQ35" s="473" t="str">
        <f t="shared" si="19"/>
        <v/>
      </c>
      <c r="BR35" s="473" t="str">
        <f>IF($B35="","",IF($BI35="#1",BR$15,IF($BI35="#2",BR$17,VLOOKUP($H35,Table_9.6.1_2016[],IF(Compliance_Version_Year=2010,18,BR$18),FALSE))))</f>
        <v/>
      </c>
      <c r="BS35" s="473" t="str">
        <f t="shared" si="20"/>
        <v/>
      </c>
      <c r="BT35" s="473" t="str">
        <f>IF($B35="","",IF($BI35="#1",BT$15,IF($BI35="#2",BT$16,VLOOKUP($H35,Table_9.6.1_2016[],IF(Compliance_Version_Year=2010,18,BT$18),FALSE))))</f>
        <v/>
      </c>
      <c r="BU35" s="473" t="str">
        <f t="shared" si="21"/>
        <v/>
      </c>
      <c r="BV35" s="473" t="str">
        <f>IF($B35="","",IF($BI35="#1",BV$15,IF($BI35="#2",BV$16,VLOOKUP($H35,Table_9.6.1_2016[],IF(Compliance_Version_Year=2010,18,BV$18),FALSE))))</f>
        <v/>
      </c>
      <c r="BW35" s="473" t="str">
        <f t="shared" si="22"/>
        <v/>
      </c>
      <c r="BX35" s="473" t="str">
        <f>IF($B35="","",VLOOKUP($H35,Table_9.6.1_2016[],IF(Compliance_Version_Year=2010,18,BX$18),FALSE))</f>
        <v/>
      </c>
      <c r="BY35" s="473" t="str">
        <f t="shared" si="23"/>
        <v/>
      </c>
      <c r="BZ35" s="473" t="str">
        <f>IF($B35="","",IF($BI35="#1",BZ$15,VLOOKUP($H35,Table_9.6.1_2016[],IF(Compliance_Version_Year=2010,18,BZ$18),FALSE)))</f>
        <v/>
      </c>
      <c r="CA35" s="473" t="str">
        <f t="shared" si="24"/>
        <v/>
      </c>
      <c r="CB35" s="473" t="str">
        <f>IF($B35="","",IF($BI35="#1",CB$15,IF($BI35="#2",CB$16,VLOOKUP($H35,Table_9.6.1_2016[],IF(Compliance_Version_Year=2010,18,CB$18),FALSE))))</f>
        <v/>
      </c>
      <c r="CC35" s="473" t="str">
        <f t="shared" si="25"/>
        <v/>
      </c>
      <c r="CD35" s="473" t="str">
        <f>IF($B35="","",IF($BI35="#1",CD$15,IF($BI35="#2",CD$16,VLOOKUP($H35,Table_9.6.1_2016[],IF(Compliance_Version_Year=2010,18,CD$18),FALSE))))</f>
        <v/>
      </c>
      <c r="CE35" s="473" t="str">
        <f t="shared" ref="CE35" si="37">IF(OR(CD35="ADD2",CD35="REQ"),"9.4.1.2c, ","")</f>
        <v/>
      </c>
      <c r="CF35" s="473" t="str">
        <f>IF($B35="","",IF($BI35="#1",CF$15,IF($BI35="#2",CF$16,VLOOKUP($H35,Table_9.6.1_2016[],IF(Compliance_Version_Year=2010,18,CF$18),FALSE))))</f>
        <v/>
      </c>
      <c r="CG35" s="473" t="str">
        <f t="shared" si="32"/>
        <v/>
      </c>
      <c r="CH35" s="473" t="str">
        <f>IF($B35="","",IF($BI35="#1",CH$15,IF($BI35="#2",CH$16,VLOOKUP($H35,Table_9.6.1_2016[],IF(Compliance_Version_Year=2010,18,CH$18),FALSE))))</f>
        <v/>
      </c>
      <c r="CI35" s="473" t="str">
        <f t="shared" si="34"/>
        <v/>
      </c>
      <c r="CL35" s="43" t="str">
        <f t="shared" si="10"/>
        <v/>
      </c>
      <c r="CM35" s="43" t="str">
        <f t="shared" si="11"/>
        <v/>
      </c>
      <c r="CR35" s="42" t="str">
        <f t="shared" si="27"/>
        <v/>
      </c>
      <c r="CS35" s="42" t="str">
        <f>'SpxSp Compliance Details'!I31</f>
        <v/>
      </c>
    </row>
    <row r="36" spans="1:97" x14ac:dyDescent="0.25">
      <c r="A36" s="5">
        <v>15</v>
      </c>
      <c r="B36" s="1627" t="str">
        <f>'Int Room Schedule'!Z30</f>
        <v/>
      </c>
      <c r="C36" s="1628"/>
      <c r="D36" s="1628"/>
      <c r="E36" s="1628"/>
      <c r="F36" s="1367"/>
      <c r="G36" s="321"/>
      <c r="H36" s="472" t="str">
        <f>'Int Room Schedule'!AA30</f>
        <v/>
      </c>
      <c r="I36" s="466" t="str">
        <f t="shared" si="1"/>
        <v/>
      </c>
      <c r="J36" s="655" t="str">
        <f ca="1">IF($B36&lt;&gt;"",VLOOKUP($AN36,INDIRECT('9.6 Table'!$P$338),2,FALSE)," ")</f>
        <v xml:space="preserve"> </v>
      </c>
      <c r="K36" s="948" t="str">
        <f ca="1">IF($B36&lt;&gt;"",VLOOKUP($AN36,INDIRECT('9.6 Table'!$P$338),3,FALSE)," ")</f>
        <v xml:space="preserve"> </v>
      </c>
      <c r="L36" s="484"/>
      <c r="M36" s="362">
        <f t="shared" ca="1" si="29"/>
        <v>1</v>
      </c>
      <c r="N36" s="464">
        <f t="shared" si="3"/>
        <v>0</v>
      </c>
      <c r="O36" s="166">
        <f ca="1">IFERROR(IF(SUMIF('SpxSp (step-b)'!B$26:F$75,'SpxSp (step-a)'!B36,'SpxSp (step-b)'!L$26:L$75)&gt;0,N36,0),0)</f>
        <v>0</v>
      </c>
      <c r="P36" s="486"/>
      <c r="Q36" s="487"/>
      <c r="R36" s="1074">
        <f t="shared" si="12"/>
        <v>0</v>
      </c>
      <c r="S36" s="486"/>
      <c r="T36" s="487"/>
      <c r="U36" s="487"/>
      <c r="V36" s="328" t="str">
        <f t="shared" si="4"/>
        <v/>
      </c>
      <c r="W36" s="1631">
        <f ca="1">SUMIFS('SpxSp (step-b)'!AZ40:AZ89,'SpxSp (step-b)'!AX$26:AX$75,AB36)</f>
        <v>0</v>
      </c>
      <c r="X36" s="1632"/>
      <c r="Y36" s="244"/>
      <c r="Z36" s="244">
        <f>IF(B36="",0,COUNTIF('SpxSp (step-b)'!B40:F80,B36))</f>
        <v>0</v>
      </c>
      <c r="AB36" s="737" t="str">
        <f ca="1">IF(OR($B36="",O36=0),"",VLOOKUP($AN36,INDIRECT('9.6 Table'!$P$338),17,FALSE))</f>
        <v/>
      </c>
      <c r="AC36" s="326"/>
      <c r="AD36" s="326"/>
      <c r="AE36" s="326"/>
      <c r="AF36" s="326"/>
      <c r="AG36" s="326"/>
      <c r="AH36" s="326"/>
      <c r="AI36" s="326"/>
      <c r="AJ36" s="326"/>
      <c r="AK36" s="326"/>
      <c r="AL36" s="326"/>
      <c r="AM36" s="231">
        <f>'Int Room Schedule'!U30</f>
        <v>0</v>
      </c>
      <c r="AN36" s="78" t="str">
        <f t="shared" si="5"/>
        <v/>
      </c>
      <c r="AO36" s="78"/>
      <c r="AP36" s="78"/>
      <c r="AQ36" s="78"/>
      <c r="AR36" s="43" t="str">
        <f t="shared" si="0"/>
        <v/>
      </c>
      <c r="AX36" s="43" t="str">
        <f t="shared" si="6"/>
        <v/>
      </c>
      <c r="AY36" s="326" t="str">
        <f t="shared" si="30"/>
        <v/>
      </c>
      <c r="AZ36" s="194" t="e">
        <f t="array" ref="AZ36">IF(ROWS(AX$22:AX36)&gt;COUNTA($AX$22:$AX$71),"",INDEX($AX$22:$AX$71,SMALL(IF($AX$22:$AX$71&lt;&gt;"",ROW($AX$22:$AX$71)-ROW($AX$22)+1),ROWS($AX$22:AX36))))</f>
        <v>#NUM!</v>
      </c>
      <c r="BA36" s="730" t="str">
        <f t="shared" si="13"/>
        <v/>
      </c>
      <c r="BB36" s="326" t="str">
        <f>IF(BA36="","",SUMIF('SpxSp (step-c)'!B$18:E$67,AZ36,'SpxSp (step-c)'!T$18:T$67))</f>
        <v/>
      </c>
      <c r="BC36" s="326">
        <f t="shared" si="33"/>
        <v>0</v>
      </c>
      <c r="BE36" s="43" t="str">
        <f t="shared" si="7"/>
        <v/>
      </c>
      <c r="BF36" s="326" t="str">
        <f t="shared" si="31"/>
        <v/>
      </c>
      <c r="BG36" s="194" t="e">
        <f t="array" ref="BG36">IF(ROWS(BE$22:BE36)&gt;COUNTA($BE$22:$BE$71),"",INDEX($BE$22:$BE$71,SMALL(IF($BE$22:$BE$71&lt;&gt;"",ROW($BE$22:$BE$71)-ROW($BE$22)+1),ROWS($BE$22:BE36))))</f>
        <v>#NUM!</v>
      </c>
      <c r="BI36" s="480" t="str">
        <f>IF(B36="","",VLOOKUP(B36,'SpxSp Compliance Details'!$Z$18:$BK$67,36,FALSE))</f>
        <v/>
      </c>
      <c r="BJ36" s="473" t="str">
        <f>IF($B36="","",VLOOKUP($H36,Table_9.6.1_2016[],IF(Compliance_Version_Year=2010,18,BJ$18),FALSE))</f>
        <v/>
      </c>
      <c r="BK36" s="473" t="str">
        <f t="shared" si="16"/>
        <v/>
      </c>
      <c r="BL36" s="473" t="str">
        <f>IF($B36="","",VLOOKUP($H36,Table_9.6.1_2016[],IF(Compliance_Version_Year=2010,18,BL$18),FALSE))</f>
        <v/>
      </c>
      <c r="BM36" s="473" t="str">
        <f t="shared" si="17"/>
        <v/>
      </c>
      <c r="BN36" s="473" t="str">
        <f>IF($B36="","",IF($BI36="#1",BN$15,IF($BI36="#2",BN$16,VLOOKUP($H36,Table_9.6.1_2016[],IF(Compliance_Version_Year=2010,18,BN$18),FALSE))))</f>
        <v/>
      </c>
      <c r="BO36" s="473" t="str">
        <f t="shared" si="18"/>
        <v/>
      </c>
      <c r="BP36" s="473" t="str">
        <f>IF($B36="","",IF($BI36="#1",BP$15,IF($BI36="#2",BP$16,VLOOKUP($H36,Table_9.6.1_2016[],IF(Compliance_Version_Year=2010,18,BP$18),FALSE))))</f>
        <v/>
      </c>
      <c r="BQ36" s="473" t="str">
        <f t="shared" si="19"/>
        <v/>
      </c>
      <c r="BR36" s="473" t="str">
        <f>IF($B36="","",IF($BI36="#1",BR$15,IF($BI36="#2",BR$17,VLOOKUP($H36,Table_9.6.1_2016[],IF(Compliance_Version_Year=2010,18,BR$18),FALSE))))</f>
        <v/>
      </c>
      <c r="BS36" s="473" t="str">
        <f t="shared" si="20"/>
        <v/>
      </c>
      <c r="BT36" s="473" t="str">
        <f>IF($B36="","",IF($BI36="#1",BT$15,IF($BI36="#2",BT$16,VLOOKUP($H36,Table_9.6.1_2016[],IF(Compliance_Version_Year=2010,18,BT$18),FALSE))))</f>
        <v/>
      </c>
      <c r="BU36" s="473" t="str">
        <f t="shared" si="21"/>
        <v/>
      </c>
      <c r="BV36" s="473" t="str">
        <f>IF($B36="","",IF($BI36="#1",BV$15,IF($BI36="#2",BV$16,VLOOKUP($H36,Table_9.6.1_2016[],IF(Compliance_Version_Year=2010,18,BV$18),FALSE))))</f>
        <v/>
      </c>
      <c r="BW36" s="473" t="str">
        <f t="shared" si="22"/>
        <v/>
      </c>
      <c r="BX36" s="473" t="str">
        <f>IF($B36="","",VLOOKUP($H36,Table_9.6.1_2016[],IF(Compliance_Version_Year=2010,18,BX$18),FALSE))</f>
        <v/>
      </c>
      <c r="BY36" s="473" t="str">
        <f t="shared" si="23"/>
        <v/>
      </c>
      <c r="BZ36" s="473" t="str">
        <f>IF($B36="","",IF($BI36="#1",BZ$15,VLOOKUP($H36,Table_9.6.1_2016[],IF(Compliance_Version_Year=2010,18,BZ$18),FALSE)))</f>
        <v/>
      </c>
      <c r="CA36" s="473" t="str">
        <f t="shared" si="24"/>
        <v/>
      </c>
      <c r="CB36" s="473" t="str">
        <f>IF($B36="","",IF($BI36="#1",CB$15,IF($BI36="#2",CB$16,VLOOKUP($H36,Table_9.6.1_2016[],IF(Compliance_Version_Year=2010,18,CB$18),FALSE))))</f>
        <v/>
      </c>
      <c r="CC36" s="473" t="str">
        <f t="shared" si="25"/>
        <v/>
      </c>
      <c r="CD36" s="473" t="str">
        <f>IF($B36="","",IF($BI36="#1",CD$15,IF($BI36="#2",CD$16,VLOOKUP($H36,Table_9.6.1_2016[],IF(Compliance_Version_Year=2010,18,CD$18),FALSE))))</f>
        <v/>
      </c>
      <c r="CE36" s="473" t="str">
        <f t="shared" ref="CE36" si="38">IF(OR(CD36="ADD2",CD36="REQ"),"9.4.1.2c, ","")</f>
        <v/>
      </c>
      <c r="CF36" s="473" t="str">
        <f>IF($B36="","",IF($BI36="#1",CF$15,IF($BI36="#2",CF$16,VLOOKUP($H36,Table_9.6.1_2016[],IF(Compliance_Version_Year=2010,18,CF$18),FALSE))))</f>
        <v/>
      </c>
      <c r="CG36" s="473" t="str">
        <f t="shared" si="32"/>
        <v/>
      </c>
      <c r="CH36" s="473" t="str">
        <f>IF($B36="","",IF($BI36="#1",CH$15,IF($BI36="#2",CH$16,VLOOKUP($H36,Table_9.6.1_2016[],IF(Compliance_Version_Year=2010,18,CH$18),FALSE))))</f>
        <v/>
      </c>
      <c r="CI36" s="473" t="str">
        <f t="shared" si="34"/>
        <v/>
      </c>
      <c r="CL36" s="43" t="str">
        <f t="shared" si="10"/>
        <v/>
      </c>
      <c r="CM36" s="43" t="str">
        <f t="shared" si="11"/>
        <v/>
      </c>
      <c r="CR36" s="42" t="str">
        <f t="shared" si="27"/>
        <v/>
      </c>
      <c r="CS36" s="42" t="str">
        <f>'SpxSp Compliance Details'!I32</f>
        <v/>
      </c>
    </row>
    <row r="37" spans="1:97" x14ac:dyDescent="0.25">
      <c r="A37" s="5">
        <v>16</v>
      </c>
      <c r="B37" s="1627" t="str">
        <f>'Int Room Schedule'!Z31</f>
        <v/>
      </c>
      <c r="C37" s="1628"/>
      <c r="D37" s="1628"/>
      <c r="E37" s="1628"/>
      <c r="F37" s="1367"/>
      <c r="G37" s="321"/>
      <c r="H37" s="472" t="str">
        <f>'Int Room Schedule'!AA31</f>
        <v/>
      </c>
      <c r="I37" s="466" t="str">
        <f t="shared" si="1"/>
        <v/>
      </c>
      <c r="J37" s="655" t="str">
        <f ca="1">IF($B37&lt;&gt;"",VLOOKUP($AN37,INDIRECT('9.6 Table'!$P$338),2,FALSE)," ")</f>
        <v xml:space="preserve"> </v>
      </c>
      <c r="K37" s="948" t="str">
        <f ca="1">IF($B37&lt;&gt;"",VLOOKUP($AN37,INDIRECT('9.6 Table'!$P$338),3,FALSE)," ")</f>
        <v xml:space="preserve"> </v>
      </c>
      <c r="L37" s="484"/>
      <c r="M37" s="362">
        <f t="shared" ca="1" si="29"/>
        <v>1</v>
      </c>
      <c r="N37" s="464">
        <f t="shared" si="3"/>
        <v>0</v>
      </c>
      <c r="O37" s="166">
        <f ca="1">IFERROR(IF(SUMIF('SpxSp (step-b)'!B$26:F$75,'SpxSp (step-a)'!B37,'SpxSp (step-b)'!L$26:L$75)&gt;0,N37,0),0)</f>
        <v>0</v>
      </c>
      <c r="P37" s="486"/>
      <c r="Q37" s="487"/>
      <c r="R37" s="1074">
        <f t="shared" si="12"/>
        <v>0</v>
      </c>
      <c r="S37" s="486"/>
      <c r="T37" s="487"/>
      <c r="U37" s="487"/>
      <c r="V37" s="328" t="str">
        <f t="shared" si="4"/>
        <v/>
      </c>
      <c r="W37" s="1631">
        <f ca="1">SUMIFS('SpxSp (step-b)'!AZ41:AZ90,'SpxSp (step-b)'!AX$26:AX$75,AB37)</f>
        <v>0</v>
      </c>
      <c r="X37" s="1632"/>
      <c r="Y37" s="244"/>
      <c r="Z37" s="244">
        <f>IF(B37="",0,COUNTIF('SpxSp (step-b)'!B41:F80,B37))</f>
        <v>0</v>
      </c>
      <c r="AB37" s="737" t="str">
        <f ca="1">IF(OR($B37="",O37=0),"",VLOOKUP($AN37,INDIRECT('9.6 Table'!$P$338),17,FALSE))</f>
        <v/>
      </c>
      <c r="AC37" s="326"/>
      <c r="AD37" s="326"/>
      <c r="AE37" s="326"/>
      <c r="AF37" s="326"/>
      <c r="AG37" s="326"/>
      <c r="AH37" s="326"/>
      <c r="AI37" s="326"/>
      <c r="AJ37" s="326"/>
      <c r="AK37" s="326"/>
      <c r="AL37" s="326"/>
      <c r="AM37" s="231">
        <f>'Int Room Schedule'!U31</f>
        <v>0</v>
      </c>
      <c r="AN37" s="78" t="str">
        <f t="shared" si="5"/>
        <v/>
      </c>
      <c r="AO37" s="78"/>
      <c r="AP37" s="78"/>
      <c r="AQ37" s="78"/>
      <c r="AR37" s="43" t="str">
        <f t="shared" si="0"/>
        <v/>
      </c>
      <c r="AX37" s="43" t="str">
        <f t="shared" si="6"/>
        <v/>
      </c>
      <c r="AY37" s="326" t="str">
        <f t="shared" si="30"/>
        <v/>
      </c>
      <c r="AZ37" s="194" t="e">
        <f t="array" ref="AZ37">IF(ROWS(AX$22:AX37)&gt;COUNTA($AX$22:$AX$71),"",INDEX($AX$22:$AX$71,SMALL(IF($AX$22:$AX$71&lt;&gt;"",ROW($AX$22:$AX$71)-ROW($AX$22)+1),ROWS($AX$22:AX37))))</f>
        <v>#NUM!</v>
      </c>
      <c r="BA37" s="730" t="str">
        <f t="shared" si="13"/>
        <v/>
      </c>
      <c r="BB37" s="326" t="str">
        <f>IF(BA37="","",SUMIF('SpxSp (step-c)'!B$18:E$67,AZ37,'SpxSp (step-c)'!T$18:T$67))</f>
        <v/>
      </c>
      <c r="BC37" s="326">
        <f t="shared" si="33"/>
        <v>0</v>
      </c>
      <c r="BE37" s="43" t="str">
        <f t="shared" si="7"/>
        <v/>
      </c>
      <c r="BF37" s="326" t="str">
        <f t="shared" si="31"/>
        <v/>
      </c>
      <c r="BG37" s="194" t="e">
        <f t="array" ref="BG37">IF(ROWS(BE$22:BE37)&gt;COUNTA($BE$22:$BE$71),"",INDEX($BE$22:$BE$71,SMALL(IF($BE$22:$BE$71&lt;&gt;"",ROW($BE$22:$BE$71)-ROW($BE$22)+1),ROWS($BE$22:BE37))))</f>
        <v>#NUM!</v>
      </c>
      <c r="BI37" s="480" t="str">
        <f>IF(B37="","",VLOOKUP(B37,'SpxSp Compliance Details'!$Z$18:$BK$67,36,FALSE))</f>
        <v/>
      </c>
      <c r="BJ37" s="473" t="str">
        <f>IF($B37="","",VLOOKUP($H37,Table_9.6.1_2016[],IF(Compliance_Version_Year=2010,18,BJ$18),FALSE))</f>
        <v/>
      </c>
      <c r="BK37" s="473" t="str">
        <f t="shared" si="16"/>
        <v/>
      </c>
      <c r="BL37" s="473" t="str">
        <f>IF($B37="","",VLOOKUP($H37,Table_9.6.1_2016[],IF(Compliance_Version_Year=2010,18,BL$18),FALSE))</f>
        <v/>
      </c>
      <c r="BM37" s="473" t="str">
        <f t="shared" si="17"/>
        <v/>
      </c>
      <c r="BN37" s="473" t="str">
        <f>IF($B37="","",IF($BI37="#1",BN$15,IF($BI37="#2",BN$16,VLOOKUP($H37,Table_9.6.1_2016[],IF(Compliance_Version_Year=2010,18,BN$18),FALSE))))</f>
        <v/>
      </c>
      <c r="BO37" s="473" t="str">
        <f t="shared" si="18"/>
        <v/>
      </c>
      <c r="BP37" s="473" t="str">
        <f>IF($B37="","",IF($BI37="#1",BP$15,IF($BI37="#2",BP$16,VLOOKUP($H37,Table_9.6.1_2016[],IF(Compliance_Version_Year=2010,18,BP$18),FALSE))))</f>
        <v/>
      </c>
      <c r="BQ37" s="473" t="str">
        <f t="shared" si="19"/>
        <v/>
      </c>
      <c r="BR37" s="473" t="str">
        <f>IF($B37="","",IF($BI37="#1",BR$15,IF($BI37="#2",BR$17,VLOOKUP($H37,Table_9.6.1_2016[],IF(Compliance_Version_Year=2010,18,BR$18),FALSE))))</f>
        <v/>
      </c>
      <c r="BS37" s="473" t="str">
        <f t="shared" si="20"/>
        <v/>
      </c>
      <c r="BT37" s="473" t="str">
        <f>IF($B37="","",IF($BI37="#1",BT$15,IF($BI37="#2",BT$16,VLOOKUP($H37,Table_9.6.1_2016[],IF(Compliance_Version_Year=2010,18,BT$18),FALSE))))</f>
        <v/>
      </c>
      <c r="BU37" s="473" t="str">
        <f t="shared" si="21"/>
        <v/>
      </c>
      <c r="BV37" s="473" t="str">
        <f>IF($B37="","",IF($BI37="#1",BV$15,IF($BI37="#2",BV$16,VLOOKUP($H37,Table_9.6.1_2016[],IF(Compliance_Version_Year=2010,18,BV$18),FALSE))))</f>
        <v/>
      </c>
      <c r="BW37" s="473" t="str">
        <f t="shared" si="22"/>
        <v/>
      </c>
      <c r="BX37" s="473" t="str">
        <f>IF($B37="","",VLOOKUP($H37,Table_9.6.1_2016[],IF(Compliance_Version_Year=2010,18,BX$18),FALSE))</f>
        <v/>
      </c>
      <c r="BY37" s="473" t="str">
        <f t="shared" si="23"/>
        <v/>
      </c>
      <c r="BZ37" s="473" t="str">
        <f>IF($B37="","",IF($BI37="#1",BZ$15,VLOOKUP($H37,Table_9.6.1_2016[],IF(Compliance_Version_Year=2010,18,BZ$18),FALSE)))</f>
        <v/>
      </c>
      <c r="CA37" s="473" t="str">
        <f t="shared" si="24"/>
        <v/>
      </c>
      <c r="CB37" s="473" t="str">
        <f>IF($B37="","",IF($BI37="#1",CB$15,IF($BI37="#2",CB$16,VLOOKUP($H37,Table_9.6.1_2016[],IF(Compliance_Version_Year=2010,18,CB$18),FALSE))))</f>
        <v/>
      </c>
      <c r="CC37" s="473" t="str">
        <f t="shared" si="25"/>
        <v/>
      </c>
      <c r="CD37" s="473" t="str">
        <f>IF($B37="","",IF($BI37="#1",CD$15,IF($BI37="#2",CD$16,VLOOKUP($H37,Table_9.6.1_2016[],IF(Compliance_Version_Year=2010,18,CD$18),FALSE))))</f>
        <v/>
      </c>
      <c r="CE37" s="473" t="str">
        <f t="shared" ref="CE37" si="39">IF(OR(CD37="ADD2",CD37="REQ"),"9.4.1.2c, ","")</f>
        <v/>
      </c>
      <c r="CF37" s="473" t="str">
        <f>IF($B37="","",IF($BI37="#1",CF$15,IF($BI37="#2",CF$16,VLOOKUP($H37,Table_9.6.1_2016[],IF(Compliance_Version_Year=2010,18,CF$18),FALSE))))</f>
        <v/>
      </c>
      <c r="CG37" s="473" t="str">
        <f t="shared" si="32"/>
        <v/>
      </c>
      <c r="CH37" s="473" t="str">
        <f>IF($B37="","",IF($BI37="#1",CH$15,IF($BI37="#2",CH$16,VLOOKUP($H37,Table_9.6.1_2016[],IF(Compliance_Version_Year=2010,18,CH$18),FALSE))))</f>
        <v/>
      </c>
      <c r="CI37" s="473" t="str">
        <f t="shared" si="34"/>
        <v/>
      </c>
      <c r="CL37" s="43" t="str">
        <f t="shared" si="10"/>
        <v/>
      </c>
      <c r="CM37" s="43" t="str">
        <f t="shared" si="11"/>
        <v/>
      </c>
      <c r="CR37" s="42" t="str">
        <f t="shared" si="27"/>
        <v/>
      </c>
      <c r="CS37" s="42" t="str">
        <f>'SpxSp Compliance Details'!I33</f>
        <v/>
      </c>
    </row>
    <row r="38" spans="1:97" x14ac:dyDescent="0.25">
      <c r="A38" s="5">
        <v>17</v>
      </c>
      <c r="B38" s="1627" t="str">
        <f>'Int Room Schedule'!Z32</f>
        <v/>
      </c>
      <c r="C38" s="1628"/>
      <c r="D38" s="1628"/>
      <c r="E38" s="1628"/>
      <c r="F38" s="1367"/>
      <c r="G38" s="321"/>
      <c r="H38" s="472" t="str">
        <f>'Int Room Schedule'!AA32</f>
        <v/>
      </c>
      <c r="I38" s="466" t="str">
        <f t="shared" si="1"/>
        <v/>
      </c>
      <c r="J38" s="655" t="str">
        <f ca="1">IF($B38&lt;&gt;"",VLOOKUP($AN38,INDIRECT('9.6 Table'!$P$338),2,FALSE)," ")</f>
        <v xml:space="preserve"> </v>
      </c>
      <c r="K38" s="948" t="str">
        <f ca="1">IF($B38&lt;&gt;"",VLOOKUP($AN38,INDIRECT('9.6 Table'!$P$338),3,FALSE)," ")</f>
        <v xml:space="preserve"> </v>
      </c>
      <c r="L38" s="484"/>
      <c r="M38" s="362">
        <f t="shared" ca="1" si="29"/>
        <v>1</v>
      </c>
      <c r="N38" s="464">
        <f t="shared" si="3"/>
        <v>0</v>
      </c>
      <c r="O38" s="166">
        <f ca="1">IFERROR(IF(SUMIF('SpxSp (step-b)'!B$26:F$75,'SpxSp (step-a)'!B38,'SpxSp (step-b)'!L$26:L$75)&gt;0,N38,0),0)</f>
        <v>0</v>
      </c>
      <c r="P38" s="486"/>
      <c r="Q38" s="487"/>
      <c r="R38" s="1074">
        <f t="shared" si="12"/>
        <v>0</v>
      </c>
      <c r="S38" s="486"/>
      <c r="T38" s="487"/>
      <c r="U38" s="487"/>
      <c r="V38" s="328" t="str">
        <f t="shared" si="4"/>
        <v/>
      </c>
      <c r="W38" s="1631">
        <f ca="1">SUMIFS('SpxSp (step-b)'!AZ42:AZ91,'SpxSp (step-b)'!AX$26:AX$75,AB38)</f>
        <v>0</v>
      </c>
      <c r="X38" s="1632"/>
      <c r="Y38" s="244"/>
      <c r="Z38" s="244">
        <f>IF(B38="",0,COUNTIF('SpxSp (step-b)'!B42:F80,B38))</f>
        <v>0</v>
      </c>
      <c r="AB38" s="737" t="str">
        <f ca="1">IF(OR($B38="",O38=0),"",VLOOKUP($AN38,INDIRECT('9.6 Table'!$P$338),17,FALSE))</f>
        <v/>
      </c>
      <c r="AC38" s="326"/>
      <c r="AD38" s="326"/>
      <c r="AE38" s="326"/>
      <c r="AF38" s="326"/>
      <c r="AG38" s="326"/>
      <c r="AH38" s="326"/>
      <c r="AI38" s="326"/>
      <c r="AJ38" s="326"/>
      <c r="AK38" s="326"/>
      <c r="AL38" s="326"/>
      <c r="AM38" s="231">
        <f>'Int Room Schedule'!U32</f>
        <v>0</v>
      </c>
      <c r="AN38" s="78" t="str">
        <f t="shared" si="5"/>
        <v/>
      </c>
      <c r="AO38" s="78"/>
      <c r="AP38" s="78"/>
      <c r="AQ38" s="78"/>
      <c r="AR38" s="43" t="str">
        <f t="shared" si="0"/>
        <v/>
      </c>
      <c r="AX38" s="43" t="str">
        <f t="shared" si="6"/>
        <v/>
      </c>
      <c r="AY38" s="326" t="str">
        <f t="shared" si="30"/>
        <v/>
      </c>
      <c r="AZ38" s="194" t="e">
        <f t="array" ref="AZ38">IF(ROWS(AX$22:AX38)&gt;COUNTA($AX$22:$AX$71),"",INDEX($AX$22:$AX$71,SMALL(IF($AX$22:$AX$71&lt;&gt;"",ROW($AX$22:$AX$71)-ROW($AX$22)+1),ROWS($AX$22:AX38))))</f>
        <v>#NUM!</v>
      </c>
      <c r="BA38" s="730" t="str">
        <f t="shared" si="13"/>
        <v/>
      </c>
      <c r="BB38" s="326" t="str">
        <f>IF(BA38="","",SUMIF('SpxSp (step-c)'!B$18:E$67,AZ38,'SpxSp (step-c)'!T$18:T$67))</f>
        <v/>
      </c>
      <c r="BC38" s="326">
        <f t="shared" si="33"/>
        <v>0</v>
      </c>
      <c r="BE38" s="43" t="str">
        <f t="shared" si="7"/>
        <v/>
      </c>
      <c r="BF38" s="326" t="str">
        <f t="shared" si="31"/>
        <v/>
      </c>
      <c r="BG38" s="194" t="e">
        <f t="array" ref="BG38">IF(ROWS(BE$22:BE38)&gt;COUNTA($BE$22:$BE$71),"",INDEX($BE$22:$BE$71,SMALL(IF($BE$22:$BE$71&lt;&gt;"",ROW($BE$22:$BE$71)-ROW($BE$22)+1),ROWS($BE$22:BE38))))</f>
        <v>#NUM!</v>
      </c>
      <c r="BI38" s="480" t="str">
        <f>IF(B38="","",VLOOKUP(B38,'SpxSp Compliance Details'!$Z$18:$BK$67,36,FALSE))</f>
        <v/>
      </c>
      <c r="BJ38" s="473" t="str">
        <f>IF($B38="","",VLOOKUP($H38,Table_9.6.1_2016[],IF(Compliance_Version_Year=2010,18,BJ$18),FALSE))</f>
        <v/>
      </c>
      <c r="BK38" s="473" t="str">
        <f t="shared" si="16"/>
        <v/>
      </c>
      <c r="BL38" s="473" t="str">
        <f>IF($B38="","",VLOOKUP($H38,Table_9.6.1_2016[],IF(Compliance_Version_Year=2010,18,BL$18),FALSE))</f>
        <v/>
      </c>
      <c r="BM38" s="473" t="str">
        <f t="shared" si="17"/>
        <v/>
      </c>
      <c r="BN38" s="473" t="str">
        <f>IF($B38="","",IF($BI38="#1",BN$15,IF($BI38="#2",BN$16,VLOOKUP($H38,Table_9.6.1_2016[],IF(Compliance_Version_Year=2010,18,BN$18),FALSE))))</f>
        <v/>
      </c>
      <c r="BO38" s="473" t="str">
        <f t="shared" si="18"/>
        <v/>
      </c>
      <c r="BP38" s="473" t="str">
        <f>IF($B38="","",IF($BI38="#1",BP$15,IF($BI38="#2",BP$16,VLOOKUP($H38,Table_9.6.1_2016[],IF(Compliance_Version_Year=2010,18,BP$18),FALSE))))</f>
        <v/>
      </c>
      <c r="BQ38" s="473" t="str">
        <f t="shared" si="19"/>
        <v/>
      </c>
      <c r="BR38" s="473" t="str">
        <f>IF($B38="","",IF($BI38="#1",BR$15,IF($BI38="#2",BR$17,VLOOKUP($H38,Table_9.6.1_2016[],IF(Compliance_Version_Year=2010,18,BR$18),FALSE))))</f>
        <v/>
      </c>
      <c r="BS38" s="473" t="str">
        <f t="shared" si="20"/>
        <v/>
      </c>
      <c r="BT38" s="473" t="str">
        <f>IF($B38="","",IF($BI38="#1",BT$15,IF($BI38="#2",BT$16,VLOOKUP($H38,Table_9.6.1_2016[],IF(Compliance_Version_Year=2010,18,BT$18),FALSE))))</f>
        <v/>
      </c>
      <c r="BU38" s="473" t="str">
        <f t="shared" si="21"/>
        <v/>
      </c>
      <c r="BV38" s="473" t="str">
        <f>IF($B38="","",IF($BI38="#1",BV$15,IF($BI38="#2",BV$16,VLOOKUP($H38,Table_9.6.1_2016[],IF(Compliance_Version_Year=2010,18,BV$18),FALSE))))</f>
        <v/>
      </c>
      <c r="BW38" s="473" t="str">
        <f t="shared" si="22"/>
        <v/>
      </c>
      <c r="BX38" s="473" t="str">
        <f>IF($B38="","",VLOOKUP($H38,Table_9.6.1_2016[],IF(Compliance_Version_Year=2010,18,BX$18),FALSE))</f>
        <v/>
      </c>
      <c r="BY38" s="473" t="str">
        <f t="shared" si="23"/>
        <v/>
      </c>
      <c r="BZ38" s="473" t="str">
        <f>IF($B38="","",IF($BI38="#1",BZ$15,VLOOKUP($H38,Table_9.6.1_2016[],IF(Compliance_Version_Year=2010,18,BZ$18),FALSE)))</f>
        <v/>
      </c>
      <c r="CA38" s="473" t="str">
        <f t="shared" si="24"/>
        <v/>
      </c>
      <c r="CB38" s="473" t="str">
        <f>IF($B38="","",IF($BI38="#1",CB$15,IF($BI38="#2",CB$16,VLOOKUP($H38,Table_9.6.1_2016[],IF(Compliance_Version_Year=2010,18,CB$18),FALSE))))</f>
        <v/>
      </c>
      <c r="CC38" s="473" t="str">
        <f t="shared" si="25"/>
        <v/>
      </c>
      <c r="CD38" s="473" t="str">
        <f>IF($B38="","",IF($BI38="#1",CD$15,IF($BI38="#2",CD$16,VLOOKUP($H38,Table_9.6.1_2016[],IF(Compliance_Version_Year=2010,18,CD$18),FALSE))))</f>
        <v/>
      </c>
      <c r="CE38" s="473" t="str">
        <f t="shared" ref="CE38" si="40">IF(OR(CD38="ADD2",CD38="REQ"),"9.4.1.2c, ","")</f>
        <v/>
      </c>
      <c r="CF38" s="473" t="str">
        <f>IF($B38="","",IF($BI38="#1",CF$15,IF($BI38="#2",CF$16,VLOOKUP($H38,Table_9.6.1_2016[],IF(Compliance_Version_Year=2010,18,CF$18),FALSE))))</f>
        <v/>
      </c>
      <c r="CG38" s="473" t="str">
        <f t="shared" si="32"/>
        <v/>
      </c>
      <c r="CH38" s="473" t="str">
        <f>IF($B38="","",IF($BI38="#1",CH$15,IF($BI38="#2",CH$16,VLOOKUP($H38,Table_9.6.1_2016[],IF(Compliance_Version_Year=2010,18,CH$18),FALSE))))</f>
        <v/>
      </c>
      <c r="CI38" s="473" t="str">
        <f t="shared" si="34"/>
        <v/>
      </c>
      <c r="CL38" s="43" t="str">
        <f t="shared" si="10"/>
        <v/>
      </c>
      <c r="CM38" s="43" t="str">
        <f t="shared" si="11"/>
        <v/>
      </c>
      <c r="CR38" s="42" t="str">
        <f t="shared" si="27"/>
        <v/>
      </c>
      <c r="CS38" s="42" t="str">
        <f>'SpxSp Compliance Details'!I34</f>
        <v/>
      </c>
    </row>
    <row r="39" spans="1:97" x14ac:dyDescent="0.25">
      <c r="A39" s="5">
        <v>18</v>
      </c>
      <c r="B39" s="1627" t="str">
        <f>'Int Room Schedule'!Z33</f>
        <v/>
      </c>
      <c r="C39" s="1628"/>
      <c r="D39" s="1628"/>
      <c r="E39" s="1628"/>
      <c r="F39" s="1367"/>
      <c r="G39" s="321"/>
      <c r="H39" s="472" t="str">
        <f>'Int Room Schedule'!AA33</f>
        <v/>
      </c>
      <c r="I39" s="466" t="str">
        <f t="shared" si="1"/>
        <v/>
      </c>
      <c r="J39" s="655" t="str">
        <f ca="1">IF($B39&lt;&gt;"",VLOOKUP($AN39,INDIRECT('9.6 Table'!$P$338),2,FALSE)," ")</f>
        <v xml:space="preserve"> </v>
      </c>
      <c r="K39" s="948" t="str">
        <f ca="1">IF($B39&lt;&gt;"",VLOOKUP($AN39,INDIRECT('9.6 Table'!$P$338),3,FALSE)," ")</f>
        <v xml:space="preserve"> </v>
      </c>
      <c r="L39" s="484"/>
      <c r="M39" s="362">
        <f t="shared" ca="1" si="29"/>
        <v>1</v>
      </c>
      <c r="N39" s="464">
        <f t="shared" si="3"/>
        <v>0</v>
      </c>
      <c r="O39" s="166">
        <f ca="1">IFERROR(IF(SUMIF('SpxSp (step-b)'!B$26:F$75,'SpxSp (step-a)'!B39,'SpxSp (step-b)'!L$26:L$75)&gt;0,N39,0),0)</f>
        <v>0</v>
      </c>
      <c r="P39" s="486"/>
      <c r="Q39" s="487"/>
      <c r="R39" s="1074">
        <f t="shared" si="12"/>
        <v>0</v>
      </c>
      <c r="S39" s="486"/>
      <c r="T39" s="487"/>
      <c r="U39" s="487"/>
      <c r="V39" s="328" t="str">
        <f t="shared" si="4"/>
        <v/>
      </c>
      <c r="W39" s="1631">
        <f ca="1">SUMIFS('SpxSp (step-b)'!AZ43:AZ92,'SpxSp (step-b)'!AX$26:AX$75,AB39)</f>
        <v>0</v>
      </c>
      <c r="X39" s="1632"/>
      <c r="Y39" s="244"/>
      <c r="Z39" s="244">
        <f>IF(B39="",0,COUNTIF('SpxSp (step-b)'!B43:F80,B39))</f>
        <v>0</v>
      </c>
      <c r="AB39" s="737" t="str">
        <f ca="1">IF(OR($B39="",O39=0),"",VLOOKUP($AN39,INDIRECT('9.6 Table'!$P$338),17,FALSE))</f>
        <v/>
      </c>
      <c r="AC39" s="326"/>
      <c r="AD39" s="326"/>
      <c r="AE39" s="326"/>
      <c r="AF39" s="326"/>
      <c r="AG39" s="326"/>
      <c r="AH39" s="326"/>
      <c r="AI39" s="326"/>
      <c r="AJ39" s="326"/>
      <c r="AK39" s="326"/>
      <c r="AL39" s="326"/>
      <c r="AM39" s="231">
        <f>'Int Room Schedule'!U33</f>
        <v>0</v>
      </c>
      <c r="AN39" s="78" t="str">
        <f t="shared" si="5"/>
        <v/>
      </c>
      <c r="AO39" s="78"/>
      <c r="AP39" s="78"/>
      <c r="AQ39" s="78"/>
      <c r="AR39" s="43" t="str">
        <f t="shared" si="0"/>
        <v/>
      </c>
      <c r="AX39" s="43" t="str">
        <f t="shared" si="6"/>
        <v/>
      </c>
      <c r="AY39" s="326" t="str">
        <f t="shared" si="30"/>
        <v/>
      </c>
      <c r="AZ39" s="194" t="e">
        <f t="array" ref="AZ39">IF(ROWS(AX$22:AX39)&gt;COUNTA($AX$22:$AX$71),"",INDEX($AX$22:$AX$71,SMALL(IF($AX$22:$AX$71&lt;&gt;"",ROW($AX$22:$AX$71)-ROW($AX$22)+1),ROWS($AX$22:AX39))))</f>
        <v>#NUM!</v>
      </c>
      <c r="BA39" s="730" t="str">
        <f t="shared" si="13"/>
        <v/>
      </c>
      <c r="BB39" s="326" t="str">
        <f>IF(BA39="","",SUMIF('SpxSp (step-c)'!B$18:E$67,AZ39,'SpxSp (step-c)'!T$18:T$67))</f>
        <v/>
      </c>
      <c r="BC39" s="326">
        <f t="shared" si="33"/>
        <v>0</v>
      </c>
      <c r="BE39" s="43" t="str">
        <f t="shared" si="7"/>
        <v/>
      </c>
      <c r="BF39" s="326" t="str">
        <f t="shared" si="31"/>
        <v/>
      </c>
      <c r="BG39" s="194" t="e">
        <f t="array" ref="BG39">IF(ROWS(BE$22:BE39)&gt;COUNTA($BE$22:$BE$71),"",INDEX($BE$22:$BE$71,SMALL(IF($BE$22:$BE$71&lt;&gt;"",ROW($BE$22:$BE$71)-ROW($BE$22)+1),ROWS($BE$22:BE39))))</f>
        <v>#NUM!</v>
      </c>
      <c r="BI39" s="480" t="str">
        <f>IF(B39="","",VLOOKUP(B39,'SpxSp Compliance Details'!$Z$18:$BK$67,36,FALSE))</f>
        <v/>
      </c>
      <c r="BJ39" s="473" t="str">
        <f>IF($B39="","",VLOOKUP($H39,Table_9.6.1_2016[],IF(Compliance_Version_Year=2010,18,BJ$18),FALSE))</f>
        <v/>
      </c>
      <c r="BK39" s="473" t="str">
        <f t="shared" si="16"/>
        <v/>
      </c>
      <c r="BL39" s="473" t="str">
        <f>IF($B39="","",VLOOKUP($H39,Table_9.6.1_2016[],IF(Compliance_Version_Year=2010,18,BL$18),FALSE))</f>
        <v/>
      </c>
      <c r="BM39" s="473" t="str">
        <f t="shared" si="17"/>
        <v/>
      </c>
      <c r="BN39" s="473" t="str">
        <f>IF($B39="","",IF($BI39="#1",BN$15,IF($BI39="#2",BN$16,VLOOKUP($H39,Table_9.6.1_2016[],IF(Compliance_Version_Year=2010,18,BN$18),FALSE))))</f>
        <v/>
      </c>
      <c r="BO39" s="473" t="str">
        <f t="shared" si="18"/>
        <v/>
      </c>
      <c r="BP39" s="473" t="str">
        <f>IF($B39="","",IF($BI39="#1",BP$15,IF($BI39="#2",BP$16,VLOOKUP($H39,Table_9.6.1_2016[],IF(Compliance_Version_Year=2010,18,BP$18),FALSE))))</f>
        <v/>
      </c>
      <c r="BQ39" s="473" t="str">
        <f t="shared" si="19"/>
        <v/>
      </c>
      <c r="BR39" s="473" t="str">
        <f>IF($B39="","",IF($BI39="#1",BR$15,IF($BI39="#2",BR$17,VLOOKUP($H39,Table_9.6.1_2016[],IF(Compliance_Version_Year=2010,18,BR$18),FALSE))))</f>
        <v/>
      </c>
      <c r="BS39" s="473" t="str">
        <f t="shared" si="20"/>
        <v/>
      </c>
      <c r="BT39" s="473" t="str">
        <f>IF($B39="","",IF($BI39="#1",BT$15,IF($BI39="#2",BT$16,VLOOKUP($H39,Table_9.6.1_2016[],IF(Compliance_Version_Year=2010,18,BT$18),FALSE))))</f>
        <v/>
      </c>
      <c r="BU39" s="473" t="str">
        <f t="shared" si="21"/>
        <v/>
      </c>
      <c r="BV39" s="473" t="str">
        <f>IF($B39="","",IF($BI39="#1",BV$15,IF($BI39="#2",BV$16,VLOOKUP($H39,Table_9.6.1_2016[],IF(Compliance_Version_Year=2010,18,BV$18),FALSE))))</f>
        <v/>
      </c>
      <c r="BW39" s="473" t="str">
        <f t="shared" si="22"/>
        <v/>
      </c>
      <c r="BX39" s="473" t="str">
        <f>IF($B39="","",VLOOKUP($H39,Table_9.6.1_2016[],IF(Compliance_Version_Year=2010,18,BX$18),FALSE))</f>
        <v/>
      </c>
      <c r="BY39" s="473" t="str">
        <f t="shared" si="23"/>
        <v/>
      </c>
      <c r="BZ39" s="473" t="str">
        <f>IF($B39="","",IF($BI39="#1",BZ$15,VLOOKUP($H39,Table_9.6.1_2016[],IF(Compliance_Version_Year=2010,18,BZ$18),FALSE)))</f>
        <v/>
      </c>
      <c r="CA39" s="473" t="str">
        <f t="shared" si="24"/>
        <v/>
      </c>
      <c r="CB39" s="473" t="str">
        <f>IF($B39="","",IF($BI39="#1",CB$15,IF($BI39="#2",CB$16,VLOOKUP($H39,Table_9.6.1_2016[],IF(Compliance_Version_Year=2010,18,CB$18),FALSE))))</f>
        <v/>
      </c>
      <c r="CC39" s="473" t="str">
        <f t="shared" si="25"/>
        <v/>
      </c>
      <c r="CD39" s="473" t="str">
        <f>IF($B39="","",IF($BI39="#1",CD$15,IF($BI39="#2",CD$16,VLOOKUP($H39,Table_9.6.1_2016[],IF(Compliance_Version_Year=2010,18,CD$18),FALSE))))</f>
        <v/>
      </c>
      <c r="CE39" s="473" t="str">
        <f t="shared" ref="CE39" si="41">IF(OR(CD39="ADD2",CD39="REQ"),"9.4.1.2c, ","")</f>
        <v/>
      </c>
      <c r="CF39" s="473" t="str">
        <f>IF($B39="","",IF($BI39="#1",CF$15,IF($BI39="#2",CF$16,VLOOKUP($H39,Table_9.6.1_2016[],IF(Compliance_Version_Year=2010,18,CF$18),FALSE))))</f>
        <v/>
      </c>
      <c r="CG39" s="473" t="str">
        <f t="shared" si="32"/>
        <v/>
      </c>
      <c r="CH39" s="473" t="str">
        <f>IF($B39="","",IF($BI39="#1",CH$15,IF($BI39="#2",CH$16,VLOOKUP($H39,Table_9.6.1_2016[],IF(Compliance_Version_Year=2010,18,CH$18),FALSE))))</f>
        <v/>
      </c>
      <c r="CI39" s="473" t="str">
        <f t="shared" si="34"/>
        <v/>
      </c>
      <c r="CL39" s="43" t="str">
        <f t="shared" si="10"/>
        <v/>
      </c>
      <c r="CM39" s="43" t="str">
        <f t="shared" si="11"/>
        <v/>
      </c>
      <c r="CR39" s="42" t="str">
        <f t="shared" si="27"/>
        <v/>
      </c>
      <c r="CS39" s="42" t="str">
        <f>'SpxSp Compliance Details'!I35</f>
        <v/>
      </c>
    </row>
    <row r="40" spans="1:97" x14ac:dyDescent="0.25">
      <c r="A40" s="5">
        <v>19</v>
      </c>
      <c r="B40" s="1627" t="str">
        <f>'Int Room Schedule'!Z34</f>
        <v/>
      </c>
      <c r="C40" s="1628"/>
      <c r="D40" s="1628"/>
      <c r="E40" s="1628"/>
      <c r="F40" s="1367"/>
      <c r="G40" s="321"/>
      <c r="H40" s="472" t="str">
        <f>'Int Room Schedule'!AA34</f>
        <v/>
      </c>
      <c r="I40" s="466" t="str">
        <f t="shared" si="1"/>
        <v/>
      </c>
      <c r="J40" s="655" t="str">
        <f ca="1">IF($B40&lt;&gt;"",VLOOKUP($AN40,INDIRECT('9.6 Table'!$P$338),2,FALSE)," ")</f>
        <v xml:space="preserve"> </v>
      </c>
      <c r="K40" s="948" t="str">
        <f ca="1">IF($B40&lt;&gt;"",VLOOKUP($AN40,INDIRECT('9.6 Table'!$P$338),3,FALSE)," ")</f>
        <v xml:space="preserve"> </v>
      </c>
      <c r="L40" s="484"/>
      <c r="M40" s="362">
        <f t="shared" ca="1" si="29"/>
        <v>1</v>
      </c>
      <c r="N40" s="464">
        <f t="shared" si="3"/>
        <v>0</v>
      </c>
      <c r="O40" s="166">
        <f ca="1">IFERROR(IF(SUMIF('SpxSp (step-b)'!B$26:F$75,'SpxSp (step-a)'!B40,'SpxSp (step-b)'!L$26:L$75)&gt;0,N40,0),0)</f>
        <v>0</v>
      </c>
      <c r="P40" s="486"/>
      <c r="Q40" s="487"/>
      <c r="R40" s="1074">
        <f t="shared" si="12"/>
        <v>0</v>
      </c>
      <c r="S40" s="486"/>
      <c r="T40" s="487"/>
      <c r="U40" s="487"/>
      <c r="V40" s="328" t="str">
        <f t="shared" si="4"/>
        <v/>
      </c>
      <c r="W40" s="1631">
        <f ca="1">SUMIFS('SpxSp (step-b)'!AZ44:AZ93,'SpxSp (step-b)'!AX$26:AX$75,AB40)</f>
        <v>0</v>
      </c>
      <c r="X40" s="1632"/>
      <c r="Y40" s="244"/>
      <c r="Z40" s="244">
        <f>IF(B40="",0,COUNTIF('SpxSp (step-b)'!B44:F80,B40))</f>
        <v>0</v>
      </c>
      <c r="AB40" s="737" t="str">
        <f ca="1">IF(OR($B40="",O40=0),"",VLOOKUP($AN40,INDIRECT('9.6 Table'!$P$338),17,FALSE))</f>
        <v/>
      </c>
      <c r="AC40" s="326"/>
      <c r="AD40" s="326"/>
      <c r="AE40" s="326"/>
      <c r="AF40" s="326"/>
      <c r="AG40" s="326"/>
      <c r="AH40" s="326"/>
      <c r="AI40" s="326"/>
      <c r="AJ40" s="326"/>
      <c r="AK40" s="326"/>
      <c r="AL40" s="326"/>
      <c r="AM40" s="231">
        <f>'Int Room Schedule'!U34</f>
        <v>0</v>
      </c>
      <c r="AN40" s="78" t="str">
        <f t="shared" si="5"/>
        <v/>
      </c>
      <c r="AO40" s="78"/>
      <c r="AP40" s="78"/>
      <c r="AQ40" s="78"/>
      <c r="AR40" s="43" t="str">
        <f t="shared" si="0"/>
        <v/>
      </c>
      <c r="AX40" s="43" t="str">
        <f t="shared" si="6"/>
        <v/>
      </c>
      <c r="AY40" s="326" t="str">
        <f t="shared" si="30"/>
        <v/>
      </c>
      <c r="AZ40" s="194" t="e">
        <f t="array" ref="AZ40">IF(ROWS(AX$22:AX40)&gt;COUNTA($AX$22:$AX$71),"",INDEX($AX$22:$AX$71,SMALL(IF($AX$22:$AX$71&lt;&gt;"",ROW($AX$22:$AX$71)-ROW($AX$22)+1),ROWS($AX$22:AX40))))</f>
        <v>#NUM!</v>
      </c>
      <c r="BA40" s="730" t="str">
        <f t="shared" si="13"/>
        <v/>
      </c>
      <c r="BB40" s="326" t="str">
        <f>IF(BA40="","",SUMIF('SpxSp (step-c)'!B$18:E$67,AZ40,'SpxSp (step-c)'!T$18:T$67))</f>
        <v/>
      </c>
      <c r="BC40" s="326">
        <f t="shared" si="33"/>
        <v>0</v>
      </c>
      <c r="BE40" s="43" t="str">
        <f t="shared" si="7"/>
        <v/>
      </c>
      <c r="BF40" s="326" t="str">
        <f t="shared" si="31"/>
        <v/>
      </c>
      <c r="BG40" s="194" t="e">
        <f t="array" ref="BG40">IF(ROWS(BE$22:BE40)&gt;COUNTA($BE$22:$BE$71),"",INDEX($BE$22:$BE$71,SMALL(IF($BE$22:$BE$71&lt;&gt;"",ROW($BE$22:$BE$71)-ROW($BE$22)+1),ROWS($BE$22:BE40))))</f>
        <v>#NUM!</v>
      </c>
      <c r="BI40" s="480" t="str">
        <f>IF(B40="","",VLOOKUP(B40,'SpxSp Compliance Details'!$Z$18:$BK$67,36,FALSE))</f>
        <v/>
      </c>
      <c r="BJ40" s="473" t="str">
        <f>IF($B40="","",VLOOKUP($H40,Table_9.6.1_2016[],IF(Compliance_Version_Year=2010,18,BJ$18),FALSE))</f>
        <v/>
      </c>
      <c r="BK40" s="473" t="str">
        <f t="shared" si="16"/>
        <v/>
      </c>
      <c r="BL40" s="473" t="str">
        <f>IF($B40="","",VLOOKUP($H40,Table_9.6.1_2016[],IF(Compliance_Version_Year=2010,18,BL$18),FALSE))</f>
        <v/>
      </c>
      <c r="BM40" s="473" t="str">
        <f t="shared" si="17"/>
        <v/>
      </c>
      <c r="BN40" s="473" t="str">
        <f>IF($B40="","",IF($BI40="#1",BN$15,IF($BI40="#2",BN$16,VLOOKUP($H40,Table_9.6.1_2016[],IF(Compliance_Version_Year=2010,18,BN$18),FALSE))))</f>
        <v/>
      </c>
      <c r="BO40" s="473" t="str">
        <f t="shared" si="18"/>
        <v/>
      </c>
      <c r="BP40" s="473" t="str">
        <f>IF($B40="","",IF($BI40="#1",BP$15,IF($BI40="#2",BP$16,VLOOKUP($H40,Table_9.6.1_2016[],IF(Compliance_Version_Year=2010,18,BP$18),FALSE))))</f>
        <v/>
      </c>
      <c r="BQ40" s="473" t="str">
        <f t="shared" si="19"/>
        <v/>
      </c>
      <c r="BR40" s="473" t="str">
        <f>IF($B40="","",IF($BI40="#1",BR$15,IF($BI40="#2",BR$17,VLOOKUP($H40,Table_9.6.1_2016[],IF(Compliance_Version_Year=2010,18,BR$18),FALSE))))</f>
        <v/>
      </c>
      <c r="BS40" s="473" t="str">
        <f t="shared" si="20"/>
        <v/>
      </c>
      <c r="BT40" s="473" t="str">
        <f>IF($B40="","",IF($BI40="#1",BT$15,IF($BI40="#2",BT$16,VLOOKUP($H40,Table_9.6.1_2016[],IF(Compliance_Version_Year=2010,18,BT$18),FALSE))))</f>
        <v/>
      </c>
      <c r="BU40" s="473" t="str">
        <f t="shared" si="21"/>
        <v/>
      </c>
      <c r="BV40" s="473" t="str">
        <f>IF($B40="","",IF($BI40="#1",BV$15,IF($BI40="#2",BV$16,VLOOKUP($H40,Table_9.6.1_2016[],IF(Compliance_Version_Year=2010,18,BV$18),FALSE))))</f>
        <v/>
      </c>
      <c r="BW40" s="473" t="str">
        <f t="shared" si="22"/>
        <v/>
      </c>
      <c r="BX40" s="473" t="str">
        <f>IF($B40="","",VLOOKUP($H40,Table_9.6.1_2016[],IF(Compliance_Version_Year=2010,18,BX$18),FALSE))</f>
        <v/>
      </c>
      <c r="BY40" s="473" t="str">
        <f t="shared" si="23"/>
        <v/>
      </c>
      <c r="BZ40" s="473" t="str">
        <f>IF($B40="","",IF($BI40="#1",BZ$15,VLOOKUP($H40,Table_9.6.1_2016[],IF(Compliance_Version_Year=2010,18,BZ$18),FALSE)))</f>
        <v/>
      </c>
      <c r="CA40" s="473" t="str">
        <f t="shared" si="24"/>
        <v/>
      </c>
      <c r="CB40" s="473" t="str">
        <f>IF($B40="","",IF($BI40="#1",CB$15,IF($BI40="#2",CB$16,VLOOKUP($H40,Table_9.6.1_2016[],IF(Compliance_Version_Year=2010,18,CB$18),FALSE))))</f>
        <v/>
      </c>
      <c r="CC40" s="473" t="str">
        <f t="shared" si="25"/>
        <v/>
      </c>
      <c r="CD40" s="473" t="str">
        <f>IF($B40="","",IF($BI40="#1",CD$15,IF($BI40="#2",CD$16,VLOOKUP($H40,Table_9.6.1_2016[],IF(Compliance_Version_Year=2010,18,CD$18),FALSE))))</f>
        <v/>
      </c>
      <c r="CE40" s="473" t="str">
        <f t="shared" ref="CE40" si="42">IF(OR(CD40="ADD2",CD40="REQ"),"9.4.1.2c, ","")</f>
        <v/>
      </c>
      <c r="CF40" s="473" t="str">
        <f>IF($B40="","",IF($BI40="#1",CF$15,IF($BI40="#2",CF$16,VLOOKUP($H40,Table_9.6.1_2016[],IF(Compliance_Version_Year=2010,18,CF$18),FALSE))))</f>
        <v/>
      </c>
      <c r="CG40" s="473" t="str">
        <f t="shared" si="32"/>
        <v/>
      </c>
      <c r="CH40" s="473" t="str">
        <f>IF($B40="","",IF($BI40="#1",CH$15,IF($BI40="#2",CH$16,VLOOKUP($H40,Table_9.6.1_2016[],IF(Compliance_Version_Year=2010,18,CH$18),FALSE))))</f>
        <v/>
      </c>
      <c r="CI40" s="473" t="str">
        <f t="shared" si="34"/>
        <v/>
      </c>
      <c r="CL40" s="43" t="str">
        <f t="shared" si="10"/>
        <v/>
      </c>
      <c r="CM40" s="43" t="str">
        <f t="shared" si="11"/>
        <v/>
      </c>
      <c r="CR40" s="42" t="str">
        <f t="shared" si="27"/>
        <v/>
      </c>
      <c r="CS40" s="42" t="str">
        <f>'SpxSp Compliance Details'!I36</f>
        <v/>
      </c>
    </row>
    <row r="41" spans="1:97" x14ac:dyDescent="0.25">
      <c r="A41" s="5">
        <v>20</v>
      </c>
      <c r="B41" s="1627" t="str">
        <f>'Int Room Schedule'!Z35</f>
        <v/>
      </c>
      <c r="C41" s="1628"/>
      <c r="D41" s="1628"/>
      <c r="E41" s="1628"/>
      <c r="F41" s="1367"/>
      <c r="G41" s="321"/>
      <c r="H41" s="472" t="str">
        <f>'Int Room Schedule'!AA35</f>
        <v/>
      </c>
      <c r="I41" s="466" t="str">
        <f t="shared" si="1"/>
        <v/>
      </c>
      <c r="J41" s="655" t="str">
        <f ca="1">IF($B41&lt;&gt;"",VLOOKUP($AN41,INDIRECT('9.6 Table'!$P$338),2,FALSE)," ")</f>
        <v xml:space="preserve"> </v>
      </c>
      <c r="K41" s="948" t="str">
        <f ca="1">IF($B41&lt;&gt;"",VLOOKUP($AN41,INDIRECT('9.6 Table'!$P$338),3,FALSE)," ")</f>
        <v xml:space="preserve"> </v>
      </c>
      <c r="L41" s="484"/>
      <c r="M41" s="362">
        <f t="shared" ca="1" si="29"/>
        <v>1</v>
      </c>
      <c r="N41" s="464">
        <f t="shared" si="3"/>
        <v>0</v>
      </c>
      <c r="O41" s="166">
        <f ca="1">IFERROR(IF(SUMIF('SpxSp (step-b)'!B$26:F$75,'SpxSp (step-a)'!B41,'SpxSp (step-b)'!L$26:L$75)&gt;0,N41,0),0)</f>
        <v>0</v>
      </c>
      <c r="P41" s="486"/>
      <c r="Q41" s="487"/>
      <c r="R41" s="1074">
        <f t="shared" si="12"/>
        <v>0</v>
      </c>
      <c r="S41" s="486"/>
      <c r="T41" s="487"/>
      <c r="U41" s="487"/>
      <c r="V41" s="328" t="str">
        <f t="shared" si="4"/>
        <v/>
      </c>
      <c r="W41" s="1631">
        <f ca="1">SUMIFS('SpxSp (step-b)'!AZ45:AZ94,'SpxSp (step-b)'!AX$26:AX$75,AB41)</f>
        <v>0</v>
      </c>
      <c r="X41" s="1632"/>
      <c r="Y41" s="244"/>
      <c r="Z41" s="244">
        <f>IF(B41="",0,COUNTIF('SpxSp (step-b)'!B45:F80,B41))</f>
        <v>0</v>
      </c>
      <c r="AB41" s="737" t="str">
        <f ca="1">IF(OR($B41="",O41=0),"",VLOOKUP($AN41,INDIRECT('9.6 Table'!$P$338),17,FALSE))</f>
        <v/>
      </c>
      <c r="AC41" s="326"/>
      <c r="AD41" s="326"/>
      <c r="AE41" s="326"/>
      <c r="AF41" s="326"/>
      <c r="AG41" s="326"/>
      <c r="AH41" s="326"/>
      <c r="AI41" s="326"/>
      <c r="AJ41" s="326"/>
      <c r="AK41" s="326"/>
      <c r="AL41" s="326"/>
      <c r="AM41" s="231">
        <f>'Int Room Schedule'!U35</f>
        <v>0</v>
      </c>
      <c r="AN41" s="78" t="str">
        <f t="shared" si="5"/>
        <v/>
      </c>
      <c r="AO41" s="78"/>
      <c r="AP41" s="78"/>
      <c r="AQ41" s="78"/>
      <c r="AR41" s="43" t="str">
        <f t="shared" si="0"/>
        <v/>
      </c>
      <c r="AX41" s="43" t="str">
        <f t="shared" si="6"/>
        <v/>
      </c>
      <c r="AY41" s="326" t="str">
        <f t="shared" si="30"/>
        <v/>
      </c>
      <c r="AZ41" s="194" t="e">
        <f t="array" ref="AZ41">IF(ROWS(AX$22:AX41)&gt;COUNTA($AX$22:$AX$71),"",INDEX($AX$22:$AX$71,SMALL(IF($AX$22:$AX$71&lt;&gt;"",ROW($AX$22:$AX$71)-ROW($AX$22)+1),ROWS($AX$22:AX41))))</f>
        <v>#NUM!</v>
      </c>
      <c r="BA41" s="730" t="str">
        <f t="shared" si="13"/>
        <v/>
      </c>
      <c r="BB41" s="326" t="str">
        <f>IF(BA41="","",SUMIF('SpxSp (step-c)'!B$18:E$67,AZ41,'SpxSp (step-c)'!T$18:T$67))</f>
        <v/>
      </c>
      <c r="BC41" s="326">
        <f t="shared" si="33"/>
        <v>0</v>
      </c>
      <c r="BE41" s="43" t="str">
        <f t="shared" si="7"/>
        <v/>
      </c>
      <c r="BF41" s="326" t="str">
        <f t="shared" si="31"/>
        <v/>
      </c>
      <c r="BG41" s="194" t="e">
        <f t="array" ref="BG41">IF(ROWS(BE$22:BE41)&gt;COUNTA($BE$22:$BE$71),"",INDEX($BE$22:$BE$71,SMALL(IF($BE$22:$BE$71&lt;&gt;"",ROW($BE$22:$BE$71)-ROW($BE$22)+1),ROWS($BE$22:BE41))))</f>
        <v>#NUM!</v>
      </c>
      <c r="BI41" s="480" t="str">
        <f>IF(B41="","",VLOOKUP(B41,'SpxSp Compliance Details'!$Z$18:$BK$67,36,FALSE))</f>
        <v/>
      </c>
      <c r="BJ41" s="473" t="str">
        <f>IF($B41="","",VLOOKUP($H41,Table_9.6.1_2016[],IF(Compliance_Version_Year=2010,18,BJ$18),FALSE))</f>
        <v/>
      </c>
      <c r="BK41" s="473" t="str">
        <f t="shared" si="16"/>
        <v/>
      </c>
      <c r="BL41" s="473" t="str">
        <f>IF($B41="","",VLOOKUP($H41,Table_9.6.1_2016[],IF(Compliance_Version_Year=2010,18,BL$18),FALSE))</f>
        <v/>
      </c>
      <c r="BM41" s="473" t="str">
        <f t="shared" si="17"/>
        <v/>
      </c>
      <c r="BN41" s="473" t="str">
        <f>IF($B41="","",IF($BI41="#1",BN$15,IF($BI41="#2",BN$16,VLOOKUP($H41,Table_9.6.1_2016[],IF(Compliance_Version_Year=2010,18,BN$18),FALSE))))</f>
        <v/>
      </c>
      <c r="BO41" s="473" t="str">
        <f t="shared" si="18"/>
        <v/>
      </c>
      <c r="BP41" s="473" t="str">
        <f>IF($B41="","",IF($BI41="#1",BP$15,IF($BI41="#2",BP$16,VLOOKUP($H41,Table_9.6.1_2016[],IF(Compliance_Version_Year=2010,18,BP$18),FALSE))))</f>
        <v/>
      </c>
      <c r="BQ41" s="473" t="str">
        <f t="shared" si="19"/>
        <v/>
      </c>
      <c r="BR41" s="473" t="str">
        <f>IF($B41="","",IF($BI41="#1",BR$15,IF($BI41="#2",BR$17,VLOOKUP($H41,Table_9.6.1_2016[],IF(Compliance_Version_Year=2010,18,BR$18),FALSE))))</f>
        <v/>
      </c>
      <c r="BS41" s="473" t="str">
        <f t="shared" si="20"/>
        <v/>
      </c>
      <c r="BT41" s="473" t="str">
        <f>IF($B41="","",IF($BI41="#1",BT$15,IF($BI41="#2",BT$16,VLOOKUP($H41,Table_9.6.1_2016[],IF(Compliance_Version_Year=2010,18,BT$18),FALSE))))</f>
        <v/>
      </c>
      <c r="BU41" s="473" t="str">
        <f t="shared" si="21"/>
        <v/>
      </c>
      <c r="BV41" s="473" t="str">
        <f>IF($B41="","",IF($BI41="#1",BV$15,IF($BI41="#2",BV$16,VLOOKUP($H41,Table_9.6.1_2016[],IF(Compliance_Version_Year=2010,18,BV$18),FALSE))))</f>
        <v/>
      </c>
      <c r="BW41" s="473" t="str">
        <f t="shared" si="22"/>
        <v/>
      </c>
      <c r="BX41" s="473" t="str">
        <f>IF($B41="","",VLOOKUP($H41,Table_9.6.1_2016[],IF(Compliance_Version_Year=2010,18,BX$18),FALSE))</f>
        <v/>
      </c>
      <c r="BY41" s="473" t="str">
        <f t="shared" si="23"/>
        <v/>
      </c>
      <c r="BZ41" s="473" t="str">
        <f>IF($B41="","",IF($BI41="#1",BZ$15,VLOOKUP($H41,Table_9.6.1_2016[],IF(Compliance_Version_Year=2010,18,BZ$18),FALSE)))</f>
        <v/>
      </c>
      <c r="CA41" s="473" t="str">
        <f t="shared" si="24"/>
        <v/>
      </c>
      <c r="CB41" s="473" t="str">
        <f>IF($B41="","",IF($BI41="#1",CB$15,IF($BI41="#2",CB$16,VLOOKUP($H41,Table_9.6.1_2016[],IF(Compliance_Version_Year=2010,18,CB$18),FALSE))))</f>
        <v/>
      </c>
      <c r="CC41" s="473" t="str">
        <f t="shared" si="25"/>
        <v/>
      </c>
      <c r="CD41" s="473" t="str">
        <f>IF($B41="","",IF($BI41="#1",CD$15,IF($BI41="#2",CD$16,VLOOKUP($H41,Table_9.6.1_2016[],IF(Compliance_Version_Year=2010,18,CD$18),FALSE))))</f>
        <v/>
      </c>
      <c r="CE41" s="473" t="str">
        <f t="shared" ref="CE41" si="43">IF(OR(CD41="ADD2",CD41="REQ"),"9.4.1.2c, ","")</f>
        <v/>
      </c>
      <c r="CF41" s="473" t="str">
        <f>IF($B41="","",IF($BI41="#1",CF$15,IF($BI41="#2",CF$16,VLOOKUP($H41,Table_9.6.1_2016[],IF(Compliance_Version_Year=2010,18,CF$18),FALSE))))</f>
        <v/>
      </c>
      <c r="CG41" s="473" t="str">
        <f t="shared" si="32"/>
        <v/>
      </c>
      <c r="CH41" s="473" t="str">
        <f>IF($B41="","",IF($BI41="#1",CH$15,IF($BI41="#2",CH$16,VLOOKUP($H41,Table_9.6.1_2016[],IF(Compliance_Version_Year=2010,18,CH$18),FALSE))))</f>
        <v/>
      </c>
      <c r="CI41" s="473" t="str">
        <f t="shared" si="34"/>
        <v/>
      </c>
      <c r="CL41" s="43" t="str">
        <f t="shared" si="10"/>
        <v/>
      </c>
      <c r="CM41" s="43" t="str">
        <f t="shared" si="11"/>
        <v/>
      </c>
      <c r="CR41" s="42" t="str">
        <f t="shared" si="27"/>
        <v/>
      </c>
      <c r="CS41" s="42" t="str">
        <f>'SpxSp Compliance Details'!I37</f>
        <v/>
      </c>
    </row>
    <row r="42" spans="1:97" x14ac:dyDescent="0.25">
      <c r="A42" s="5">
        <v>21</v>
      </c>
      <c r="B42" s="1627" t="str">
        <f>'Int Room Schedule'!Z36</f>
        <v/>
      </c>
      <c r="C42" s="1628"/>
      <c r="D42" s="1628"/>
      <c r="E42" s="1628"/>
      <c r="F42" s="1367"/>
      <c r="G42" s="321"/>
      <c r="H42" s="472" t="str">
        <f>'Int Room Schedule'!AA36</f>
        <v/>
      </c>
      <c r="I42" s="466" t="str">
        <f t="shared" si="1"/>
        <v/>
      </c>
      <c r="J42" s="655" t="str">
        <f ca="1">IF($B42&lt;&gt;"",VLOOKUP($AN42,INDIRECT('9.6 Table'!$P$338),2,FALSE)," ")</f>
        <v xml:space="preserve"> </v>
      </c>
      <c r="K42" s="948" t="str">
        <f ca="1">IF($B42&lt;&gt;"",VLOOKUP($AN42,INDIRECT('9.6 Table'!$P$338),3,FALSE)," ")</f>
        <v xml:space="preserve"> </v>
      </c>
      <c r="L42" s="484"/>
      <c r="M42" s="362">
        <f t="shared" ca="1" si="29"/>
        <v>1</v>
      </c>
      <c r="N42" s="464">
        <f t="shared" si="3"/>
        <v>0</v>
      </c>
      <c r="O42" s="166">
        <f ca="1">IFERROR(IF(SUMIF('SpxSp (step-b)'!B$26:F$75,'SpxSp (step-a)'!B42,'SpxSp (step-b)'!L$26:L$75)&gt;0,N42,0),0)</f>
        <v>0</v>
      </c>
      <c r="P42" s="486"/>
      <c r="Q42" s="487"/>
      <c r="R42" s="1074">
        <f t="shared" si="12"/>
        <v>0</v>
      </c>
      <c r="S42" s="486"/>
      <c r="T42" s="487"/>
      <c r="U42" s="487"/>
      <c r="V42" s="328" t="str">
        <f t="shared" si="4"/>
        <v/>
      </c>
      <c r="W42" s="1631">
        <f ca="1">SUMIFS('SpxSp (step-b)'!AZ46:AZ95,'SpxSp (step-b)'!AX$26:AX$75,AB42)</f>
        <v>0</v>
      </c>
      <c r="X42" s="1632"/>
      <c r="Y42" s="244"/>
      <c r="Z42" s="244">
        <f>IF(B42="",0,COUNTIF('SpxSp (step-b)'!B46:F80,B42))</f>
        <v>0</v>
      </c>
      <c r="AB42" s="737" t="str">
        <f ca="1">IF(OR($B42="",O42=0),"",VLOOKUP($AN42,INDIRECT('9.6 Table'!$P$338),17,FALSE))</f>
        <v/>
      </c>
      <c r="AC42" s="326"/>
      <c r="AD42" s="326"/>
      <c r="AE42" s="326"/>
      <c r="AF42" s="326"/>
      <c r="AG42" s="326"/>
      <c r="AH42" s="326"/>
      <c r="AI42" s="326"/>
      <c r="AJ42" s="326"/>
      <c r="AK42" s="326"/>
      <c r="AL42" s="326"/>
      <c r="AM42" s="231">
        <f>'Int Room Schedule'!U36</f>
        <v>0</v>
      </c>
      <c r="AN42" s="78" t="str">
        <f t="shared" si="5"/>
        <v/>
      </c>
      <c r="AO42" s="78"/>
      <c r="AP42" s="78"/>
      <c r="AQ42" s="78"/>
      <c r="AR42" s="43" t="str">
        <f t="shared" si="0"/>
        <v/>
      </c>
      <c r="AX42" s="43" t="str">
        <f t="shared" si="6"/>
        <v/>
      </c>
      <c r="AY42" s="326" t="str">
        <f t="shared" si="30"/>
        <v/>
      </c>
      <c r="AZ42" s="194" t="e">
        <f t="array" ref="AZ42">IF(ROWS(AX$22:AX42)&gt;COUNTA($AX$22:$AX$71),"",INDEX($AX$22:$AX$71,SMALL(IF($AX$22:$AX$71&lt;&gt;"",ROW($AX$22:$AX$71)-ROW($AX$22)+1),ROWS($AX$22:AX42))))</f>
        <v>#NUM!</v>
      </c>
      <c r="BA42" s="730" t="str">
        <f t="shared" si="13"/>
        <v/>
      </c>
      <c r="BB42" s="326" t="str">
        <f>IF(BA42="","",SUMIF('SpxSp (step-c)'!B$18:E$67,AZ42,'SpxSp (step-c)'!T$18:T$67))</f>
        <v/>
      </c>
      <c r="BC42" s="326">
        <f t="shared" si="33"/>
        <v>0</v>
      </c>
      <c r="BE42" s="43" t="str">
        <f t="shared" si="7"/>
        <v/>
      </c>
      <c r="BF42" s="326" t="str">
        <f t="shared" si="31"/>
        <v/>
      </c>
      <c r="BG42" s="194" t="e">
        <f t="array" ref="BG42">IF(ROWS(BE$22:BE42)&gt;COUNTA($BE$22:$BE$71),"",INDEX($BE$22:$BE$71,SMALL(IF($BE$22:$BE$71&lt;&gt;"",ROW($BE$22:$BE$71)-ROW($BE$22)+1),ROWS($BE$22:BE42))))</f>
        <v>#NUM!</v>
      </c>
      <c r="BI42" s="480" t="str">
        <f>IF(B42="","",VLOOKUP(B42,'SpxSp Compliance Details'!$Z$18:$BK$67,36,FALSE))</f>
        <v/>
      </c>
      <c r="BJ42" s="473" t="str">
        <f>IF($B42="","",VLOOKUP($H42,Table_9.6.1_2016[],IF(Compliance_Version_Year=2010,18,BJ$18),FALSE))</f>
        <v/>
      </c>
      <c r="BK42" s="473" t="str">
        <f t="shared" si="16"/>
        <v/>
      </c>
      <c r="BL42" s="473" t="str">
        <f>IF($B42="","",VLOOKUP($H42,Table_9.6.1_2016[],IF(Compliance_Version_Year=2010,18,BL$18),FALSE))</f>
        <v/>
      </c>
      <c r="BM42" s="473" t="str">
        <f t="shared" si="17"/>
        <v/>
      </c>
      <c r="BN42" s="473" t="str">
        <f>IF($B42="","",IF($BI42="#1",BN$15,IF($BI42="#2",BN$16,VLOOKUP($H42,Table_9.6.1_2016[],IF(Compliance_Version_Year=2010,18,BN$18),FALSE))))</f>
        <v/>
      </c>
      <c r="BO42" s="473" t="str">
        <f t="shared" si="18"/>
        <v/>
      </c>
      <c r="BP42" s="473" t="str">
        <f>IF($B42="","",IF($BI42="#1",BP$15,IF($BI42="#2",BP$16,VLOOKUP($H42,Table_9.6.1_2016[],IF(Compliance_Version_Year=2010,18,BP$18),FALSE))))</f>
        <v/>
      </c>
      <c r="BQ42" s="473" t="str">
        <f t="shared" si="19"/>
        <v/>
      </c>
      <c r="BR42" s="473" t="str">
        <f>IF($B42="","",IF($BI42="#1",BR$15,IF($BI42="#2",BR$17,VLOOKUP($H42,Table_9.6.1_2016[],IF(Compliance_Version_Year=2010,18,BR$18),FALSE))))</f>
        <v/>
      </c>
      <c r="BS42" s="473" t="str">
        <f t="shared" si="20"/>
        <v/>
      </c>
      <c r="BT42" s="473" t="str">
        <f>IF($B42="","",IF($BI42="#1",BT$15,IF($BI42="#2",BT$16,VLOOKUP($H42,Table_9.6.1_2016[],IF(Compliance_Version_Year=2010,18,BT$18),FALSE))))</f>
        <v/>
      </c>
      <c r="BU42" s="473" t="str">
        <f t="shared" si="21"/>
        <v/>
      </c>
      <c r="BV42" s="473" t="str">
        <f>IF($B42="","",IF($BI42="#1",BV$15,IF($BI42="#2",BV$16,VLOOKUP($H42,Table_9.6.1_2016[],IF(Compliance_Version_Year=2010,18,BV$18),FALSE))))</f>
        <v/>
      </c>
      <c r="BW42" s="473" t="str">
        <f t="shared" si="22"/>
        <v/>
      </c>
      <c r="BX42" s="473" t="str">
        <f>IF($B42="","",VLOOKUP($H42,Table_9.6.1_2016[],IF(Compliance_Version_Year=2010,18,BX$18),FALSE))</f>
        <v/>
      </c>
      <c r="BY42" s="473" t="str">
        <f t="shared" si="23"/>
        <v/>
      </c>
      <c r="BZ42" s="473" t="str">
        <f>IF($B42="","",IF($BI42="#1",BZ$15,VLOOKUP($H42,Table_9.6.1_2016[],IF(Compliance_Version_Year=2010,18,BZ$18),FALSE)))</f>
        <v/>
      </c>
      <c r="CA42" s="473" t="str">
        <f t="shared" si="24"/>
        <v/>
      </c>
      <c r="CB42" s="473" t="str">
        <f>IF($B42="","",IF($BI42="#1",CB$15,IF($BI42="#2",CB$16,VLOOKUP($H42,Table_9.6.1_2016[],IF(Compliance_Version_Year=2010,18,CB$18),FALSE))))</f>
        <v/>
      </c>
      <c r="CC42" s="473" t="str">
        <f t="shared" si="25"/>
        <v/>
      </c>
      <c r="CD42" s="473" t="str">
        <f>IF($B42="","",IF($BI42="#1",CD$15,IF($BI42="#2",CD$16,VLOOKUP($H42,Table_9.6.1_2016[],IF(Compliance_Version_Year=2010,18,CD$18),FALSE))))</f>
        <v/>
      </c>
      <c r="CE42" s="473" t="str">
        <f t="shared" ref="CE42" si="44">IF(OR(CD42="ADD2",CD42="REQ"),"9.4.1.2c, ","")</f>
        <v/>
      </c>
      <c r="CF42" s="473" t="str">
        <f>IF($B42="","",IF($BI42="#1",CF$15,IF($BI42="#2",CF$16,VLOOKUP($H42,Table_9.6.1_2016[],IF(Compliance_Version_Year=2010,18,CF$18),FALSE))))</f>
        <v/>
      </c>
      <c r="CG42" s="473" t="str">
        <f t="shared" si="32"/>
        <v/>
      </c>
      <c r="CH42" s="473" t="str">
        <f>IF($B42="","",IF($BI42="#1",CH$15,IF($BI42="#2",CH$16,VLOOKUP($H42,Table_9.6.1_2016[],IF(Compliance_Version_Year=2010,18,CH$18),FALSE))))</f>
        <v/>
      </c>
      <c r="CI42" s="473" t="str">
        <f t="shared" si="34"/>
        <v/>
      </c>
      <c r="CL42" s="43" t="str">
        <f t="shared" si="10"/>
        <v/>
      </c>
      <c r="CM42" s="43" t="str">
        <f t="shared" si="11"/>
        <v/>
      </c>
      <c r="CR42" s="42" t="str">
        <f t="shared" si="27"/>
        <v/>
      </c>
      <c r="CS42" s="42" t="str">
        <f>'SpxSp Compliance Details'!I38</f>
        <v/>
      </c>
    </row>
    <row r="43" spans="1:97" x14ac:dyDescent="0.25">
      <c r="A43" s="5">
        <v>22</v>
      </c>
      <c r="B43" s="1627" t="str">
        <f>'Int Room Schedule'!Z37</f>
        <v/>
      </c>
      <c r="C43" s="1628"/>
      <c r="D43" s="1628"/>
      <c r="E43" s="1628"/>
      <c r="F43" s="1367"/>
      <c r="G43" s="321"/>
      <c r="H43" s="472" t="str">
        <f>'Int Room Schedule'!AA37</f>
        <v/>
      </c>
      <c r="I43" s="466" t="str">
        <f t="shared" si="1"/>
        <v/>
      </c>
      <c r="J43" s="655" t="str">
        <f ca="1">IF($B43&lt;&gt;"",VLOOKUP($AN43,INDIRECT('9.6 Table'!$P$338),2,FALSE)," ")</f>
        <v xml:space="preserve"> </v>
      </c>
      <c r="K43" s="948" t="str">
        <f ca="1">IF($B43&lt;&gt;"",VLOOKUP($AN43,INDIRECT('9.6 Table'!$P$338),3,FALSE)," ")</f>
        <v xml:space="preserve"> </v>
      </c>
      <c r="L43" s="484"/>
      <c r="M43" s="362">
        <f t="shared" ref="M43:M55" ca="1" si="45">IF(B43="C-Atrium",1,IF(K43="8' wide",IF(L43&lt;8,1.2,1),IF(L43&gt;K43,1.2,1)))</f>
        <v>1</v>
      </c>
      <c r="N43" s="464">
        <f t="shared" si="3"/>
        <v>0</v>
      </c>
      <c r="O43" s="166">
        <f ca="1">IFERROR(IF(SUMIF('SpxSp (step-b)'!B$26:F$75,'SpxSp (step-a)'!B43,'SpxSp (step-b)'!L$26:L$75)&gt;0,N43,0),0)</f>
        <v>0</v>
      </c>
      <c r="P43" s="486"/>
      <c r="Q43" s="487"/>
      <c r="R43" s="1074">
        <f t="shared" si="12"/>
        <v>0</v>
      </c>
      <c r="S43" s="486"/>
      <c r="T43" s="487"/>
      <c r="U43" s="487"/>
      <c r="V43" s="328" t="str">
        <f t="shared" si="4"/>
        <v/>
      </c>
      <c r="W43" s="1631">
        <f ca="1">SUMIFS('SpxSp (step-b)'!AZ47:AZ96,'SpxSp (step-b)'!AX$26:AX$75,AB43)</f>
        <v>0</v>
      </c>
      <c r="X43" s="1632"/>
      <c r="Y43" s="244"/>
      <c r="Z43" s="244">
        <f>IF(B43="",0,COUNTIF('SpxSp (step-b)'!B47:F80,B43))</f>
        <v>0</v>
      </c>
      <c r="AB43" s="737" t="str">
        <f ca="1">IF(OR($B43="",O43=0),"",VLOOKUP($AN43,INDIRECT('9.6 Table'!$P$338),17,FALSE))</f>
        <v/>
      </c>
      <c r="AC43" s="326"/>
      <c r="AD43" s="326"/>
      <c r="AE43" s="326"/>
      <c r="AF43" s="326"/>
      <c r="AG43" s="326"/>
      <c r="AH43" s="326"/>
      <c r="AI43" s="326"/>
      <c r="AJ43" s="326"/>
      <c r="AK43" s="326"/>
      <c r="AL43" s="326"/>
      <c r="AM43" s="231">
        <f>'Int Room Schedule'!U37</f>
        <v>0</v>
      </c>
      <c r="AN43" s="78" t="str">
        <f t="shared" si="5"/>
        <v/>
      </c>
      <c r="AO43" s="78"/>
      <c r="AP43" s="78"/>
      <c r="AQ43" s="78"/>
      <c r="AR43" s="43" t="str">
        <f t="shared" si="0"/>
        <v/>
      </c>
      <c r="AX43" s="43" t="str">
        <f t="shared" si="6"/>
        <v/>
      </c>
      <c r="AY43" s="326" t="str">
        <f t="shared" ref="AY43:AY55" si="46">IFERROR(IF($B43="","",IF(AZ43&lt;&gt;" ",1,0)),"")</f>
        <v/>
      </c>
      <c r="AZ43" s="194" t="e">
        <f t="array" ref="AZ43">IF(ROWS(AX$22:AX43)&gt;COUNTA($AX$22:$AX$71),"",INDEX($AX$22:$AX$71,SMALL(IF($AX$22:$AX$71&lt;&gt;"",ROW($AX$22:$AX$71)-ROW($AX$22)+1),ROWS($AX$22:AX43))))</f>
        <v>#NUM!</v>
      </c>
      <c r="BA43" s="730" t="str">
        <f t="shared" si="13"/>
        <v/>
      </c>
      <c r="BB43" s="326" t="str">
        <f>IF(BA43="","",SUMIF('SpxSp (step-c)'!B$18:E$67,AZ43,'SpxSp (step-c)'!T$18:T$67))</f>
        <v/>
      </c>
      <c r="BC43" s="326">
        <f t="shared" si="33"/>
        <v>0</v>
      </c>
      <c r="BE43" s="43" t="str">
        <f t="shared" si="7"/>
        <v/>
      </c>
      <c r="BF43" s="326" t="str">
        <f t="shared" si="31"/>
        <v/>
      </c>
      <c r="BG43" s="194" t="e">
        <f t="array" ref="BG43">IF(ROWS(BE$22:BE43)&gt;COUNTA($BE$22:$BE$71),"",INDEX($BE$22:$BE$71,SMALL(IF($BE$22:$BE$71&lt;&gt;"",ROW($BE$22:$BE$71)-ROW($BE$22)+1),ROWS($BE$22:BE43))))</f>
        <v>#NUM!</v>
      </c>
      <c r="BI43" s="480" t="str">
        <f>IF(B43="","",VLOOKUP(B43,'SpxSp Compliance Details'!$Z$18:$BK$67,36,FALSE))</f>
        <v/>
      </c>
      <c r="BJ43" s="473" t="str">
        <f>IF($B43="","",VLOOKUP($H43,Table_9.6.1_2016[],IF(Compliance_Version_Year=2010,18,BJ$18),FALSE))</f>
        <v/>
      </c>
      <c r="BK43" s="473" t="str">
        <f t="shared" si="16"/>
        <v/>
      </c>
      <c r="BL43" s="473" t="str">
        <f>IF($B43="","",VLOOKUP($H43,Table_9.6.1_2016[],IF(Compliance_Version_Year=2010,18,BL$18),FALSE))</f>
        <v/>
      </c>
      <c r="BM43" s="473" t="str">
        <f t="shared" si="17"/>
        <v/>
      </c>
      <c r="BN43" s="473" t="str">
        <f>IF($B43="","",IF($BI43="#1",BN$15,IF($BI43="#2",BN$16,VLOOKUP($H43,Table_9.6.1_2016[],IF(Compliance_Version_Year=2010,18,BN$18),FALSE))))</f>
        <v/>
      </c>
      <c r="BO43" s="473" t="str">
        <f t="shared" si="18"/>
        <v/>
      </c>
      <c r="BP43" s="473" t="str">
        <f>IF($B43="","",IF($BI43="#1",BP$15,IF($BI43="#2",BP$16,VLOOKUP($H43,Table_9.6.1_2016[],IF(Compliance_Version_Year=2010,18,BP$18),FALSE))))</f>
        <v/>
      </c>
      <c r="BQ43" s="473" t="str">
        <f t="shared" si="19"/>
        <v/>
      </c>
      <c r="BR43" s="473" t="str">
        <f>IF($B43="","",IF($BI43="#1",BR$15,IF($BI43="#2",BR$17,VLOOKUP($H43,Table_9.6.1_2016[],IF(Compliance_Version_Year=2010,18,BR$18),FALSE))))</f>
        <v/>
      </c>
      <c r="BS43" s="473" t="str">
        <f t="shared" si="20"/>
        <v/>
      </c>
      <c r="BT43" s="473" t="str">
        <f>IF($B43="","",IF($BI43="#1",BT$15,IF($BI43="#2",BT$16,VLOOKUP($H43,Table_9.6.1_2016[],IF(Compliance_Version_Year=2010,18,BT$18),FALSE))))</f>
        <v/>
      </c>
      <c r="BU43" s="473" t="str">
        <f t="shared" si="21"/>
        <v/>
      </c>
      <c r="BV43" s="473" t="str">
        <f>IF($B43="","",IF($BI43="#1",BV$15,IF($BI43="#2",BV$16,VLOOKUP($H43,Table_9.6.1_2016[],IF(Compliance_Version_Year=2010,18,BV$18),FALSE))))</f>
        <v/>
      </c>
      <c r="BW43" s="473" t="str">
        <f t="shared" si="22"/>
        <v/>
      </c>
      <c r="BX43" s="473" t="str">
        <f>IF($B43="","",VLOOKUP($H43,Table_9.6.1_2016[],IF(Compliance_Version_Year=2010,18,BX$18),FALSE))</f>
        <v/>
      </c>
      <c r="BY43" s="473" t="str">
        <f t="shared" si="23"/>
        <v/>
      </c>
      <c r="BZ43" s="473" t="str">
        <f>IF($B43="","",IF($BI43="#1",BZ$15,VLOOKUP($H43,Table_9.6.1_2016[],IF(Compliance_Version_Year=2010,18,BZ$18),FALSE)))</f>
        <v/>
      </c>
      <c r="CA43" s="473" t="str">
        <f t="shared" si="24"/>
        <v/>
      </c>
      <c r="CB43" s="473" t="str">
        <f>IF($B43="","",IF($BI43="#1",CB$15,IF($BI43="#2",CB$16,VLOOKUP($H43,Table_9.6.1_2016[],IF(Compliance_Version_Year=2010,18,CB$18),FALSE))))</f>
        <v/>
      </c>
      <c r="CC43" s="473" t="str">
        <f t="shared" si="25"/>
        <v/>
      </c>
      <c r="CD43" s="473" t="str">
        <f>IF($B43="","",IF($BI43="#1",CD$15,IF($BI43="#2",CD$16,VLOOKUP($H43,Table_9.6.1_2016[],IF(Compliance_Version_Year=2010,18,CD$18),FALSE))))</f>
        <v/>
      </c>
      <c r="CE43" s="473" t="str">
        <f t="shared" ref="CE43" si="47">IF(OR(CD43="ADD2",CD43="REQ"),"9.4.1.2c, ","")</f>
        <v/>
      </c>
      <c r="CF43" s="473" t="str">
        <f>IF($B43="","",IF($BI43="#1",CF$15,IF($BI43="#2",CF$16,VLOOKUP($H43,Table_9.6.1_2016[],IF(Compliance_Version_Year=2010,18,CF$18),FALSE))))</f>
        <v/>
      </c>
      <c r="CG43" s="473" t="str">
        <f t="shared" si="32"/>
        <v/>
      </c>
      <c r="CH43" s="473" t="str">
        <f>IF($B43="","",IF($BI43="#1",CH$15,IF($BI43="#2",CH$16,VLOOKUP($H43,Table_9.6.1_2016[],IF(Compliance_Version_Year=2010,18,CH$18),FALSE))))</f>
        <v/>
      </c>
      <c r="CI43" s="473" t="str">
        <f t="shared" si="34"/>
        <v/>
      </c>
      <c r="CL43" s="43" t="str">
        <f t="shared" si="10"/>
        <v/>
      </c>
      <c r="CM43" s="43" t="str">
        <f t="shared" si="11"/>
        <v/>
      </c>
      <c r="CR43" s="42" t="str">
        <f t="shared" si="27"/>
        <v/>
      </c>
      <c r="CS43" s="42" t="str">
        <f>'SpxSp Compliance Details'!I39</f>
        <v/>
      </c>
    </row>
    <row r="44" spans="1:97" x14ac:dyDescent="0.25">
      <c r="A44" s="5">
        <v>23</v>
      </c>
      <c r="B44" s="1627" t="str">
        <f>'Int Room Schedule'!Z38</f>
        <v/>
      </c>
      <c r="C44" s="1628"/>
      <c r="D44" s="1628"/>
      <c r="E44" s="1628"/>
      <c r="F44" s="1367"/>
      <c r="G44" s="321"/>
      <c r="H44" s="472" t="str">
        <f>'Int Room Schedule'!AA38</f>
        <v/>
      </c>
      <c r="I44" s="466" t="str">
        <f t="shared" si="1"/>
        <v/>
      </c>
      <c r="J44" s="655" t="str">
        <f ca="1">IF($B44&lt;&gt;"",VLOOKUP($AN44,INDIRECT('9.6 Table'!$P$338),2,FALSE)," ")</f>
        <v xml:space="preserve"> </v>
      </c>
      <c r="K44" s="948" t="str">
        <f ca="1">IF($B44&lt;&gt;"",VLOOKUP($AN44,INDIRECT('9.6 Table'!$P$338),3,FALSE)," ")</f>
        <v xml:space="preserve"> </v>
      </c>
      <c r="L44" s="484"/>
      <c r="M44" s="362">
        <f t="shared" ca="1" si="45"/>
        <v>1</v>
      </c>
      <c r="N44" s="464">
        <f t="shared" si="3"/>
        <v>0</v>
      </c>
      <c r="O44" s="166">
        <f ca="1">IFERROR(IF(SUMIF('SpxSp (step-b)'!B$26:F$75,'SpxSp (step-a)'!B44,'SpxSp (step-b)'!L$26:L$75)&gt;0,N44,0),0)</f>
        <v>0</v>
      </c>
      <c r="P44" s="486"/>
      <c r="Q44" s="487"/>
      <c r="R44" s="1074">
        <f t="shared" si="12"/>
        <v>0</v>
      </c>
      <c r="S44" s="486"/>
      <c r="T44" s="487"/>
      <c r="U44" s="487"/>
      <c r="V44" s="328" t="str">
        <f t="shared" si="4"/>
        <v/>
      </c>
      <c r="W44" s="1631">
        <f ca="1">SUMIFS('SpxSp (step-b)'!AZ48:AZ97,'SpxSp (step-b)'!AX$26:AX$75,AB44)</f>
        <v>0</v>
      </c>
      <c r="X44" s="1632"/>
      <c r="Y44" s="244"/>
      <c r="Z44" s="244">
        <f>IF(B44="",0,COUNTIF('SpxSp (step-b)'!B48:F80,B44))</f>
        <v>0</v>
      </c>
      <c r="AB44" s="737" t="str">
        <f ca="1">IF(OR($B44="",O44=0),"",VLOOKUP($AN44,INDIRECT('9.6 Table'!$P$338),17,FALSE))</f>
        <v/>
      </c>
      <c r="AC44" s="326"/>
      <c r="AD44" s="326"/>
      <c r="AE44" s="326"/>
      <c r="AF44" s="326"/>
      <c r="AG44" s="326"/>
      <c r="AH44" s="326"/>
      <c r="AI44" s="326"/>
      <c r="AJ44" s="326"/>
      <c r="AK44" s="326"/>
      <c r="AL44" s="326"/>
      <c r="AM44" s="231">
        <f>'Int Room Schedule'!U38</f>
        <v>0</v>
      </c>
      <c r="AN44" s="78" t="str">
        <f t="shared" si="5"/>
        <v/>
      </c>
      <c r="AO44" s="78"/>
      <c r="AP44" s="78"/>
      <c r="AQ44" s="78"/>
      <c r="AR44" s="43" t="str">
        <f t="shared" si="0"/>
        <v/>
      </c>
      <c r="AX44" s="43" t="str">
        <f t="shared" si="6"/>
        <v/>
      </c>
      <c r="AY44" s="326" t="str">
        <f t="shared" si="46"/>
        <v/>
      </c>
      <c r="AZ44" s="194" t="e">
        <f t="array" ref="AZ44">IF(ROWS(AX$22:AX44)&gt;COUNTA($AX$22:$AX$71),"",INDEX($AX$22:$AX$71,SMALL(IF($AX$22:$AX$71&lt;&gt;"",ROW($AX$22:$AX$71)-ROW($AX$22)+1),ROWS($AX$22:AX44))))</f>
        <v>#NUM!</v>
      </c>
      <c r="BA44" s="730" t="str">
        <f t="shared" si="13"/>
        <v/>
      </c>
      <c r="BB44" s="326" t="str">
        <f>IF(BA44="","",SUMIF('SpxSp (step-c)'!B$18:E$67,AZ44,'SpxSp (step-c)'!T$18:T$67))</f>
        <v/>
      </c>
      <c r="BC44" s="326">
        <f t="shared" si="33"/>
        <v>0</v>
      </c>
      <c r="BE44" s="43" t="str">
        <f t="shared" si="7"/>
        <v/>
      </c>
      <c r="BF44" s="326" t="str">
        <f t="shared" si="31"/>
        <v/>
      </c>
      <c r="BG44" s="194" t="e">
        <f t="array" ref="BG44">IF(ROWS(BE$22:BE44)&gt;COUNTA($BE$22:$BE$71),"",INDEX($BE$22:$BE$71,SMALL(IF($BE$22:$BE$71&lt;&gt;"",ROW($BE$22:$BE$71)-ROW($BE$22)+1),ROWS($BE$22:BE44))))</f>
        <v>#NUM!</v>
      </c>
      <c r="BI44" s="480" t="str">
        <f>IF(B44="","",VLOOKUP(B44,'SpxSp Compliance Details'!$Z$18:$BK$67,36,FALSE))</f>
        <v/>
      </c>
      <c r="BJ44" s="473" t="str">
        <f>IF($B44="","",VLOOKUP($H44,Table_9.6.1_2016[],IF(Compliance_Version_Year=2010,18,BJ$18),FALSE))</f>
        <v/>
      </c>
      <c r="BK44" s="473" t="str">
        <f t="shared" si="16"/>
        <v/>
      </c>
      <c r="BL44" s="473" t="str">
        <f>IF($B44="","",VLOOKUP($H44,Table_9.6.1_2016[],IF(Compliance_Version_Year=2010,18,BL$18),FALSE))</f>
        <v/>
      </c>
      <c r="BM44" s="473" t="str">
        <f t="shared" si="17"/>
        <v/>
      </c>
      <c r="BN44" s="473" t="str">
        <f>IF($B44="","",IF($BI44="#1",BN$15,IF($BI44="#2",BN$16,VLOOKUP($H44,Table_9.6.1_2016[],IF(Compliance_Version_Year=2010,18,BN$18),FALSE))))</f>
        <v/>
      </c>
      <c r="BO44" s="473" t="str">
        <f t="shared" si="18"/>
        <v/>
      </c>
      <c r="BP44" s="473" t="str">
        <f>IF($B44="","",IF($BI44="#1",BP$15,IF($BI44="#2",BP$16,VLOOKUP($H44,Table_9.6.1_2016[],IF(Compliance_Version_Year=2010,18,BP$18),FALSE))))</f>
        <v/>
      </c>
      <c r="BQ44" s="473" t="str">
        <f t="shared" si="19"/>
        <v/>
      </c>
      <c r="BR44" s="473" t="str">
        <f>IF($B44="","",IF($BI44="#1",BR$15,IF($BI44="#2",BR$17,VLOOKUP($H44,Table_9.6.1_2016[],IF(Compliance_Version_Year=2010,18,BR$18),FALSE))))</f>
        <v/>
      </c>
      <c r="BS44" s="473" t="str">
        <f t="shared" si="20"/>
        <v/>
      </c>
      <c r="BT44" s="473" t="str">
        <f>IF($B44="","",IF($BI44="#1",BT$15,IF($BI44="#2",BT$16,VLOOKUP($H44,Table_9.6.1_2016[],IF(Compliance_Version_Year=2010,18,BT$18),FALSE))))</f>
        <v/>
      </c>
      <c r="BU44" s="473" t="str">
        <f t="shared" si="21"/>
        <v/>
      </c>
      <c r="BV44" s="473" t="str">
        <f>IF($B44="","",IF($BI44="#1",BV$15,IF($BI44="#2",BV$16,VLOOKUP($H44,Table_9.6.1_2016[],IF(Compliance_Version_Year=2010,18,BV$18),FALSE))))</f>
        <v/>
      </c>
      <c r="BW44" s="473" t="str">
        <f t="shared" si="22"/>
        <v/>
      </c>
      <c r="BX44" s="473" t="str">
        <f>IF($B44="","",VLOOKUP($H44,Table_9.6.1_2016[],IF(Compliance_Version_Year=2010,18,BX$18),FALSE))</f>
        <v/>
      </c>
      <c r="BY44" s="473" t="str">
        <f t="shared" si="23"/>
        <v/>
      </c>
      <c r="BZ44" s="473" t="str">
        <f>IF($B44="","",IF($BI44="#1",BZ$15,VLOOKUP($H44,Table_9.6.1_2016[],IF(Compliance_Version_Year=2010,18,BZ$18),FALSE)))</f>
        <v/>
      </c>
      <c r="CA44" s="473" t="str">
        <f t="shared" si="24"/>
        <v/>
      </c>
      <c r="CB44" s="473" t="str">
        <f>IF($B44="","",IF($BI44="#1",CB$15,IF($BI44="#2",CB$16,VLOOKUP($H44,Table_9.6.1_2016[],IF(Compliance_Version_Year=2010,18,CB$18),FALSE))))</f>
        <v/>
      </c>
      <c r="CC44" s="473" t="str">
        <f t="shared" si="25"/>
        <v/>
      </c>
      <c r="CD44" s="473" t="str">
        <f>IF($B44="","",IF($BI44="#1",CD$15,IF($BI44="#2",CD$16,VLOOKUP($H44,Table_9.6.1_2016[],IF(Compliance_Version_Year=2010,18,CD$18),FALSE))))</f>
        <v/>
      </c>
      <c r="CE44" s="473" t="str">
        <f t="shared" ref="CE44" si="48">IF(OR(CD44="ADD2",CD44="REQ"),"9.4.1.2c, ","")</f>
        <v/>
      </c>
      <c r="CF44" s="473" t="str">
        <f>IF($B44="","",IF($BI44="#1",CF$15,IF($BI44="#2",CF$16,VLOOKUP($H44,Table_9.6.1_2016[],IF(Compliance_Version_Year=2010,18,CF$18),FALSE))))</f>
        <v/>
      </c>
      <c r="CG44" s="473" t="str">
        <f t="shared" si="32"/>
        <v/>
      </c>
      <c r="CH44" s="473" t="str">
        <f>IF($B44="","",IF($BI44="#1",CH$15,IF($BI44="#2",CH$16,VLOOKUP($H44,Table_9.6.1_2016[],IF(Compliance_Version_Year=2010,18,CH$18),FALSE))))</f>
        <v/>
      </c>
      <c r="CI44" s="473" t="str">
        <f t="shared" si="34"/>
        <v/>
      </c>
      <c r="CL44" s="43" t="str">
        <f t="shared" si="10"/>
        <v/>
      </c>
      <c r="CM44" s="43" t="str">
        <f t="shared" si="11"/>
        <v/>
      </c>
      <c r="CR44" s="42" t="str">
        <f t="shared" si="27"/>
        <v/>
      </c>
      <c r="CS44" s="42" t="str">
        <f>'SpxSp Compliance Details'!I40</f>
        <v/>
      </c>
    </row>
    <row r="45" spans="1:97" x14ac:dyDescent="0.25">
      <c r="A45" s="5">
        <v>24</v>
      </c>
      <c r="B45" s="1627" t="str">
        <f>'Int Room Schedule'!Z39</f>
        <v/>
      </c>
      <c r="C45" s="1628"/>
      <c r="D45" s="1628"/>
      <c r="E45" s="1628"/>
      <c r="F45" s="1367"/>
      <c r="G45" s="321"/>
      <c r="H45" s="472" t="str">
        <f>'Int Room Schedule'!AA39</f>
        <v/>
      </c>
      <c r="I45" s="466" t="str">
        <f t="shared" si="1"/>
        <v/>
      </c>
      <c r="J45" s="655" t="str">
        <f ca="1">IF($B45&lt;&gt;"",VLOOKUP($AN45,INDIRECT('9.6 Table'!$P$338),2,FALSE)," ")</f>
        <v xml:space="preserve"> </v>
      </c>
      <c r="K45" s="948" t="str">
        <f ca="1">IF($B45&lt;&gt;"",VLOOKUP($AN45,INDIRECT('9.6 Table'!$P$338),3,FALSE)," ")</f>
        <v xml:space="preserve"> </v>
      </c>
      <c r="L45" s="484"/>
      <c r="M45" s="362">
        <f t="shared" ca="1" si="45"/>
        <v>1</v>
      </c>
      <c r="N45" s="464">
        <f t="shared" si="3"/>
        <v>0</v>
      </c>
      <c r="O45" s="166">
        <f ca="1">IFERROR(IF(SUMIF('SpxSp (step-b)'!B$26:F$75,'SpxSp (step-a)'!B45,'SpxSp (step-b)'!L$26:L$75)&gt;0,N45,0),0)</f>
        <v>0</v>
      </c>
      <c r="P45" s="486"/>
      <c r="Q45" s="487"/>
      <c r="R45" s="1074">
        <f t="shared" si="12"/>
        <v>0</v>
      </c>
      <c r="S45" s="486"/>
      <c r="T45" s="487"/>
      <c r="U45" s="487"/>
      <c r="V45" s="328" t="str">
        <f t="shared" si="4"/>
        <v/>
      </c>
      <c r="W45" s="1631">
        <f ca="1">SUMIFS('SpxSp (step-b)'!AZ49:AZ98,'SpxSp (step-b)'!AX$26:AX$75,AB45)</f>
        <v>0</v>
      </c>
      <c r="X45" s="1632"/>
      <c r="Y45" s="244"/>
      <c r="Z45" s="244">
        <f>IF(B45="",0,COUNTIF('SpxSp (step-b)'!B49:F80,B45))</f>
        <v>0</v>
      </c>
      <c r="AB45" s="737" t="str">
        <f ca="1">IF(OR($B45="",O45=0),"",VLOOKUP($AN45,INDIRECT('9.6 Table'!$P$338),17,FALSE))</f>
        <v/>
      </c>
      <c r="AC45" s="326"/>
      <c r="AD45" s="326"/>
      <c r="AE45" s="326"/>
      <c r="AF45" s="326"/>
      <c r="AG45" s="326"/>
      <c r="AH45" s="326"/>
      <c r="AI45" s="326"/>
      <c r="AJ45" s="326"/>
      <c r="AK45" s="326"/>
      <c r="AL45" s="326"/>
      <c r="AM45" s="231">
        <f>'Int Room Schedule'!U39</f>
        <v>0</v>
      </c>
      <c r="AN45" s="78" t="str">
        <f t="shared" si="5"/>
        <v/>
      </c>
      <c r="AO45" s="78"/>
      <c r="AP45" s="78"/>
      <c r="AQ45" s="78"/>
      <c r="AR45" s="43" t="str">
        <f t="shared" si="0"/>
        <v/>
      </c>
      <c r="AX45" s="43" t="str">
        <f t="shared" si="6"/>
        <v/>
      </c>
      <c r="AY45" s="326" t="str">
        <f t="shared" si="46"/>
        <v/>
      </c>
      <c r="AZ45" s="194" t="e">
        <f t="array" ref="AZ45">IF(ROWS(AX$22:AX45)&gt;COUNTA($AX$22:$AX$71),"",INDEX($AX$22:$AX$71,SMALL(IF($AX$22:$AX$71&lt;&gt;"",ROW($AX$22:$AX$71)-ROW($AX$22)+1),ROWS($AX$22:AX45))))</f>
        <v>#NUM!</v>
      </c>
      <c r="BA45" s="730" t="str">
        <f t="shared" si="13"/>
        <v/>
      </c>
      <c r="BB45" s="326" t="str">
        <f>IF(BA45="","",SUMIF('SpxSp (step-c)'!B$18:E$67,AZ45,'SpxSp (step-c)'!T$18:T$67))</f>
        <v/>
      </c>
      <c r="BC45" s="326">
        <f t="shared" si="33"/>
        <v>0</v>
      </c>
      <c r="BE45" s="43" t="str">
        <f t="shared" si="7"/>
        <v/>
      </c>
      <c r="BF45" s="326" t="str">
        <f t="shared" si="31"/>
        <v/>
      </c>
      <c r="BG45" s="194" t="e">
        <f t="array" ref="BG45">IF(ROWS(BE$22:BE45)&gt;COUNTA($BE$22:$BE$71),"",INDEX($BE$22:$BE$71,SMALL(IF($BE$22:$BE$71&lt;&gt;"",ROW($BE$22:$BE$71)-ROW($BE$22)+1),ROWS($BE$22:BE45))))</f>
        <v>#NUM!</v>
      </c>
      <c r="BI45" s="480" t="str">
        <f>IF(B45="","",VLOOKUP(B45,'SpxSp Compliance Details'!$Z$18:$BK$67,36,FALSE))</f>
        <v/>
      </c>
      <c r="BJ45" s="473" t="str">
        <f>IF($B45="","",VLOOKUP($H45,Table_9.6.1_2016[],IF(Compliance_Version_Year=2010,18,BJ$18),FALSE))</f>
        <v/>
      </c>
      <c r="BK45" s="473" t="str">
        <f t="shared" si="16"/>
        <v/>
      </c>
      <c r="BL45" s="473" t="str">
        <f>IF($B45="","",VLOOKUP($H45,Table_9.6.1_2016[],IF(Compliance_Version_Year=2010,18,BL$18),FALSE))</f>
        <v/>
      </c>
      <c r="BM45" s="473" t="str">
        <f t="shared" si="17"/>
        <v/>
      </c>
      <c r="BN45" s="473" t="str">
        <f>IF($B45="","",IF($BI45="#1",BN$15,IF($BI45="#2",BN$16,VLOOKUP($H45,Table_9.6.1_2016[],IF(Compliance_Version_Year=2010,18,BN$18),FALSE))))</f>
        <v/>
      </c>
      <c r="BO45" s="473" t="str">
        <f t="shared" si="18"/>
        <v/>
      </c>
      <c r="BP45" s="473" t="str">
        <f>IF($B45="","",IF($BI45="#1",BP$15,IF($BI45="#2",BP$16,VLOOKUP($H45,Table_9.6.1_2016[],IF(Compliance_Version_Year=2010,18,BP$18),FALSE))))</f>
        <v/>
      </c>
      <c r="BQ45" s="473" t="str">
        <f t="shared" si="19"/>
        <v/>
      </c>
      <c r="BR45" s="473" t="str">
        <f>IF($B45="","",IF($BI45="#1",BR$15,IF($BI45="#2",BR$17,VLOOKUP($H45,Table_9.6.1_2016[],IF(Compliance_Version_Year=2010,18,BR$18),FALSE))))</f>
        <v/>
      </c>
      <c r="BS45" s="473" t="str">
        <f t="shared" si="20"/>
        <v/>
      </c>
      <c r="BT45" s="473" t="str">
        <f>IF($B45="","",IF($BI45="#1",BT$15,IF($BI45="#2",BT$16,VLOOKUP($H45,Table_9.6.1_2016[],IF(Compliance_Version_Year=2010,18,BT$18),FALSE))))</f>
        <v/>
      </c>
      <c r="BU45" s="473" t="str">
        <f t="shared" si="21"/>
        <v/>
      </c>
      <c r="BV45" s="473" t="str">
        <f>IF($B45="","",IF($BI45="#1",BV$15,IF($BI45="#2",BV$16,VLOOKUP($H45,Table_9.6.1_2016[],IF(Compliance_Version_Year=2010,18,BV$18),FALSE))))</f>
        <v/>
      </c>
      <c r="BW45" s="473" t="str">
        <f t="shared" si="22"/>
        <v/>
      </c>
      <c r="BX45" s="473" t="str">
        <f>IF($B45="","",VLOOKUP($H45,Table_9.6.1_2016[],IF(Compliance_Version_Year=2010,18,BX$18),FALSE))</f>
        <v/>
      </c>
      <c r="BY45" s="473" t="str">
        <f t="shared" si="23"/>
        <v/>
      </c>
      <c r="BZ45" s="473" t="str">
        <f>IF($B45="","",IF($BI45="#1",BZ$15,VLOOKUP($H45,Table_9.6.1_2016[],IF(Compliance_Version_Year=2010,18,BZ$18),FALSE)))</f>
        <v/>
      </c>
      <c r="CA45" s="473" t="str">
        <f t="shared" si="24"/>
        <v/>
      </c>
      <c r="CB45" s="473" t="str">
        <f>IF($B45="","",IF($BI45="#1",CB$15,IF($BI45="#2",CB$16,VLOOKUP($H45,Table_9.6.1_2016[],IF(Compliance_Version_Year=2010,18,CB$18),FALSE))))</f>
        <v/>
      </c>
      <c r="CC45" s="473" t="str">
        <f t="shared" si="25"/>
        <v/>
      </c>
      <c r="CD45" s="473" t="str">
        <f>IF($B45="","",IF($BI45="#1",CD$15,IF($BI45="#2",CD$16,VLOOKUP($H45,Table_9.6.1_2016[],IF(Compliance_Version_Year=2010,18,CD$18),FALSE))))</f>
        <v/>
      </c>
      <c r="CE45" s="473" t="str">
        <f t="shared" ref="CE45" si="49">IF(OR(CD45="ADD2",CD45="REQ"),"9.4.1.2c, ","")</f>
        <v/>
      </c>
      <c r="CF45" s="473" t="str">
        <f>IF($B45="","",IF($BI45="#1",CF$15,IF($BI45="#2",CF$16,VLOOKUP($H45,Table_9.6.1_2016[],IF(Compliance_Version_Year=2010,18,CF$18),FALSE))))</f>
        <v/>
      </c>
      <c r="CG45" s="473" t="str">
        <f t="shared" si="32"/>
        <v/>
      </c>
      <c r="CH45" s="473" t="str">
        <f>IF($B45="","",IF($BI45="#1",CH$15,IF($BI45="#2",CH$16,VLOOKUP($H45,Table_9.6.1_2016[],IF(Compliance_Version_Year=2010,18,CH$18),FALSE))))</f>
        <v/>
      </c>
      <c r="CI45" s="473" t="str">
        <f t="shared" si="34"/>
        <v/>
      </c>
      <c r="CL45" s="43" t="str">
        <f t="shared" si="10"/>
        <v/>
      </c>
      <c r="CM45" s="43" t="str">
        <f t="shared" si="11"/>
        <v/>
      </c>
      <c r="CR45" s="42" t="str">
        <f t="shared" si="27"/>
        <v/>
      </c>
      <c r="CS45" s="42" t="str">
        <f>'SpxSp Compliance Details'!I41</f>
        <v/>
      </c>
    </row>
    <row r="46" spans="1:97" x14ac:dyDescent="0.25">
      <c r="A46" s="5">
        <v>25</v>
      </c>
      <c r="B46" s="1627" t="str">
        <f>'Int Room Schedule'!Z40</f>
        <v/>
      </c>
      <c r="C46" s="1628"/>
      <c r="D46" s="1628"/>
      <c r="E46" s="1628"/>
      <c r="F46" s="1367"/>
      <c r="G46" s="321"/>
      <c r="H46" s="472" t="str">
        <f>'Int Room Schedule'!AA40</f>
        <v/>
      </c>
      <c r="I46" s="466" t="str">
        <f t="shared" si="1"/>
        <v/>
      </c>
      <c r="J46" s="655" t="str">
        <f ca="1">IF($B46&lt;&gt;"",VLOOKUP($AN46,INDIRECT('9.6 Table'!$P$338),2,FALSE)," ")</f>
        <v xml:space="preserve"> </v>
      </c>
      <c r="K46" s="948" t="str">
        <f ca="1">IF($B46&lt;&gt;"",VLOOKUP($AN46,INDIRECT('9.6 Table'!$P$338),3,FALSE)," ")</f>
        <v xml:space="preserve"> </v>
      </c>
      <c r="L46" s="484"/>
      <c r="M46" s="362">
        <f t="shared" ca="1" si="45"/>
        <v>1</v>
      </c>
      <c r="N46" s="464">
        <f t="shared" si="3"/>
        <v>0</v>
      </c>
      <c r="O46" s="166">
        <f ca="1">IFERROR(IF(SUMIF('SpxSp (step-b)'!B$26:F$75,'SpxSp (step-a)'!B46,'SpxSp (step-b)'!L$26:L$75)&gt;0,N46,0),0)</f>
        <v>0</v>
      </c>
      <c r="P46" s="486"/>
      <c r="Q46" s="487"/>
      <c r="R46" s="1074">
        <f t="shared" si="12"/>
        <v>0</v>
      </c>
      <c r="S46" s="486"/>
      <c r="T46" s="487"/>
      <c r="U46" s="487"/>
      <c r="V46" s="328" t="str">
        <f t="shared" si="4"/>
        <v/>
      </c>
      <c r="W46" s="1631">
        <f ca="1">SUMIFS('SpxSp (step-b)'!AZ50:AZ99,'SpxSp (step-b)'!AX$26:AX$75,AB46)</f>
        <v>0</v>
      </c>
      <c r="X46" s="1632"/>
      <c r="Y46" s="244"/>
      <c r="Z46" s="244">
        <f>IF(B46="",0,COUNTIF('SpxSp (step-b)'!B50:F80,B46))</f>
        <v>0</v>
      </c>
      <c r="AB46" s="737" t="str">
        <f ca="1">IF(OR($B46="",O46=0),"",VLOOKUP($AN46,INDIRECT('9.6 Table'!$P$338),17,FALSE))</f>
        <v/>
      </c>
      <c r="AC46" s="326"/>
      <c r="AD46" s="326"/>
      <c r="AE46" s="326"/>
      <c r="AF46" s="326"/>
      <c r="AG46" s="326"/>
      <c r="AH46" s="326"/>
      <c r="AI46" s="326"/>
      <c r="AJ46" s="326"/>
      <c r="AK46" s="326"/>
      <c r="AL46" s="326"/>
      <c r="AM46" s="231">
        <f>'Int Room Schedule'!U40</f>
        <v>0</v>
      </c>
      <c r="AN46" s="78" t="str">
        <f t="shared" si="5"/>
        <v/>
      </c>
      <c r="AO46" s="78"/>
      <c r="AP46" s="78"/>
      <c r="AQ46" s="78"/>
      <c r="AR46" s="43" t="str">
        <f t="shared" si="0"/>
        <v/>
      </c>
      <c r="AX46" s="43" t="str">
        <f t="shared" si="6"/>
        <v/>
      </c>
      <c r="AY46" s="326" t="str">
        <f t="shared" si="46"/>
        <v/>
      </c>
      <c r="AZ46" s="194" t="e">
        <f t="array" ref="AZ46">IF(ROWS(AX$22:AX46)&gt;COUNTA($AX$22:$AX$71),"",INDEX($AX$22:$AX$71,SMALL(IF($AX$22:$AX$71&lt;&gt;"",ROW($AX$22:$AX$71)-ROW($AX$22)+1),ROWS($AX$22:AX46))))</f>
        <v>#NUM!</v>
      </c>
      <c r="BA46" s="730" t="str">
        <f t="shared" si="13"/>
        <v/>
      </c>
      <c r="BB46" s="326" t="str">
        <f>IF(BA46="","",SUMIF('SpxSp (step-c)'!B$18:E$67,AZ46,'SpxSp (step-c)'!T$18:T$67))</f>
        <v/>
      </c>
      <c r="BC46" s="326">
        <f t="shared" si="33"/>
        <v>0</v>
      </c>
      <c r="BE46" s="43" t="str">
        <f t="shared" si="7"/>
        <v/>
      </c>
      <c r="BF46" s="326" t="str">
        <f t="shared" si="31"/>
        <v/>
      </c>
      <c r="BG46" s="194" t="e">
        <f t="array" ref="BG46">IF(ROWS(BE$22:BE46)&gt;COUNTA($BE$22:$BE$71),"",INDEX($BE$22:$BE$71,SMALL(IF($BE$22:$BE$71&lt;&gt;"",ROW($BE$22:$BE$71)-ROW($BE$22)+1),ROWS($BE$22:BE46))))</f>
        <v>#NUM!</v>
      </c>
      <c r="BI46" s="480" t="str">
        <f>IF(B46="","",VLOOKUP(B46,'SpxSp Compliance Details'!$Z$18:$BK$67,36,FALSE))</f>
        <v/>
      </c>
      <c r="BJ46" s="473" t="str">
        <f>IF($B46="","",VLOOKUP($H46,Table_9.6.1_2016[],IF(Compliance_Version_Year=2010,18,BJ$18),FALSE))</f>
        <v/>
      </c>
      <c r="BK46" s="473" t="str">
        <f t="shared" si="16"/>
        <v/>
      </c>
      <c r="BL46" s="473" t="str">
        <f>IF($B46="","",VLOOKUP($H46,Table_9.6.1_2016[],IF(Compliance_Version_Year=2010,18,BL$18),FALSE))</f>
        <v/>
      </c>
      <c r="BM46" s="473" t="str">
        <f t="shared" si="17"/>
        <v/>
      </c>
      <c r="BN46" s="473" t="str">
        <f>IF($B46="","",IF($BI46="#1",BN$15,IF($BI46="#2",BN$16,VLOOKUP($H46,Table_9.6.1_2016[],IF(Compliance_Version_Year=2010,18,BN$18),FALSE))))</f>
        <v/>
      </c>
      <c r="BO46" s="473" t="str">
        <f t="shared" si="18"/>
        <v/>
      </c>
      <c r="BP46" s="473" t="str">
        <f>IF($B46="","",IF($BI46="#1",BP$15,IF($BI46="#2",BP$16,VLOOKUP($H46,Table_9.6.1_2016[],IF(Compliance_Version_Year=2010,18,BP$18),FALSE))))</f>
        <v/>
      </c>
      <c r="BQ46" s="473" t="str">
        <f t="shared" si="19"/>
        <v/>
      </c>
      <c r="BR46" s="473" t="str">
        <f>IF($B46="","",IF($BI46="#1",BR$15,IF($BI46="#2",BR$17,VLOOKUP($H46,Table_9.6.1_2016[],IF(Compliance_Version_Year=2010,18,BR$18),FALSE))))</f>
        <v/>
      </c>
      <c r="BS46" s="473" t="str">
        <f t="shared" si="20"/>
        <v/>
      </c>
      <c r="BT46" s="473" t="str">
        <f>IF($B46="","",IF($BI46="#1",BT$15,IF($BI46="#2",BT$16,VLOOKUP($H46,Table_9.6.1_2016[],IF(Compliance_Version_Year=2010,18,BT$18),FALSE))))</f>
        <v/>
      </c>
      <c r="BU46" s="473" t="str">
        <f t="shared" si="21"/>
        <v/>
      </c>
      <c r="BV46" s="473" t="str">
        <f>IF($B46="","",IF($BI46="#1",BV$15,IF($BI46="#2",BV$16,VLOOKUP($H46,Table_9.6.1_2016[],IF(Compliance_Version_Year=2010,18,BV$18),FALSE))))</f>
        <v/>
      </c>
      <c r="BW46" s="473" t="str">
        <f t="shared" si="22"/>
        <v/>
      </c>
      <c r="BX46" s="473" t="str">
        <f>IF($B46="","",VLOOKUP($H46,Table_9.6.1_2016[],IF(Compliance_Version_Year=2010,18,BX$18),FALSE))</f>
        <v/>
      </c>
      <c r="BY46" s="473" t="str">
        <f t="shared" si="23"/>
        <v/>
      </c>
      <c r="BZ46" s="473" t="str">
        <f>IF($B46="","",IF($BI46="#1",BZ$15,VLOOKUP($H46,Table_9.6.1_2016[],IF(Compliance_Version_Year=2010,18,BZ$18),FALSE)))</f>
        <v/>
      </c>
      <c r="CA46" s="473" t="str">
        <f t="shared" si="24"/>
        <v/>
      </c>
      <c r="CB46" s="473" t="str">
        <f>IF($B46="","",IF($BI46="#1",CB$15,IF($BI46="#2",CB$16,VLOOKUP($H46,Table_9.6.1_2016[],IF(Compliance_Version_Year=2010,18,CB$18),FALSE))))</f>
        <v/>
      </c>
      <c r="CC46" s="473" t="str">
        <f t="shared" si="25"/>
        <v/>
      </c>
      <c r="CD46" s="473" t="str">
        <f>IF($B46="","",IF($BI46="#1",CD$15,IF($BI46="#2",CD$16,VLOOKUP($H46,Table_9.6.1_2016[],IF(Compliance_Version_Year=2010,18,CD$18),FALSE))))</f>
        <v/>
      </c>
      <c r="CE46" s="473" t="str">
        <f t="shared" ref="CE46" si="50">IF(OR(CD46="ADD2",CD46="REQ"),"9.4.1.2c, ","")</f>
        <v/>
      </c>
      <c r="CF46" s="473" t="str">
        <f>IF($B46="","",IF($BI46="#1",CF$15,IF($BI46="#2",CF$16,VLOOKUP($H46,Table_9.6.1_2016[],IF(Compliance_Version_Year=2010,18,CF$18),FALSE))))</f>
        <v/>
      </c>
      <c r="CG46" s="473" t="str">
        <f t="shared" si="32"/>
        <v/>
      </c>
      <c r="CH46" s="473" t="str">
        <f>IF($B46="","",IF($BI46="#1",CH$15,IF($BI46="#2",CH$16,VLOOKUP($H46,Table_9.6.1_2016[],IF(Compliance_Version_Year=2010,18,CH$18),FALSE))))</f>
        <v/>
      </c>
      <c r="CI46" s="473" t="str">
        <f t="shared" si="34"/>
        <v/>
      </c>
      <c r="CL46" s="43" t="str">
        <f t="shared" si="10"/>
        <v/>
      </c>
      <c r="CM46" s="43" t="str">
        <f t="shared" si="11"/>
        <v/>
      </c>
      <c r="CR46" s="42" t="str">
        <f t="shared" si="27"/>
        <v/>
      </c>
      <c r="CS46" s="42" t="str">
        <f>'SpxSp Compliance Details'!I42</f>
        <v/>
      </c>
    </row>
    <row r="47" spans="1:97" x14ac:dyDescent="0.25">
      <c r="A47" s="5">
        <v>26</v>
      </c>
      <c r="B47" s="1627" t="str">
        <f>'Int Room Schedule'!Z41</f>
        <v/>
      </c>
      <c r="C47" s="1628"/>
      <c r="D47" s="1628"/>
      <c r="E47" s="1628"/>
      <c r="F47" s="1367"/>
      <c r="G47" s="321"/>
      <c r="H47" s="472" t="str">
        <f>'Int Room Schedule'!AA41</f>
        <v/>
      </c>
      <c r="I47" s="466" t="str">
        <f t="shared" si="1"/>
        <v/>
      </c>
      <c r="J47" s="655" t="str">
        <f ca="1">IF($B47&lt;&gt;"",VLOOKUP($AN47,INDIRECT('9.6 Table'!$P$338),2,FALSE)," ")</f>
        <v xml:space="preserve"> </v>
      </c>
      <c r="K47" s="948" t="str">
        <f ca="1">IF($B47&lt;&gt;"",VLOOKUP($AN47,INDIRECT('9.6 Table'!$P$338),3,FALSE)," ")</f>
        <v xml:space="preserve"> </v>
      </c>
      <c r="L47" s="484"/>
      <c r="M47" s="362">
        <f t="shared" ca="1" si="45"/>
        <v>1</v>
      </c>
      <c r="N47" s="464">
        <f t="shared" si="3"/>
        <v>0</v>
      </c>
      <c r="O47" s="166">
        <f ca="1">IFERROR(IF(SUMIF('SpxSp (step-b)'!B$26:F$75,'SpxSp (step-a)'!B47,'SpxSp (step-b)'!L$26:L$75)&gt;0,N47,0),0)</f>
        <v>0</v>
      </c>
      <c r="P47" s="486"/>
      <c r="Q47" s="487"/>
      <c r="R47" s="1074">
        <f t="shared" si="12"/>
        <v>0</v>
      </c>
      <c r="S47" s="486"/>
      <c r="T47" s="487"/>
      <c r="U47" s="487"/>
      <c r="V47" s="328" t="str">
        <f t="shared" si="4"/>
        <v/>
      </c>
      <c r="W47" s="1631">
        <f ca="1">SUMIFS('SpxSp (step-b)'!AZ51:AZ100,'SpxSp (step-b)'!AX$26:AX$75,AB47)</f>
        <v>0</v>
      </c>
      <c r="X47" s="1632"/>
      <c r="Y47" s="244"/>
      <c r="Z47" s="244">
        <f>IF(B47="",0,COUNTIF('SpxSp (step-b)'!B51:F80,B47))</f>
        <v>0</v>
      </c>
      <c r="AB47" s="737" t="str">
        <f ca="1">IF(OR($B47="",O47=0),"",VLOOKUP($AN47,INDIRECT('9.6 Table'!$P$338),17,FALSE))</f>
        <v/>
      </c>
      <c r="AC47" s="326"/>
      <c r="AD47" s="326"/>
      <c r="AE47" s="326"/>
      <c r="AF47" s="326"/>
      <c r="AG47" s="326"/>
      <c r="AH47" s="326"/>
      <c r="AI47" s="326"/>
      <c r="AJ47" s="326"/>
      <c r="AK47" s="326"/>
      <c r="AL47" s="326"/>
      <c r="AM47" s="231">
        <f>'Int Room Schedule'!U41</f>
        <v>0</v>
      </c>
      <c r="AN47" s="78" t="str">
        <f t="shared" si="5"/>
        <v/>
      </c>
      <c r="AO47" s="78"/>
      <c r="AP47" s="78"/>
      <c r="AQ47" s="78"/>
      <c r="AR47" s="43" t="str">
        <f t="shared" si="0"/>
        <v/>
      </c>
      <c r="AX47" s="43" t="str">
        <f t="shared" si="6"/>
        <v/>
      </c>
      <c r="AY47" s="326" t="str">
        <f t="shared" si="46"/>
        <v/>
      </c>
      <c r="AZ47" s="194" t="e">
        <f t="array" ref="AZ47">IF(ROWS(AX$22:AX47)&gt;COUNTA($AX$22:$AX$71),"",INDEX($AX$22:$AX$71,SMALL(IF($AX$22:$AX$71&lt;&gt;"",ROW($AX$22:$AX$71)-ROW($AX$22)+1),ROWS($AX$22:AX47))))</f>
        <v>#NUM!</v>
      </c>
      <c r="BA47" s="730" t="str">
        <f t="shared" si="13"/>
        <v/>
      </c>
      <c r="BB47" s="326" t="str">
        <f>IF(BA47="","",SUMIF('SpxSp (step-c)'!B$18:E$67,AZ47,'SpxSp (step-c)'!T$18:T$67))</f>
        <v/>
      </c>
      <c r="BC47" s="326">
        <f t="shared" si="33"/>
        <v>0</v>
      </c>
      <c r="BE47" s="43" t="str">
        <f t="shared" si="7"/>
        <v/>
      </c>
      <c r="BF47" s="326" t="str">
        <f t="shared" si="31"/>
        <v/>
      </c>
      <c r="BG47" s="194" t="e">
        <f t="array" ref="BG47">IF(ROWS(BE$22:BE47)&gt;COUNTA($BE$22:$BE$71),"",INDEX($BE$22:$BE$71,SMALL(IF($BE$22:$BE$71&lt;&gt;"",ROW($BE$22:$BE$71)-ROW($BE$22)+1),ROWS($BE$22:BE47))))</f>
        <v>#NUM!</v>
      </c>
      <c r="BI47" s="480" t="str">
        <f>IF(B47="","",VLOOKUP(B47,'SpxSp Compliance Details'!$Z$18:$BK$67,36,FALSE))</f>
        <v/>
      </c>
      <c r="BJ47" s="473" t="str">
        <f>IF($B47="","",VLOOKUP($H47,Table_9.6.1_2016[],IF(Compliance_Version_Year=2010,18,BJ$18),FALSE))</f>
        <v/>
      </c>
      <c r="BK47" s="473" t="str">
        <f t="shared" si="16"/>
        <v/>
      </c>
      <c r="BL47" s="473" t="str">
        <f>IF($B47="","",VLOOKUP($H47,Table_9.6.1_2016[],IF(Compliance_Version_Year=2010,18,BL$18),FALSE))</f>
        <v/>
      </c>
      <c r="BM47" s="473" t="str">
        <f t="shared" si="17"/>
        <v/>
      </c>
      <c r="BN47" s="473" t="str">
        <f>IF($B47="","",IF($BI47="#1",BN$15,IF($BI47="#2",BN$16,VLOOKUP($H47,Table_9.6.1_2016[],IF(Compliance_Version_Year=2010,18,BN$18),FALSE))))</f>
        <v/>
      </c>
      <c r="BO47" s="473" t="str">
        <f t="shared" si="18"/>
        <v/>
      </c>
      <c r="BP47" s="473" t="str">
        <f>IF($B47="","",IF($BI47="#1",BP$15,IF($BI47="#2",BP$16,VLOOKUP($H47,Table_9.6.1_2016[],IF(Compliance_Version_Year=2010,18,BP$18),FALSE))))</f>
        <v/>
      </c>
      <c r="BQ47" s="473" t="str">
        <f t="shared" si="19"/>
        <v/>
      </c>
      <c r="BR47" s="473" t="str">
        <f>IF($B47="","",IF($BI47="#1",BR$15,IF($BI47="#2",BR$17,VLOOKUP($H47,Table_9.6.1_2016[],IF(Compliance_Version_Year=2010,18,BR$18),FALSE))))</f>
        <v/>
      </c>
      <c r="BS47" s="473" t="str">
        <f t="shared" si="20"/>
        <v/>
      </c>
      <c r="BT47" s="473" t="str">
        <f>IF($B47="","",IF($BI47="#1",BT$15,IF($BI47="#2",BT$16,VLOOKUP($H47,Table_9.6.1_2016[],IF(Compliance_Version_Year=2010,18,BT$18),FALSE))))</f>
        <v/>
      </c>
      <c r="BU47" s="473" t="str">
        <f t="shared" si="21"/>
        <v/>
      </c>
      <c r="BV47" s="473" t="str">
        <f>IF($B47="","",IF($BI47="#1",BV$15,IF($BI47="#2",BV$16,VLOOKUP($H47,Table_9.6.1_2016[],IF(Compliance_Version_Year=2010,18,BV$18),FALSE))))</f>
        <v/>
      </c>
      <c r="BW47" s="473" t="str">
        <f t="shared" si="22"/>
        <v/>
      </c>
      <c r="BX47" s="473" t="str">
        <f>IF($B47="","",VLOOKUP($H47,Table_9.6.1_2016[],IF(Compliance_Version_Year=2010,18,BX$18),FALSE))</f>
        <v/>
      </c>
      <c r="BY47" s="473" t="str">
        <f t="shared" si="23"/>
        <v/>
      </c>
      <c r="BZ47" s="473" t="str">
        <f>IF($B47="","",IF($BI47="#1",BZ$15,VLOOKUP($H47,Table_9.6.1_2016[],IF(Compliance_Version_Year=2010,18,BZ$18),FALSE)))</f>
        <v/>
      </c>
      <c r="CA47" s="473" t="str">
        <f t="shared" si="24"/>
        <v/>
      </c>
      <c r="CB47" s="473" t="str">
        <f>IF($B47="","",IF($BI47="#1",CB$15,IF($BI47="#2",CB$16,VLOOKUP($H47,Table_9.6.1_2016[],IF(Compliance_Version_Year=2010,18,CB$18),FALSE))))</f>
        <v/>
      </c>
      <c r="CC47" s="473" t="str">
        <f t="shared" si="25"/>
        <v/>
      </c>
      <c r="CD47" s="473" t="str">
        <f>IF($B47="","",IF($BI47="#1",CD$15,IF($BI47="#2",CD$16,VLOOKUP($H47,Table_9.6.1_2016[],IF(Compliance_Version_Year=2010,18,CD$18),FALSE))))</f>
        <v/>
      </c>
      <c r="CE47" s="473" t="str">
        <f t="shared" ref="CE47" si="51">IF(OR(CD47="ADD2",CD47="REQ"),"9.4.1.2c, ","")</f>
        <v/>
      </c>
      <c r="CF47" s="473" t="str">
        <f>IF($B47="","",IF($BI47="#1",CF$15,IF($BI47="#2",CF$16,VLOOKUP($H47,Table_9.6.1_2016[],IF(Compliance_Version_Year=2010,18,CF$18),FALSE))))</f>
        <v/>
      </c>
      <c r="CG47" s="473" t="str">
        <f t="shared" si="32"/>
        <v/>
      </c>
      <c r="CH47" s="473" t="str">
        <f>IF($B47="","",IF($BI47="#1",CH$15,IF($BI47="#2",CH$16,VLOOKUP($H47,Table_9.6.1_2016[],IF(Compliance_Version_Year=2010,18,CH$18),FALSE))))</f>
        <v/>
      </c>
      <c r="CI47" s="473" t="str">
        <f t="shared" si="34"/>
        <v/>
      </c>
      <c r="CL47" s="43" t="str">
        <f t="shared" si="10"/>
        <v/>
      </c>
      <c r="CM47" s="43" t="str">
        <f t="shared" si="11"/>
        <v/>
      </c>
      <c r="CR47" s="42" t="str">
        <f t="shared" si="27"/>
        <v/>
      </c>
      <c r="CS47" s="42" t="str">
        <f>'SpxSp Compliance Details'!I43</f>
        <v/>
      </c>
    </row>
    <row r="48" spans="1:97" x14ac:dyDescent="0.25">
      <c r="A48" s="5">
        <v>27</v>
      </c>
      <c r="B48" s="1627" t="str">
        <f>'Int Room Schedule'!Z42</f>
        <v/>
      </c>
      <c r="C48" s="1628"/>
      <c r="D48" s="1628"/>
      <c r="E48" s="1628"/>
      <c r="F48" s="1367"/>
      <c r="G48" s="321"/>
      <c r="H48" s="472" t="str">
        <f>'Int Room Schedule'!AA42</f>
        <v/>
      </c>
      <c r="I48" s="466" t="str">
        <f t="shared" si="1"/>
        <v/>
      </c>
      <c r="J48" s="655" t="str">
        <f ca="1">IF($B48&lt;&gt;"",VLOOKUP($AN48,INDIRECT('9.6 Table'!$P$338),2,FALSE)," ")</f>
        <v xml:space="preserve"> </v>
      </c>
      <c r="K48" s="948" t="str">
        <f ca="1">IF($B48&lt;&gt;"",VLOOKUP($AN48,INDIRECT('9.6 Table'!$P$338),3,FALSE)," ")</f>
        <v xml:space="preserve"> </v>
      </c>
      <c r="L48" s="484"/>
      <c r="M48" s="362">
        <f t="shared" ca="1" si="45"/>
        <v>1</v>
      </c>
      <c r="N48" s="464">
        <f t="shared" si="3"/>
        <v>0</v>
      </c>
      <c r="O48" s="166">
        <f ca="1">IFERROR(IF(SUMIF('SpxSp (step-b)'!B$26:F$75,'SpxSp (step-a)'!B48,'SpxSp (step-b)'!L$26:L$75)&gt;0,N48,0),0)</f>
        <v>0</v>
      </c>
      <c r="P48" s="486"/>
      <c r="Q48" s="487"/>
      <c r="R48" s="1074">
        <f t="shared" si="12"/>
        <v>0</v>
      </c>
      <c r="S48" s="486"/>
      <c r="T48" s="487"/>
      <c r="U48" s="487"/>
      <c r="V48" s="328" t="str">
        <f t="shared" si="4"/>
        <v/>
      </c>
      <c r="W48" s="1631">
        <f ca="1">SUMIFS('SpxSp (step-b)'!AZ52:AZ101,'SpxSp (step-b)'!AX$26:AX$75,AB48)</f>
        <v>0</v>
      </c>
      <c r="X48" s="1632"/>
      <c r="Y48" s="244"/>
      <c r="Z48" s="244">
        <f>IF(B48="",0,COUNTIF('SpxSp (step-b)'!B52:F80,B48))</f>
        <v>0</v>
      </c>
      <c r="AB48" s="737" t="str">
        <f ca="1">IF(OR($B48="",O48=0),"",VLOOKUP($AN48,INDIRECT('9.6 Table'!$P$338),17,FALSE))</f>
        <v/>
      </c>
      <c r="AC48" s="326"/>
      <c r="AD48" s="326"/>
      <c r="AE48" s="326"/>
      <c r="AF48" s="326"/>
      <c r="AG48" s="326"/>
      <c r="AH48" s="326"/>
      <c r="AI48" s="326"/>
      <c r="AJ48" s="326"/>
      <c r="AK48" s="326"/>
      <c r="AL48" s="326"/>
      <c r="AM48" s="231">
        <f>'Int Room Schedule'!U42</f>
        <v>0</v>
      </c>
      <c r="AN48" s="78" t="str">
        <f t="shared" si="5"/>
        <v/>
      </c>
      <c r="AO48" s="78"/>
      <c r="AP48" s="78"/>
      <c r="AQ48" s="78"/>
      <c r="AR48" s="43" t="str">
        <f t="shared" si="0"/>
        <v/>
      </c>
      <c r="AX48" s="43" t="str">
        <f t="shared" si="6"/>
        <v/>
      </c>
      <c r="AY48" s="326" t="str">
        <f t="shared" si="46"/>
        <v/>
      </c>
      <c r="AZ48" s="194" t="e">
        <f t="array" ref="AZ48">IF(ROWS(AX$22:AX48)&gt;COUNTA($AX$22:$AX$71),"",INDEX($AX$22:$AX$71,SMALL(IF($AX$22:$AX$71&lt;&gt;"",ROW($AX$22:$AX$71)-ROW($AX$22)+1),ROWS($AX$22:AX48))))</f>
        <v>#NUM!</v>
      </c>
      <c r="BA48" s="730" t="str">
        <f t="shared" si="13"/>
        <v/>
      </c>
      <c r="BB48" s="326" t="str">
        <f>IF(BA48="","",SUMIF('SpxSp (step-c)'!B$18:E$67,AZ48,'SpxSp (step-c)'!T$18:T$67))</f>
        <v/>
      </c>
      <c r="BC48" s="326">
        <f t="shared" si="33"/>
        <v>0</v>
      </c>
      <c r="BE48" s="43" t="str">
        <f t="shared" si="7"/>
        <v/>
      </c>
      <c r="BF48" s="326" t="str">
        <f t="shared" si="31"/>
        <v/>
      </c>
      <c r="BG48" s="194" t="e">
        <f t="array" ref="BG48">IF(ROWS(BE$22:BE48)&gt;COUNTA($BE$22:$BE$71),"",INDEX($BE$22:$BE$71,SMALL(IF($BE$22:$BE$71&lt;&gt;"",ROW($BE$22:$BE$71)-ROW($BE$22)+1),ROWS($BE$22:BE48))))</f>
        <v>#NUM!</v>
      </c>
      <c r="BI48" s="480" t="str">
        <f>IF(B48="","",VLOOKUP(B48,'SpxSp Compliance Details'!$Z$18:$BK$67,36,FALSE))</f>
        <v/>
      </c>
      <c r="BJ48" s="473" t="str">
        <f>IF($B48="","",VLOOKUP($H48,Table_9.6.1_2016[],IF(Compliance_Version_Year=2010,18,BJ$18),FALSE))</f>
        <v/>
      </c>
      <c r="BK48" s="473" t="str">
        <f t="shared" si="16"/>
        <v/>
      </c>
      <c r="BL48" s="473" t="str">
        <f>IF($B48="","",VLOOKUP($H48,Table_9.6.1_2016[],IF(Compliance_Version_Year=2010,18,BL$18),FALSE))</f>
        <v/>
      </c>
      <c r="BM48" s="473" t="str">
        <f t="shared" si="17"/>
        <v/>
      </c>
      <c r="BN48" s="473" t="str">
        <f>IF($B48="","",IF($BI48="#1",BN$15,IF($BI48="#2",BN$16,VLOOKUP($H48,Table_9.6.1_2016[],IF(Compliance_Version_Year=2010,18,BN$18),FALSE))))</f>
        <v/>
      </c>
      <c r="BO48" s="473" t="str">
        <f t="shared" si="18"/>
        <v/>
      </c>
      <c r="BP48" s="473" t="str">
        <f>IF($B48="","",IF($BI48="#1",BP$15,IF($BI48="#2",BP$16,VLOOKUP($H48,Table_9.6.1_2016[],IF(Compliance_Version_Year=2010,18,BP$18),FALSE))))</f>
        <v/>
      </c>
      <c r="BQ48" s="473" t="str">
        <f t="shared" si="19"/>
        <v/>
      </c>
      <c r="BR48" s="473" t="str">
        <f>IF($B48="","",IF($BI48="#1",BR$15,IF($BI48="#2",BR$17,VLOOKUP($H48,Table_9.6.1_2016[],IF(Compliance_Version_Year=2010,18,BR$18),FALSE))))</f>
        <v/>
      </c>
      <c r="BS48" s="473" t="str">
        <f t="shared" si="20"/>
        <v/>
      </c>
      <c r="BT48" s="473" t="str">
        <f>IF($B48="","",IF($BI48="#1",BT$15,IF($BI48="#2",BT$16,VLOOKUP($H48,Table_9.6.1_2016[],IF(Compliance_Version_Year=2010,18,BT$18),FALSE))))</f>
        <v/>
      </c>
      <c r="BU48" s="473" t="str">
        <f t="shared" si="21"/>
        <v/>
      </c>
      <c r="BV48" s="473" t="str">
        <f>IF($B48="","",IF($BI48="#1",BV$15,IF($BI48="#2",BV$16,VLOOKUP($H48,Table_9.6.1_2016[],IF(Compliance_Version_Year=2010,18,BV$18),FALSE))))</f>
        <v/>
      </c>
      <c r="BW48" s="473" t="str">
        <f t="shared" si="22"/>
        <v/>
      </c>
      <c r="BX48" s="473" t="str">
        <f>IF($B48="","",VLOOKUP($H48,Table_9.6.1_2016[],IF(Compliance_Version_Year=2010,18,BX$18),FALSE))</f>
        <v/>
      </c>
      <c r="BY48" s="473" t="str">
        <f t="shared" si="23"/>
        <v/>
      </c>
      <c r="BZ48" s="473" t="str">
        <f>IF($B48="","",IF($BI48="#1",BZ$15,VLOOKUP($H48,Table_9.6.1_2016[],IF(Compliance_Version_Year=2010,18,BZ$18),FALSE)))</f>
        <v/>
      </c>
      <c r="CA48" s="473" t="str">
        <f t="shared" si="24"/>
        <v/>
      </c>
      <c r="CB48" s="473" t="str">
        <f>IF($B48="","",IF($BI48="#1",CB$15,IF($BI48="#2",CB$16,VLOOKUP($H48,Table_9.6.1_2016[],IF(Compliance_Version_Year=2010,18,CB$18),FALSE))))</f>
        <v/>
      </c>
      <c r="CC48" s="473" t="str">
        <f t="shared" si="25"/>
        <v/>
      </c>
      <c r="CD48" s="473" t="str">
        <f>IF($B48="","",IF($BI48="#1",CD$15,IF($BI48="#2",CD$16,VLOOKUP($H48,Table_9.6.1_2016[],IF(Compliance_Version_Year=2010,18,CD$18),FALSE))))</f>
        <v/>
      </c>
      <c r="CE48" s="473" t="str">
        <f t="shared" ref="CE48" si="52">IF(OR(CD48="ADD2",CD48="REQ"),"9.4.1.2c, ","")</f>
        <v/>
      </c>
      <c r="CF48" s="473" t="str">
        <f>IF($B48="","",IF($BI48="#1",CF$15,IF($BI48="#2",CF$16,VLOOKUP($H48,Table_9.6.1_2016[],IF(Compliance_Version_Year=2010,18,CF$18),FALSE))))</f>
        <v/>
      </c>
      <c r="CG48" s="473" t="str">
        <f t="shared" si="32"/>
        <v/>
      </c>
      <c r="CH48" s="473" t="str">
        <f>IF($B48="","",IF($BI48="#1",CH$15,IF($BI48="#2",CH$16,VLOOKUP($H48,Table_9.6.1_2016[],IF(Compliance_Version_Year=2010,18,CH$18),FALSE))))</f>
        <v/>
      </c>
      <c r="CI48" s="473" t="str">
        <f t="shared" si="34"/>
        <v/>
      </c>
      <c r="CL48" s="43" t="str">
        <f t="shared" si="10"/>
        <v/>
      </c>
      <c r="CM48" s="43" t="str">
        <f t="shared" si="11"/>
        <v/>
      </c>
      <c r="CR48" s="42" t="str">
        <f t="shared" si="27"/>
        <v/>
      </c>
      <c r="CS48" s="42" t="str">
        <f>'SpxSp Compliance Details'!I44</f>
        <v/>
      </c>
    </row>
    <row r="49" spans="1:97" x14ac:dyDescent="0.25">
      <c r="A49" s="5">
        <v>28</v>
      </c>
      <c r="B49" s="1627" t="str">
        <f>'Int Room Schedule'!Z43</f>
        <v/>
      </c>
      <c r="C49" s="1628"/>
      <c r="D49" s="1628"/>
      <c r="E49" s="1628"/>
      <c r="F49" s="1367"/>
      <c r="G49" s="321"/>
      <c r="H49" s="472" t="str">
        <f>'Int Room Schedule'!AA43</f>
        <v/>
      </c>
      <c r="I49" s="466" t="str">
        <f t="shared" si="1"/>
        <v/>
      </c>
      <c r="J49" s="655" t="str">
        <f ca="1">IF($B49&lt;&gt;"",VLOOKUP($AN49,INDIRECT('9.6 Table'!$P$338),2,FALSE)," ")</f>
        <v xml:space="preserve"> </v>
      </c>
      <c r="K49" s="948" t="str">
        <f ca="1">IF($B49&lt;&gt;"",VLOOKUP($AN49,INDIRECT('9.6 Table'!$P$338),3,FALSE)," ")</f>
        <v xml:space="preserve"> </v>
      </c>
      <c r="L49" s="484"/>
      <c r="M49" s="362">
        <f t="shared" ca="1" si="45"/>
        <v>1</v>
      </c>
      <c r="N49" s="464">
        <f t="shared" si="3"/>
        <v>0</v>
      </c>
      <c r="O49" s="166">
        <f ca="1">IFERROR(IF(SUMIF('SpxSp (step-b)'!B$26:F$75,'SpxSp (step-a)'!B49,'SpxSp (step-b)'!L$26:L$75)&gt;0,N49,0),0)</f>
        <v>0</v>
      </c>
      <c r="P49" s="486"/>
      <c r="Q49" s="487"/>
      <c r="R49" s="1074">
        <f t="shared" si="12"/>
        <v>0</v>
      </c>
      <c r="S49" s="486"/>
      <c r="T49" s="487"/>
      <c r="U49" s="487"/>
      <c r="V49" s="328" t="str">
        <f t="shared" si="4"/>
        <v/>
      </c>
      <c r="W49" s="1631">
        <f ca="1">SUMIFS('SpxSp (step-b)'!AZ53:AZ102,'SpxSp (step-b)'!AX$26:AX$75,AB49)</f>
        <v>0</v>
      </c>
      <c r="X49" s="1632"/>
      <c r="Y49" s="244"/>
      <c r="Z49" s="244">
        <f>IF(B49="",0,COUNTIF('SpxSp (step-b)'!B53:F80,B49))</f>
        <v>0</v>
      </c>
      <c r="AB49" s="737" t="str">
        <f ca="1">IF(OR($B49="",O49=0),"",VLOOKUP($AN49,INDIRECT('9.6 Table'!$P$338),17,FALSE))</f>
        <v/>
      </c>
      <c r="AC49" s="326"/>
      <c r="AD49" s="326"/>
      <c r="AE49" s="326"/>
      <c r="AF49" s="326"/>
      <c r="AG49" s="326"/>
      <c r="AH49" s="326"/>
      <c r="AI49" s="326"/>
      <c r="AJ49" s="326"/>
      <c r="AK49" s="326"/>
      <c r="AL49" s="326"/>
      <c r="AM49" s="231">
        <f>'Int Room Schedule'!U43</f>
        <v>0</v>
      </c>
      <c r="AN49" s="78" t="str">
        <f t="shared" si="5"/>
        <v/>
      </c>
      <c r="AO49" s="78"/>
      <c r="AP49" s="78"/>
      <c r="AQ49" s="78"/>
      <c r="AR49" s="43" t="str">
        <f t="shared" si="0"/>
        <v/>
      </c>
      <c r="AX49" s="43" t="str">
        <f t="shared" si="6"/>
        <v/>
      </c>
      <c r="AY49" s="326" t="str">
        <f t="shared" si="46"/>
        <v/>
      </c>
      <c r="AZ49" s="194" t="e">
        <f t="array" ref="AZ49">IF(ROWS(AX$22:AX49)&gt;COUNTA($AX$22:$AX$71),"",INDEX($AX$22:$AX$71,SMALL(IF($AX$22:$AX$71&lt;&gt;"",ROW($AX$22:$AX$71)-ROW($AX$22)+1),ROWS($AX$22:AX49))))</f>
        <v>#NUM!</v>
      </c>
      <c r="BA49" s="730" t="str">
        <f t="shared" si="13"/>
        <v/>
      </c>
      <c r="BB49" s="326" t="str">
        <f>IF(BA49="","",SUMIF('SpxSp (step-c)'!B$18:E$67,AZ49,'SpxSp (step-c)'!T$18:T$67))</f>
        <v/>
      </c>
      <c r="BC49" s="326">
        <f t="shared" si="33"/>
        <v>0</v>
      </c>
      <c r="BE49" s="43" t="str">
        <f t="shared" si="7"/>
        <v/>
      </c>
      <c r="BF49" s="326" t="str">
        <f t="shared" si="31"/>
        <v/>
      </c>
      <c r="BG49" s="194" t="e">
        <f t="array" ref="BG49">IF(ROWS(BE$22:BE49)&gt;COUNTA($BE$22:$BE$71),"",INDEX($BE$22:$BE$71,SMALL(IF($BE$22:$BE$71&lt;&gt;"",ROW($BE$22:$BE$71)-ROW($BE$22)+1),ROWS($BE$22:BE49))))</f>
        <v>#NUM!</v>
      </c>
      <c r="BI49" s="480" t="str">
        <f>IF(B49="","",VLOOKUP(B49,'SpxSp Compliance Details'!$Z$18:$BK$67,36,FALSE))</f>
        <v/>
      </c>
      <c r="BJ49" s="473" t="str">
        <f>IF($B49="","",VLOOKUP($H49,Table_9.6.1_2016[],IF(Compliance_Version_Year=2010,18,BJ$18),FALSE))</f>
        <v/>
      </c>
      <c r="BK49" s="473" t="str">
        <f t="shared" si="16"/>
        <v/>
      </c>
      <c r="BL49" s="473" t="str">
        <f>IF($B49="","",VLOOKUP($H49,Table_9.6.1_2016[],IF(Compliance_Version_Year=2010,18,BL$18),FALSE))</f>
        <v/>
      </c>
      <c r="BM49" s="473" t="str">
        <f t="shared" si="17"/>
        <v/>
      </c>
      <c r="BN49" s="473" t="str">
        <f>IF($B49="","",IF($BI49="#1",BN$15,IF($BI49="#2",BN$16,VLOOKUP($H49,Table_9.6.1_2016[],IF(Compliance_Version_Year=2010,18,BN$18),FALSE))))</f>
        <v/>
      </c>
      <c r="BO49" s="473" t="str">
        <f t="shared" si="18"/>
        <v/>
      </c>
      <c r="BP49" s="473" t="str">
        <f>IF($B49="","",IF($BI49="#1",BP$15,IF($BI49="#2",BP$16,VLOOKUP($H49,Table_9.6.1_2016[],IF(Compliance_Version_Year=2010,18,BP$18),FALSE))))</f>
        <v/>
      </c>
      <c r="BQ49" s="473" t="str">
        <f t="shared" si="19"/>
        <v/>
      </c>
      <c r="BR49" s="473" t="str">
        <f>IF($B49="","",IF($BI49="#1",BR$15,IF($BI49="#2",BR$17,VLOOKUP($H49,Table_9.6.1_2016[],IF(Compliance_Version_Year=2010,18,BR$18),FALSE))))</f>
        <v/>
      </c>
      <c r="BS49" s="473" t="str">
        <f t="shared" si="20"/>
        <v/>
      </c>
      <c r="BT49" s="473" t="str">
        <f>IF($B49="","",IF($BI49="#1",BT$15,IF($BI49="#2",BT$16,VLOOKUP($H49,Table_9.6.1_2016[],IF(Compliance_Version_Year=2010,18,BT$18),FALSE))))</f>
        <v/>
      </c>
      <c r="BU49" s="473" t="str">
        <f t="shared" si="21"/>
        <v/>
      </c>
      <c r="BV49" s="473" t="str">
        <f>IF($B49="","",IF($BI49="#1",BV$15,IF($BI49="#2",BV$16,VLOOKUP($H49,Table_9.6.1_2016[],IF(Compliance_Version_Year=2010,18,BV$18),FALSE))))</f>
        <v/>
      </c>
      <c r="BW49" s="473" t="str">
        <f t="shared" si="22"/>
        <v/>
      </c>
      <c r="BX49" s="473" t="str">
        <f>IF($B49="","",VLOOKUP($H49,Table_9.6.1_2016[],IF(Compliance_Version_Year=2010,18,BX$18),FALSE))</f>
        <v/>
      </c>
      <c r="BY49" s="473" t="str">
        <f t="shared" si="23"/>
        <v/>
      </c>
      <c r="BZ49" s="473" t="str">
        <f>IF($B49="","",IF($BI49="#1",BZ$15,VLOOKUP($H49,Table_9.6.1_2016[],IF(Compliance_Version_Year=2010,18,BZ$18),FALSE)))</f>
        <v/>
      </c>
      <c r="CA49" s="473" t="str">
        <f t="shared" si="24"/>
        <v/>
      </c>
      <c r="CB49" s="473" t="str">
        <f>IF($B49="","",IF($BI49="#1",CB$15,IF($BI49="#2",CB$16,VLOOKUP($H49,Table_9.6.1_2016[],IF(Compliance_Version_Year=2010,18,CB$18),FALSE))))</f>
        <v/>
      </c>
      <c r="CC49" s="473" t="str">
        <f t="shared" si="25"/>
        <v/>
      </c>
      <c r="CD49" s="473" t="str">
        <f>IF($B49="","",IF($BI49="#1",CD$15,IF($BI49="#2",CD$16,VLOOKUP($H49,Table_9.6.1_2016[],IF(Compliance_Version_Year=2010,18,CD$18),FALSE))))</f>
        <v/>
      </c>
      <c r="CE49" s="473" t="str">
        <f t="shared" ref="CE49" si="53">IF(OR(CD49="ADD2",CD49="REQ"),"9.4.1.2c, ","")</f>
        <v/>
      </c>
      <c r="CF49" s="473" t="str">
        <f>IF($B49="","",IF($BI49="#1",CF$15,IF($BI49="#2",CF$16,VLOOKUP($H49,Table_9.6.1_2016[],IF(Compliance_Version_Year=2010,18,CF$18),FALSE))))</f>
        <v/>
      </c>
      <c r="CG49" s="473" t="str">
        <f t="shared" si="32"/>
        <v/>
      </c>
      <c r="CH49" s="473" t="str">
        <f>IF($B49="","",IF($BI49="#1",CH$15,IF($BI49="#2",CH$16,VLOOKUP($H49,Table_9.6.1_2016[],IF(Compliance_Version_Year=2010,18,CH$18),FALSE))))</f>
        <v/>
      </c>
      <c r="CI49" s="473" t="str">
        <f t="shared" si="34"/>
        <v/>
      </c>
      <c r="CL49" s="43" t="str">
        <f t="shared" si="10"/>
        <v/>
      </c>
      <c r="CM49" s="43" t="str">
        <f t="shared" si="11"/>
        <v/>
      </c>
      <c r="CR49" s="42" t="str">
        <f t="shared" si="27"/>
        <v/>
      </c>
      <c r="CS49" s="42" t="str">
        <f>'SpxSp Compliance Details'!I45</f>
        <v/>
      </c>
    </row>
    <row r="50" spans="1:97" x14ac:dyDescent="0.25">
      <c r="A50" s="5">
        <v>29</v>
      </c>
      <c r="B50" s="1627" t="str">
        <f>'Int Room Schedule'!Z44</f>
        <v/>
      </c>
      <c r="C50" s="1628"/>
      <c r="D50" s="1628"/>
      <c r="E50" s="1628"/>
      <c r="F50" s="1367"/>
      <c r="G50" s="321"/>
      <c r="H50" s="472" t="str">
        <f>'Int Room Schedule'!AA44</f>
        <v/>
      </c>
      <c r="I50" s="466" t="str">
        <f t="shared" si="1"/>
        <v/>
      </c>
      <c r="J50" s="655" t="str">
        <f ca="1">IF($B50&lt;&gt;"",VLOOKUP($AN50,INDIRECT('9.6 Table'!$P$338),2,FALSE)," ")</f>
        <v xml:space="preserve"> </v>
      </c>
      <c r="K50" s="948" t="str">
        <f ca="1">IF($B50&lt;&gt;"",VLOOKUP($AN50,INDIRECT('9.6 Table'!$P$338),3,FALSE)," ")</f>
        <v xml:space="preserve"> </v>
      </c>
      <c r="L50" s="484"/>
      <c r="M50" s="362">
        <f t="shared" ca="1" si="45"/>
        <v>1</v>
      </c>
      <c r="N50" s="464">
        <f t="shared" si="3"/>
        <v>0</v>
      </c>
      <c r="O50" s="166">
        <f ca="1">IFERROR(IF(SUMIF('SpxSp (step-b)'!B$26:F$75,'SpxSp (step-a)'!B50,'SpxSp (step-b)'!L$26:L$75)&gt;0,N50,0),0)</f>
        <v>0</v>
      </c>
      <c r="P50" s="486"/>
      <c r="Q50" s="487"/>
      <c r="R50" s="1074">
        <f t="shared" si="12"/>
        <v>0</v>
      </c>
      <c r="S50" s="486"/>
      <c r="T50" s="487"/>
      <c r="U50" s="487"/>
      <c r="V50" s="328" t="str">
        <f t="shared" si="4"/>
        <v/>
      </c>
      <c r="W50" s="1631">
        <f ca="1">SUMIFS('SpxSp (step-b)'!AZ54:AZ103,'SpxSp (step-b)'!AX$26:AX$75,AB50)</f>
        <v>0</v>
      </c>
      <c r="X50" s="1632"/>
      <c r="Y50" s="244"/>
      <c r="Z50" s="244">
        <f>IF(B50="",0,COUNTIF('SpxSp (step-b)'!B54:F80,B50))</f>
        <v>0</v>
      </c>
      <c r="AB50" s="737" t="str">
        <f ca="1">IF(OR($B50="",O50=0),"",VLOOKUP($AN50,INDIRECT('9.6 Table'!$P$338),17,FALSE))</f>
        <v/>
      </c>
      <c r="AC50" s="326"/>
      <c r="AD50" s="326"/>
      <c r="AE50" s="326"/>
      <c r="AF50" s="326"/>
      <c r="AG50" s="326"/>
      <c r="AH50" s="326"/>
      <c r="AI50" s="326"/>
      <c r="AJ50" s="326"/>
      <c r="AK50" s="326"/>
      <c r="AL50" s="326"/>
      <c r="AM50" s="231">
        <f>'Int Room Schedule'!U44</f>
        <v>0</v>
      </c>
      <c r="AN50" s="78" t="str">
        <f t="shared" si="5"/>
        <v/>
      </c>
      <c r="AO50" s="78"/>
      <c r="AP50" s="78"/>
      <c r="AQ50" s="78"/>
      <c r="AR50" s="43" t="str">
        <f t="shared" si="0"/>
        <v/>
      </c>
      <c r="AX50" s="43" t="str">
        <f t="shared" si="6"/>
        <v/>
      </c>
      <c r="AY50" s="326" t="str">
        <f t="shared" si="46"/>
        <v/>
      </c>
      <c r="AZ50" s="194" t="e">
        <f t="array" ref="AZ50">IF(ROWS(AX$22:AX50)&gt;COUNTA($AX$22:$AX$71),"",INDEX($AX$22:$AX$71,SMALL(IF($AX$22:$AX$71&lt;&gt;"",ROW($AX$22:$AX$71)-ROW($AX$22)+1),ROWS($AX$22:AX50))))</f>
        <v>#NUM!</v>
      </c>
      <c r="BA50" s="730" t="str">
        <f t="shared" si="13"/>
        <v/>
      </c>
      <c r="BB50" s="326" t="str">
        <f>IF(BA50="","",SUMIF('SpxSp (step-c)'!B$18:E$67,AZ50,'SpxSp (step-c)'!T$18:T$67))</f>
        <v/>
      </c>
      <c r="BC50" s="326">
        <f t="shared" si="33"/>
        <v>0</v>
      </c>
      <c r="BE50" s="43" t="str">
        <f t="shared" si="7"/>
        <v/>
      </c>
      <c r="BF50" s="326" t="str">
        <f t="shared" si="31"/>
        <v/>
      </c>
      <c r="BG50" s="194" t="e">
        <f t="array" ref="BG50">IF(ROWS(BE$22:BE50)&gt;COUNTA($BE$22:$BE$71),"",INDEX($BE$22:$BE$71,SMALL(IF($BE$22:$BE$71&lt;&gt;"",ROW($BE$22:$BE$71)-ROW($BE$22)+1),ROWS($BE$22:BE50))))</f>
        <v>#NUM!</v>
      </c>
      <c r="BI50" s="480" t="str">
        <f>IF(B50="","",VLOOKUP(B50,'SpxSp Compliance Details'!$Z$18:$BK$67,36,FALSE))</f>
        <v/>
      </c>
      <c r="BJ50" s="473" t="str">
        <f>IF($B50="","",VLOOKUP($H50,Table_9.6.1_2016[],IF(Compliance_Version_Year=2010,18,BJ$18),FALSE))</f>
        <v/>
      </c>
      <c r="BK50" s="473" t="str">
        <f t="shared" si="16"/>
        <v/>
      </c>
      <c r="BL50" s="473" t="str">
        <f>IF($B50="","",VLOOKUP($H50,Table_9.6.1_2016[],IF(Compliance_Version_Year=2010,18,BL$18),FALSE))</f>
        <v/>
      </c>
      <c r="BM50" s="473" t="str">
        <f t="shared" si="17"/>
        <v/>
      </c>
      <c r="BN50" s="473" t="str">
        <f>IF($B50="","",IF($BI50="#1",BN$15,IF($BI50="#2",BN$16,VLOOKUP($H50,Table_9.6.1_2016[],IF(Compliance_Version_Year=2010,18,BN$18),FALSE))))</f>
        <v/>
      </c>
      <c r="BO50" s="473" t="str">
        <f t="shared" si="18"/>
        <v/>
      </c>
      <c r="BP50" s="473" t="str">
        <f>IF($B50="","",IF($BI50="#1",BP$15,IF($BI50="#2",BP$16,VLOOKUP($H50,Table_9.6.1_2016[],IF(Compliance_Version_Year=2010,18,BP$18),FALSE))))</f>
        <v/>
      </c>
      <c r="BQ50" s="473" t="str">
        <f t="shared" si="19"/>
        <v/>
      </c>
      <c r="BR50" s="473" t="str">
        <f>IF($B50="","",IF($BI50="#1",BR$15,IF($BI50="#2",BR$17,VLOOKUP($H50,Table_9.6.1_2016[],IF(Compliance_Version_Year=2010,18,BR$18),FALSE))))</f>
        <v/>
      </c>
      <c r="BS50" s="473" t="str">
        <f t="shared" si="20"/>
        <v/>
      </c>
      <c r="BT50" s="473" t="str">
        <f>IF($B50="","",IF($BI50="#1",BT$15,IF($BI50="#2",BT$16,VLOOKUP($H50,Table_9.6.1_2016[],IF(Compliance_Version_Year=2010,18,BT$18),FALSE))))</f>
        <v/>
      </c>
      <c r="BU50" s="473" t="str">
        <f t="shared" si="21"/>
        <v/>
      </c>
      <c r="BV50" s="473" t="str">
        <f>IF($B50="","",IF($BI50="#1",BV$15,IF($BI50="#2",BV$16,VLOOKUP($H50,Table_9.6.1_2016[],IF(Compliance_Version_Year=2010,18,BV$18),FALSE))))</f>
        <v/>
      </c>
      <c r="BW50" s="473" t="str">
        <f t="shared" si="22"/>
        <v/>
      </c>
      <c r="BX50" s="473" t="str">
        <f>IF($B50="","",VLOOKUP($H50,Table_9.6.1_2016[],IF(Compliance_Version_Year=2010,18,BX$18),FALSE))</f>
        <v/>
      </c>
      <c r="BY50" s="473" t="str">
        <f t="shared" si="23"/>
        <v/>
      </c>
      <c r="BZ50" s="473" t="str">
        <f>IF($B50="","",IF($BI50="#1",BZ$15,VLOOKUP($H50,Table_9.6.1_2016[],IF(Compliance_Version_Year=2010,18,BZ$18),FALSE)))</f>
        <v/>
      </c>
      <c r="CA50" s="473" t="str">
        <f t="shared" si="24"/>
        <v/>
      </c>
      <c r="CB50" s="473" t="str">
        <f>IF($B50="","",IF($BI50="#1",CB$15,IF($BI50="#2",CB$16,VLOOKUP($H50,Table_9.6.1_2016[],IF(Compliance_Version_Year=2010,18,CB$18),FALSE))))</f>
        <v/>
      </c>
      <c r="CC50" s="473" t="str">
        <f t="shared" si="25"/>
        <v/>
      </c>
      <c r="CD50" s="473" t="str">
        <f>IF($B50="","",IF($BI50="#1",CD$15,IF($BI50="#2",CD$16,VLOOKUP($H50,Table_9.6.1_2016[],IF(Compliance_Version_Year=2010,18,CD$18),FALSE))))</f>
        <v/>
      </c>
      <c r="CE50" s="473" t="str">
        <f t="shared" ref="CE50" si="54">IF(OR(CD50="ADD2",CD50="REQ"),"9.4.1.2c, ","")</f>
        <v/>
      </c>
      <c r="CF50" s="473" t="str">
        <f>IF($B50="","",IF($BI50="#1",CF$15,IF($BI50="#2",CF$16,VLOOKUP($H50,Table_9.6.1_2016[],IF(Compliance_Version_Year=2010,18,CF$18),FALSE))))</f>
        <v/>
      </c>
      <c r="CG50" s="473" t="str">
        <f t="shared" si="32"/>
        <v/>
      </c>
      <c r="CH50" s="473" t="str">
        <f>IF($B50="","",IF($BI50="#1",CH$15,IF($BI50="#2",CH$16,VLOOKUP($H50,Table_9.6.1_2016[],IF(Compliance_Version_Year=2010,18,CH$18),FALSE))))</f>
        <v/>
      </c>
      <c r="CI50" s="473" t="str">
        <f t="shared" si="34"/>
        <v/>
      </c>
      <c r="CL50" s="43" t="str">
        <f t="shared" si="10"/>
        <v/>
      </c>
      <c r="CM50" s="43" t="str">
        <f t="shared" si="11"/>
        <v/>
      </c>
      <c r="CR50" s="42" t="str">
        <f t="shared" si="27"/>
        <v/>
      </c>
      <c r="CS50" s="42" t="str">
        <f>'SpxSp Compliance Details'!I46</f>
        <v/>
      </c>
    </row>
    <row r="51" spans="1:97" x14ac:dyDescent="0.25">
      <c r="A51" s="5">
        <v>30</v>
      </c>
      <c r="B51" s="1627" t="str">
        <f>'Int Room Schedule'!Z45</f>
        <v/>
      </c>
      <c r="C51" s="1628"/>
      <c r="D51" s="1628"/>
      <c r="E51" s="1628"/>
      <c r="F51" s="1367"/>
      <c r="G51" s="321"/>
      <c r="H51" s="472" t="str">
        <f>'Int Room Schedule'!AA45</f>
        <v/>
      </c>
      <c r="I51" s="466" t="str">
        <f t="shared" si="1"/>
        <v/>
      </c>
      <c r="J51" s="655" t="str">
        <f ca="1">IF($B51&lt;&gt;"",VLOOKUP($AN51,INDIRECT('9.6 Table'!$P$338),2,FALSE)," ")</f>
        <v xml:space="preserve"> </v>
      </c>
      <c r="K51" s="948" t="str">
        <f ca="1">IF($B51&lt;&gt;"",VLOOKUP($AN51,INDIRECT('9.6 Table'!$P$338),3,FALSE)," ")</f>
        <v xml:space="preserve"> </v>
      </c>
      <c r="L51" s="484"/>
      <c r="M51" s="362">
        <f t="shared" ca="1" si="45"/>
        <v>1</v>
      </c>
      <c r="N51" s="464">
        <f t="shared" si="3"/>
        <v>0</v>
      </c>
      <c r="O51" s="166">
        <f ca="1">IFERROR(IF(SUMIF('SpxSp (step-b)'!B$26:F$75,'SpxSp (step-a)'!B51,'SpxSp (step-b)'!L$26:L$75)&gt;0,N51,0),0)</f>
        <v>0</v>
      </c>
      <c r="P51" s="486"/>
      <c r="Q51" s="487"/>
      <c r="R51" s="1074">
        <f t="shared" si="12"/>
        <v>0</v>
      </c>
      <c r="S51" s="486"/>
      <c r="T51" s="487"/>
      <c r="U51" s="487"/>
      <c r="V51" s="328" t="str">
        <f t="shared" si="4"/>
        <v/>
      </c>
      <c r="W51" s="1631">
        <f ca="1">SUMIFS('SpxSp (step-b)'!AZ55:AZ104,'SpxSp (step-b)'!AX$26:AX$75,AB51)</f>
        <v>0</v>
      </c>
      <c r="X51" s="1632"/>
      <c r="Y51" s="244"/>
      <c r="Z51" s="244">
        <f>IF(B51="",0,COUNTIF('SpxSp (step-b)'!B55:F80,B51))</f>
        <v>0</v>
      </c>
      <c r="AB51" s="737" t="str">
        <f ca="1">IF(OR($B51="",O51=0),"",VLOOKUP($AN51,INDIRECT('9.6 Table'!$P$338),17,FALSE))</f>
        <v/>
      </c>
      <c r="AC51" s="326"/>
      <c r="AD51" s="326"/>
      <c r="AE51" s="326"/>
      <c r="AF51" s="326"/>
      <c r="AG51" s="326"/>
      <c r="AH51" s="326"/>
      <c r="AI51" s="326"/>
      <c r="AJ51" s="326"/>
      <c r="AK51" s="326"/>
      <c r="AL51" s="326"/>
      <c r="AM51" s="231">
        <f>'Int Room Schedule'!U45</f>
        <v>0</v>
      </c>
      <c r="AN51" s="78" t="str">
        <f t="shared" si="5"/>
        <v/>
      </c>
      <c r="AO51" s="78"/>
      <c r="AP51" s="78"/>
      <c r="AQ51" s="78"/>
      <c r="AR51" s="43" t="str">
        <f t="shared" si="0"/>
        <v/>
      </c>
      <c r="AX51" s="43" t="str">
        <f t="shared" si="6"/>
        <v/>
      </c>
      <c r="AY51" s="326" t="str">
        <f t="shared" si="46"/>
        <v/>
      </c>
      <c r="AZ51" s="194" t="e">
        <f t="array" ref="AZ51">IF(ROWS(AX$22:AX51)&gt;COUNTA($AX$22:$AX$71),"",INDEX($AX$22:$AX$71,SMALL(IF($AX$22:$AX$71&lt;&gt;"",ROW($AX$22:$AX$71)-ROW($AX$22)+1),ROWS($AX$22:AX51))))</f>
        <v>#NUM!</v>
      </c>
      <c r="BA51" s="730" t="str">
        <f t="shared" si="13"/>
        <v/>
      </c>
      <c r="BB51" s="326" t="str">
        <f>IF(BA51="","",SUMIF('SpxSp (step-c)'!B$18:E$67,AZ51,'SpxSp (step-c)'!T$18:T$67))</f>
        <v/>
      </c>
      <c r="BC51" s="326">
        <f t="shared" si="33"/>
        <v>0</v>
      </c>
      <c r="BE51" s="43" t="str">
        <f t="shared" si="7"/>
        <v/>
      </c>
      <c r="BF51" s="326" t="str">
        <f t="shared" si="31"/>
        <v/>
      </c>
      <c r="BG51" s="194" t="e">
        <f t="array" ref="BG51">IF(ROWS(BE$22:BE51)&gt;COUNTA($BE$22:$BE$71),"",INDEX($BE$22:$BE$71,SMALL(IF($BE$22:$BE$71&lt;&gt;"",ROW($BE$22:$BE$71)-ROW($BE$22)+1),ROWS($BE$22:BE51))))</f>
        <v>#NUM!</v>
      </c>
      <c r="BI51" s="480" t="str">
        <f>IF(B51="","",VLOOKUP(B51,'SpxSp Compliance Details'!$Z$18:$BK$67,36,FALSE))</f>
        <v/>
      </c>
      <c r="BJ51" s="473" t="str">
        <f>IF($B51="","",VLOOKUP($H51,Table_9.6.1_2016[],IF(Compliance_Version_Year=2010,18,BJ$18),FALSE))</f>
        <v/>
      </c>
      <c r="BK51" s="473" t="str">
        <f t="shared" si="16"/>
        <v/>
      </c>
      <c r="BL51" s="473" t="str">
        <f>IF($B51="","",VLOOKUP($H51,Table_9.6.1_2016[],IF(Compliance_Version_Year=2010,18,BL$18),FALSE))</f>
        <v/>
      </c>
      <c r="BM51" s="473" t="str">
        <f t="shared" si="17"/>
        <v/>
      </c>
      <c r="BN51" s="473" t="str">
        <f>IF($B51="","",IF($BI51="#1",BN$15,IF($BI51="#2",BN$16,VLOOKUP($H51,Table_9.6.1_2016[],IF(Compliance_Version_Year=2010,18,BN$18),FALSE))))</f>
        <v/>
      </c>
      <c r="BO51" s="473" t="str">
        <f t="shared" si="18"/>
        <v/>
      </c>
      <c r="BP51" s="473" t="str">
        <f>IF($B51="","",IF($BI51="#1",BP$15,IF($BI51="#2",BP$16,VLOOKUP($H51,Table_9.6.1_2016[],IF(Compliance_Version_Year=2010,18,BP$18),FALSE))))</f>
        <v/>
      </c>
      <c r="BQ51" s="473" t="str">
        <f t="shared" si="19"/>
        <v/>
      </c>
      <c r="BR51" s="473" t="str">
        <f>IF($B51="","",IF($BI51="#1",BR$15,IF($BI51="#2",BR$17,VLOOKUP($H51,Table_9.6.1_2016[],IF(Compliance_Version_Year=2010,18,BR$18),FALSE))))</f>
        <v/>
      </c>
      <c r="BS51" s="473" t="str">
        <f t="shared" si="20"/>
        <v/>
      </c>
      <c r="BT51" s="473" t="str">
        <f>IF($B51="","",IF($BI51="#1",BT$15,IF($BI51="#2",BT$16,VLOOKUP($H51,Table_9.6.1_2016[],IF(Compliance_Version_Year=2010,18,BT$18),FALSE))))</f>
        <v/>
      </c>
      <c r="BU51" s="473" t="str">
        <f t="shared" si="21"/>
        <v/>
      </c>
      <c r="BV51" s="473" t="str">
        <f>IF($B51="","",IF($BI51="#1",BV$15,IF($BI51="#2",BV$16,VLOOKUP($H51,Table_9.6.1_2016[],IF(Compliance_Version_Year=2010,18,BV$18),FALSE))))</f>
        <v/>
      </c>
      <c r="BW51" s="473" t="str">
        <f t="shared" si="22"/>
        <v/>
      </c>
      <c r="BX51" s="473" t="str">
        <f>IF($B51="","",VLOOKUP($H51,Table_9.6.1_2016[],IF(Compliance_Version_Year=2010,18,BX$18),FALSE))</f>
        <v/>
      </c>
      <c r="BY51" s="473" t="str">
        <f t="shared" si="23"/>
        <v/>
      </c>
      <c r="BZ51" s="473" t="str">
        <f>IF($B51="","",IF($BI51="#1",BZ$15,VLOOKUP($H51,Table_9.6.1_2016[],IF(Compliance_Version_Year=2010,18,BZ$18),FALSE)))</f>
        <v/>
      </c>
      <c r="CA51" s="473" t="str">
        <f t="shared" si="24"/>
        <v/>
      </c>
      <c r="CB51" s="473" t="str">
        <f>IF($B51="","",IF($BI51="#1",CB$15,IF($BI51="#2",CB$16,VLOOKUP($H51,Table_9.6.1_2016[],IF(Compliance_Version_Year=2010,18,CB$18),FALSE))))</f>
        <v/>
      </c>
      <c r="CC51" s="473" t="str">
        <f t="shared" si="25"/>
        <v/>
      </c>
      <c r="CD51" s="473" t="str">
        <f>IF($B51="","",IF($BI51="#1",CD$15,IF($BI51="#2",CD$16,VLOOKUP($H51,Table_9.6.1_2016[],IF(Compliance_Version_Year=2010,18,CD$18),FALSE))))</f>
        <v/>
      </c>
      <c r="CE51" s="473" t="str">
        <f t="shared" ref="CE51" si="55">IF(OR(CD51="ADD2",CD51="REQ"),"9.4.1.2c, ","")</f>
        <v/>
      </c>
      <c r="CF51" s="473" t="str">
        <f>IF($B51="","",IF($BI51="#1",CF$15,IF($BI51="#2",CF$16,VLOOKUP($H51,Table_9.6.1_2016[],IF(Compliance_Version_Year=2010,18,CF$18),FALSE))))</f>
        <v/>
      </c>
      <c r="CG51" s="473" t="str">
        <f t="shared" si="32"/>
        <v/>
      </c>
      <c r="CH51" s="473" t="str">
        <f>IF($B51="","",IF($BI51="#1",CH$15,IF($BI51="#2",CH$16,VLOOKUP($H51,Table_9.6.1_2016[],IF(Compliance_Version_Year=2010,18,CH$18),FALSE))))</f>
        <v/>
      </c>
      <c r="CI51" s="473" t="str">
        <f t="shared" si="34"/>
        <v/>
      </c>
      <c r="CL51" s="43" t="str">
        <f t="shared" si="10"/>
        <v/>
      </c>
      <c r="CM51" s="43" t="str">
        <f t="shared" si="11"/>
        <v/>
      </c>
      <c r="CR51" s="42" t="str">
        <f t="shared" si="27"/>
        <v/>
      </c>
      <c r="CS51" s="42" t="str">
        <f>'SpxSp Compliance Details'!I47</f>
        <v/>
      </c>
    </row>
    <row r="52" spans="1:97" x14ac:dyDescent="0.25">
      <c r="A52" s="5">
        <v>31</v>
      </c>
      <c r="B52" s="1627" t="str">
        <f>'Int Room Schedule'!Z46</f>
        <v/>
      </c>
      <c r="C52" s="1628"/>
      <c r="D52" s="1628"/>
      <c r="E52" s="1628"/>
      <c r="F52" s="1367"/>
      <c r="G52" s="321"/>
      <c r="H52" s="472" t="str">
        <f>'Int Room Schedule'!AA46</f>
        <v/>
      </c>
      <c r="I52" s="466" t="str">
        <f t="shared" si="1"/>
        <v/>
      </c>
      <c r="J52" s="655" t="str">
        <f ca="1">IF($B52&lt;&gt;"",VLOOKUP($AN52,INDIRECT('9.6 Table'!$P$338),2,FALSE)," ")</f>
        <v xml:space="preserve"> </v>
      </c>
      <c r="K52" s="948" t="str">
        <f ca="1">IF($B52&lt;&gt;"",VLOOKUP($AN52,INDIRECT('9.6 Table'!$P$338),3,FALSE)," ")</f>
        <v xml:space="preserve"> </v>
      </c>
      <c r="L52" s="484"/>
      <c r="M52" s="362">
        <f t="shared" ca="1" si="45"/>
        <v>1</v>
      </c>
      <c r="N52" s="464">
        <f t="shared" si="3"/>
        <v>0</v>
      </c>
      <c r="O52" s="166">
        <f ca="1">IFERROR(IF(SUMIF('SpxSp (step-b)'!B$26:F$75,'SpxSp (step-a)'!B52,'SpxSp (step-b)'!L$26:L$75)&gt;0,N52,0),0)</f>
        <v>0</v>
      </c>
      <c r="P52" s="486"/>
      <c r="Q52" s="487"/>
      <c r="R52" s="1074">
        <f t="shared" si="12"/>
        <v>0</v>
      </c>
      <c r="S52" s="486"/>
      <c r="T52" s="487"/>
      <c r="U52" s="487"/>
      <c r="V52" s="328" t="str">
        <f t="shared" si="4"/>
        <v/>
      </c>
      <c r="W52" s="1631">
        <f ca="1">SUMIFS('SpxSp (step-b)'!AZ56:AZ105,'SpxSp (step-b)'!AX$26:AX$75,AB52)</f>
        <v>0</v>
      </c>
      <c r="X52" s="1632"/>
      <c r="Y52" s="244"/>
      <c r="Z52" s="244">
        <f>IF(B52="",0,COUNTIF('SpxSp (step-b)'!B56:F80,B52))</f>
        <v>0</v>
      </c>
      <c r="AB52" s="737" t="str">
        <f ca="1">IF(OR($B52="",O52=0),"",VLOOKUP($AN52,INDIRECT('9.6 Table'!$P$338),17,FALSE))</f>
        <v/>
      </c>
      <c r="AC52" s="326"/>
      <c r="AD52" s="326"/>
      <c r="AE52" s="326"/>
      <c r="AF52" s="326"/>
      <c r="AG52" s="326"/>
      <c r="AH52" s="326"/>
      <c r="AI52" s="326"/>
      <c r="AJ52" s="326"/>
      <c r="AK52" s="326"/>
      <c r="AL52" s="326"/>
      <c r="AM52" s="231">
        <f>'Int Room Schedule'!U46</f>
        <v>0</v>
      </c>
      <c r="AN52" s="78" t="str">
        <f t="shared" si="5"/>
        <v/>
      </c>
      <c r="AO52" s="78"/>
      <c r="AP52" s="78"/>
      <c r="AQ52" s="78"/>
      <c r="AR52" s="43" t="str">
        <f t="shared" si="0"/>
        <v/>
      </c>
      <c r="AX52" s="43" t="str">
        <f t="shared" si="6"/>
        <v/>
      </c>
      <c r="AY52" s="326" t="str">
        <f t="shared" si="46"/>
        <v/>
      </c>
      <c r="AZ52" s="194" t="e">
        <f t="array" ref="AZ52">IF(ROWS(AX$22:AX52)&gt;COUNTA($AX$22:$AX$71),"",INDEX($AX$22:$AX$71,SMALL(IF($AX$22:$AX$71&lt;&gt;"",ROW($AX$22:$AX$71)-ROW($AX$22)+1),ROWS($AX$22:AX52))))</f>
        <v>#NUM!</v>
      </c>
      <c r="BA52" s="730" t="str">
        <f t="shared" si="13"/>
        <v/>
      </c>
      <c r="BB52" s="326" t="str">
        <f>IF(BA52="","",SUMIF('SpxSp (step-c)'!B$18:E$67,AZ52,'SpxSp (step-c)'!T$18:T$67))</f>
        <v/>
      </c>
      <c r="BC52" s="326">
        <f t="shared" si="33"/>
        <v>0</v>
      </c>
      <c r="BE52" s="43" t="str">
        <f t="shared" si="7"/>
        <v/>
      </c>
      <c r="BF52" s="326" t="str">
        <f t="shared" si="31"/>
        <v/>
      </c>
      <c r="BG52" s="194" t="e">
        <f t="array" ref="BG52">IF(ROWS(BE$22:BE52)&gt;COUNTA($BE$22:$BE$71),"",INDEX($BE$22:$BE$71,SMALL(IF($BE$22:$BE$71&lt;&gt;"",ROW($BE$22:$BE$71)-ROW($BE$22)+1),ROWS($BE$22:BE52))))</f>
        <v>#NUM!</v>
      </c>
      <c r="BI52" s="480" t="str">
        <f>IF(B52="","",VLOOKUP(B52,'SpxSp Compliance Details'!$Z$18:$BK$67,36,FALSE))</f>
        <v/>
      </c>
      <c r="BJ52" s="473" t="str">
        <f>IF($B52="","",VLOOKUP($H52,Table_9.6.1_2016[],IF(Compliance_Version_Year=2010,18,BJ$18),FALSE))</f>
        <v/>
      </c>
      <c r="BK52" s="473" t="str">
        <f t="shared" si="16"/>
        <v/>
      </c>
      <c r="BL52" s="473" t="str">
        <f>IF($B52="","",VLOOKUP($H52,Table_9.6.1_2016[],IF(Compliance_Version_Year=2010,18,BL$18),FALSE))</f>
        <v/>
      </c>
      <c r="BM52" s="473" t="str">
        <f t="shared" si="17"/>
        <v/>
      </c>
      <c r="BN52" s="473" t="str">
        <f>IF($B52="","",IF($BI52="#1",BN$15,IF($BI52="#2",BN$16,VLOOKUP($H52,Table_9.6.1_2016[],IF(Compliance_Version_Year=2010,18,BN$18),FALSE))))</f>
        <v/>
      </c>
      <c r="BO52" s="473" t="str">
        <f t="shared" si="18"/>
        <v/>
      </c>
      <c r="BP52" s="473" t="str">
        <f>IF($B52="","",IF($BI52="#1",BP$15,IF($BI52="#2",BP$16,VLOOKUP($H52,Table_9.6.1_2016[],IF(Compliance_Version_Year=2010,18,BP$18),FALSE))))</f>
        <v/>
      </c>
      <c r="BQ52" s="473" t="str">
        <f t="shared" si="19"/>
        <v/>
      </c>
      <c r="BR52" s="473" t="str">
        <f>IF($B52="","",IF($BI52="#1",BR$15,IF($BI52="#2",BR$17,VLOOKUP($H52,Table_9.6.1_2016[],IF(Compliance_Version_Year=2010,18,BR$18),FALSE))))</f>
        <v/>
      </c>
      <c r="BS52" s="473" t="str">
        <f t="shared" si="20"/>
        <v/>
      </c>
      <c r="BT52" s="473" t="str">
        <f>IF($B52="","",IF($BI52="#1",BT$15,IF($BI52="#2",BT$16,VLOOKUP($H52,Table_9.6.1_2016[],IF(Compliance_Version_Year=2010,18,BT$18),FALSE))))</f>
        <v/>
      </c>
      <c r="BU52" s="473" t="str">
        <f t="shared" si="21"/>
        <v/>
      </c>
      <c r="BV52" s="473" t="str">
        <f>IF($B52="","",IF($BI52="#1",BV$15,IF($BI52="#2",BV$16,VLOOKUP($H52,Table_9.6.1_2016[],IF(Compliance_Version_Year=2010,18,BV$18),FALSE))))</f>
        <v/>
      </c>
      <c r="BW52" s="473" t="str">
        <f t="shared" si="22"/>
        <v/>
      </c>
      <c r="BX52" s="473" t="str">
        <f>IF($B52="","",VLOOKUP($H52,Table_9.6.1_2016[],IF(Compliance_Version_Year=2010,18,BX$18),FALSE))</f>
        <v/>
      </c>
      <c r="BY52" s="473" t="str">
        <f t="shared" si="23"/>
        <v/>
      </c>
      <c r="BZ52" s="473" t="str">
        <f>IF($B52="","",IF($BI52="#1",BZ$15,VLOOKUP($H52,Table_9.6.1_2016[],IF(Compliance_Version_Year=2010,18,BZ$18),FALSE)))</f>
        <v/>
      </c>
      <c r="CA52" s="473" t="str">
        <f t="shared" si="24"/>
        <v/>
      </c>
      <c r="CB52" s="473" t="str">
        <f>IF($B52="","",IF($BI52="#1",CB$15,IF($BI52="#2",CB$16,VLOOKUP($H52,Table_9.6.1_2016[],IF(Compliance_Version_Year=2010,18,CB$18),FALSE))))</f>
        <v/>
      </c>
      <c r="CC52" s="473" t="str">
        <f t="shared" si="25"/>
        <v/>
      </c>
      <c r="CD52" s="473" t="str">
        <f>IF($B52="","",IF($BI52="#1",CD$15,IF($BI52="#2",CD$16,VLOOKUP($H52,Table_9.6.1_2016[],IF(Compliance_Version_Year=2010,18,CD$18),FALSE))))</f>
        <v/>
      </c>
      <c r="CE52" s="473" t="str">
        <f t="shared" ref="CE52" si="56">IF(OR(CD52="ADD2",CD52="REQ"),"9.4.1.2c, ","")</f>
        <v/>
      </c>
      <c r="CF52" s="473" t="str">
        <f>IF($B52="","",IF($BI52="#1",CF$15,IF($BI52="#2",CF$16,VLOOKUP($H52,Table_9.6.1_2016[],IF(Compliance_Version_Year=2010,18,CF$18),FALSE))))</f>
        <v/>
      </c>
      <c r="CG52" s="473" t="str">
        <f t="shared" si="32"/>
        <v/>
      </c>
      <c r="CH52" s="473" t="str">
        <f>IF($B52="","",IF($BI52="#1",CH$15,IF($BI52="#2",CH$16,VLOOKUP($H52,Table_9.6.1_2016[],IF(Compliance_Version_Year=2010,18,CH$18),FALSE))))</f>
        <v/>
      </c>
      <c r="CI52" s="473" t="str">
        <f t="shared" si="34"/>
        <v/>
      </c>
      <c r="CL52" s="43" t="str">
        <f t="shared" si="10"/>
        <v/>
      </c>
      <c r="CM52" s="43" t="str">
        <f t="shared" si="11"/>
        <v/>
      </c>
      <c r="CR52" s="42" t="str">
        <f t="shared" si="27"/>
        <v/>
      </c>
      <c r="CS52" s="42" t="str">
        <f>'SpxSp Compliance Details'!I48</f>
        <v/>
      </c>
    </row>
    <row r="53" spans="1:97" x14ac:dyDescent="0.25">
      <c r="A53" s="5">
        <v>32</v>
      </c>
      <c r="B53" s="1627" t="str">
        <f>'Int Room Schedule'!Z47</f>
        <v/>
      </c>
      <c r="C53" s="1628"/>
      <c r="D53" s="1628"/>
      <c r="E53" s="1628"/>
      <c r="F53" s="1367"/>
      <c r="G53" s="321"/>
      <c r="H53" s="472" t="str">
        <f>'Int Room Schedule'!AA47</f>
        <v/>
      </c>
      <c r="I53" s="466" t="str">
        <f t="shared" si="1"/>
        <v/>
      </c>
      <c r="J53" s="655" t="str">
        <f ca="1">IF($B53&lt;&gt;"",VLOOKUP($AN53,INDIRECT('9.6 Table'!$P$338),2,FALSE)," ")</f>
        <v xml:space="preserve"> </v>
      </c>
      <c r="K53" s="948" t="str">
        <f ca="1">IF($B53&lt;&gt;"",VLOOKUP($AN53,INDIRECT('9.6 Table'!$P$338),3,FALSE)," ")</f>
        <v xml:space="preserve"> </v>
      </c>
      <c r="L53" s="484"/>
      <c r="M53" s="362">
        <f t="shared" ca="1" si="45"/>
        <v>1</v>
      </c>
      <c r="N53" s="464">
        <f t="shared" si="3"/>
        <v>0</v>
      </c>
      <c r="O53" s="166">
        <f ca="1">IFERROR(IF(SUMIF('SpxSp (step-b)'!B$26:F$75,'SpxSp (step-a)'!B53,'SpxSp (step-b)'!L$26:L$75)&gt;0,N53,0),0)</f>
        <v>0</v>
      </c>
      <c r="P53" s="486"/>
      <c r="Q53" s="487"/>
      <c r="R53" s="1074">
        <f t="shared" si="12"/>
        <v>0</v>
      </c>
      <c r="S53" s="486"/>
      <c r="T53" s="487"/>
      <c r="U53" s="487"/>
      <c r="V53" s="328" t="str">
        <f t="shared" si="4"/>
        <v/>
      </c>
      <c r="W53" s="1631">
        <f ca="1">SUMIFS('SpxSp (step-b)'!AZ57:AZ106,'SpxSp (step-b)'!AX$26:AX$75,AB53)</f>
        <v>0</v>
      </c>
      <c r="X53" s="1632"/>
      <c r="Y53" s="244"/>
      <c r="Z53" s="244">
        <f>IF(B53="",0,COUNTIF('SpxSp (step-b)'!B57:F80,B53))</f>
        <v>0</v>
      </c>
      <c r="AB53" s="737" t="str">
        <f ca="1">IF(OR($B53="",O53=0),"",VLOOKUP($AN53,INDIRECT('9.6 Table'!$P$338),17,FALSE))</f>
        <v/>
      </c>
      <c r="AC53" s="326"/>
      <c r="AD53" s="326"/>
      <c r="AE53" s="326"/>
      <c r="AF53" s="326"/>
      <c r="AG53" s="326"/>
      <c r="AH53" s="326"/>
      <c r="AI53" s="326"/>
      <c r="AJ53" s="326"/>
      <c r="AK53" s="326"/>
      <c r="AL53" s="326"/>
      <c r="AM53" s="231">
        <f>'Int Room Schedule'!U47</f>
        <v>0</v>
      </c>
      <c r="AN53" s="78" t="str">
        <f t="shared" si="5"/>
        <v/>
      </c>
      <c r="AO53" s="78"/>
      <c r="AP53" s="78"/>
      <c r="AQ53" s="78"/>
      <c r="AR53" s="43" t="str">
        <f t="shared" ref="AR53:AR71" si="57">B53</f>
        <v/>
      </c>
      <c r="AX53" s="43" t="str">
        <f t="shared" si="6"/>
        <v/>
      </c>
      <c r="AY53" s="326" t="str">
        <f t="shared" si="46"/>
        <v/>
      </c>
      <c r="AZ53" s="194" t="e">
        <f t="array" ref="AZ53">IF(ROWS(AX$22:AX53)&gt;COUNTA($AX$22:$AX$71),"",INDEX($AX$22:$AX$71,SMALL(IF($AX$22:$AX$71&lt;&gt;"",ROW($AX$22:$AX$71)-ROW($AX$22)+1),ROWS($AX$22:AX53))))</f>
        <v>#NUM!</v>
      </c>
      <c r="BA53" s="730" t="str">
        <f t="shared" si="13"/>
        <v/>
      </c>
      <c r="BB53" s="326" t="str">
        <f>IF(BA53="","",SUMIF('SpxSp (step-c)'!B$18:E$67,AZ53,'SpxSp (step-c)'!T$18:T$67))</f>
        <v/>
      </c>
      <c r="BC53" s="326">
        <f t="shared" si="33"/>
        <v>0</v>
      </c>
      <c r="BE53" s="43" t="str">
        <f t="shared" si="7"/>
        <v/>
      </c>
      <c r="BF53" s="326" t="str">
        <f t="shared" si="31"/>
        <v/>
      </c>
      <c r="BG53" s="194" t="e">
        <f t="array" ref="BG53">IF(ROWS(BE$22:BE53)&gt;COUNTA($BE$22:$BE$71),"",INDEX($BE$22:$BE$71,SMALL(IF($BE$22:$BE$71&lt;&gt;"",ROW($BE$22:$BE$71)-ROW($BE$22)+1),ROWS($BE$22:BE53))))</f>
        <v>#NUM!</v>
      </c>
      <c r="BI53" s="480" t="str">
        <f>IF(B53="","",VLOOKUP(B53,'SpxSp Compliance Details'!$Z$18:$BK$67,36,FALSE))</f>
        <v/>
      </c>
      <c r="BJ53" s="473" t="str">
        <f>IF($B53="","",VLOOKUP($H53,Table_9.6.1_2016[],IF(Compliance_Version_Year=2010,18,BJ$18),FALSE))</f>
        <v/>
      </c>
      <c r="BK53" s="473" t="str">
        <f t="shared" si="16"/>
        <v/>
      </c>
      <c r="BL53" s="473" t="str">
        <f>IF($B53="","",VLOOKUP($H53,Table_9.6.1_2016[],IF(Compliance_Version_Year=2010,18,BL$18),FALSE))</f>
        <v/>
      </c>
      <c r="BM53" s="473" t="str">
        <f t="shared" si="17"/>
        <v/>
      </c>
      <c r="BN53" s="473" t="str">
        <f>IF($B53="","",IF($BI53="#1",BN$15,IF($BI53="#2",BN$16,VLOOKUP($H53,Table_9.6.1_2016[],IF(Compliance_Version_Year=2010,18,BN$18),FALSE))))</f>
        <v/>
      </c>
      <c r="BO53" s="473" t="str">
        <f t="shared" si="18"/>
        <v/>
      </c>
      <c r="BP53" s="473" t="str">
        <f>IF($B53="","",IF($BI53="#1",BP$15,IF($BI53="#2",BP$16,VLOOKUP($H53,Table_9.6.1_2016[],IF(Compliance_Version_Year=2010,18,BP$18),FALSE))))</f>
        <v/>
      </c>
      <c r="BQ53" s="473" t="str">
        <f t="shared" si="19"/>
        <v/>
      </c>
      <c r="BR53" s="473" t="str">
        <f>IF($B53="","",IF($BI53="#1",BR$15,IF($BI53="#2",BR$17,VLOOKUP($H53,Table_9.6.1_2016[],IF(Compliance_Version_Year=2010,18,BR$18),FALSE))))</f>
        <v/>
      </c>
      <c r="BS53" s="473" t="str">
        <f t="shared" si="20"/>
        <v/>
      </c>
      <c r="BT53" s="473" t="str">
        <f>IF($B53="","",IF($BI53="#1",BT$15,IF($BI53="#2",BT$16,VLOOKUP($H53,Table_9.6.1_2016[],IF(Compliance_Version_Year=2010,18,BT$18),FALSE))))</f>
        <v/>
      </c>
      <c r="BU53" s="473" t="str">
        <f t="shared" si="21"/>
        <v/>
      </c>
      <c r="BV53" s="473" t="str">
        <f>IF($B53="","",IF($BI53="#1",BV$15,IF($BI53="#2",BV$16,VLOOKUP($H53,Table_9.6.1_2016[],IF(Compliance_Version_Year=2010,18,BV$18),FALSE))))</f>
        <v/>
      </c>
      <c r="BW53" s="473" t="str">
        <f t="shared" si="22"/>
        <v/>
      </c>
      <c r="BX53" s="473" t="str">
        <f>IF($B53="","",VLOOKUP($H53,Table_9.6.1_2016[],IF(Compliance_Version_Year=2010,18,BX$18),FALSE))</f>
        <v/>
      </c>
      <c r="BY53" s="473" t="str">
        <f t="shared" si="23"/>
        <v/>
      </c>
      <c r="BZ53" s="473" t="str">
        <f>IF($B53="","",IF($BI53="#1",BZ$15,VLOOKUP($H53,Table_9.6.1_2016[],IF(Compliance_Version_Year=2010,18,BZ$18),FALSE)))</f>
        <v/>
      </c>
      <c r="CA53" s="473" t="str">
        <f t="shared" si="24"/>
        <v/>
      </c>
      <c r="CB53" s="473" t="str">
        <f>IF($B53="","",IF($BI53="#1",CB$15,IF($BI53="#2",CB$16,VLOOKUP($H53,Table_9.6.1_2016[],IF(Compliance_Version_Year=2010,18,CB$18),FALSE))))</f>
        <v/>
      </c>
      <c r="CC53" s="473" t="str">
        <f t="shared" si="25"/>
        <v/>
      </c>
      <c r="CD53" s="473" t="str">
        <f>IF($B53="","",IF($BI53="#1",CD$15,IF($BI53="#2",CD$16,VLOOKUP($H53,Table_9.6.1_2016[],IF(Compliance_Version_Year=2010,18,CD$18),FALSE))))</f>
        <v/>
      </c>
      <c r="CE53" s="473" t="str">
        <f t="shared" ref="CE53" si="58">IF(OR(CD53="ADD2",CD53="REQ"),"9.4.1.2c, ","")</f>
        <v/>
      </c>
      <c r="CF53" s="473" t="str">
        <f>IF($B53="","",IF($BI53="#1",CF$15,IF($BI53="#2",CF$16,VLOOKUP($H53,Table_9.6.1_2016[],IF(Compliance_Version_Year=2010,18,CF$18),FALSE))))</f>
        <v/>
      </c>
      <c r="CG53" s="473" t="str">
        <f t="shared" si="32"/>
        <v/>
      </c>
      <c r="CH53" s="473" t="str">
        <f>IF($B53="","",IF($BI53="#1",CH$15,IF($BI53="#2",CH$16,VLOOKUP($H53,Table_9.6.1_2016[],IF(Compliance_Version_Year=2010,18,CH$18),FALSE))))</f>
        <v/>
      </c>
      <c r="CI53" s="473" t="str">
        <f t="shared" si="34"/>
        <v/>
      </c>
      <c r="CL53" s="43" t="str">
        <f t="shared" si="10"/>
        <v/>
      </c>
      <c r="CM53" s="43" t="str">
        <f t="shared" si="11"/>
        <v/>
      </c>
      <c r="CR53" s="42" t="str">
        <f t="shared" si="27"/>
        <v/>
      </c>
      <c r="CS53" s="42" t="str">
        <f>'SpxSp Compliance Details'!I49</f>
        <v/>
      </c>
    </row>
    <row r="54" spans="1:97" x14ac:dyDescent="0.25">
      <c r="A54" s="5">
        <v>33</v>
      </c>
      <c r="B54" s="1627" t="str">
        <f>'Int Room Schedule'!Z48</f>
        <v/>
      </c>
      <c r="C54" s="1628"/>
      <c r="D54" s="1628"/>
      <c r="E54" s="1628"/>
      <c r="F54" s="1367"/>
      <c r="G54" s="321"/>
      <c r="H54" s="472" t="str">
        <f>'Int Room Schedule'!AA48</f>
        <v/>
      </c>
      <c r="I54" s="466" t="str">
        <f t="shared" ref="I54:I71" si="59">IF(B54="","",VLOOKUP(B54,_SpaceDefinition2,4,FALSE))</f>
        <v/>
      </c>
      <c r="J54" s="655" t="str">
        <f ca="1">IF($B54&lt;&gt;"",VLOOKUP($AN54,INDIRECT('9.6 Table'!$P$338),2,FALSE)," ")</f>
        <v xml:space="preserve"> </v>
      </c>
      <c r="K54" s="948" t="str">
        <f ca="1">IF($B54&lt;&gt;"",VLOOKUP($AN54,INDIRECT('9.6 Table'!$P$338),3,FALSE)," ")</f>
        <v xml:space="preserve"> </v>
      </c>
      <c r="L54" s="484"/>
      <c r="M54" s="362">
        <f t="shared" ca="1" si="45"/>
        <v>1</v>
      </c>
      <c r="N54" s="464">
        <f t="shared" ref="N54:N71" si="60">IF(B54&lt;&gt;"",IF(J54="Not 2010",0,IF(LEFT(RIGHT(B54,LEN(B54)-FIND("-",B54)),8)=" Atrium ",IF(AM54&gt;40,40*0.03*I54+(AM54-40)*0.02*I54,AM54*0.03*I54),ROUND(J54*I54*M54,0))),0)</f>
        <v>0</v>
      </c>
      <c r="O54" s="166">
        <f ca="1">IFERROR(IF(SUMIF('SpxSp (step-b)'!B$26:F$75,'SpxSp (step-a)'!B54,'SpxSp (step-b)'!L$26:L$75)&gt;0,N54,0),0)</f>
        <v>0</v>
      </c>
      <c r="P54" s="486"/>
      <c r="Q54" s="487"/>
      <c r="R54" s="1074">
        <f t="shared" si="12"/>
        <v>0</v>
      </c>
      <c r="S54" s="486"/>
      <c r="T54" s="487"/>
      <c r="U54" s="487"/>
      <c r="V54" s="328" t="str">
        <f t="shared" ref="V54:V71" si="61">IF(S54="YES",IF(T54&gt;I54,"sq.ft. ERROR",VLOOKUP(U54,_Space_by_Space_9_6_2_Additional_Interior_Lighting_Power,2,FALSE)*T54),"")</f>
        <v/>
      </c>
      <c r="W54" s="1631">
        <f ca="1">SUMIFS('SpxSp (step-b)'!AZ58:AZ107,'SpxSp (step-b)'!AX$26:AX$75,AB54)</f>
        <v>0</v>
      </c>
      <c r="X54" s="1632"/>
      <c r="Y54" s="244"/>
      <c r="Z54" s="244">
        <f>IF(B54="",0,COUNTIF('SpxSp (step-b)'!B58:F80,B54))</f>
        <v>0</v>
      </c>
      <c r="AB54" s="737" t="str">
        <f ca="1">IF(OR($B54="",O54=0),"",VLOOKUP($AN54,INDIRECT('9.6 Table'!$P$338),17,FALSE))</f>
        <v/>
      </c>
      <c r="AC54" s="326"/>
      <c r="AD54" s="326"/>
      <c r="AE54" s="326"/>
      <c r="AF54" s="326"/>
      <c r="AG54" s="326"/>
      <c r="AH54" s="326"/>
      <c r="AI54" s="326"/>
      <c r="AJ54" s="326"/>
      <c r="AK54" s="326"/>
      <c r="AL54" s="326"/>
      <c r="AM54" s="231">
        <f>'Int Room Schedule'!U48</f>
        <v>0</v>
      </c>
      <c r="AN54" s="78" t="str">
        <f t="shared" ref="AN54:AN71" si="62">VLOOKUP(B54,_SpaceDefinition2,2,FALSE)</f>
        <v/>
      </c>
      <c r="AO54" s="78"/>
      <c r="AP54" s="78"/>
      <c r="AQ54" s="78"/>
      <c r="AR54" s="43" t="str">
        <f t="shared" si="57"/>
        <v/>
      </c>
      <c r="AX54" s="43" t="str">
        <f t="shared" ref="AX54:AX71" si="63">IF(P54="YES",AR54,"")</f>
        <v/>
      </c>
      <c r="AY54" s="326" t="str">
        <f t="shared" si="46"/>
        <v/>
      </c>
      <c r="AZ54" s="194" t="e">
        <f t="array" ref="AZ54">IF(ROWS(AX$22:AX54)&gt;COUNTA($AX$22:$AX$71),"",INDEX($AX$22:$AX$71,SMALL(IF($AX$22:$AX$71&lt;&gt;"",ROW($AX$22:$AX$71)-ROW($AX$22)+1),ROWS($AX$22:AX54))))</f>
        <v>#NUM!</v>
      </c>
      <c r="BA54" s="730" t="str">
        <f t="shared" si="13"/>
        <v/>
      </c>
      <c r="BB54" s="326" t="str">
        <f>IF(BA54="","",SUMIF('SpxSp (step-c)'!B$18:E$67,AZ54,'SpxSp (step-c)'!T$18:T$67))</f>
        <v/>
      </c>
      <c r="BC54" s="326">
        <f t="shared" si="33"/>
        <v>0</v>
      </c>
      <c r="BE54" s="43" t="str">
        <f t="shared" ref="BE54:BE71" si="64">IF(S54="YES",AR54,"")</f>
        <v/>
      </c>
      <c r="BF54" s="326" t="str">
        <f t="shared" si="31"/>
        <v/>
      </c>
      <c r="BG54" s="194" t="e">
        <f t="array" ref="BG54">IF(ROWS(BE$22:BE54)&gt;COUNTA($BE$22:$BE$71),"",INDEX($BE$22:$BE$71,SMALL(IF($BE$22:$BE$71&lt;&gt;"",ROW($BE$22:$BE$71)-ROW($BE$22)+1),ROWS($BE$22:BE54))))</f>
        <v>#NUM!</v>
      </c>
      <c r="BI54" s="480" t="str">
        <f>IF(B54="","",VLOOKUP(B54,'SpxSp Compliance Details'!$Z$18:$BK$67,36,FALSE))</f>
        <v/>
      </c>
      <c r="BJ54" s="473" t="str">
        <f>IF($B54="","",VLOOKUP($H54,Table_9.6.1_2016[],IF(Compliance_Version_Year=2010,18,BJ$18),FALSE))</f>
        <v/>
      </c>
      <c r="BK54" s="473" t="str">
        <f t="shared" si="16"/>
        <v/>
      </c>
      <c r="BL54" s="473" t="str">
        <f>IF($B54="","",VLOOKUP($H54,Table_9.6.1_2016[],IF(Compliance_Version_Year=2010,18,BL$18),FALSE))</f>
        <v/>
      </c>
      <c r="BM54" s="473" t="str">
        <f t="shared" si="17"/>
        <v/>
      </c>
      <c r="BN54" s="473" t="str">
        <f>IF($B54="","",IF($BI54="#1",BN$15,IF($BI54="#2",BN$16,VLOOKUP($H54,Table_9.6.1_2016[],IF(Compliance_Version_Year=2010,18,BN$18),FALSE))))</f>
        <v/>
      </c>
      <c r="BO54" s="473" t="str">
        <f t="shared" si="18"/>
        <v/>
      </c>
      <c r="BP54" s="473" t="str">
        <f>IF($B54="","",IF($BI54="#1",BP$15,IF($BI54="#2",BP$16,VLOOKUP($H54,Table_9.6.1_2016[],IF(Compliance_Version_Year=2010,18,BP$18),FALSE))))</f>
        <v/>
      </c>
      <c r="BQ54" s="473" t="str">
        <f t="shared" si="19"/>
        <v/>
      </c>
      <c r="BR54" s="473" t="str">
        <f>IF($B54="","",IF($BI54="#1",BR$15,IF($BI54="#2",BR$17,VLOOKUP($H54,Table_9.6.1_2016[],IF(Compliance_Version_Year=2010,18,BR$18),FALSE))))</f>
        <v/>
      </c>
      <c r="BS54" s="473" t="str">
        <f t="shared" si="20"/>
        <v/>
      </c>
      <c r="BT54" s="473" t="str">
        <f>IF($B54="","",IF($BI54="#1",BT$15,IF($BI54="#2",BT$16,VLOOKUP($H54,Table_9.6.1_2016[],IF(Compliance_Version_Year=2010,18,BT$18),FALSE))))</f>
        <v/>
      </c>
      <c r="BU54" s="473" t="str">
        <f t="shared" si="21"/>
        <v/>
      </c>
      <c r="BV54" s="473" t="str">
        <f>IF($B54="","",IF($BI54="#1",BV$15,IF($BI54="#2",BV$16,VLOOKUP($H54,Table_9.6.1_2016[],IF(Compliance_Version_Year=2010,18,BV$18),FALSE))))</f>
        <v/>
      </c>
      <c r="BW54" s="473" t="str">
        <f t="shared" si="22"/>
        <v/>
      </c>
      <c r="BX54" s="473" t="str">
        <f>IF($B54="","",VLOOKUP($H54,Table_9.6.1_2016[],IF(Compliance_Version_Year=2010,18,BX$18),FALSE))</f>
        <v/>
      </c>
      <c r="BY54" s="473" t="str">
        <f t="shared" si="23"/>
        <v/>
      </c>
      <c r="BZ54" s="473" t="str">
        <f>IF($B54="","",IF($BI54="#1",BZ$15,VLOOKUP($H54,Table_9.6.1_2016[],IF(Compliance_Version_Year=2010,18,BZ$18),FALSE)))</f>
        <v/>
      </c>
      <c r="CA54" s="473" t="str">
        <f t="shared" si="24"/>
        <v/>
      </c>
      <c r="CB54" s="473" t="str">
        <f>IF($B54="","",IF($BI54="#1",CB$15,IF($BI54="#2",CB$16,VLOOKUP($H54,Table_9.6.1_2016[],IF(Compliance_Version_Year=2010,18,CB$18),FALSE))))</f>
        <v/>
      </c>
      <c r="CC54" s="473" t="str">
        <f t="shared" si="25"/>
        <v/>
      </c>
      <c r="CD54" s="473" t="str">
        <f>IF($B54="","",IF($BI54="#1",CD$15,IF($BI54="#2",CD$16,VLOOKUP($H54,Table_9.6.1_2016[],IF(Compliance_Version_Year=2010,18,CD$18),FALSE))))</f>
        <v/>
      </c>
      <c r="CE54" s="473" t="str">
        <f t="shared" ref="CE54" si="65">IF(OR(CD54="ADD2",CD54="REQ"),"9.4.1.2c, ","")</f>
        <v/>
      </c>
      <c r="CF54" s="473" t="str">
        <f>IF($B54="","",IF($BI54="#1",CF$15,IF($BI54="#2",CF$16,VLOOKUP($H54,Table_9.6.1_2016[],IF(Compliance_Version_Year=2010,18,CF$18),FALSE))))</f>
        <v/>
      </c>
      <c r="CG54" s="473" t="str">
        <f t="shared" si="32"/>
        <v/>
      </c>
      <c r="CH54" s="473" t="str">
        <f>IF($B54="","",IF($BI54="#1",CH$15,IF($BI54="#2",CH$16,VLOOKUP($H54,Table_9.6.1_2016[],IF(Compliance_Version_Year=2010,18,CH$18),FALSE))))</f>
        <v/>
      </c>
      <c r="CI54" s="473" t="str">
        <f t="shared" si="34"/>
        <v/>
      </c>
      <c r="CL54" s="43" t="str">
        <f t="shared" ref="CL54:CL71" si="66">IF(B54="","",CONCATENATE(BK54,BM54,BO54,BQ54,BS54,BU54,BW54,BY54,CA54,CC54,CE54,CG54,CI54))</f>
        <v/>
      </c>
      <c r="CM54" s="43" t="str">
        <f t="shared" ref="CM54:CM71" si="67">IF(B54="","",IF(CL54="","No control changes required",IF(LEFT(AN54,5)="Guest",CONCATENATE("Meet control requirements of Section ",LEFT(CL54,LEN(CL54)-2)),CONCATENATE("Meet control requirements of Section 9.4.1.1 ",LEFT(CL54,LEN(CL54)-2)))))</f>
        <v/>
      </c>
      <c r="CR54" s="42" t="str">
        <f t="shared" si="27"/>
        <v/>
      </c>
      <c r="CS54" s="42" t="str">
        <f>'SpxSp Compliance Details'!I50</f>
        <v/>
      </c>
    </row>
    <row r="55" spans="1:97" x14ac:dyDescent="0.25">
      <c r="A55" s="5">
        <v>34</v>
      </c>
      <c r="B55" s="1627" t="str">
        <f>'Int Room Schedule'!Z49</f>
        <v/>
      </c>
      <c r="C55" s="1628"/>
      <c r="D55" s="1628"/>
      <c r="E55" s="1628"/>
      <c r="F55" s="1367"/>
      <c r="G55" s="321"/>
      <c r="H55" s="472" t="str">
        <f>'Int Room Schedule'!AA49</f>
        <v/>
      </c>
      <c r="I55" s="466" t="str">
        <f t="shared" si="59"/>
        <v/>
      </c>
      <c r="J55" s="655" t="str">
        <f ca="1">IF($B55&lt;&gt;"",VLOOKUP($AN55,INDIRECT('9.6 Table'!$P$338),2,FALSE)," ")</f>
        <v xml:space="preserve"> </v>
      </c>
      <c r="K55" s="948" t="str">
        <f ca="1">IF($B55&lt;&gt;"",VLOOKUP($AN55,INDIRECT('9.6 Table'!$P$338),3,FALSE)," ")</f>
        <v xml:space="preserve"> </v>
      </c>
      <c r="L55" s="484"/>
      <c r="M55" s="362">
        <f t="shared" ca="1" si="45"/>
        <v>1</v>
      </c>
      <c r="N55" s="464">
        <f t="shared" si="60"/>
        <v>0</v>
      </c>
      <c r="O55" s="166">
        <f ca="1">IFERROR(IF(SUMIF('SpxSp (step-b)'!B$26:F$75,'SpxSp (step-a)'!B55,'SpxSp (step-b)'!L$26:L$75)&gt;0,N55,0),0)</f>
        <v>0</v>
      </c>
      <c r="P55" s="486"/>
      <c r="Q55" s="487"/>
      <c r="R55" s="1074">
        <f t="shared" si="12"/>
        <v>0</v>
      </c>
      <c r="S55" s="486"/>
      <c r="T55" s="487"/>
      <c r="U55" s="487"/>
      <c r="V55" s="328" t="str">
        <f t="shared" si="61"/>
        <v/>
      </c>
      <c r="W55" s="1631">
        <f ca="1">SUMIFS('SpxSp (step-b)'!AZ59:AZ108,'SpxSp (step-b)'!AX$26:AX$75,AB55)</f>
        <v>0</v>
      </c>
      <c r="X55" s="1632"/>
      <c r="Y55" s="244"/>
      <c r="Z55" s="244">
        <f>IF(B55="",0,COUNTIF('SpxSp (step-b)'!B59:F80,B55))</f>
        <v>0</v>
      </c>
      <c r="AB55" s="737" t="str">
        <f ca="1">IF(OR($B55="",O55=0),"",VLOOKUP($AN55,INDIRECT('9.6 Table'!$P$338),17,FALSE))</f>
        <v/>
      </c>
      <c r="AC55" s="326"/>
      <c r="AD55" s="326"/>
      <c r="AE55" s="326"/>
      <c r="AF55" s="326"/>
      <c r="AG55" s="326"/>
      <c r="AH55" s="326"/>
      <c r="AI55" s="326"/>
      <c r="AJ55" s="326"/>
      <c r="AK55" s="326"/>
      <c r="AL55" s="326"/>
      <c r="AM55" s="231">
        <f>'Int Room Schedule'!U49</f>
        <v>0</v>
      </c>
      <c r="AN55" s="78" t="str">
        <f t="shared" si="62"/>
        <v/>
      </c>
      <c r="AO55" s="78"/>
      <c r="AP55" s="78"/>
      <c r="AQ55" s="78"/>
      <c r="AR55" s="43" t="str">
        <f t="shared" si="57"/>
        <v/>
      </c>
      <c r="AX55" s="43" t="str">
        <f t="shared" si="63"/>
        <v/>
      </c>
      <c r="AY55" s="326" t="str">
        <f t="shared" si="46"/>
        <v/>
      </c>
      <c r="AZ55" s="194" t="e">
        <f t="array" ref="AZ55">IF(ROWS(AX$22:AX55)&gt;COUNTA($AX$22:$AX$71),"",INDEX($AX$22:$AX$71,SMALL(IF($AX$22:$AX$71&lt;&gt;"",ROW($AX$22:$AX$71)-ROW($AX$22)+1),ROWS($AX$22:AX55))))</f>
        <v>#NUM!</v>
      </c>
      <c r="BA55" s="730" t="str">
        <f t="shared" si="13"/>
        <v/>
      </c>
      <c r="BB55" s="326" t="str">
        <f>IF(BA55="","",SUMIF('SpxSp (step-c)'!B$18:E$67,AZ55,'SpxSp (step-c)'!T$18:T$67))</f>
        <v/>
      </c>
      <c r="BC55" s="326">
        <f t="shared" si="33"/>
        <v>0</v>
      </c>
      <c r="BE55" s="43" t="str">
        <f t="shared" si="64"/>
        <v/>
      </c>
      <c r="BF55" s="326" t="str">
        <f t="shared" si="31"/>
        <v/>
      </c>
      <c r="BG55" s="194" t="e">
        <f t="array" ref="BG55">IF(ROWS(BE$22:BE55)&gt;COUNTA($BE$22:$BE$71),"",INDEX($BE$22:$BE$71,SMALL(IF($BE$22:$BE$71&lt;&gt;"",ROW($BE$22:$BE$71)-ROW($BE$22)+1),ROWS($BE$22:BE55))))</f>
        <v>#NUM!</v>
      </c>
      <c r="BI55" s="480" t="str">
        <f>IF(B55="","",VLOOKUP(B55,'SpxSp Compliance Details'!$Z$18:$BK$67,36,FALSE))</f>
        <v/>
      </c>
      <c r="BJ55" s="473" t="str">
        <f>IF($B55="","",VLOOKUP($H55,Table_9.6.1_2016[],IF(Compliance_Version_Year=2010,18,BJ$18),FALSE))</f>
        <v/>
      </c>
      <c r="BK55" s="473" t="str">
        <f t="shared" si="16"/>
        <v/>
      </c>
      <c r="BL55" s="473" t="str">
        <f>IF($B55="","",VLOOKUP($H55,Table_9.6.1_2016[],IF(Compliance_Version_Year=2010,18,BL$18),FALSE))</f>
        <v/>
      </c>
      <c r="BM55" s="473" t="str">
        <f t="shared" si="17"/>
        <v/>
      </c>
      <c r="BN55" s="473" t="str">
        <f>IF($B55="","",IF($BI55="#1",BN$15,IF($BI55="#2",BN$16,VLOOKUP($H55,Table_9.6.1_2016[],IF(Compliance_Version_Year=2010,18,BN$18),FALSE))))</f>
        <v/>
      </c>
      <c r="BO55" s="473" t="str">
        <f t="shared" si="18"/>
        <v/>
      </c>
      <c r="BP55" s="473" t="str">
        <f>IF($B55="","",IF($BI55="#1",BP$15,IF($BI55="#2",BP$16,VLOOKUP($H55,Table_9.6.1_2016[],IF(Compliance_Version_Year=2010,18,BP$18),FALSE))))</f>
        <v/>
      </c>
      <c r="BQ55" s="473" t="str">
        <f t="shared" si="19"/>
        <v/>
      </c>
      <c r="BR55" s="473" t="str">
        <f>IF($B55="","",IF($BI55="#1",BR$15,IF($BI55="#2",BR$17,VLOOKUP($H55,Table_9.6.1_2016[],IF(Compliance_Version_Year=2010,18,BR$18),FALSE))))</f>
        <v/>
      </c>
      <c r="BS55" s="473" t="str">
        <f t="shared" si="20"/>
        <v/>
      </c>
      <c r="BT55" s="473" t="str">
        <f>IF($B55="","",IF($BI55="#1",BT$15,IF($BI55="#2",BT$16,VLOOKUP($H55,Table_9.6.1_2016[],IF(Compliance_Version_Year=2010,18,BT$18),FALSE))))</f>
        <v/>
      </c>
      <c r="BU55" s="473" t="str">
        <f t="shared" si="21"/>
        <v/>
      </c>
      <c r="BV55" s="473" t="str">
        <f>IF($B55="","",IF($BI55="#1",BV$15,IF($BI55="#2",BV$16,VLOOKUP($H55,Table_9.6.1_2016[],IF(Compliance_Version_Year=2010,18,BV$18),FALSE))))</f>
        <v/>
      </c>
      <c r="BW55" s="473" t="str">
        <f t="shared" si="22"/>
        <v/>
      </c>
      <c r="BX55" s="473" t="str">
        <f>IF($B55="","",VLOOKUP($H55,Table_9.6.1_2016[],IF(Compliance_Version_Year=2010,18,BX$18),FALSE))</f>
        <v/>
      </c>
      <c r="BY55" s="473" t="str">
        <f t="shared" si="23"/>
        <v/>
      </c>
      <c r="BZ55" s="473" t="str">
        <f>IF($B55="","",IF($BI55="#1",BZ$15,VLOOKUP($H55,Table_9.6.1_2016[],IF(Compliance_Version_Year=2010,18,BZ$18),FALSE)))</f>
        <v/>
      </c>
      <c r="CA55" s="473" t="str">
        <f t="shared" si="24"/>
        <v/>
      </c>
      <c r="CB55" s="473" t="str">
        <f>IF($B55="","",IF($BI55="#1",CB$15,IF($BI55="#2",CB$16,VLOOKUP($H55,Table_9.6.1_2016[],IF(Compliance_Version_Year=2010,18,CB$18),FALSE))))</f>
        <v/>
      </c>
      <c r="CC55" s="473" t="str">
        <f t="shared" si="25"/>
        <v/>
      </c>
      <c r="CD55" s="473" t="str">
        <f>IF($B55="","",IF($BI55="#1",CD$15,IF($BI55="#2",CD$16,VLOOKUP($H55,Table_9.6.1_2016[],IF(Compliance_Version_Year=2010,18,CD$18),FALSE))))</f>
        <v/>
      </c>
      <c r="CE55" s="473" t="str">
        <f t="shared" ref="CE55" si="68">IF(OR(CD55="ADD2",CD55="REQ"),"9.4.1.2c, ","")</f>
        <v/>
      </c>
      <c r="CF55" s="473" t="str">
        <f>IF($B55="","",IF($BI55="#1",CF$15,IF($BI55="#2",CF$16,VLOOKUP($H55,Table_9.6.1_2016[],IF(Compliance_Version_Year=2010,18,CF$18),FALSE))))</f>
        <v/>
      </c>
      <c r="CG55" s="473" t="str">
        <f t="shared" si="32"/>
        <v/>
      </c>
      <c r="CH55" s="473" t="str">
        <f>IF($B55="","",IF($BI55="#1",CH$15,IF($BI55="#2",CH$16,VLOOKUP($H55,Table_9.6.1_2016[],IF(Compliance_Version_Year=2010,18,CH$18),FALSE))))</f>
        <v/>
      </c>
      <c r="CI55" s="473" t="str">
        <f t="shared" si="34"/>
        <v/>
      </c>
      <c r="CL55" s="43" t="str">
        <f t="shared" si="66"/>
        <v/>
      </c>
      <c r="CM55" s="43" t="str">
        <f t="shared" si="67"/>
        <v/>
      </c>
      <c r="CR55" s="42" t="str">
        <f t="shared" si="27"/>
        <v/>
      </c>
      <c r="CS55" s="42" t="str">
        <f>'SpxSp Compliance Details'!I51</f>
        <v/>
      </c>
    </row>
    <row r="56" spans="1:97" x14ac:dyDescent="0.25">
      <c r="A56" s="5">
        <v>35</v>
      </c>
      <c r="B56" s="1627" t="str">
        <f>'Int Room Schedule'!Z50</f>
        <v/>
      </c>
      <c r="C56" s="1628"/>
      <c r="D56" s="1628"/>
      <c r="E56" s="1628"/>
      <c r="F56" s="1367"/>
      <c r="G56" s="321"/>
      <c r="H56" s="472" t="str">
        <f>'Int Room Schedule'!AA50</f>
        <v/>
      </c>
      <c r="I56" s="466" t="str">
        <f t="shared" si="59"/>
        <v/>
      </c>
      <c r="J56" s="655" t="str">
        <f ca="1">IF($B56&lt;&gt;"",VLOOKUP($AN56,INDIRECT('9.6 Table'!$P$338),2,FALSE)," ")</f>
        <v xml:space="preserve"> </v>
      </c>
      <c r="K56" s="948" t="str">
        <f ca="1">IF($B56&lt;&gt;"",VLOOKUP($AN56,INDIRECT('9.6 Table'!$P$338),3,FALSE)," ")</f>
        <v xml:space="preserve"> </v>
      </c>
      <c r="L56" s="484"/>
      <c r="M56" s="362">
        <f t="shared" ref="M56:M64" ca="1" si="69">IF(B56="C-Atrium",1,IF(K56="8' wide",IF(L56&lt;8,1.2,1),IF(L56&gt;K56,1.2,1)))</f>
        <v>1</v>
      </c>
      <c r="N56" s="464">
        <f t="shared" si="60"/>
        <v>0</v>
      </c>
      <c r="O56" s="166">
        <f ca="1">IFERROR(IF(SUMIF('SpxSp (step-b)'!B$26:F$75,'SpxSp (step-a)'!B56,'SpxSp (step-b)'!L$26:L$75)&gt;0,N56,0),0)</f>
        <v>0</v>
      </c>
      <c r="P56" s="486"/>
      <c r="Q56" s="487"/>
      <c r="R56" s="1074">
        <f t="shared" si="12"/>
        <v>0</v>
      </c>
      <c r="S56" s="486"/>
      <c r="T56" s="487"/>
      <c r="U56" s="487"/>
      <c r="V56" s="328" t="str">
        <f t="shared" si="61"/>
        <v/>
      </c>
      <c r="W56" s="1631">
        <f ca="1">SUMIFS('SpxSp (step-b)'!AZ60:AZ109,'SpxSp (step-b)'!AX$26:AX$75,AB56)</f>
        <v>0</v>
      </c>
      <c r="X56" s="1632"/>
      <c r="Y56" s="244"/>
      <c r="Z56" s="244">
        <f>IF(B56="",0,COUNTIF('SpxSp (step-b)'!B60:F80,B56))</f>
        <v>0</v>
      </c>
      <c r="AB56" s="737" t="str">
        <f ca="1">IF(OR($B56="",O56=0),"",VLOOKUP($AN56,INDIRECT('9.6 Table'!$P$338),17,FALSE))</f>
        <v/>
      </c>
      <c r="AC56" s="326"/>
      <c r="AD56" s="326"/>
      <c r="AE56" s="326"/>
      <c r="AF56" s="326"/>
      <c r="AG56" s="326"/>
      <c r="AH56" s="326"/>
      <c r="AI56" s="326"/>
      <c r="AJ56" s="326"/>
      <c r="AK56" s="326"/>
      <c r="AL56" s="326"/>
      <c r="AM56" s="231">
        <f>'Int Room Schedule'!U50</f>
        <v>0</v>
      </c>
      <c r="AN56" s="78" t="str">
        <f t="shared" si="62"/>
        <v/>
      </c>
      <c r="AO56" s="78"/>
      <c r="AP56" s="78"/>
      <c r="AQ56" s="78"/>
      <c r="AR56" s="43" t="str">
        <f t="shared" si="57"/>
        <v/>
      </c>
      <c r="AX56" s="43" t="str">
        <f t="shared" si="63"/>
        <v/>
      </c>
      <c r="AY56" s="326" t="str">
        <f t="shared" ref="AY56:AY64" si="70">IFERROR(IF($B56="","",IF(AZ56&lt;&gt;" ",1,0)),"")</f>
        <v/>
      </c>
      <c r="AZ56" s="194" t="e">
        <f t="array" ref="AZ56">IF(ROWS(AX$22:AX56)&gt;COUNTA($AX$22:$AX$71),"",INDEX($AX$22:$AX$71,SMALL(IF($AX$22:$AX$71&lt;&gt;"",ROW($AX$22:$AX$71)-ROW($AX$22)+1),ROWS($AX$22:AX56))))</f>
        <v>#NUM!</v>
      </c>
      <c r="BA56" s="730" t="str">
        <f t="shared" si="13"/>
        <v/>
      </c>
      <c r="BB56" s="326" t="str">
        <f>IF(BA56="","",SUMIF('SpxSp (step-c)'!B$18:E$67,AZ56,'SpxSp (step-c)'!T$18:T$67))</f>
        <v/>
      </c>
      <c r="BC56" s="326">
        <f t="shared" si="33"/>
        <v>0</v>
      </c>
      <c r="BE56" s="43" t="str">
        <f t="shared" si="64"/>
        <v/>
      </c>
      <c r="BF56" s="326" t="str">
        <f t="shared" si="31"/>
        <v/>
      </c>
      <c r="BG56" s="194" t="e">
        <f t="array" ref="BG56">IF(ROWS(BE$22:BE56)&gt;COUNTA($BE$22:$BE$71),"",INDEX($BE$22:$BE$71,SMALL(IF($BE$22:$BE$71&lt;&gt;"",ROW($BE$22:$BE$71)-ROW($BE$22)+1),ROWS($BE$22:BE56))))</f>
        <v>#NUM!</v>
      </c>
      <c r="BI56" s="480" t="str">
        <f>IF(B56="","",VLOOKUP(B56,'SpxSp Compliance Details'!$Z$18:$BK$67,36,FALSE))</f>
        <v/>
      </c>
      <c r="BJ56" s="473" t="str">
        <f>IF($B56="","",VLOOKUP($H56,Table_9.6.1_2016[],IF(Compliance_Version_Year=2010,18,BJ$18),FALSE))</f>
        <v/>
      </c>
      <c r="BK56" s="473" t="str">
        <f t="shared" si="16"/>
        <v/>
      </c>
      <c r="BL56" s="473" t="str">
        <f>IF($B56="","",VLOOKUP($H56,Table_9.6.1_2016[],IF(Compliance_Version_Year=2010,18,BL$18),FALSE))</f>
        <v/>
      </c>
      <c r="BM56" s="473" t="str">
        <f t="shared" si="17"/>
        <v/>
      </c>
      <c r="BN56" s="473" t="str">
        <f>IF($B56="","",IF($BI56="#1",BN$15,IF($BI56="#2",BN$16,VLOOKUP($H56,Table_9.6.1_2016[],IF(Compliance_Version_Year=2010,18,BN$18),FALSE))))</f>
        <v/>
      </c>
      <c r="BO56" s="473" t="str">
        <f t="shared" si="18"/>
        <v/>
      </c>
      <c r="BP56" s="473" t="str">
        <f>IF($B56="","",IF($BI56="#1",BP$15,IF($BI56="#2",BP$16,VLOOKUP($H56,Table_9.6.1_2016[],IF(Compliance_Version_Year=2010,18,BP$18),FALSE))))</f>
        <v/>
      </c>
      <c r="BQ56" s="473" t="str">
        <f t="shared" si="19"/>
        <v/>
      </c>
      <c r="BR56" s="473" t="str">
        <f>IF($B56="","",IF($BI56="#1",BR$15,IF($BI56="#2",BR$17,VLOOKUP($H56,Table_9.6.1_2016[],IF(Compliance_Version_Year=2010,18,BR$18),FALSE))))</f>
        <v/>
      </c>
      <c r="BS56" s="473" t="str">
        <f t="shared" si="20"/>
        <v/>
      </c>
      <c r="BT56" s="473" t="str">
        <f>IF($B56="","",IF($BI56="#1",BT$15,IF($BI56="#2",BT$16,VLOOKUP($H56,Table_9.6.1_2016[],IF(Compliance_Version_Year=2010,18,BT$18),FALSE))))</f>
        <v/>
      </c>
      <c r="BU56" s="473" t="str">
        <f t="shared" si="21"/>
        <v/>
      </c>
      <c r="BV56" s="473" t="str">
        <f>IF($B56="","",IF($BI56="#1",BV$15,IF($BI56="#2",BV$16,VLOOKUP($H56,Table_9.6.1_2016[],IF(Compliance_Version_Year=2010,18,BV$18),FALSE))))</f>
        <v/>
      </c>
      <c r="BW56" s="473" t="str">
        <f t="shared" si="22"/>
        <v/>
      </c>
      <c r="BX56" s="473" t="str">
        <f>IF($B56="","",VLOOKUP($H56,Table_9.6.1_2016[],IF(Compliance_Version_Year=2010,18,BX$18),FALSE))</f>
        <v/>
      </c>
      <c r="BY56" s="473" t="str">
        <f t="shared" si="23"/>
        <v/>
      </c>
      <c r="BZ56" s="473" t="str">
        <f>IF($B56="","",IF($BI56="#1",BZ$15,VLOOKUP($H56,Table_9.6.1_2016[],IF(Compliance_Version_Year=2010,18,BZ$18),FALSE)))</f>
        <v/>
      </c>
      <c r="CA56" s="473" t="str">
        <f t="shared" si="24"/>
        <v/>
      </c>
      <c r="CB56" s="473" t="str">
        <f>IF($B56="","",IF($BI56="#1",CB$15,IF($BI56="#2",CB$16,VLOOKUP($H56,Table_9.6.1_2016[],IF(Compliance_Version_Year=2010,18,CB$18),FALSE))))</f>
        <v/>
      </c>
      <c r="CC56" s="473" t="str">
        <f t="shared" si="25"/>
        <v/>
      </c>
      <c r="CD56" s="473" t="str">
        <f>IF($B56="","",IF($BI56="#1",CD$15,IF($BI56="#2",CD$16,VLOOKUP($H56,Table_9.6.1_2016[],IF(Compliance_Version_Year=2010,18,CD$18),FALSE))))</f>
        <v/>
      </c>
      <c r="CE56" s="473" t="str">
        <f t="shared" ref="CE56" si="71">IF(OR(CD56="ADD2",CD56="REQ"),"9.4.1.2c, ","")</f>
        <v/>
      </c>
      <c r="CF56" s="473" t="str">
        <f>IF($B56="","",IF($BI56="#1",CF$15,IF($BI56="#2",CF$16,VLOOKUP($H56,Table_9.6.1_2016[],IF(Compliance_Version_Year=2010,18,CF$18),FALSE))))</f>
        <v/>
      </c>
      <c r="CG56" s="473" t="str">
        <f t="shared" si="32"/>
        <v/>
      </c>
      <c r="CH56" s="473" t="str">
        <f>IF($B56="","",IF($BI56="#1",CH$15,IF($BI56="#2",CH$16,VLOOKUP($H56,Table_9.6.1_2016[],IF(Compliance_Version_Year=2010,18,CH$18),FALSE))))</f>
        <v/>
      </c>
      <c r="CI56" s="473" t="str">
        <f t="shared" si="34"/>
        <v/>
      </c>
      <c r="CL56" s="43" t="str">
        <f t="shared" si="66"/>
        <v/>
      </c>
      <c r="CM56" s="43" t="str">
        <f t="shared" si="67"/>
        <v/>
      </c>
      <c r="CR56" s="42" t="str">
        <f t="shared" si="27"/>
        <v/>
      </c>
      <c r="CS56" s="42" t="str">
        <f>'SpxSp Compliance Details'!I52</f>
        <v/>
      </c>
    </row>
    <row r="57" spans="1:97" x14ac:dyDescent="0.25">
      <c r="A57" s="5">
        <v>36</v>
      </c>
      <c r="B57" s="1627" t="str">
        <f>'Int Room Schedule'!Z51</f>
        <v/>
      </c>
      <c r="C57" s="1628"/>
      <c r="D57" s="1628"/>
      <c r="E57" s="1628"/>
      <c r="F57" s="1367"/>
      <c r="G57" s="321"/>
      <c r="H57" s="472" t="str">
        <f>'Int Room Schedule'!AA51</f>
        <v/>
      </c>
      <c r="I57" s="466" t="str">
        <f t="shared" si="59"/>
        <v/>
      </c>
      <c r="J57" s="655" t="str">
        <f ca="1">IF($B57&lt;&gt;"",VLOOKUP($AN57,INDIRECT('9.6 Table'!$P$338),2,FALSE)," ")</f>
        <v xml:space="preserve"> </v>
      </c>
      <c r="K57" s="948" t="str">
        <f ca="1">IF($B57&lt;&gt;"",VLOOKUP($AN57,INDIRECT('9.6 Table'!$P$338),3,FALSE)," ")</f>
        <v xml:space="preserve"> </v>
      </c>
      <c r="L57" s="484"/>
      <c r="M57" s="362">
        <f ca="1">IF(B57="C-Atrium",1,IF(K57="8' wide",IF(L57&lt;8,1.2,1),IF(L57&gt;K57,1.2,1)))</f>
        <v>1</v>
      </c>
      <c r="N57" s="464">
        <f t="shared" si="60"/>
        <v>0</v>
      </c>
      <c r="O57" s="166">
        <f ca="1">IFERROR(IF(SUMIF('SpxSp (step-b)'!B$26:F$75,'SpxSp (step-a)'!B57,'SpxSp (step-b)'!L$26:L$75)&gt;0,N57,0),0)</f>
        <v>0</v>
      </c>
      <c r="P57" s="486"/>
      <c r="Q57" s="487"/>
      <c r="R57" s="1074">
        <f t="shared" si="12"/>
        <v>0</v>
      </c>
      <c r="S57" s="486"/>
      <c r="T57" s="487"/>
      <c r="U57" s="487"/>
      <c r="V57" s="328" t="str">
        <f t="shared" si="61"/>
        <v/>
      </c>
      <c r="W57" s="1631">
        <f ca="1">SUMIFS('SpxSp (step-b)'!AZ61:AZ110,'SpxSp (step-b)'!AX$26:AX$75,AB57)</f>
        <v>0</v>
      </c>
      <c r="X57" s="1632"/>
      <c r="Y57" s="244"/>
      <c r="Z57" s="244">
        <f>IF(B57="",0,COUNTIF('SpxSp (step-b)'!B61:F80,B57))</f>
        <v>0</v>
      </c>
      <c r="AB57" s="737" t="str">
        <f ca="1">IF(OR($B57="",O57=0),"",VLOOKUP($AN57,INDIRECT('9.6 Table'!$P$338),17,FALSE))</f>
        <v/>
      </c>
      <c r="AC57" s="326"/>
      <c r="AD57" s="326"/>
      <c r="AE57" s="326"/>
      <c r="AF57" s="326"/>
      <c r="AG57" s="326"/>
      <c r="AH57" s="326"/>
      <c r="AI57" s="326"/>
      <c r="AJ57" s="326"/>
      <c r="AK57" s="326"/>
      <c r="AL57" s="326"/>
      <c r="AM57" s="231">
        <f>'Int Room Schedule'!U51</f>
        <v>0</v>
      </c>
      <c r="AN57" s="78" t="str">
        <f t="shared" si="62"/>
        <v/>
      </c>
      <c r="AO57" s="78"/>
      <c r="AP57" s="78"/>
      <c r="AQ57" s="78"/>
      <c r="AR57" s="43" t="str">
        <f t="shared" si="57"/>
        <v/>
      </c>
      <c r="AX57" s="43" t="str">
        <f t="shared" si="63"/>
        <v/>
      </c>
      <c r="AY57" s="326" t="str">
        <f>IFERROR(IF($B57="","",IF(AZ57&lt;&gt;" ",1,0)),"")</f>
        <v/>
      </c>
      <c r="AZ57" s="194" t="e">
        <f t="array" ref="AZ57">IF(ROWS(AX$22:AX57)&gt;COUNTA($AX$22:$AX$71),"",INDEX($AX$22:$AX$71,SMALL(IF($AX$22:$AX$71&lt;&gt;"",ROW($AX$22:$AX$71)-ROW($AX$22)+1),ROWS($AX$22:AX57))))</f>
        <v>#NUM!</v>
      </c>
      <c r="BA57" s="730" t="str">
        <f t="shared" si="13"/>
        <v/>
      </c>
      <c r="BB57" s="326" t="str">
        <f>IF(BA57="","",SUMIF('SpxSp (step-c)'!B$18:E$67,AZ57,'SpxSp (step-c)'!T$18:T$67))</f>
        <v/>
      </c>
      <c r="BC57" s="326">
        <f t="shared" si="33"/>
        <v>0</v>
      </c>
      <c r="BE57" s="43" t="str">
        <f t="shared" si="64"/>
        <v/>
      </c>
      <c r="BF57" s="326" t="str">
        <f t="shared" si="31"/>
        <v/>
      </c>
      <c r="BG57" s="194" t="e">
        <f t="array" ref="BG57">IF(ROWS(BE$22:BE57)&gt;COUNTA($BE$22:$BE$71),"",INDEX($BE$22:$BE$71,SMALL(IF($BE$22:$BE$71&lt;&gt;"",ROW($BE$22:$BE$71)-ROW($BE$22)+1),ROWS($BE$22:BE57))))</f>
        <v>#NUM!</v>
      </c>
      <c r="BI57" s="480" t="str">
        <f>IF(B57="","",VLOOKUP(B57,'SpxSp Compliance Details'!$Z$18:$BK$67,36,FALSE))</f>
        <v/>
      </c>
      <c r="BJ57" s="473" t="str">
        <f>IF($B57="","",VLOOKUP($H57,Table_9.6.1_2016[],IF(Compliance_Version_Year=2010,18,BJ$18),FALSE))</f>
        <v/>
      </c>
      <c r="BK57" s="473" t="str">
        <f t="shared" si="16"/>
        <v/>
      </c>
      <c r="BL57" s="473" t="str">
        <f>IF($B57="","",VLOOKUP($H57,Table_9.6.1_2016[],IF(Compliance_Version_Year=2010,18,BL$18),FALSE))</f>
        <v/>
      </c>
      <c r="BM57" s="473" t="str">
        <f t="shared" si="17"/>
        <v/>
      </c>
      <c r="BN57" s="473" t="str">
        <f>IF($B57="","",IF($BI57="#1",BN$15,IF($BI57="#2",BN$16,VLOOKUP($H57,Table_9.6.1_2016[],IF(Compliance_Version_Year=2010,18,BN$18),FALSE))))</f>
        <v/>
      </c>
      <c r="BO57" s="473" t="str">
        <f t="shared" si="18"/>
        <v/>
      </c>
      <c r="BP57" s="473" t="str">
        <f>IF($B57="","",IF($BI57="#1",BP$15,IF($BI57="#2",BP$16,VLOOKUP($H57,Table_9.6.1_2016[],IF(Compliance_Version_Year=2010,18,BP$18),FALSE))))</f>
        <v/>
      </c>
      <c r="BQ57" s="473" t="str">
        <f t="shared" si="19"/>
        <v/>
      </c>
      <c r="BR57" s="473" t="str">
        <f>IF($B57="","",IF($BI57="#1",BR$15,IF($BI57="#2",BR$17,VLOOKUP($H57,Table_9.6.1_2016[],IF(Compliance_Version_Year=2010,18,BR$18),FALSE))))</f>
        <v/>
      </c>
      <c r="BS57" s="473" t="str">
        <f t="shared" si="20"/>
        <v/>
      </c>
      <c r="BT57" s="473" t="str">
        <f>IF($B57="","",IF($BI57="#1",BT$15,IF($BI57="#2",BT$16,VLOOKUP($H57,Table_9.6.1_2016[],IF(Compliance_Version_Year=2010,18,BT$18),FALSE))))</f>
        <v/>
      </c>
      <c r="BU57" s="473" t="str">
        <f t="shared" si="21"/>
        <v/>
      </c>
      <c r="BV57" s="473" t="str">
        <f>IF($B57="","",IF($BI57="#1",BV$15,IF($BI57="#2",BV$16,VLOOKUP($H57,Table_9.6.1_2016[],IF(Compliance_Version_Year=2010,18,BV$18),FALSE))))</f>
        <v/>
      </c>
      <c r="BW57" s="473" t="str">
        <f t="shared" si="22"/>
        <v/>
      </c>
      <c r="BX57" s="473" t="str">
        <f>IF($B57="","",VLOOKUP($H57,Table_9.6.1_2016[],IF(Compliance_Version_Year=2010,18,BX$18),FALSE))</f>
        <v/>
      </c>
      <c r="BY57" s="473" t="str">
        <f t="shared" si="23"/>
        <v/>
      </c>
      <c r="BZ57" s="473" t="str">
        <f>IF($B57="","",IF($BI57="#1",BZ$15,VLOOKUP($H57,Table_9.6.1_2016[],IF(Compliance_Version_Year=2010,18,BZ$18),FALSE)))</f>
        <v/>
      </c>
      <c r="CA57" s="473" t="str">
        <f t="shared" si="24"/>
        <v/>
      </c>
      <c r="CB57" s="473" t="str">
        <f>IF($B57="","",IF($BI57="#1",CB$15,IF($BI57="#2",CB$16,VLOOKUP($H57,Table_9.6.1_2016[],IF(Compliance_Version_Year=2010,18,CB$18),FALSE))))</f>
        <v/>
      </c>
      <c r="CC57" s="473" t="str">
        <f t="shared" si="25"/>
        <v/>
      </c>
      <c r="CD57" s="473" t="str">
        <f>IF($B57="","",IF($BI57="#1",CD$15,IF($BI57="#2",CD$16,VLOOKUP($H57,Table_9.6.1_2016[],IF(Compliance_Version_Year=2010,18,CD$18),FALSE))))</f>
        <v/>
      </c>
      <c r="CE57" s="473" t="str">
        <f t="shared" ref="CE57" si="72">IF(OR(CD57="ADD2",CD57="REQ"),"9.4.1.2c, ","")</f>
        <v/>
      </c>
      <c r="CF57" s="473" t="str">
        <f>IF($B57="","",IF($BI57="#1",CF$15,IF($BI57="#2",CF$16,VLOOKUP($H57,Table_9.6.1_2016[],IF(Compliance_Version_Year=2010,18,CF$18),FALSE))))</f>
        <v/>
      </c>
      <c r="CG57" s="473" t="str">
        <f t="shared" si="32"/>
        <v/>
      </c>
      <c r="CH57" s="473" t="str">
        <f>IF($B57="","",IF($BI57="#1",CH$15,IF($BI57="#2",CH$16,VLOOKUP($H57,Table_9.6.1_2016[],IF(Compliance_Version_Year=2010,18,CH$18),FALSE))))</f>
        <v/>
      </c>
      <c r="CI57" s="473" t="str">
        <f t="shared" si="34"/>
        <v/>
      </c>
      <c r="CL57" s="43" t="str">
        <f t="shared" si="66"/>
        <v/>
      </c>
      <c r="CM57" s="43" t="str">
        <f t="shared" si="67"/>
        <v/>
      </c>
      <c r="CR57" s="42" t="str">
        <f t="shared" si="27"/>
        <v/>
      </c>
      <c r="CS57" s="42" t="str">
        <f>'SpxSp Compliance Details'!I53</f>
        <v/>
      </c>
    </row>
    <row r="58" spans="1:97" x14ac:dyDescent="0.25">
      <c r="A58" s="5">
        <v>37</v>
      </c>
      <c r="B58" s="1627" t="str">
        <f>'Int Room Schedule'!Z52</f>
        <v/>
      </c>
      <c r="C58" s="1628"/>
      <c r="D58" s="1628"/>
      <c r="E58" s="1628"/>
      <c r="F58" s="1367"/>
      <c r="G58" s="321"/>
      <c r="H58" s="472" t="str">
        <f>'Int Room Schedule'!AA52</f>
        <v/>
      </c>
      <c r="I58" s="466" t="str">
        <f t="shared" si="59"/>
        <v/>
      </c>
      <c r="J58" s="655" t="str">
        <f ca="1">IF($B58&lt;&gt;"",VLOOKUP($AN58,INDIRECT('9.6 Table'!$P$338),2,FALSE)," ")</f>
        <v xml:space="preserve"> </v>
      </c>
      <c r="K58" s="948" t="str">
        <f ca="1">IF($B58&lt;&gt;"",VLOOKUP($AN58,INDIRECT('9.6 Table'!$P$338),3,FALSE)," ")</f>
        <v xml:space="preserve"> </v>
      </c>
      <c r="L58" s="484"/>
      <c r="M58" s="362">
        <f ca="1">IF(B58="C-Atrium",1,IF(K58="8' wide",IF(L58&lt;8,1.2,1),IF(L58&gt;K58,1.2,1)))</f>
        <v>1</v>
      </c>
      <c r="N58" s="464">
        <f t="shared" si="60"/>
        <v>0</v>
      </c>
      <c r="O58" s="166">
        <f ca="1">IFERROR(IF(SUMIF('SpxSp (step-b)'!B$26:F$75,'SpxSp (step-a)'!B58,'SpxSp (step-b)'!L$26:L$75)&gt;0,N58,0),0)</f>
        <v>0</v>
      </c>
      <c r="P58" s="486"/>
      <c r="Q58" s="487"/>
      <c r="R58" s="1074">
        <f t="shared" si="12"/>
        <v>0</v>
      </c>
      <c r="S58" s="486"/>
      <c r="T58" s="487"/>
      <c r="U58" s="487"/>
      <c r="V58" s="328" t="str">
        <f t="shared" si="61"/>
        <v/>
      </c>
      <c r="W58" s="1631">
        <f ca="1">SUMIFS('SpxSp (step-b)'!AZ62:AZ111,'SpxSp (step-b)'!AX$26:AX$75,AB58)</f>
        <v>0</v>
      </c>
      <c r="X58" s="1632"/>
      <c r="Y58" s="244"/>
      <c r="Z58" s="244">
        <f>IF(B58="",0,COUNTIF('SpxSp (step-b)'!B62:F80,B58))</f>
        <v>0</v>
      </c>
      <c r="AB58" s="737" t="str">
        <f ca="1">IF(OR($B58="",O58=0),"",VLOOKUP($AN58,INDIRECT('9.6 Table'!$P$338),17,FALSE))</f>
        <v/>
      </c>
      <c r="AC58" s="326"/>
      <c r="AD58" s="326"/>
      <c r="AE58" s="326"/>
      <c r="AF58" s="326"/>
      <c r="AG58" s="326"/>
      <c r="AH58" s="326"/>
      <c r="AI58" s="326"/>
      <c r="AJ58" s="326"/>
      <c r="AK58" s="326"/>
      <c r="AL58" s="326"/>
      <c r="AM58" s="231">
        <f>'Int Room Schedule'!U52</f>
        <v>0</v>
      </c>
      <c r="AN58" s="78" t="str">
        <f t="shared" si="62"/>
        <v/>
      </c>
      <c r="AO58" s="78"/>
      <c r="AP58" s="78"/>
      <c r="AQ58" s="78"/>
      <c r="AR58" s="43" t="str">
        <f t="shared" si="57"/>
        <v/>
      </c>
      <c r="AX58" s="43" t="str">
        <f t="shared" si="63"/>
        <v/>
      </c>
      <c r="AY58" s="326" t="str">
        <f>IFERROR(IF($B58="","",IF(AZ58&lt;&gt;" ",1,0)),"")</f>
        <v/>
      </c>
      <c r="AZ58" s="194" t="e">
        <f t="array" ref="AZ58">IF(ROWS(AX$22:AX58)&gt;COUNTA($AX$22:$AX$71),"",INDEX($AX$22:$AX$71,SMALL(IF($AX$22:$AX$71&lt;&gt;"",ROW($AX$22:$AX$71)-ROW($AX$22)+1),ROWS($AX$22:AX58))))</f>
        <v>#NUM!</v>
      </c>
      <c r="BA58" s="730" t="str">
        <f t="shared" si="13"/>
        <v/>
      </c>
      <c r="BB58" s="326" t="str">
        <f>IF(BA58="","",SUMIF('SpxSp (step-c)'!B$18:E$67,AZ58,'SpxSp (step-c)'!T$18:T$67))</f>
        <v/>
      </c>
      <c r="BC58" s="326">
        <f t="shared" si="33"/>
        <v>0</v>
      </c>
      <c r="BE58" s="43" t="str">
        <f t="shared" si="64"/>
        <v/>
      </c>
      <c r="BF58" s="326" t="str">
        <f t="shared" si="31"/>
        <v/>
      </c>
      <c r="BG58" s="194" t="e">
        <f t="array" ref="BG58">IF(ROWS(BE$22:BE58)&gt;COUNTA($BE$22:$BE$71),"",INDEX($BE$22:$BE$71,SMALL(IF($BE$22:$BE$71&lt;&gt;"",ROW($BE$22:$BE$71)-ROW($BE$22)+1),ROWS($BE$22:BE58))))</f>
        <v>#NUM!</v>
      </c>
      <c r="BI58" s="480" t="str">
        <f>IF(B58="","",VLOOKUP(B58,'SpxSp Compliance Details'!$Z$18:$BK$67,36,FALSE))</f>
        <v/>
      </c>
      <c r="BJ58" s="473" t="str">
        <f>IF($B58="","",VLOOKUP($H58,Table_9.6.1_2016[],IF(Compliance_Version_Year=2010,18,BJ$18),FALSE))</f>
        <v/>
      </c>
      <c r="BK58" s="473" t="str">
        <f t="shared" si="16"/>
        <v/>
      </c>
      <c r="BL58" s="473" t="str">
        <f>IF($B58="","",VLOOKUP($H58,Table_9.6.1_2016[],IF(Compliance_Version_Year=2010,18,BL$18),FALSE))</f>
        <v/>
      </c>
      <c r="BM58" s="473" t="str">
        <f t="shared" si="17"/>
        <v/>
      </c>
      <c r="BN58" s="473" t="str">
        <f>IF($B58="","",IF($BI58="#1",BN$15,IF($BI58="#2",BN$16,VLOOKUP($H58,Table_9.6.1_2016[],IF(Compliance_Version_Year=2010,18,BN$18),FALSE))))</f>
        <v/>
      </c>
      <c r="BO58" s="473" t="str">
        <f t="shared" si="18"/>
        <v/>
      </c>
      <c r="BP58" s="473" t="str">
        <f>IF($B58="","",IF($BI58="#1",BP$15,IF($BI58="#2",BP$16,VLOOKUP($H58,Table_9.6.1_2016[],IF(Compliance_Version_Year=2010,18,BP$18),FALSE))))</f>
        <v/>
      </c>
      <c r="BQ58" s="473" t="str">
        <f t="shared" si="19"/>
        <v/>
      </c>
      <c r="BR58" s="473" t="str">
        <f>IF($B58="","",IF($BI58="#1",BR$15,IF($BI58="#2",BR$17,VLOOKUP($H58,Table_9.6.1_2016[],IF(Compliance_Version_Year=2010,18,BR$18),FALSE))))</f>
        <v/>
      </c>
      <c r="BS58" s="473" t="str">
        <f t="shared" si="20"/>
        <v/>
      </c>
      <c r="BT58" s="473" t="str">
        <f>IF($B58="","",IF($BI58="#1",BT$15,IF($BI58="#2",BT$16,VLOOKUP($H58,Table_9.6.1_2016[],IF(Compliance_Version_Year=2010,18,BT$18),FALSE))))</f>
        <v/>
      </c>
      <c r="BU58" s="473" t="str">
        <f t="shared" si="21"/>
        <v/>
      </c>
      <c r="BV58" s="473" t="str">
        <f>IF($B58="","",IF($BI58="#1",BV$15,IF($BI58="#2",BV$16,VLOOKUP($H58,Table_9.6.1_2016[],IF(Compliance_Version_Year=2010,18,BV$18),FALSE))))</f>
        <v/>
      </c>
      <c r="BW58" s="473" t="str">
        <f t="shared" si="22"/>
        <v/>
      </c>
      <c r="BX58" s="473" t="str">
        <f>IF($B58="","",VLOOKUP($H58,Table_9.6.1_2016[],IF(Compliance_Version_Year=2010,18,BX$18),FALSE))</f>
        <v/>
      </c>
      <c r="BY58" s="473" t="str">
        <f t="shared" si="23"/>
        <v/>
      </c>
      <c r="BZ58" s="473" t="str">
        <f>IF($B58="","",IF($BI58="#1",BZ$15,VLOOKUP($H58,Table_9.6.1_2016[],IF(Compliance_Version_Year=2010,18,BZ$18),FALSE)))</f>
        <v/>
      </c>
      <c r="CA58" s="473" t="str">
        <f t="shared" si="24"/>
        <v/>
      </c>
      <c r="CB58" s="473" t="str">
        <f>IF($B58="","",IF($BI58="#1",CB$15,IF($BI58="#2",CB$16,VLOOKUP($H58,Table_9.6.1_2016[],IF(Compliance_Version_Year=2010,18,CB$18),FALSE))))</f>
        <v/>
      </c>
      <c r="CC58" s="473" t="str">
        <f t="shared" si="25"/>
        <v/>
      </c>
      <c r="CD58" s="473" t="str">
        <f>IF($B58="","",IF($BI58="#1",CD$15,IF($BI58="#2",CD$16,VLOOKUP($H58,Table_9.6.1_2016[],IF(Compliance_Version_Year=2010,18,CD$18),FALSE))))</f>
        <v/>
      </c>
      <c r="CE58" s="473" t="str">
        <f t="shared" ref="CE58" si="73">IF(OR(CD58="ADD2",CD58="REQ"),"9.4.1.2c, ","")</f>
        <v/>
      </c>
      <c r="CF58" s="473" t="str">
        <f>IF($B58="","",IF($BI58="#1",CF$15,IF($BI58="#2",CF$16,VLOOKUP($H58,Table_9.6.1_2016[],IF(Compliance_Version_Year=2010,18,CF$18),FALSE))))</f>
        <v/>
      </c>
      <c r="CG58" s="473" t="str">
        <f t="shared" si="32"/>
        <v/>
      </c>
      <c r="CH58" s="473" t="str">
        <f>IF($B58="","",IF($BI58="#1",CH$15,IF($BI58="#2",CH$16,VLOOKUP($H58,Table_9.6.1_2016[],IF(Compliance_Version_Year=2010,18,CH$18),FALSE))))</f>
        <v/>
      </c>
      <c r="CI58" s="473" t="str">
        <f t="shared" si="34"/>
        <v/>
      </c>
      <c r="CL58" s="43" t="str">
        <f t="shared" si="66"/>
        <v/>
      </c>
      <c r="CM58" s="43" t="str">
        <f t="shared" si="67"/>
        <v/>
      </c>
      <c r="CR58" s="42" t="str">
        <f t="shared" si="27"/>
        <v/>
      </c>
      <c r="CS58" s="42" t="str">
        <f>'SpxSp Compliance Details'!I54</f>
        <v/>
      </c>
    </row>
    <row r="59" spans="1:97" x14ac:dyDescent="0.25">
      <c r="A59" s="5">
        <v>38</v>
      </c>
      <c r="B59" s="1627" t="str">
        <f>'Int Room Schedule'!Z53</f>
        <v/>
      </c>
      <c r="C59" s="1628"/>
      <c r="D59" s="1628"/>
      <c r="E59" s="1628"/>
      <c r="F59" s="1367"/>
      <c r="G59" s="321"/>
      <c r="H59" s="472" t="str">
        <f>'Int Room Schedule'!AA53</f>
        <v/>
      </c>
      <c r="I59" s="466" t="str">
        <f t="shared" si="59"/>
        <v/>
      </c>
      <c r="J59" s="655" t="str">
        <f ca="1">IF($B59&lt;&gt;"",VLOOKUP($AN59,INDIRECT('9.6 Table'!$P$338),2,FALSE)," ")</f>
        <v xml:space="preserve"> </v>
      </c>
      <c r="K59" s="948" t="str">
        <f ca="1">IF($B59&lt;&gt;"",VLOOKUP($AN59,INDIRECT('9.6 Table'!$P$338),3,FALSE)," ")</f>
        <v xml:space="preserve"> </v>
      </c>
      <c r="L59" s="484"/>
      <c r="M59" s="362">
        <f ca="1">IF(B59="C-Atrium",1,IF(K59="8' wide",IF(L59&lt;8,1.2,1),IF(L59&gt;K59,1.2,1)))</f>
        <v>1</v>
      </c>
      <c r="N59" s="464">
        <f t="shared" si="60"/>
        <v>0</v>
      </c>
      <c r="O59" s="166">
        <f ca="1">IFERROR(IF(SUMIF('SpxSp (step-b)'!B$26:F$75,'SpxSp (step-a)'!B59,'SpxSp (step-b)'!L$26:L$75)&gt;0,N59,0),0)</f>
        <v>0</v>
      </c>
      <c r="P59" s="486"/>
      <c r="Q59" s="487"/>
      <c r="R59" s="1074">
        <f t="shared" si="12"/>
        <v>0</v>
      </c>
      <c r="S59" s="486"/>
      <c r="T59" s="487"/>
      <c r="U59" s="487"/>
      <c r="V59" s="328" t="str">
        <f t="shared" si="61"/>
        <v/>
      </c>
      <c r="W59" s="1631">
        <f ca="1">SUMIFS('SpxSp (step-b)'!AZ63:AZ112,'SpxSp (step-b)'!AX$26:AX$75,AB59)</f>
        <v>0</v>
      </c>
      <c r="X59" s="1632"/>
      <c r="Y59" s="244"/>
      <c r="Z59" s="244">
        <f>IF(B59="",0,COUNTIF('SpxSp (step-b)'!B63:F80,B59))</f>
        <v>0</v>
      </c>
      <c r="AB59" s="737" t="str">
        <f ca="1">IF(OR($B59="",O59=0),"",VLOOKUP($AN59,INDIRECT('9.6 Table'!$P$338),17,FALSE))</f>
        <v/>
      </c>
      <c r="AC59" s="326"/>
      <c r="AD59" s="326"/>
      <c r="AE59" s="326"/>
      <c r="AF59" s="326"/>
      <c r="AG59" s="326"/>
      <c r="AH59" s="326"/>
      <c r="AI59" s="326"/>
      <c r="AJ59" s="326"/>
      <c r="AK59" s="326"/>
      <c r="AL59" s="326"/>
      <c r="AM59" s="231">
        <f>'Int Room Schedule'!U53</f>
        <v>0</v>
      </c>
      <c r="AN59" s="78" t="str">
        <f t="shared" si="62"/>
        <v/>
      </c>
      <c r="AO59" s="78"/>
      <c r="AP59" s="78"/>
      <c r="AQ59" s="78"/>
      <c r="AR59" s="43" t="str">
        <f t="shared" si="57"/>
        <v/>
      </c>
      <c r="AX59" s="43" t="str">
        <f t="shared" si="63"/>
        <v/>
      </c>
      <c r="AY59" s="326" t="str">
        <f>IFERROR(IF($B59="","",IF(AZ59&lt;&gt;" ",1,0)),"")</f>
        <v/>
      </c>
      <c r="AZ59" s="194" t="e">
        <f t="array" ref="AZ59">IF(ROWS(AX$22:AX59)&gt;COUNTA($AX$22:$AX$71),"",INDEX($AX$22:$AX$71,SMALL(IF($AX$22:$AX$71&lt;&gt;"",ROW($AX$22:$AX$71)-ROW($AX$22)+1),ROWS($AX$22:AX59))))</f>
        <v>#NUM!</v>
      </c>
      <c r="BA59" s="730" t="str">
        <f t="shared" si="13"/>
        <v/>
      </c>
      <c r="BB59" s="326" t="str">
        <f>IF(BA59="","",SUMIF('SpxSp (step-c)'!B$18:E$67,AZ59,'SpxSp (step-c)'!T$18:T$67))</f>
        <v/>
      </c>
      <c r="BC59" s="326">
        <f t="shared" si="33"/>
        <v>0</v>
      </c>
      <c r="BE59" s="43" t="str">
        <f t="shared" si="64"/>
        <v/>
      </c>
      <c r="BF59" s="326" t="str">
        <f t="shared" si="31"/>
        <v/>
      </c>
      <c r="BG59" s="194" t="e">
        <f t="array" ref="BG59">IF(ROWS(BE$22:BE59)&gt;COUNTA($BE$22:$BE$71),"",INDEX($BE$22:$BE$71,SMALL(IF($BE$22:$BE$71&lt;&gt;"",ROW($BE$22:$BE$71)-ROW($BE$22)+1),ROWS($BE$22:BE59))))</f>
        <v>#NUM!</v>
      </c>
      <c r="BI59" s="480" t="str">
        <f>IF(B59="","",VLOOKUP(B59,'SpxSp Compliance Details'!$Z$18:$BK$67,36,FALSE))</f>
        <v/>
      </c>
      <c r="BJ59" s="473" t="str">
        <f>IF($B59="","",VLOOKUP($H59,Table_9.6.1_2016[],IF(Compliance_Version_Year=2010,18,BJ$18),FALSE))</f>
        <v/>
      </c>
      <c r="BK59" s="473" t="str">
        <f t="shared" si="16"/>
        <v/>
      </c>
      <c r="BL59" s="473" t="str">
        <f>IF($B59="","",VLOOKUP($H59,Table_9.6.1_2016[],IF(Compliance_Version_Year=2010,18,BL$18),FALSE))</f>
        <v/>
      </c>
      <c r="BM59" s="473" t="str">
        <f t="shared" si="17"/>
        <v/>
      </c>
      <c r="BN59" s="473" t="str">
        <f>IF($B59="","",IF($BI59="#1",BN$15,IF($BI59="#2",BN$16,VLOOKUP($H59,Table_9.6.1_2016[],IF(Compliance_Version_Year=2010,18,BN$18),FALSE))))</f>
        <v/>
      </c>
      <c r="BO59" s="473" t="str">
        <f t="shared" si="18"/>
        <v/>
      </c>
      <c r="BP59" s="473" t="str">
        <f>IF($B59="","",IF($BI59="#1",BP$15,IF($BI59="#2",BP$16,VLOOKUP($H59,Table_9.6.1_2016[],IF(Compliance_Version_Year=2010,18,BP$18),FALSE))))</f>
        <v/>
      </c>
      <c r="BQ59" s="473" t="str">
        <f t="shared" si="19"/>
        <v/>
      </c>
      <c r="BR59" s="473" t="str">
        <f>IF($B59="","",IF($BI59="#1",BR$15,IF($BI59="#2",BR$17,VLOOKUP($H59,Table_9.6.1_2016[],IF(Compliance_Version_Year=2010,18,BR$18),FALSE))))</f>
        <v/>
      </c>
      <c r="BS59" s="473" t="str">
        <f t="shared" si="20"/>
        <v/>
      </c>
      <c r="BT59" s="473" t="str">
        <f>IF($B59="","",IF($BI59="#1",BT$15,IF($BI59="#2",BT$16,VLOOKUP($H59,Table_9.6.1_2016[],IF(Compliance_Version_Year=2010,18,BT$18),FALSE))))</f>
        <v/>
      </c>
      <c r="BU59" s="473" t="str">
        <f t="shared" si="21"/>
        <v/>
      </c>
      <c r="BV59" s="473" t="str">
        <f>IF($B59="","",IF($BI59="#1",BV$15,IF($BI59="#2",BV$16,VLOOKUP($H59,Table_9.6.1_2016[],IF(Compliance_Version_Year=2010,18,BV$18),FALSE))))</f>
        <v/>
      </c>
      <c r="BW59" s="473" t="str">
        <f t="shared" si="22"/>
        <v/>
      </c>
      <c r="BX59" s="473" t="str">
        <f>IF($B59="","",VLOOKUP($H59,Table_9.6.1_2016[],IF(Compliance_Version_Year=2010,18,BX$18),FALSE))</f>
        <v/>
      </c>
      <c r="BY59" s="473" t="str">
        <f t="shared" si="23"/>
        <v/>
      </c>
      <c r="BZ59" s="473" t="str">
        <f>IF($B59="","",IF($BI59="#1",BZ$15,VLOOKUP($H59,Table_9.6.1_2016[],IF(Compliance_Version_Year=2010,18,BZ$18),FALSE)))</f>
        <v/>
      </c>
      <c r="CA59" s="473" t="str">
        <f t="shared" si="24"/>
        <v/>
      </c>
      <c r="CB59" s="473" t="str">
        <f>IF($B59="","",IF($BI59="#1",CB$15,IF($BI59="#2",CB$16,VLOOKUP($H59,Table_9.6.1_2016[],IF(Compliance_Version_Year=2010,18,CB$18),FALSE))))</f>
        <v/>
      </c>
      <c r="CC59" s="473" t="str">
        <f t="shared" si="25"/>
        <v/>
      </c>
      <c r="CD59" s="473" t="str">
        <f>IF($B59="","",IF($BI59="#1",CD$15,IF($BI59="#2",CD$16,VLOOKUP($H59,Table_9.6.1_2016[],IF(Compliance_Version_Year=2010,18,CD$18),FALSE))))</f>
        <v/>
      </c>
      <c r="CE59" s="473" t="str">
        <f t="shared" ref="CE59" si="74">IF(OR(CD59="ADD2",CD59="REQ"),"9.4.1.2c, ","")</f>
        <v/>
      </c>
      <c r="CF59" s="473" t="str">
        <f>IF($B59="","",IF($BI59="#1",CF$15,IF($BI59="#2",CF$16,VLOOKUP($H59,Table_9.6.1_2016[],IF(Compliance_Version_Year=2010,18,CF$18),FALSE))))</f>
        <v/>
      </c>
      <c r="CG59" s="473" t="str">
        <f t="shared" si="32"/>
        <v/>
      </c>
      <c r="CH59" s="473" t="str">
        <f>IF($B59="","",IF($BI59="#1",CH$15,IF($BI59="#2",CH$16,VLOOKUP($H59,Table_9.6.1_2016[],IF(Compliance_Version_Year=2010,18,CH$18),FALSE))))</f>
        <v/>
      </c>
      <c r="CI59" s="473" t="str">
        <f t="shared" si="34"/>
        <v/>
      </c>
      <c r="CL59" s="43" t="str">
        <f t="shared" si="66"/>
        <v/>
      </c>
      <c r="CM59" s="43" t="str">
        <f t="shared" si="67"/>
        <v/>
      </c>
      <c r="CR59" s="42" t="str">
        <f t="shared" si="27"/>
        <v/>
      </c>
      <c r="CS59" s="42" t="str">
        <f>'SpxSp Compliance Details'!I55</f>
        <v/>
      </c>
    </row>
    <row r="60" spans="1:97" x14ac:dyDescent="0.25">
      <c r="A60" s="5">
        <v>39</v>
      </c>
      <c r="B60" s="1627" t="str">
        <f>'Int Room Schedule'!Z54</f>
        <v/>
      </c>
      <c r="C60" s="1628"/>
      <c r="D60" s="1628"/>
      <c r="E60" s="1628"/>
      <c r="F60" s="1367"/>
      <c r="G60" s="321"/>
      <c r="H60" s="472" t="str">
        <f>'Int Room Schedule'!AA54</f>
        <v/>
      </c>
      <c r="I60" s="466" t="str">
        <f t="shared" si="59"/>
        <v/>
      </c>
      <c r="J60" s="655" t="str">
        <f ca="1">IF($B60&lt;&gt;"",VLOOKUP($AN60,INDIRECT('9.6 Table'!$P$338),2,FALSE)," ")</f>
        <v xml:space="preserve"> </v>
      </c>
      <c r="K60" s="948" t="str">
        <f ca="1">IF($B60&lt;&gt;"",VLOOKUP($AN60,INDIRECT('9.6 Table'!$P$338),3,FALSE)," ")</f>
        <v xml:space="preserve"> </v>
      </c>
      <c r="L60" s="484"/>
      <c r="M60" s="362">
        <f ca="1">IF(B60="C-Atrium",1,IF(K60="8' wide",IF(L60&lt;8,1.2,1),IF(L60&gt;K60,1.2,1)))</f>
        <v>1</v>
      </c>
      <c r="N60" s="464">
        <f t="shared" si="60"/>
        <v>0</v>
      </c>
      <c r="O60" s="166">
        <f ca="1">IFERROR(IF(SUMIF('SpxSp (step-b)'!B$26:F$75,'SpxSp (step-a)'!B60,'SpxSp (step-b)'!L$26:L$75)&gt;0,N60,0),0)</f>
        <v>0</v>
      </c>
      <c r="P60" s="486"/>
      <c r="Q60" s="487"/>
      <c r="R60" s="1074">
        <f t="shared" si="12"/>
        <v>0</v>
      </c>
      <c r="S60" s="486"/>
      <c r="T60" s="487"/>
      <c r="U60" s="487"/>
      <c r="V60" s="328" t="str">
        <f t="shared" si="61"/>
        <v/>
      </c>
      <c r="W60" s="1631">
        <f ca="1">SUMIFS('SpxSp (step-b)'!AZ64:AZ113,'SpxSp (step-b)'!AX$26:AX$75,AB60)</f>
        <v>0</v>
      </c>
      <c r="X60" s="1632"/>
      <c r="Y60" s="244"/>
      <c r="Z60" s="244">
        <f>IF(B60="",0,COUNTIF('SpxSp (step-b)'!B64:F80,B60))</f>
        <v>0</v>
      </c>
      <c r="AB60" s="737" t="str">
        <f ca="1">IF(OR($B60="",O60=0),"",VLOOKUP($AN60,INDIRECT('9.6 Table'!$P$338),17,FALSE))</f>
        <v/>
      </c>
      <c r="AC60" s="326"/>
      <c r="AD60" s="326"/>
      <c r="AE60" s="326"/>
      <c r="AF60" s="326"/>
      <c r="AG60" s="326"/>
      <c r="AH60" s="326"/>
      <c r="AI60" s="326"/>
      <c r="AJ60" s="326"/>
      <c r="AK60" s="326"/>
      <c r="AL60" s="326"/>
      <c r="AM60" s="231">
        <f>'Int Room Schedule'!U54</f>
        <v>0</v>
      </c>
      <c r="AN60" s="78" t="str">
        <f t="shared" si="62"/>
        <v/>
      </c>
      <c r="AO60" s="78"/>
      <c r="AP60" s="78"/>
      <c r="AQ60" s="78"/>
      <c r="AR60" s="43" t="str">
        <f t="shared" si="57"/>
        <v/>
      </c>
      <c r="AX60" s="43" t="str">
        <f t="shared" si="63"/>
        <v/>
      </c>
      <c r="AY60" s="326" t="str">
        <f>IFERROR(IF($B60="","",IF(AZ60&lt;&gt;" ",1,0)),"")</f>
        <v/>
      </c>
      <c r="AZ60" s="194" t="e">
        <f t="array" ref="AZ60">IF(ROWS(AX$22:AX60)&gt;COUNTA($AX$22:$AX$71),"",INDEX($AX$22:$AX$71,SMALL(IF($AX$22:$AX$71&lt;&gt;"",ROW($AX$22:$AX$71)-ROW($AX$22)+1),ROWS($AX$22:AX60))))</f>
        <v>#NUM!</v>
      </c>
      <c r="BA60" s="730" t="str">
        <f t="shared" si="13"/>
        <v/>
      </c>
      <c r="BB60" s="326" t="str">
        <f>IF(BA60="","",SUMIF('SpxSp (step-c)'!B$18:E$67,AZ60,'SpxSp (step-c)'!T$18:T$67))</f>
        <v/>
      </c>
      <c r="BC60" s="326">
        <f t="shared" si="33"/>
        <v>0</v>
      </c>
      <c r="BE60" s="43" t="str">
        <f t="shared" si="64"/>
        <v/>
      </c>
      <c r="BF60" s="326" t="str">
        <f t="shared" si="31"/>
        <v/>
      </c>
      <c r="BG60" s="194" t="e">
        <f t="array" ref="BG60">IF(ROWS(BE$22:BE60)&gt;COUNTA($BE$22:$BE$71),"",INDEX($BE$22:$BE$71,SMALL(IF($BE$22:$BE$71&lt;&gt;"",ROW($BE$22:$BE$71)-ROW($BE$22)+1),ROWS($BE$22:BE60))))</f>
        <v>#NUM!</v>
      </c>
      <c r="BI60" s="480" t="str">
        <f>IF(B60="","",VLOOKUP(B60,'SpxSp Compliance Details'!$Z$18:$BK$67,36,FALSE))</f>
        <v/>
      </c>
      <c r="BJ60" s="473" t="str">
        <f>IF($B60="","",VLOOKUP($H60,Table_9.6.1_2016[],IF(Compliance_Version_Year=2010,18,BJ$18),FALSE))</f>
        <v/>
      </c>
      <c r="BK60" s="473" t="str">
        <f t="shared" si="16"/>
        <v/>
      </c>
      <c r="BL60" s="473" t="str">
        <f>IF($B60="","",VLOOKUP($H60,Table_9.6.1_2016[],IF(Compliance_Version_Year=2010,18,BL$18),FALSE))</f>
        <v/>
      </c>
      <c r="BM60" s="473" t="str">
        <f t="shared" si="17"/>
        <v/>
      </c>
      <c r="BN60" s="473" t="str">
        <f>IF($B60="","",IF($BI60="#1",BN$15,IF($BI60="#2",BN$16,VLOOKUP($H60,Table_9.6.1_2016[],IF(Compliance_Version_Year=2010,18,BN$18),FALSE))))</f>
        <v/>
      </c>
      <c r="BO60" s="473" t="str">
        <f t="shared" si="18"/>
        <v/>
      </c>
      <c r="BP60" s="473" t="str">
        <f>IF($B60="","",IF($BI60="#1",BP$15,IF($BI60="#2",BP$16,VLOOKUP($H60,Table_9.6.1_2016[],IF(Compliance_Version_Year=2010,18,BP$18),FALSE))))</f>
        <v/>
      </c>
      <c r="BQ60" s="473" t="str">
        <f t="shared" si="19"/>
        <v/>
      </c>
      <c r="BR60" s="473" t="str">
        <f>IF($B60="","",IF($BI60="#1",BR$15,IF($BI60="#2",BR$17,VLOOKUP($H60,Table_9.6.1_2016[],IF(Compliance_Version_Year=2010,18,BR$18),FALSE))))</f>
        <v/>
      </c>
      <c r="BS60" s="473" t="str">
        <f t="shared" si="20"/>
        <v/>
      </c>
      <c r="BT60" s="473" t="str">
        <f>IF($B60="","",IF($BI60="#1",BT$15,IF($BI60="#2",BT$16,VLOOKUP($H60,Table_9.6.1_2016[],IF(Compliance_Version_Year=2010,18,BT$18),FALSE))))</f>
        <v/>
      </c>
      <c r="BU60" s="473" t="str">
        <f t="shared" si="21"/>
        <v/>
      </c>
      <c r="BV60" s="473" t="str">
        <f>IF($B60="","",IF($BI60="#1",BV$15,IF($BI60="#2",BV$16,VLOOKUP($H60,Table_9.6.1_2016[],IF(Compliance_Version_Year=2010,18,BV$18),FALSE))))</f>
        <v/>
      </c>
      <c r="BW60" s="473" t="str">
        <f t="shared" si="22"/>
        <v/>
      </c>
      <c r="BX60" s="473" t="str">
        <f>IF($B60="","",VLOOKUP($H60,Table_9.6.1_2016[],IF(Compliance_Version_Year=2010,18,BX$18),FALSE))</f>
        <v/>
      </c>
      <c r="BY60" s="473" t="str">
        <f t="shared" si="23"/>
        <v/>
      </c>
      <c r="BZ60" s="473" t="str">
        <f>IF($B60="","",IF($BI60="#1",BZ$15,VLOOKUP($H60,Table_9.6.1_2016[],IF(Compliance_Version_Year=2010,18,BZ$18),FALSE)))</f>
        <v/>
      </c>
      <c r="CA60" s="473" t="str">
        <f t="shared" si="24"/>
        <v/>
      </c>
      <c r="CB60" s="473" t="str">
        <f>IF($B60="","",IF($BI60="#1",CB$15,IF($BI60="#2",CB$16,VLOOKUP($H60,Table_9.6.1_2016[],IF(Compliance_Version_Year=2010,18,CB$18),FALSE))))</f>
        <v/>
      </c>
      <c r="CC60" s="473" t="str">
        <f t="shared" si="25"/>
        <v/>
      </c>
      <c r="CD60" s="473" t="str">
        <f>IF($B60="","",IF($BI60="#1",CD$15,IF($BI60="#2",CD$16,VLOOKUP($H60,Table_9.6.1_2016[],IF(Compliance_Version_Year=2010,18,CD$18),FALSE))))</f>
        <v/>
      </c>
      <c r="CE60" s="473" t="str">
        <f t="shared" ref="CE60" si="75">IF(OR(CD60="ADD2",CD60="REQ"),"9.4.1.2c, ","")</f>
        <v/>
      </c>
      <c r="CF60" s="473" t="str">
        <f>IF($B60="","",IF($BI60="#1",CF$15,IF($BI60="#2",CF$16,VLOOKUP($H60,Table_9.6.1_2016[],IF(Compliance_Version_Year=2010,18,CF$18),FALSE))))</f>
        <v/>
      </c>
      <c r="CG60" s="473" t="str">
        <f t="shared" si="32"/>
        <v/>
      </c>
      <c r="CH60" s="473" t="str">
        <f>IF($B60="","",IF($BI60="#1",CH$15,IF($BI60="#2",CH$16,VLOOKUP($H60,Table_9.6.1_2016[],IF(Compliance_Version_Year=2010,18,CH$18),FALSE))))</f>
        <v/>
      </c>
      <c r="CI60" s="473" t="str">
        <f t="shared" si="34"/>
        <v/>
      </c>
      <c r="CL60" s="43" t="str">
        <f t="shared" si="66"/>
        <v/>
      </c>
      <c r="CM60" s="43" t="str">
        <f t="shared" si="67"/>
        <v/>
      </c>
      <c r="CR60" s="42" t="str">
        <f t="shared" si="27"/>
        <v/>
      </c>
      <c r="CS60" s="42" t="str">
        <f>'SpxSp Compliance Details'!I56</f>
        <v/>
      </c>
    </row>
    <row r="61" spans="1:97" x14ac:dyDescent="0.25">
      <c r="A61" s="5">
        <v>40</v>
      </c>
      <c r="B61" s="1627" t="str">
        <f>'Int Room Schedule'!Z55</f>
        <v/>
      </c>
      <c r="C61" s="1628"/>
      <c r="D61" s="1628"/>
      <c r="E61" s="1628"/>
      <c r="F61" s="1367"/>
      <c r="G61" s="321"/>
      <c r="H61" s="472" t="str">
        <f>'Int Room Schedule'!AA55</f>
        <v/>
      </c>
      <c r="I61" s="466" t="str">
        <f t="shared" si="59"/>
        <v/>
      </c>
      <c r="J61" s="655" t="str">
        <f ca="1">IF($B61&lt;&gt;"",VLOOKUP($AN61,INDIRECT('9.6 Table'!$P$338),2,FALSE)," ")</f>
        <v xml:space="preserve"> </v>
      </c>
      <c r="K61" s="948" t="str">
        <f ca="1">IF($B61&lt;&gt;"",VLOOKUP($AN61,INDIRECT('9.6 Table'!$P$338),3,FALSE)," ")</f>
        <v xml:space="preserve"> </v>
      </c>
      <c r="L61" s="484"/>
      <c r="M61" s="362">
        <f ca="1">IF(B61="C-Atrium",1,IF(K61="8' wide",IF(L61&lt;8,1.2,1),IF(L61&gt;K61,1.2,1)))</f>
        <v>1</v>
      </c>
      <c r="N61" s="464">
        <f t="shared" si="60"/>
        <v>0</v>
      </c>
      <c r="O61" s="166">
        <f ca="1">IFERROR(IF(SUMIF('SpxSp (step-b)'!B$26:F$75,'SpxSp (step-a)'!B61,'SpxSp (step-b)'!L$26:L$75)&gt;0,N61,0),0)</f>
        <v>0</v>
      </c>
      <c r="P61" s="486"/>
      <c r="Q61" s="487"/>
      <c r="R61" s="1074">
        <f t="shared" si="12"/>
        <v>0</v>
      </c>
      <c r="S61" s="486"/>
      <c r="T61" s="487"/>
      <c r="U61" s="487"/>
      <c r="V61" s="328" t="str">
        <f t="shared" si="61"/>
        <v/>
      </c>
      <c r="W61" s="1631">
        <f ca="1">SUMIFS('SpxSp (step-b)'!AZ65:AZ114,'SpxSp (step-b)'!AX$26:AX$75,AB61)</f>
        <v>0</v>
      </c>
      <c r="X61" s="1632"/>
      <c r="Y61" s="244"/>
      <c r="Z61" s="244">
        <f>IF(B61="",0,COUNTIF('SpxSp (step-b)'!B65:F80,B61))</f>
        <v>0</v>
      </c>
      <c r="AB61" s="737" t="str">
        <f ca="1">IF(OR($B61="",O61=0),"",VLOOKUP($AN61,INDIRECT('9.6 Table'!$P$338),17,FALSE))</f>
        <v/>
      </c>
      <c r="AC61" s="326"/>
      <c r="AD61" s="326"/>
      <c r="AE61" s="326"/>
      <c r="AF61" s="326"/>
      <c r="AG61" s="326"/>
      <c r="AH61" s="326"/>
      <c r="AI61" s="326"/>
      <c r="AJ61" s="326"/>
      <c r="AK61" s="326"/>
      <c r="AL61" s="326"/>
      <c r="AM61" s="231">
        <f>'Int Room Schedule'!U55</f>
        <v>0</v>
      </c>
      <c r="AN61" s="78" t="str">
        <f t="shared" si="62"/>
        <v/>
      </c>
      <c r="AO61" s="78"/>
      <c r="AP61" s="78"/>
      <c r="AQ61" s="78"/>
      <c r="AR61" s="43" t="str">
        <f t="shared" si="57"/>
        <v/>
      </c>
      <c r="AX61" s="43" t="str">
        <f t="shared" si="63"/>
        <v/>
      </c>
      <c r="AY61" s="326" t="str">
        <f>IFERROR(IF($B61="","",IF(AZ61&lt;&gt;" ",1,0)),"")</f>
        <v/>
      </c>
      <c r="AZ61" s="194" t="e">
        <f t="array" ref="AZ61">IF(ROWS(AX$22:AX61)&gt;COUNTA($AX$22:$AX$71),"",INDEX($AX$22:$AX$71,SMALL(IF($AX$22:$AX$71&lt;&gt;"",ROW($AX$22:$AX$71)-ROW($AX$22)+1),ROWS($AX$22:AX61))))</f>
        <v>#NUM!</v>
      </c>
      <c r="BA61" s="730" t="str">
        <f t="shared" si="13"/>
        <v/>
      </c>
      <c r="BB61" s="326" t="str">
        <f>IF(BA61="","",SUMIF('SpxSp (step-c)'!B$18:E$67,AZ61,'SpxSp (step-c)'!T$18:T$67))</f>
        <v/>
      </c>
      <c r="BC61" s="326">
        <f t="shared" si="33"/>
        <v>0</v>
      </c>
      <c r="BE61" s="43" t="str">
        <f t="shared" si="64"/>
        <v/>
      </c>
      <c r="BF61" s="326" t="str">
        <f t="shared" si="31"/>
        <v/>
      </c>
      <c r="BG61" s="194" t="e">
        <f t="array" ref="BG61">IF(ROWS(BE$22:BE61)&gt;COUNTA($BE$22:$BE$71),"",INDEX($BE$22:$BE$71,SMALL(IF($BE$22:$BE$71&lt;&gt;"",ROW($BE$22:$BE$71)-ROW($BE$22)+1),ROWS($BE$22:BE61))))</f>
        <v>#NUM!</v>
      </c>
      <c r="BI61" s="480" t="str">
        <f>IF(B61="","",VLOOKUP(B61,'SpxSp Compliance Details'!$Z$18:$BK$67,36,FALSE))</f>
        <v/>
      </c>
      <c r="BJ61" s="473" t="str">
        <f>IF($B61="","",VLOOKUP($H61,Table_9.6.1_2016[],IF(Compliance_Version_Year=2010,18,BJ$18),FALSE))</f>
        <v/>
      </c>
      <c r="BK61" s="473" t="str">
        <f t="shared" si="16"/>
        <v/>
      </c>
      <c r="BL61" s="473" t="str">
        <f>IF($B61="","",VLOOKUP($H61,Table_9.6.1_2016[],IF(Compliance_Version_Year=2010,18,BL$18),FALSE))</f>
        <v/>
      </c>
      <c r="BM61" s="473" t="str">
        <f t="shared" si="17"/>
        <v/>
      </c>
      <c r="BN61" s="473" t="str">
        <f>IF($B61="","",IF($BI61="#1",BN$15,IF($BI61="#2",BN$16,VLOOKUP($H61,Table_9.6.1_2016[],IF(Compliance_Version_Year=2010,18,BN$18),FALSE))))</f>
        <v/>
      </c>
      <c r="BO61" s="473" t="str">
        <f t="shared" si="18"/>
        <v/>
      </c>
      <c r="BP61" s="473" t="str">
        <f>IF($B61="","",IF($BI61="#1",BP$15,IF($BI61="#2",BP$16,VLOOKUP($H61,Table_9.6.1_2016[],IF(Compliance_Version_Year=2010,18,BP$18),FALSE))))</f>
        <v/>
      </c>
      <c r="BQ61" s="473" t="str">
        <f t="shared" si="19"/>
        <v/>
      </c>
      <c r="BR61" s="473" t="str">
        <f>IF($B61="","",IF($BI61="#1",BR$15,IF($BI61="#2",BR$17,VLOOKUP($H61,Table_9.6.1_2016[],IF(Compliance_Version_Year=2010,18,BR$18),FALSE))))</f>
        <v/>
      </c>
      <c r="BS61" s="473" t="str">
        <f t="shared" si="20"/>
        <v/>
      </c>
      <c r="BT61" s="473" t="str">
        <f>IF($B61="","",IF($BI61="#1",BT$15,IF($BI61="#2",BT$16,VLOOKUP($H61,Table_9.6.1_2016[],IF(Compliance_Version_Year=2010,18,BT$18),FALSE))))</f>
        <v/>
      </c>
      <c r="BU61" s="473" t="str">
        <f t="shared" si="21"/>
        <v/>
      </c>
      <c r="BV61" s="473" t="str">
        <f>IF($B61="","",IF($BI61="#1",BV$15,IF($BI61="#2",BV$16,VLOOKUP($H61,Table_9.6.1_2016[],IF(Compliance_Version_Year=2010,18,BV$18),FALSE))))</f>
        <v/>
      </c>
      <c r="BW61" s="473" t="str">
        <f t="shared" si="22"/>
        <v/>
      </c>
      <c r="BX61" s="473" t="str">
        <f>IF($B61="","",VLOOKUP($H61,Table_9.6.1_2016[],IF(Compliance_Version_Year=2010,18,BX$18),FALSE))</f>
        <v/>
      </c>
      <c r="BY61" s="473" t="str">
        <f t="shared" si="23"/>
        <v/>
      </c>
      <c r="BZ61" s="473" t="str">
        <f>IF($B61="","",IF($BI61="#1",BZ$15,VLOOKUP($H61,Table_9.6.1_2016[],IF(Compliance_Version_Year=2010,18,BZ$18),FALSE)))</f>
        <v/>
      </c>
      <c r="CA61" s="473" t="str">
        <f t="shared" si="24"/>
        <v/>
      </c>
      <c r="CB61" s="473" t="str">
        <f>IF($B61="","",IF($BI61="#1",CB$15,IF($BI61="#2",CB$16,VLOOKUP($H61,Table_9.6.1_2016[],IF(Compliance_Version_Year=2010,18,CB$18),FALSE))))</f>
        <v/>
      </c>
      <c r="CC61" s="473" t="str">
        <f t="shared" si="25"/>
        <v/>
      </c>
      <c r="CD61" s="473" t="str">
        <f>IF($B61="","",IF($BI61="#1",CD$15,IF($BI61="#2",CD$16,VLOOKUP($H61,Table_9.6.1_2016[],IF(Compliance_Version_Year=2010,18,CD$18),FALSE))))</f>
        <v/>
      </c>
      <c r="CE61" s="473" t="str">
        <f t="shared" ref="CE61" si="76">IF(OR(CD61="ADD2",CD61="REQ"),"9.4.1.2c, ","")</f>
        <v/>
      </c>
      <c r="CF61" s="473" t="str">
        <f>IF($B61="","",IF($BI61="#1",CF$15,IF($BI61="#2",CF$16,VLOOKUP($H61,Table_9.6.1_2016[],IF(Compliance_Version_Year=2010,18,CF$18),FALSE))))</f>
        <v/>
      </c>
      <c r="CG61" s="473" t="str">
        <f t="shared" si="32"/>
        <v/>
      </c>
      <c r="CH61" s="473" t="str">
        <f>IF($B61="","",IF($BI61="#1",CH$15,IF($BI61="#2",CH$16,VLOOKUP($H61,Table_9.6.1_2016[],IF(Compliance_Version_Year=2010,18,CH$18),FALSE))))</f>
        <v/>
      </c>
      <c r="CI61" s="473" t="str">
        <f t="shared" si="34"/>
        <v/>
      </c>
      <c r="CL61" s="43" t="str">
        <f t="shared" si="66"/>
        <v/>
      </c>
      <c r="CM61" s="43" t="str">
        <f t="shared" si="67"/>
        <v/>
      </c>
      <c r="CR61" s="42" t="str">
        <f t="shared" si="27"/>
        <v/>
      </c>
      <c r="CS61" s="42" t="str">
        <f>'SpxSp Compliance Details'!I57</f>
        <v/>
      </c>
    </row>
    <row r="62" spans="1:97" x14ac:dyDescent="0.25">
      <c r="A62" s="5">
        <v>41</v>
      </c>
      <c r="B62" s="1627" t="str">
        <f>'Int Room Schedule'!Z56</f>
        <v/>
      </c>
      <c r="C62" s="1628"/>
      <c r="D62" s="1628"/>
      <c r="E62" s="1628"/>
      <c r="F62" s="1367"/>
      <c r="G62" s="321"/>
      <c r="H62" s="472" t="str">
        <f>'Int Room Schedule'!AA56</f>
        <v/>
      </c>
      <c r="I62" s="466" t="str">
        <f t="shared" si="59"/>
        <v/>
      </c>
      <c r="J62" s="655" t="str">
        <f ca="1">IF($B62&lt;&gt;"",VLOOKUP($AN62,INDIRECT('9.6 Table'!$P$338),2,FALSE)," ")</f>
        <v xml:space="preserve"> </v>
      </c>
      <c r="K62" s="948" t="str">
        <f ca="1">IF($B62&lt;&gt;"",VLOOKUP($AN62,INDIRECT('9.6 Table'!$P$338),3,FALSE)," ")</f>
        <v xml:space="preserve"> </v>
      </c>
      <c r="L62" s="484"/>
      <c r="M62" s="362">
        <f t="shared" ca="1" si="69"/>
        <v>1</v>
      </c>
      <c r="N62" s="464">
        <f t="shared" si="60"/>
        <v>0</v>
      </c>
      <c r="O62" s="166">
        <f ca="1">IFERROR(IF(SUMIF('SpxSp (step-b)'!B$26:F$75,'SpxSp (step-a)'!B62,'SpxSp (step-b)'!L$26:L$75)&gt;0,N62,0),0)</f>
        <v>0</v>
      </c>
      <c r="P62" s="486"/>
      <c r="Q62" s="487"/>
      <c r="R62" s="1074">
        <f t="shared" si="12"/>
        <v>0</v>
      </c>
      <c r="S62" s="486"/>
      <c r="T62" s="487"/>
      <c r="U62" s="487"/>
      <c r="V62" s="328" t="str">
        <f t="shared" si="61"/>
        <v/>
      </c>
      <c r="W62" s="1631">
        <f ca="1">SUMIFS('SpxSp (step-b)'!AZ66:AZ115,'SpxSp (step-b)'!AX$26:AX$75,AB62)</f>
        <v>0</v>
      </c>
      <c r="X62" s="1632"/>
      <c r="Y62" s="244"/>
      <c r="Z62" s="244">
        <f>IF(B62="",0,COUNTIF('SpxSp (step-b)'!B66:F80,B62))</f>
        <v>0</v>
      </c>
      <c r="AB62" s="737" t="str">
        <f ca="1">IF(OR($B62="",O62=0),"",VLOOKUP($AN62,INDIRECT('9.6 Table'!$P$338),17,FALSE))</f>
        <v/>
      </c>
      <c r="AC62" s="326"/>
      <c r="AD62" s="326"/>
      <c r="AE62" s="326"/>
      <c r="AF62" s="326"/>
      <c r="AG62" s="326"/>
      <c r="AH62" s="326"/>
      <c r="AI62" s="326"/>
      <c r="AJ62" s="326"/>
      <c r="AK62" s="326"/>
      <c r="AL62" s="326"/>
      <c r="AM62" s="231">
        <f>'Int Room Schedule'!U56</f>
        <v>0</v>
      </c>
      <c r="AN62" s="78" t="str">
        <f t="shared" si="62"/>
        <v/>
      </c>
      <c r="AO62" s="78"/>
      <c r="AP62" s="78"/>
      <c r="AQ62" s="78"/>
      <c r="AR62" s="43" t="str">
        <f t="shared" si="57"/>
        <v/>
      </c>
      <c r="AX62" s="43" t="str">
        <f t="shared" si="63"/>
        <v/>
      </c>
      <c r="AY62" s="326" t="str">
        <f t="shared" si="70"/>
        <v/>
      </c>
      <c r="AZ62" s="194" t="e">
        <f t="array" ref="AZ62">IF(ROWS(AX$22:AX62)&gt;COUNTA($AX$22:$AX$71),"",INDEX($AX$22:$AX$71,SMALL(IF($AX$22:$AX$71&lt;&gt;"",ROW($AX$22:$AX$71)-ROW($AX$22)+1),ROWS($AX$22:AX62))))</f>
        <v>#NUM!</v>
      </c>
      <c r="BA62" s="730" t="str">
        <f t="shared" si="13"/>
        <v/>
      </c>
      <c r="BB62" s="326" t="str">
        <f>IF(BA62="","",SUMIF('SpxSp (step-c)'!B$18:E$67,AZ62,'SpxSp (step-c)'!T$18:T$67))</f>
        <v/>
      </c>
      <c r="BC62" s="326">
        <f t="shared" si="33"/>
        <v>0</v>
      </c>
      <c r="BE62" s="43" t="str">
        <f t="shared" si="64"/>
        <v/>
      </c>
      <c r="BF62" s="326" t="str">
        <f t="shared" si="31"/>
        <v/>
      </c>
      <c r="BG62" s="194" t="e">
        <f t="array" ref="BG62">IF(ROWS(BE$22:BE62)&gt;COUNTA($BE$22:$BE$71),"",INDEX($BE$22:$BE$71,SMALL(IF($BE$22:$BE$71&lt;&gt;"",ROW($BE$22:$BE$71)-ROW($BE$22)+1),ROWS($BE$22:BE62))))</f>
        <v>#NUM!</v>
      </c>
      <c r="BI62" s="480" t="str">
        <f>IF(B62="","",VLOOKUP(B62,'SpxSp Compliance Details'!$Z$18:$BK$67,36,FALSE))</f>
        <v/>
      </c>
      <c r="BJ62" s="473" t="str">
        <f>IF($B62="","",VLOOKUP($H62,Table_9.6.1_2016[],IF(Compliance_Version_Year=2010,18,BJ$18),FALSE))</f>
        <v/>
      </c>
      <c r="BK62" s="473" t="str">
        <f t="shared" si="16"/>
        <v/>
      </c>
      <c r="BL62" s="473" t="str">
        <f>IF($B62="","",VLOOKUP($H62,Table_9.6.1_2016[],IF(Compliance_Version_Year=2010,18,BL$18),FALSE))</f>
        <v/>
      </c>
      <c r="BM62" s="473" t="str">
        <f t="shared" si="17"/>
        <v/>
      </c>
      <c r="BN62" s="473" t="str">
        <f>IF($B62="","",IF($BI62="#1",BN$15,IF($BI62="#2",BN$16,VLOOKUP($H62,Table_9.6.1_2016[],IF(Compliance_Version_Year=2010,18,BN$18),FALSE))))</f>
        <v/>
      </c>
      <c r="BO62" s="473" t="str">
        <f t="shared" si="18"/>
        <v/>
      </c>
      <c r="BP62" s="473" t="str">
        <f>IF($B62="","",IF($BI62="#1",BP$15,IF($BI62="#2",BP$16,VLOOKUP($H62,Table_9.6.1_2016[],IF(Compliance_Version_Year=2010,18,BP$18),FALSE))))</f>
        <v/>
      </c>
      <c r="BQ62" s="473" t="str">
        <f t="shared" si="19"/>
        <v/>
      </c>
      <c r="BR62" s="473" t="str">
        <f>IF($B62="","",IF($BI62="#1",BR$15,IF($BI62="#2",BR$17,VLOOKUP($H62,Table_9.6.1_2016[],IF(Compliance_Version_Year=2010,18,BR$18),FALSE))))</f>
        <v/>
      </c>
      <c r="BS62" s="473" t="str">
        <f t="shared" si="20"/>
        <v/>
      </c>
      <c r="BT62" s="473" t="str">
        <f>IF($B62="","",IF($BI62="#1",BT$15,IF($BI62="#2",BT$16,VLOOKUP($H62,Table_9.6.1_2016[],IF(Compliance_Version_Year=2010,18,BT$18),FALSE))))</f>
        <v/>
      </c>
      <c r="BU62" s="473" t="str">
        <f t="shared" si="21"/>
        <v/>
      </c>
      <c r="BV62" s="473" t="str">
        <f>IF($B62="","",IF($BI62="#1",BV$15,IF($BI62="#2",BV$16,VLOOKUP($H62,Table_9.6.1_2016[],IF(Compliance_Version_Year=2010,18,BV$18),FALSE))))</f>
        <v/>
      </c>
      <c r="BW62" s="473" t="str">
        <f t="shared" si="22"/>
        <v/>
      </c>
      <c r="BX62" s="473" t="str">
        <f>IF($B62="","",VLOOKUP($H62,Table_9.6.1_2016[],IF(Compliance_Version_Year=2010,18,BX$18),FALSE))</f>
        <v/>
      </c>
      <c r="BY62" s="473" t="str">
        <f t="shared" si="23"/>
        <v/>
      </c>
      <c r="BZ62" s="473" t="str">
        <f>IF($B62="","",IF($BI62="#1",BZ$15,VLOOKUP($H62,Table_9.6.1_2016[],IF(Compliance_Version_Year=2010,18,BZ$18),FALSE)))</f>
        <v/>
      </c>
      <c r="CA62" s="473" t="str">
        <f t="shared" si="24"/>
        <v/>
      </c>
      <c r="CB62" s="473" t="str">
        <f>IF($B62="","",IF($BI62="#1",CB$15,IF($BI62="#2",CB$16,VLOOKUP($H62,Table_9.6.1_2016[],IF(Compliance_Version_Year=2010,18,CB$18),FALSE))))</f>
        <v/>
      </c>
      <c r="CC62" s="473" t="str">
        <f t="shared" si="25"/>
        <v/>
      </c>
      <c r="CD62" s="473" t="str">
        <f>IF($B62="","",IF($BI62="#1",CD$15,IF($BI62="#2",CD$16,VLOOKUP($H62,Table_9.6.1_2016[],IF(Compliance_Version_Year=2010,18,CD$18),FALSE))))</f>
        <v/>
      </c>
      <c r="CE62" s="473" t="str">
        <f t="shared" ref="CE62" si="77">IF(OR(CD62="ADD2",CD62="REQ"),"9.4.1.2c, ","")</f>
        <v/>
      </c>
      <c r="CF62" s="473" t="str">
        <f>IF($B62="","",IF($BI62="#1",CF$15,IF($BI62="#2",CF$16,VLOOKUP($H62,Table_9.6.1_2016[],IF(Compliance_Version_Year=2010,18,CF$18),FALSE))))</f>
        <v/>
      </c>
      <c r="CG62" s="473" t="str">
        <f t="shared" si="32"/>
        <v/>
      </c>
      <c r="CH62" s="473" t="str">
        <f>IF($B62="","",IF($BI62="#1",CH$15,IF($BI62="#2",CH$16,VLOOKUP($H62,Table_9.6.1_2016[],IF(Compliance_Version_Year=2010,18,CH$18),FALSE))))</f>
        <v/>
      </c>
      <c r="CI62" s="473" t="str">
        <f t="shared" si="34"/>
        <v/>
      </c>
      <c r="CL62" s="43" t="str">
        <f t="shared" si="66"/>
        <v/>
      </c>
      <c r="CM62" s="43" t="str">
        <f t="shared" si="67"/>
        <v/>
      </c>
      <c r="CR62" s="42" t="str">
        <f t="shared" si="27"/>
        <v/>
      </c>
      <c r="CS62" s="42" t="str">
        <f>'SpxSp Compliance Details'!I58</f>
        <v/>
      </c>
    </row>
    <row r="63" spans="1:97" x14ac:dyDescent="0.25">
      <c r="A63" s="5">
        <v>42</v>
      </c>
      <c r="B63" s="1627" t="str">
        <f>'Int Room Schedule'!Z57</f>
        <v/>
      </c>
      <c r="C63" s="1628"/>
      <c r="D63" s="1628"/>
      <c r="E63" s="1628"/>
      <c r="F63" s="1367"/>
      <c r="G63" s="321"/>
      <c r="H63" s="472" t="str">
        <f>'Int Room Schedule'!AA57</f>
        <v/>
      </c>
      <c r="I63" s="466" t="str">
        <f t="shared" si="59"/>
        <v/>
      </c>
      <c r="J63" s="655" t="str">
        <f ca="1">IF($B63&lt;&gt;"",VLOOKUP($AN63,INDIRECT('9.6 Table'!$P$338),2,FALSE)," ")</f>
        <v xml:space="preserve"> </v>
      </c>
      <c r="K63" s="948" t="str">
        <f ca="1">IF($B63&lt;&gt;"",VLOOKUP($AN63,INDIRECT('9.6 Table'!$P$338),3,FALSE)," ")</f>
        <v xml:space="preserve"> </v>
      </c>
      <c r="L63" s="484"/>
      <c r="M63" s="362">
        <f t="shared" ca="1" si="69"/>
        <v>1</v>
      </c>
      <c r="N63" s="464">
        <f t="shared" si="60"/>
        <v>0</v>
      </c>
      <c r="O63" s="166">
        <f ca="1">IFERROR(IF(SUMIF('SpxSp (step-b)'!B$26:F$75,'SpxSp (step-a)'!B63,'SpxSp (step-b)'!L$26:L$75)&gt;0,N63,0),0)</f>
        <v>0</v>
      </c>
      <c r="P63" s="486"/>
      <c r="Q63" s="487"/>
      <c r="R63" s="1074">
        <f t="shared" si="12"/>
        <v>0</v>
      </c>
      <c r="S63" s="486"/>
      <c r="T63" s="487"/>
      <c r="U63" s="487"/>
      <c r="V63" s="328" t="str">
        <f t="shared" si="61"/>
        <v/>
      </c>
      <c r="W63" s="1631">
        <f ca="1">SUMIFS('SpxSp (step-b)'!AZ67:AZ116,'SpxSp (step-b)'!AX$26:AX$75,AB63)</f>
        <v>0</v>
      </c>
      <c r="X63" s="1632"/>
      <c r="Y63" s="244"/>
      <c r="Z63" s="244">
        <f>IF(B63="",0,COUNTIF('SpxSp (step-b)'!B67:F80,B63))</f>
        <v>0</v>
      </c>
      <c r="AB63" s="737" t="str">
        <f ca="1">IF(OR($B63="",O63=0),"",VLOOKUP($AN63,INDIRECT('9.6 Table'!$P$338),17,FALSE))</f>
        <v/>
      </c>
      <c r="AC63" s="326"/>
      <c r="AD63" s="326"/>
      <c r="AE63" s="326"/>
      <c r="AF63" s="326"/>
      <c r="AG63" s="326"/>
      <c r="AH63" s="326"/>
      <c r="AI63" s="326"/>
      <c r="AJ63" s="326"/>
      <c r="AK63" s="326"/>
      <c r="AL63" s="326"/>
      <c r="AM63" s="231">
        <f>'Int Room Schedule'!U57</f>
        <v>0</v>
      </c>
      <c r="AN63" s="78" t="str">
        <f t="shared" si="62"/>
        <v/>
      </c>
      <c r="AO63" s="78"/>
      <c r="AP63" s="78"/>
      <c r="AQ63" s="78"/>
      <c r="AR63" s="43" t="str">
        <f t="shared" si="57"/>
        <v/>
      </c>
      <c r="AX63" s="43" t="str">
        <f t="shared" si="63"/>
        <v/>
      </c>
      <c r="AY63" s="326" t="str">
        <f t="shared" si="70"/>
        <v/>
      </c>
      <c r="AZ63" s="194" t="e">
        <f t="array" ref="AZ63">IF(ROWS(AX$22:AX63)&gt;COUNTA($AX$22:$AX$71),"",INDEX($AX$22:$AX$71,SMALL(IF($AX$22:$AX$71&lt;&gt;"",ROW($AX$22:$AX$71)-ROW($AX$22)+1),ROWS($AX$22:AX63))))</f>
        <v>#NUM!</v>
      </c>
      <c r="BA63" s="730" t="str">
        <f t="shared" si="13"/>
        <v/>
      </c>
      <c r="BB63" s="326" t="str">
        <f>IF(BA63="","",SUMIF('SpxSp (step-c)'!B$18:E$67,AZ63,'SpxSp (step-c)'!T$18:T$67))</f>
        <v/>
      </c>
      <c r="BC63" s="326">
        <f t="shared" si="33"/>
        <v>0</v>
      </c>
      <c r="BE63" s="43" t="str">
        <f t="shared" si="64"/>
        <v/>
      </c>
      <c r="BF63" s="326" t="str">
        <f t="shared" si="31"/>
        <v/>
      </c>
      <c r="BG63" s="194" t="e">
        <f t="array" ref="BG63">IF(ROWS(BE$22:BE63)&gt;COUNTA($BE$22:$BE$71),"",INDEX($BE$22:$BE$71,SMALL(IF($BE$22:$BE$71&lt;&gt;"",ROW($BE$22:$BE$71)-ROW($BE$22)+1),ROWS($BE$22:BE63))))</f>
        <v>#NUM!</v>
      </c>
      <c r="BI63" s="480" t="str">
        <f>IF(B63="","",VLOOKUP(B63,'SpxSp Compliance Details'!$Z$18:$BK$67,36,FALSE))</f>
        <v/>
      </c>
      <c r="BJ63" s="473" t="str">
        <f>IF($B63="","",VLOOKUP($H63,Table_9.6.1_2016[],IF(Compliance_Version_Year=2010,18,BJ$18),FALSE))</f>
        <v/>
      </c>
      <c r="BK63" s="473" t="str">
        <f t="shared" si="16"/>
        <v/>
      </c>
      <c r="BL63" s="473" t="str">
        <f>IF($B63="","",VLOOKUP($H63,Table_9.6.1_2016[],IF(Compliance_Version_Year=2010,18,BL$18),FALSE))</f>
        <v/>
      </c>
      <c r="BM63" s="473" t="str">
        <f t="shared" si="17"/>
        <v/>
      </c>
      <c r="BN63" s="473" t="str">
        <f>IF($B63="","",IF($BI63="#1",BN$15,IF($BI63="#2",BN$16,VLOOKUP($H63,Table_9.6.1_2016[],IF(Compliance_Version_Year=2010,18,BN$18),FALSE))))</f>
        <v/>
      </c>
      <c r="BO63" s="473" t="str">
        <f t="shared" si="18"/>
        <v/>
      </c>
      <c r="BP63" s="473" t="str">
        <f>IF($B63="","",IF($BI63="#1",BP$15,IF($BI63="#2",BP$16,VLOOKUP($H63,Table_9.6.1_2016[],IF(Compliance_Version_Year=2010,18,BP$18),FALSE))))</f>
        <v/>
      </c>
      <c r="BQ63" s="473" t="str">
        <f t="shared" si="19"/>
        <v/>
      </c>
      <c r="BR63" s="473" t="str">
        <f>IF($B63="","",IF($BI63="#1",BR$15,IF($BI63="#2",BR$17,VLOOKUP($H63,Table_9.6.1_2016[],IF(Compliance_Version_Year=2010,18,BR$18),FALSE))))</f>
        <v/>
      </c>
      <c r="BS63" s="473" t="str">
        <f t="shared" si="20"/>
        <v/>
      </c>
      <c r="BT63" s="473" t="str">
        <f>IF($B63="","",IF($BI63="#1",BT$15,IF($BI63="#2",BT$16,VLOOKUP($H63,Table_9.6.1_2016[],IF(Compliance_Version_Year=2010,18,BT$18),FALSE))))</f>
        <v/>
      </c>
      <c r="BU63" s="473" t="str">
        <f t="shared" si="21"/>
        <v/>
      </c>
      <c r="BV63" s="473" t="str">
        <f>IF($B63="","",IF($BI63="#1",BV$15,IF($BI63="#2",BV$16,VLOOKUP($H63,Table_9.6.1_2016[],IF(Compliance_Version_Year=2010,18,BV$18),FALSE))))</f>
        <v/>
      </c>
      <c r="BW63" s="473" t="str">
        <f t="shared" si="22"/>
        <v/>
      </c>
      <c r="BX63" s="473" t="str">
        <f>IF($B63="","",VLOOKUP($H63,Table_9.6.1_2016[],IF(Compliance_Version_Year=2010,18,BX$18),FALSE))</f>
        <v/>
      </c>
      <c r="BY63" s="473" t="str">
        <f t="shared" si="23"/>
        <v/>
      </c>
      <c r="BZ63" s="473" t="str">
        <f>IF($B63="","",IF($BI63="#1",BZ$15,VLOOKUP($H63,Table_9.6.1_2016[],IF(Compliance_Version_Year=2010,18,BZ$18),FALSE)))</f>
        <v/>
      </c>
      <c r="CA63" s="473" t="str">
        <f t="shared" si="24"/>
        <v/>
      </c>
      <c r="CB63" s="473" t="str">
        <f>IF($B63="","",IF($BI63="#1",CB$15,IF($BI63="#2",CB$16,VLOOKUP($H63,Table_9.6.1_2016[],IF(Compliance_Version_Year=2010,18,CB$18),FALSE))))</f>
        <v/>
      </c>
      <c r="CC63" s="473" t="str">
        <f t="shared" si="25"/>
        <v/>
      </c>
      <c r="CD63" s="473" t="str">
        <f>IF($B63="","",IF($BI63="#1",CD$15,IF($BI63="#2",CD$16,VLOOKUP($H63,Table_9.6.1_2016[],IF(Compliance_Version_Year=2010,18,CD$18),FALSE))))</f>
        <v/>
      </c>
      <c r="CE63" s="473" t="str">
        <f t="shared" ref="CE63" si="78">IF(OR(CD63="ADD2",CD63="REQ"),"9.4.1.2c, ","")</f>
        <v/>
      </c>
      <c r="CF63" s="473" t="str">
        <f>IF($B63="","",IF($BI63="#1",CF$15,IF($BI63="#2",CF$16,VLOOKUP($H63,Table_9.6.1_2016[],IF(Compliance_Version_Year=2010,18,CF$18),FALSE))))</f>
        <v/>
      </c>
      <c r="CG63" s="473" t="str">
        <f t="shared" si="32"/>
        <v/>
      </c>
      <c r="CH63" s="473" t="str">
        <f>IF($B63="","",IF($BI63="#1",CH$15,IF($BI63="#2",CH$16,VLOOKUP($H63,Table_9.6.1_2016[],IF(Compliance_Version_Year=2010,18,CH$18),FALSE))))</f>
        <v/>
      </c>
      <c r="CI63" s="473" t="str">
        <f t="shared" si="34"/>
        <v/>
      </c>
      <c r="CL63" s="43" t="str">
        <f t="shared" si="66"/>
        <v/>
      </c>
      <c r="CM63" s="43" t="str">
        <f t="shared" si="67"/>
        <v/>
      </c>
      <c r="CR63" s="42" t="str">
        <f t="shared" si="27"/>
        <v/>
      </c>
      <c r="CS63" s="42" t="str">
        <f>'SpxSp Compliance Details'!I59</f>
        <v/>
      </c>
    </row>
    <row r="64" spans="1:97" x14ac:dyDescent="0.25">
      <c r="A64" s="5">
        <v>43</v>
      </c>
      <c r="B64" s="1627" t="str">
        <f>'Int Room Schedule'!Z58</f>
        <v/>
      </c>
      <c r="C64" s="1628"/>
      <c r="D64" s="1628"/>
      <c r="E64" s="1628"/>
      <c r="F64" s="1367"/>
      <c r="G64" s="321"/>
      <c r="H64" s="472" t="str">
        <f>'Int Room Schedule'!AA58</f>
        <v/>
      </c>
      <c r="I64" s="466" t="str">
        <f t="shared" si="59"/>
        <v/>
      </c>
      <c r="J64" s="655" t="str">
        <f ca="1">IF($B64&lt;&gt;"",VLOOKUP($AN64,INDIRECT('9.6 Table'!$P$338),2,FALSE)," ")</f>
        <v xml:space="preserve"> </v>
      </c>
      <c r="K64" s="948" t="str">
        <f ca="1">IF($B64&lt;&gt;"",VLOOKUP($AN64,INDIRECT('9.6 Table'!$P$338),3,FALSE)," ")</f>
        <v xml:space="preserve"> </v>
      </c>
      <c r="L64" s="484"/>
      <c r="M64" s="362">
        <f t="shared" ca="1" si="69"/>
        <v>1</v>
      </c>
      <c r="N64" s="464">
        <f t="shared" si="60"/>
        <v>0</v>
      </c>
      <c r="O64" s="166">
        <f ca="1">IFERROR(IF(SUMIF('SpxSp (step-b)'!B$26:F$75,'SpxSp (step-a)'!B64,'SpxSp (step-b)'!L$26:L$75)&gt;0,N64,0),0)</f>
        <v>0</v>
      </c>
      <c r="P64" s="486"/>
      <c r="Q64" s="487"/>
      <c r="R64" s="1074">
        <f t="shared" si="12"/>
        <v>0</v>
      </c>
      <c r="S64" s="486"/>
      <c r="T64" s="487"/>
      <c r="U64" s="487"/>
      <c r="V64" s="328" t="str">
        <f t="shared" si="61"/>
        <v/>
      </c>
      <c r="W64" s="1631">
        <f ca="1">SUMIFS('SpxSp (step-b)'!AZ68:AZ117,'SpxSp (step-b)'!AX$26:AX$75,AB64)</f>
        <v>0</v>
      </c>
      <c r="X64" s="1632"/>
      <c r="Y64" s="244"/>
      <c r="Z64" s="244">
        <f>IF(B64="",0,COUNTIF('SpxSp (step-b)'!B68:F80,B64))</f>
        <v>0</v>
      </c>
      <c r="AB64" s="737" t="str">
        <f ca="1">IF(OR($B64="",O64=0),"",VLOOKUP($AN64,INDIRECT('9.6 Table'!$P$338),17,FALSE))</f>
        <v/>
      </c>
      <c r="AC64" s="326"/>
      <c r="AD64" s="326"/>
      <c r="AE64" s="326"/>
      <c r="AF64" s="326"/>
      <c r="AG64" s="326"/>
      <c r="AH64" s="326"/>
      <c r="AI64" s="326"/>
      <c r="AJ64" s="326"/>
      <c r="AK64" s="326"/>
      <c r="AL64" s="326"/>
      <c r="AM64" s="231">
        <f>'Int Room Schedule'!U58</f>
        <v>0</v>
      </c>
      <c r="AN64" s="78" t="str">
        <f t="shared" si="62"/>
        <v/>
      </c>
      <c r="AO64" s="78"/>
      <c r="AP64" s="78"/>
      <c r="AQ64" s="78"/>
      <c r="AR64" s="43" t="str">
        <f t="shared" si="57"/>
        <v/>
      </c>
      <c r="AX64" s="43" t="str">
        <f t="shared" si="63"/>
        <v/>
      </c>
      <c r="AY64" s="326" t="str">
        <f t="shared" si="70"/>
        <v/>
      </c>
      <c r="AZ64" s="194" t="e">
        <f t="array" ref="AZ64">IF(ROWS(AX$22:AX64)&gt;COUNTA($AX$22:$AX$71),"",INDEX($AX$22:$AX$71,SMALL(IF($AX$22:$AX$71&lt;&gt;"",ROW($AX$22:$AX$71)-ROW($AX$22)+1),ROWS($AX$22:AX64))))</f>
        <v>#NUM!</v>
      </c>
      <c r="BA64" s="730" t="str">
        <f t="shared" si="13"/>
        <v/>
      </c>
      <c r="BB64" s="326" t="str">
        <f>IF(BA64="","",SUMIF('SpxSp (step-c)'!B$18:E$67,AZ64,'SpxSp (step-c)'!T$18:T$67))</f>
        <v/>
      </c>
      <c r="BC64" s="326">
        <f t="shared" si="33"/>
        <v>0</v>
      </c>
      <c r="BE64" s="43" t="str">
        <f t="shared" si="64"/>
        <v/>
      </c>
      <c r="BF64" s="326" t="str">
        <f t="shared" si="31"/>
        <v/>
      </c>
      <c r="BG64" s="194" t="e">
        <f t="array" ref="BG64">IF(ROWS(BE$22:BE64)&gt;COUNTA($BE$22:$BE$71),"",INDEX($BE$22:$BE$71,SMALL(IF($BE$22:$BE$71&lt;&gt;"",ROW($BE$22:$BE$71)-ROW($BE$22)+1),ROWS($BE$22:BE64))))</f>
        <v>#NUM!</v>
      </c>
      <c r="BI64" s="480" t="str">
        <f>IF(B64="","",VLOOKUP(B64,'SpxSp Compliance Details'!$Z$18:$BK$67,36,FALSE))</f>
        <v/>
      </c>
      <c r="BJ64" s="473" t="str">
        <f>IF($B64="","",VLOOKUP($H64,Table_9.6.1_2016[],IF(Compliance_Version_Year=2010,18,BJ$18),FALSE))</f>
        <v/>
      </c>
      <c r="BK64" s="473" t="str">
        <f t="shared" si="16"/>
        <v/>
      </c>
      <c r="BL64" s="473" t="str">
        <f>IF($B64="","",VLOOKUP($H64,Table_9.6.1_2016[],IF(Compliance_Version_Year=2010,18,BL$18),FALSE))</f>
        <v/>
      </c>
      <c r="BM64" s="473" t="str">
        <f t="shared" si="17"/>
        <v/>
      </c>
      <c r="BN64" s="473" t="str">
        <f>IF($B64="","",IF($BI64="#1",BN$15,IF($BI64="#2",BN$16,VLOOKUP($H64,Table_9.6.1_2016[],IF(Compliance_Version_Year=2010,18,BN$18),FALSE))))</f>
        <v/>
      </c>
      <c r="BO64" s="473" t="str">
        <f t="shared" si="18"/>
        <v/>
      </c>
      <c r="BP64" s="473" t="str">
        <f>IF($B64="","",IF($BI64="#1",BP$15,IF($BI64="#2",BP$16,VLOOKUP($H64,Table_9.6.1_2016[],IF(Compliance_Version_Year=2010,18,BP$18),FALSE))))</f>
        <v/>
      </c>
      <c r="BQ64" s="473" t="str">
        <f t="shared" si="19"/>
        <v/>
      </c>
      <c r="BR64" s="473" t="str">
        <f>IF($B64="","",IF($BI64="#1",BR$15,IF($BI64="#2",BR$17,VLOOKUP($H64,Table_9.6.1_2016[],IF(Compliance_Version_Year=2010,18,BR$18),FALSE))))</f>
        <v/>
      </c>
      <c r="BS64" s="473" t="str">
        <f t="shared" si="20"/>
        <v/>
      </c>
      <c r="BT64" s="473" t="str">
        <f>IF($B64="","",IF($BI64="#1",BT$15,IF($BI64="#2",BT$16,VLOOKUP($H64,Table_9.6.1_2016[],IF(Compliance_Version_Year=2010,18,BT$18),FALSE))))</f>
        <v/>
      </c>
      <c r="BU64" s="473" t="str">
        <f t="shared" si="21"/>
        <v/>
      </c>
      <c r="BV64" s="473" t="str">
        <f>IF($B64="","",IF($BI64="#1",BV$15,IF($BI64="#2",BV$16,VLOOKUP($H64,Table_9.6.1_2016[],IF(Compliance_Version_Year=2010,18,BV$18),FALSE))))</f>
        <v/>
      </c>
      <c r="BW64" s="473" t="str">
        <f t="shared" si="22"/>
        <v/>
      </c>
      <c r="BX64" s="473" t="str">
        <f>IF($B64="","",VLOOKUP($H64,Table_9.6.1_2016[],IF(Compliance_Version_Year=2010,18,BX$18),FALSE))</f>
        <v/>
      </c>
      <c r="BY64" s="473" t="str">
        <f t="shared" si="23"/>
        <v/>
      </c>
      <c r="BZ64" s="473" t="str">
        <f>IF($B64="","",IF($BI64="#1",BZ$15,VLOOKUP($H64,Table_9.6.1_2016[],IF(Compliance_Version_Year=2010,18,BZ$18),FALSE)))</f>
        <v/>
      </c>
      <c r="CA64" s="473" t="str">
        <f t="shared" si="24"/>
        <v/>
      </c>
      <c r="CB64" s="473" t="str">
        <f>IF($B64="","",IF($BI64="#1",CB$15,IF($BI64="#2",CB$16,VLOOKUP($H64,Table_9.6.1_2016[],IF(Compliance_Version_Year=2010,18,CB$18),FALSE))))</f>
        <v/>
      </c>
      <c r="CC64" s="473" t="str">
        <f t="shared" si="25"/>
        <v/>
      </c>
      <c r="CD64" s="473" t="str">
        <f>IF($B64="","",IF($BI64="#1",CD$15,IF($BI64="#2",CD$16,VLOOKUP($H64,Table_9.6.1_2016[],IF(Compliance_Version_Year=2010,18,CD$18),FALSE))))</f>
        <v/>
      </c>
      <c r="CE64" s="473" t="str">
        <f t="shared" ref="CE64" si="79">IF(OR(CD64="ADD2",CD64="REQ"),"9.4.1.2c, ","")</f>
        <v/>
      </c>
      <c r="CF64" s="473" t="str">
        <f>IF($B64="","",IF($BI64="#1",CF$15,IF($BI64="#2",CF$16,VLOOKUP($H64,Table_9.6.1_2016[],IF(Compliance_Version_Year=2010,18,CF$18),FALSE))))</f>
        <v/>
      </c>
      <c r="CG64" s="473" t="str">
        <f t="shared" si="32"/>
        <v/>
      </c>
      <c r="CH64" s="473" t="str">
        <f>IF($B64="","",IF($BI64="#1",CH$15,IF($BI64="#2",CH$16,VLOOKUP($H64,Table_9.6.1_2016[],IF(Compliance_Version_Year=2010,18,CH$18),FALSE))))</f>
        <v/>
      </c>
      <c r="CI64" s="473" t="str">
        <f t="shared" si="34"/>
        <v/>
      </c>
      <c r="CL64" s="43" t="str">
        <f t="shared" si="66"/>
        <v/>
      </c>
      <c r="CM64" s="43" t="str">
        <f t="shared" si="67"/>
        <v/>
      </c>
      <c r="CR64" s="42" t="str">
        <f t="shared" si="27"/>
        <v/>
      </c>
      <c r="CS64" s="42" t="str">
        <f>'SpxSp Compliance Details'!I60</f>
        <v/>
      </c>
    </row>
    <row r="65" spans="1:97" x14ac:dyDescent="0.25">
      <c r="A65" s="5">
        <v>44</v>
      </c>
      <c r="B65" s="1627" t="str">
        <f>'Int Room Schedule'!Z59</f>
        <v/>
      </c>
      <c r="C65" s="1628"/>
      <c r="D65" s="1628"/>
      <c r="E65" s="1628"/>
      <c r="F65" s="1367"/>
      <c r="G65" s="321"/>
      <c r="H65" s="472" t="str">
        <f>'Int Room Schedule'!AA59</f>
        <v/>
      </c>
      <c r="I65" s="466" t="str">
        <f t="shared" si="59"/>
        <v/>
      </c>
      <c r="J65" s="655" t="str">
        <f ca="1">IF($B65&lt;&gt;"",VLOOKUP($AN65,INDIRECT('9.6 Table'!$P$338),2,FALSE)," ")</f>
        <v xml:space="preserve"> </v>
      </c>
      <c r="K65" s="948" t="str">
        <f ca="1">IF($B65&lt;&gt;"",VLOOKUP($AN65,INDIRECT('9.6 Table'!$P$338),3,FALSE)," ")</f>
        <v xml:space="preserve"> </v>
      </c>
      <c r="L65" s="484"/>
      <c r="M65" s="362">
        <f t="shared" ref="M65:M71" ca="1" si="80">IF(B65="C-Atrium",1,IF(K65="8' wide",IF(L65&lt;8,1.2,1),IF(L65&gt;K65,1.2,1)))</f>
        <v>1</v>
      </c>
      <c r="N65" s="464">
        <f t="shared" si="60"/>
        <v>0</v>
      </c>
      <c r="O65" s="166">
        <f ca="1">IFERROR(IF(SUMIF('SpxSp (step-b)'!B$26:F$75,'SpxSp (step-a)'!B65,'SpxSp (step-b)'!L$26:L$75)&gt;0,N65,0),0)</f>
        <v>0</v>
      </c>
      <c r="P65" s="486"/>
      <c r="Q65" s="487"/>
      <c r="R65" s="1074">
        <f t="shared" si="12"/>
        <v>0</v>
      </c>
      <c r="S65" s="486"/>
      <c r="T65" s="487"/>
      <c r="U65" s="487"/>
      <c r="V65" s="328" t="str">
        <f t="shared" si="61"/>
        <v/>
      </c>
      <c r="W65" s="1631">
        <f ca="1">SUMIFS('SpxSp (step-b)'!AZ69:AZ118,'SpxSp (step-b)'!AX$26:AX$75,AB65)</f>
        <v>0</v>
      </c>
      <c r="X65" s="1632"/>
      <c r="Y65" s="244"/>
      <c r="Z65" s="244">
        <f>IF(B65="",0,COUNTIF('SpxSp (step-b)'!B69:F80,B65))</f>
        <v>0</v>
      </c>
      <c r="AB65" s="737" t="str">
        <f ca="1">IF(OR($B65="",O65=0),"",VLOOKUP($AN65,INDIRECT('9.6 Table'!$P$338),17,FALSE))</f>
        <v/>
      </c>
      <c r="AC65" s="326"/>
      <c r="AD65" s="326"/>
      <c r="AE65" s="326"/>
      <c r="AF65" s="326"/>
      <c r="AG65" s="326"/>
      <c r="AH65" s="326"/>
      <c r="AI65" s="326"/>
      <c r="AJ65" s="326"/>
      <c r="AK65" s="326"/>
      <c r="AL65" s="326"/>
      <c r="AM65" s="231">
        <f>'Int Room Schedule'!U59</f>
        <v>0</v>
      </c>
      <c r="AN65" s="78" t="str">
        <f t="shared" si="62"/>
        <v/>
      </c>
      <c r="AO65" s="78"/>
      <c r="AP65" s="78"/>
      <c r="AQ65" s="78"/>
      <c r="AR65" s="43" t="str">
        <f t="shared" si="57"/>
        <v/>
      </c>
      <c r="AX65" s="43" t="str">
        <f t="shared" si="63"/>
        <v/>
      </c>
      <c r="AY65" s="326" t="str">
        <f t="shared" ref="AY65:AY71" si="81">IFERROR(IF($B65="","",IF(AZ65&lt;&gt;" ",1,0)),"")</f>
        <v/>
      </c>
      <c r="AZ65" s="194" t="e">
        <f t="array" ref="AZ65">IF(ROWS(AX$22:AX65)&gt;COUNTA($AX$22:$AX$71),"",INDEX($AX$22:$AX$71,SMALL(IF($AX$22:$AX$71&lt;&gt;"",ROW($AX$22:$AX$71)-ROW($AX$22)+1),ROWS($AX$22:AX65))))</f>
        <v>#NUM!</v>
      </c>
      <c r="BA65" s="730" t="str">
        <f t="shared" si="13"/>
        <v/>
      </c>
      <c r="BB65" s="326" t="str">
        <f>IF(BA65="","",SUMIF('SpxSp (step-c)'!B$18:E$67,AZ65,'SpxSp (step-c)'!T$18:T$67))</f>
        <v/>
      </c>
      <c r="BC65" s="326">
        <f t="shared" si="33"/>
        <v>0</v>
      </c>
      <c r="BE65" s="43" t="str">
        <f t="shared" si="64"/>
        <v/>
      </c>
      <c r="BF65" s="326" t="str">
        <f t="shared" si="31"/>
        <v/>
      </c>
      <c r="BG65" s="194" t="e">
        <f t="array" ref="BG65">IF(ROWS(BE$22:BE65)&gt;COUNTA($BE$22:$BE$71),"",INDEX($BE$22:$BE$71,SMALL(IF($BE$22:$BE$71&lt;&gt;"",ROW($BE$22:$BE$71)-ROW($BE$22)+1),ROWS($BE$22:BE65))))</f>
        <v>#NUM!</v>
      </c>
      <c r="BI65" s="480" t="str">
        <f>IF(B65="","",VLOOKUP(B65,'SpxSp Compliance Details'!$Z$18:$BK$67,36,FALSE))</f>
        <v/>
      </c>
      <c r="BJ65" s="473" t="str">
        <f>IF($B65="","",VLOOKUP($H65,Table_9.6.1_2016[],IF(Compliance_Version_Year=2010,18,BJ$18),FALSE))</f>
        <v/>
      </c>
      <c r="BK65" s="473" t="str">
        <f t="shared" si="16"/>
        <v/>
      </c>
      <c r="BL65" s="473" t="str">
        <f>IF($B65="","",VLOOKUP($H65,Table_9.6.1_2016[],IF(Compliance_Version_Year=2010,18,BL$18),FALSE))</f>
        <v/>
      </c>
      <c r="BM65" s="473" t="str">
        <f t="shared" si="17"/>
        <v/>
      </c>
      <c r="BN65" s="473" t="str">
        <f>IF($B65="","",IF($BI65="#1",BN$15,IF($BI65="#2",BN$16,VLOOKUP($H65,Table_9.6.1_2016[],IF(Compliance_Version_Year=2010,18,BN$18),FALSE))))</f>
        <v/>
      </c>
      <c r="BO65" s="473" t="str">
        <f t="shared" si="18"/>
        <v/>
      </c>
      <c r="BP65" s="473" t="str">
        <f>IF($B65="","",IF($BI65="#1",BP$15,IF($BI65="#2",BP$16,VLOOKUP($H65,Table_9.6.1_2016[],IF(Compliance_Version_Year=2010,18,BP$18),FALSE))))</f>
        <v/>
      </c>
      <c r="BQ65" s="473" t="str">
        <f t="shared" si="19"/>
        <v/>
      </c>
      <c r="BR65" s="473" t="str">
        <f>IF($B65="","",IF($BI65="#1",BR$15,IF($BI65="#2",BR$17,VLOOKUP($H65,Table_9.6.1_2016[],IF(Compliance_Version_Year=2010,18,BR$18),FALSE))))</f>
        <v/>
      </c>
      <c r="BS65" s="473" t="str">
        <f t="shared" si="20"/>
        <v/>
      </c>
      <c r="BT65" s="473" t="str">
        <f>IF($B65="","",IF($BI65="#1",BT$15,IF($BI65="#2",BT$16,VLOOKUP($H65,Table_9.6.1_2016[],IF(Compliance_Version_Year=2010,18,BT$18),FALSE))))</f>
        <v/>
      </c>
      <c r="BU65" s="473" t="str">
        <f t="shared" si="21"/>
        <v/>
      </c>
      <c r="BV65" s="473" t="str">
        <f>IF($B65="","",IF($BI65="#1",BV$15,IF($BI65="#2",BV$16,VLOOKUP($H65,Table_9.6.1_2016[],IF(Compliance_Version_Year=2010,18,BV$18),FALSE))))</f>
        <v/>
      </c>
      <c r="BW65" s="473" t="str">
        <f t="shared" si="22"/>
        <v/>
      </c>
      <c r="BX65" s="473" t="str">
        <f>IF($B65="","",VLOOKUP($H65,Table_9.6.1_2016[],IF(Compliance_Version_Year=2010,18,BX$18),FALSE))</f>
        <v/>
      </c>
      <c r="BY65" s="473" t="str">
        <f t="shared" si="23"/>
        <v/>
      </c>
      <c r="BZ65" s="473" t="str">
        <f>IF($B65="","",IF($BI65="#1",BZ$15,VLOOKUP($H65,Table_9.6.1_2016[],IF(Compliance_Version_Year=2010,18,BZ$18),FALSE)))</f>
        <v/>
      </c>
      <c r="CA65" s="473" t="str">
        <f t="shared" si="24"/>
        <v/>
      </c>
      <c r="CB65" s="473" t="str">
        <f>IF($B65="","",IF($BI65="#1",CB$15,IF($BI65="#2",CB$16,VLOOKUP($H65,Table_9.6.1_2016[],IF(Compliance_Version_Year=2010,18,CB$18),FALSE))))</f>
        <v/>
      </c>
      <c r="CC65" s="473" t="str">
        <f t="shared" si="25"/>
        <v/>
      </c>
      <c r="CD65" s="473" t="str">
        <f>IF($B65="","",IF($BI65="#1",CD$15,IF($BI65="#2",CD$16,VLOOKUP($H65,Table_9.6.1_2016[],IF(Compliance_Version_Year=2010,18,CD$18),FALSE))))</f>
        <v/>
      </c>
      <c r="CE65" s="473" t="str">
        <f t="shared" ref="CE65" si="82">IF(OR(CD65="ADD2",CD65="REQ"),"9.4.1.2c, ","")</f>
        <v/>
      </c>
      <c r="CF65" s="473" t="str">
        <f>IF($B65="","",IF($BI65="#1",CF$15,IF($BI65="#2",CF$16,VLOOKUP($H65,Table_9.6.1_2016[],IF(Compliance_Version_Year=2010,18,CF$18),FALSE))))</f>
        <v/>
      </c>
      <c r="CG65" s="473" t="str">
        <f t="shared" si="32"/>
        <v/>
      </c>
      <c r="CH65" s="473" t="str">
        <f>IF($B65="","",IF($BI65="#1",CH$15,IF($BI65="#2",CH$16,VLOOKUP($H65,Table_9.6.1_2016[],IF(Compliance_Version_Year=2010,18,CH$18),FALSE))))</f>
        <v/>
      </c>
      <c r="CI65" s="473" t="str">
        <f t="shared" si="34"/>
        <v/>
      </c>
      <c r="CL65" s="43" t="str">
        <f t="shared" si="66"/>
        <v/>
      </c>
      <c r="CM65" s="43" t="str">
        <f t="shared" si="67"/>
        <v/>
      </c>
      <c r="CR65" s="42" t="str">
        <f t="shared" si="27"/>
        <v/>
      </c>
      <c r="CS65" s="42" t="str">
        <f>'SpxSp Compliance Details'!I61</f>
        <v/>
      </c>
    </row>
    <row r="66" spans="1:97" x14ac:dyDescent="0.25">
      <c r="A66" s="5">
        <v>45</v>
      </c>
      <c r="B66" s="1627" t="str">
        <f>'Int Room Schedule'!Z60</f>
        <v/>
      </c>
      <c r="C66" s="1628"/>
      <c r="D66" s="1628"/>
      <c r="E66" s="1628"/>
      <c r="F66" s="1367"/>
      <c r="G66" s="321"/>
      <c r="H66" s="472" t="str">
        <f>'Int Room Schedule'!AA60</f>
        <v/>
      </c>
      <c r="I66" s="466" t="str">
        <f t="shared" si="59"/>
        <v/>
      </c>
      <c r="J66" s="655" t="str">
        <f ca="1">IF($B66&lt;&gt;"",VLOOKUP($AN66,INDIRECT('9.6 Table'!$P$338),2,FALSE)," ")</f>
        <v xml:space="preserve"> </v>
      </c>
      <c r="K66" s="948" t="str">
        <f ca="1">IF($B66&lt;&gt;"",VLOOKUP($AN66,INDIRECT('9.6 Table'!$P$338),3,FALSE)," ")</f>
        <v xml:space="preserve"> </v>
      </c>
      <c r="L66" s="484"/>
      <c r="M66" s="362">
        <f t="shared" ca="1" si="80"/>
        <v>1</v>
      </c>
      <c r="N66" s="464">
        <f t="shared" si="60"/>
        <v>0</v>
      </c>
      <c r="O66" s="166">
        <f ca="1">IFERROR(IF(SUMIF('SpxSp (step-b)'!B$26:F$75,'SpxSp (step-a)'!B66,'SpxSp (step-b)'!L$26:L$75)&gt;0,N66,0),0)</f>
        <v>0</v>
      </c>
      <c r="P66" s="486"/>
      <c r="Q66" s="487"/>
      <c r="R66" s="1074">
        <f t="shared" si="12"/>
        <v>0</v>
      </c>
      <c r="S66" s="486"/>
      <c r="T66" s="487"/>
      <c r="U66" s="487"/>
      <c r="V66" s="328" t="str">
        <f t="shared" si="61"/>
        <v/>
      </c>
      <c r="W66" s="1631">
        <f ca="1">SUMIFS('SpxSp (step-b)'!AZ70:AZ119,'SpxSp (step-b)'!AX$26:AX$75,AB66)</f>
        <v>0</v>
      </c>
      <c r="X66" s="1632"/>
      <c r="Y66" s="244"/>
      <c r="Z66" s="244">
        <f>IF(B66="",0,COUNTIF('SpxSp (step-b)'!B70:F80,B66))</f>
        <v>0</v>
      </c>
      <c r="AB66" s="737" t="str">
        <f ca="1">IF(OR($B66="",O66=0),"",VLOOKUP($AN66,INDIRECT('9.6 Table'!$P$338),17,FALSE))</f>
        <v/>
      </c>
      <c r="AC66" s="326"/>
      <c r="AD66" s="326"/>
      <c r="AE66" s="326"/>
      <c r="AF66" s="326"/>
      <c r="AG66" s="326"/>
      <c r="AH66" s="326"/>
      <c r="AI66" s="326"/>
      <c r="AJ66" s="326"/>
      <c r="AK66" s="326"/>
      <c r="AL66" s="326"/>
      <c r="AM66" s="231">
        <f>'Int Room Schedule'!U60</f>
        <v>0</v>
      </c>
      <c r="AN66" s="78" t="str">
        <f t="shared" si="62"/>
        <v/>
      </c>
      <c r="AO66" s="78"/>
      <c r="AP66" s="78"/>
      <c r="AQ66" s="78"/>
      <c r="AR66" s="43" t="str">
        <f t="shared" si="57"/>
        <v/>
      </c>
      <c r="AX66" s="43" t="str">
        <f t="shared" si="63"/>
        <v/>
      </c>
      <c r="AY66" s="326" t="str">
        <f t="shared" si="81"/>
        <v/>
      </c>
      <c r="AZ66" s="194" t="e">
        <f t="array" ref="AZ66">IF(ROWS(AX$22:AX66)&gt;COUNTA($AX$22:$AX$71),"",INDEX($AX$22:$AX$71,SMALL(IF($AX$22:$AX$71&lt;&gt;"",ROW($AX$22:$AX$71)-ROW($AX$22)+1),ROWS($AX$22:AX66))))</f>
        <v>#NUM!</v>
      </c>
      <c r="BA66" s="730" t="str">
        <f t="shared" si="13"/>
        <v/>
      </c>
      <c r="BB66" s="326" t="str">
        <f>IF(BA66="","",SUMIF('SpxSp (step-c)'!B$18:E$67,AZ66,'SpxSp (step-c)'!T$18:T$67))</f>
        <v/>
      </c>
      <c r="BC66" s="326">
        <f t="shared" si="33"/>
        <v>0</v>
      </c>
      <c r="BE66" s="43" t="str">
        <f t="shared" si="64"/>
        <v/>
      </c>
      <c r="BF66" s="326" t="str">
        <f t="shared" si="31"/>
        <v/>
      </c>
      <c r="BG66" s="194" t="e">
        <f t="array" ref="BG66">IF(ROWS(BE$22:BE66)&gt;COUNTA($BE$22:$BE$71),"",INDEX($BE$22:$BE$71,SMALL(IF($BE$22:$BE$71&lt;&gt;"",ROW($BE$22:$BE$71)-ROW($BE$22)+1),ROWS($BE$22:BE66))))</f>
        <v>#NUM!</v>
      </c>
      <c r="BI66" s="480" t="str">
        <f>IF(B66="","",VLOOKUP(B66,'SpxSp Compliance Details'!$Z$18:$BK$67,36,FALSE))</f>
        <v/>
      </c>
      <c r="BJ66" s="473" t="str">
        <f>IF($B66="","",VLOOKUP($H66,Table_9.6.1_2016[],IF(Compliance_Version_Year=2010,18,BJ$18),FALSE))</f>
        <v/>
      </c>
      <c r="BK66" s="473" t="str">
        <f t="shared" si="16"/>
        <v/>
      </c>
      <c r="BL66" s="473" t="str">
        <f>IF($B66="","",VLOOKUP($H66,Table_9.6.1_2016[],IF(Compliance_Version_Year=2010,18,BL$18),FALSE))</f>
        <v/>
      </c>
      <c r="BM66" s="473" t="str">
        <f t="shared" si="17"/>
        <v/>
      </c>
      <c r="BN66" s="473" t="str">
        <f>IF($B66="","",IF($BI66="#1",BN$15,IF($BI66="#2",BN$16,VLOOKUP($H66,Table_9.6.1_2016[],IF(Compliance_Version_Year=2010,18,BN$18),FALSE))))</f>
        <v/>
      </c>
      <c r="BO66" s="473" t="str">
        <f t="shared" si="18"/>
        <v/>
      </c>
      <c r="BP66" s="473" t="str">
        <f>IF($B66="","",IF($BI66="#1",BP$15,IF($BI66="#2",BP$16,VLOOKUP($H66,Table_9.6.1_2016[],IF(Compliance_Version_Year=2010,18,BP$18),FALSE))))</f>
        <v/>
      </c>
      <c r="BQ66" s="473" t="str">
        <f t="shared" si="19"/>
        <v/>
      </c>
      <c r="BR66" s="473" t="str">
        <f>IF($B66="","",IF($BI66="#1",BR$15,IF($BI66="#2",BR$17,VLOOKUP($H66,Table_9.6.1_2016[],IF(Compliance_Version_Year=2010,18,BR$18),FALSE))))</f>
        <v/>
      </c>
      <c r="BS66" s="473" t="str">
        <f t="shared" si="20"/>
        <v/>
      </c>
      <c r="BT66" s="473" t="str">
        <f>IF($B66="","",IF($BI66="#1",BT$15,IF($BI66="#2",BT$16,VLOOKUP($H66,Table_9.6.1_2016[],IF(Compliance_Version_Year=2010,18,BT$18),FALSE))))</f>
        <v/>
      </c>
      <c r="BU66" s="473" t="str">
        <f t="shared" si="21"/>
        <v/>
      </c>
      <c r="BV66" s="473" t="str">
        <f>IF($B66="","",IF($BI66="#1",BV$15,IF($BI66="#2",BV$16,VLOOKUP($H66,Table_9.6.1_2016[],IF(Compliance_Version_Year=2010,18,BV$18),FALSE))))</f>
        <v/>
      </c>
      <c r="BW66" s="473" t="str">
        <f t="shared" si="22"/>
        <v/>
      </c>
      <c r="BX66" s="473" t="str">
        <f>IF($B66="","",VLOOKUP($H66,Table_9.6.1_2016[],IF(Compliance_Version_Year=2010,18,BX$18),FALSE))</f>
        <v/>
      </c>
      <c r="BY66" s="473" t="str">
        <f t="shared" si="23"/>
        <v/>
      </c>
      <c r="BZ66" s="473" t="str">
        <f>IF($B66="","",IF($BI66="#1",BZ$15,VLOOKUP($H66,Table_9.6.1_2016[],IF(Compliance_Version_Year=2010,18,BZ$18),FALSE)))</f>
        <v/>
      </c>
      <c r="CA66" s="473" t="str">
        <f t="shared" si="24"/>
        <v/>
      </c>
      <c r="CB66" s="473" t="str">
        <f>IF($B66="","",IF($BI66="#1",CB$15,IF($BI66="#2",CB$16,VLOOKUP($H66,Table_9.6.1_2016[],IF(Compliance_Version_Year=2010,18,CB$18),FALSE))))</f>
        <v/>
      </c>
      <c r="CC66" s="473" t="str">
        <f t="shared" si="25"/>
        <v/>
      </c>
      <c r="CD66" s="473" t="str">
        <f>IF($B66="","",IF($BI66="#1",CD$15,IF($BI66="#2",CD$16,VLOOKUP($H66,Table_9.6.1_2016[],IF(Compliance_Version_Year=2010,18,CD$18),FALSE))))</f>
        <v/>
      </c>
      <c r="CE66" s="473" t="str">
        <f t="shared" ref="CE66" si="83">IF(OR(CD66="ADD2",CD66="REQ"),"9.4.1.2c, ","")</f>
        <v/>
      </c>
      <c r="CF66" s="473" t="str">
        <f>IF($B66="","",IF($BI66="#1",CF$15,IF($BI66="#2",CF$16,VLOOKUP($H66,Table_9.6.1_2016[],IF(Compliance_Version_Year=2010,18,CF$18),FALSE))))</f>
        <v/>
      </c>
      <c r="CG66" s="473" t="str">
        <f t="shared" si="32"/>
        <v/>
      </c>
      <c r="CH66" s="473" t="str">
        <f>IF($B66="","",IF($BI66="#1",CH$15,IF($BI66="#2",CH$16,VLOOKUP($H66,Table_9.6.1_2016[],IF(Compliance_Version_Year=2010,18,CH$18),FALSE))))</f>
        <v/>
      </c>
      <c r="CI66" s="473" t="str">
        <f t="shared" si="34"/>
        <v/>
      </c>
      <c r="CL66" s="43" t="str">
        <f t="shared" si="66"/>
        <v/>
      </c>
      <c r="CM66" s="43" t="str">
        <f t="shared" si="67"/>
        <v/>
      </c>
      <c r="CR66" s="42" t="str">
        <f t="shared" si="27"/>
        <v/>
      </c>
      <c r="CS66" s="42" t="str">
        <f>'SpxSp Compliance Details'!I62</f>
        <v/>
      </c>
    </row>
    <row r="67" spans="1:97" x14ac:dyDescent="0.25">
      <c r="A67" s="5">
        <v>46</v>
      </c>
      <c r="B67" s="1627" t="str">
        <f>'Int Room Schedule'!Z61</f>
        <v/>
      </c>
      <c r="C67" s="1628"/>
      <c r="D67" s="1628"/>
      <c r="E67" s="1628"/>
      <c r="F67" s="1367"/>
      <c r="G67" s="321"/>
      <c r="H67" s="472" t="str">
        <f>'Int Room Schedule'!AA61</f>
        <v/>
      </c>
      <c r="I67" s="466" t="str">
        <f t="shared" si="59"/>
        <v/>
      </c>
      <c r="J67" s="655" t="str">
        <f ca="1">IF($B67&lt;&gt;"",VLOOKUP($AN67,INDIRECT('9.6 Table'!$P$338),2,FALSE)," ")</f>
        <v xml:space="preserve"> </v>
      </c>
      <c r="K67" s="948" t="str">
        <f ca="1">IF($B67&lt;&gt;"",VLOOKUP($AN67,INDIRECT('9.6 Table'!$P$338),3,FALSE)," ")</f>
        <v xml:space="preserve"> </v>
      </c>
      <c r="L67" s="484"/>
      <c r="M67" s="362">
        <f t="shared" ca="1" si="80"/>
        <v>1</v>
      </c>
      <c r="N67" s="464">
        <f t="shared" si="60"/>
        <v>0</v>
      </c>
      <c r="O67" s="166">
        <f ca="1">IFERROR(IF(SUMIF('SpxSp (step-b)'!B$26:F$75,'SpxSp (step-a)'!B67,'SpxSp (step-b)'!L$26:L$75)&gt;0,N67,0),0)</f>
        <v>0</v>
      </c>
      <c r="P67" s="486"/>
      <c r="Q67" s="487"/>
      <c r="R67" s="1074">
        <f t="shared" si="12"/>
        <v>0</v>
      </c>
      <c r="S67" s="486"/>
      <c r="T67" s="487"/>
      <c r="U67" s="487"/>
      <c r="V67" s="328" t="str">
        <f t="shared" si="61"/>
        <v/>
      </c>
      <c r="W67" s="1631">
        <f ca="1">SUMIFS('SpxSp (step-b)'!AZ71:AZ120,'SpxSp (step-b)'!AX$26:AX$75,AB67)</f>
        <v>0</v>
      </c>
      <c r="X67" s="1632"/>
      <c r="Y67" s="244"/>
      <c r="Z67" s="244">
        <f>IF(B67="",0,COUNTIF('SpxSp (step-b)'!B71:F80,B67))</f>
        <v>0</v>
      </c>
      <c r="AB67" s="737" t="str">
        <f ca="1">IF(OR($B67="",O67=0),"",VLOOKUP($AN67,INDIRECT('9.6 Table'!$P$338),17,FALSE))</f>
        <v/>
      </c>
      <c r="AC67" s="326"/>
      <c r="AD67" s="326"/>
      <c r="AE67" s="326"/>
      <c r="AF67" s="326"/>
      <c r="AG67" s="326"/>
      <c r="AH67" s="326"/>
      <c r="AI67" s="326"/>
      <c r="AJ67" s="326"/>
      <c r="AK67" s="326"/>
      <c r="AL67" s="326"/>
      <c r="AM67" s="231">
        <f>'Int Room Schedule'!U61</f>
        <v>0</v>
      </c>
      <c r="AN67" s="78" t="str">
        <f t="shared" si="62"/>
        <v/>
      </c>
      <c r="AO67" s="78"/>
      <c r="AP67" s="78"/>
      <c r="AQ67" s="78"/>
      <c r="AR67" s="43" t="str">
        <f t="shared" si="57"/>
        <v/>
      </c>
      <c r="AX67" s="43" t="str">
        <f t="shared" si="63"/>
        <v/>
      </c>
      <c r="AY67" s="326" t="str">
        <f t="shared" si="81"/>
        <v/>
      </c>
      <c r="AZ67" s="194" t="e">
        <f t="array" ref="AZ67">IF(ROWS(AX$22:AX67)&gt;COUNTA($AX$22:$AX$71),"",INDEX($AX$22:$AX$71,SMALL(IF($AX$22:$AX$71&lt;&gt;"",ROW($AX$22:$AX$71)-ROW($AX$22)+1),ROWS($AX$22:AX67))))</f>
        <v>#NUM!</v>
      </c>
      <c r="BA67" s="730" t="str">
        <f t="shared" si="13"/>
        <v/>
      </c>
      <c r="BB67" s="326" t="str">
        <f>IF(BA67="","",SUMIF('SpxSp (step-c)'!B$18:E$67,AZ67,'SpxSp (step-c)'!T$18:T$67))</f>
        <v/>
      </c>
      <c r="BC67" s="326">
        <f t="shared" si="33"/>
        <v>0</v>
      </c>
      <c r="BE67" s="43" t="str">
        <f t="shared" si="64"/>
        <v/>
      </c>
      <c r="BF67" s="326" t="str">
        <f t="shared" si="31"/>
        <v/>
      </c>
      <c r="BG67" s="194" t="e">
        <f t="array" ref="BG67">IF(ROWS(BE$22:BE67)&gt;COUNTA($BE$22:$BE$71),"",INDEX($BE$22:$BE$71,SMALL(IF($BE$22:$BE$71&lt;&gt;"",ROW($BE$22:$BE$71)-ROW($BE$22)+1),ROWS($BE$22:BE67))))</f>
        <v>#NUM!</v>
      </c>
      <c r="BI67" s="480" t="str">
        <f>IF(B67="","",VLOOKUP(B67,'SpxSp Compliance Details'!$Z$18:$BK$67,36,FALSE))</f>
        <v/>
      </c>
      <c r="BJ67" s="473" t="str">
        <f>IF($B67="","",VLOOKUP($H67,Table_9.6.1_2016[],IF(Compliance_Version_Year=2010,18,BJ$18),FALSE))</f>
        <v/>
      </c>
      <c r="BK67" s="473" t="str">
        <f t="shared" si="16"/>
        <v/>
      </c>
      <c r="BL67" s="473" t="str">
        <f>IF($B67="","",VLOOKUP($H67,Table_9.6.1_2016[],IF(Compliance_Version_Year=2010,18,BL$18),FALSE))</f>
        <v/>
      </c>
      <c r="BM67" s="473" t="str">
        <f t="shared" si="17"/>
        <v/>
      </c>
      <c r="BN67" s="473" t="str">
        <f>IF($B67="","",IF($BI67="#1",BN$15,IF($BI67="#2",BN$16,VLOOKUP($H67,Table_9.6.1_2016[],IF(Compliance_Version_Year=2010,18,BN$18),FALSE))))</f>
        <v/>
      </c>
      <c r="BO67" s="473" t="str">
        <f t="shared" si="18"/>
        <v/>
      </c>
      <c r="BP67" s="473" t="str">
        <f>IF($B67="","",IF($BI67="#1",BP$15,IF($BI67="#2",BP$16,VLOOKUP($H67,Table_9.6.1_2016[],IF(Compliance_Version_Year=2010,18,BP$18),FALSE))))</f>
        <v/>
      </c>
      <c r="BQ67" s="473" t="str">
        <f t="shared" si="19"/>
        <v/>
      </c>
      <c r="BR67" s="473" t="str">
        <f>IF($B67="","",IF($BI67="#1",BR$15,IF($BI67="#2",BR$17,VLOOKUP($H67,Table_9.6.1_2016[],IF(Compliance_Version_Year=2010,18,BR$18),FALSE))))</f>
        <v/>
      </c>
      <c r="BS67" s="473" t="str">
        <f t="shared" si="20"/>
        <v/>
      </c>
      <c r="BT67" s="473" t="str">
        <f>IF($B67="","",IF($BI67="#1",BT$15,IF($BI67="#2",BT$16,VLOOKUP($H67,Table_9.6.1_2016[],IF(Compliance_Version_Year=2010,18,BT$18),FALSE))))</f>
        <v/>
      </c>
      <c r="BU67" s="473" t="str">
        <f t="shared" si="21"/>
        <v/>
      </c>
      <c r="BV67" s="473" t="str">
        <f>IF($B67="","",IF($BI67="#1",BV$15,IF($BI67="#2",BV$16,VLOOKUP($H67,Table_9.6.1_2016[],IF(Compliance_Version_Year=2010,18,BV$18),FALSE))))</f>
        <v/>
      </c>
      <c r="BW67" s="473" t="str">
        <f t="shared" si="22"/>
        <v/>
      </c>
      <c r="BX67" s="473" t="str">
        <f>IF($B67="","",VLOOKUP($H67,Table_9.6.1_2016[],IF(Compliance_Version_Year=2010,18,BX$18),FALSE))</f>
        <v/>
      </c>
      <c r="BY67" s="473" t="str">
        <f t="shared" si="23"/>
        <v/>
      </c>
      <c r="BZ67" s="473" t="str">
        <f>IF($B67="","",IF($BI67="#1",BZ$15,VLOOKUP($H67,Table_9.6.1_2016[],IF(Compliance_Version_Year=2010,18,BZ$18),FALSE)))</f>
        <v/>
      </c>
      <c r="CA67" s="473" t="str">
        <f t="shared" si="24"/>
        <v/>
      </c>
      <c r="CB67" s="473" t="str">
        <f>IF($B67="","",IF($BI67="#1",CB$15,IF($BI67="#2",CB$16,VLOOKUP($H67,Table_9.6.1_2016[],IF(Compliance_Version_Year=2010,18,CB$18),FALSE))))</f>
        <v/>
      </c>
      <c r="CC67" s="473" t="str">
        <f t="shared" si="25"/>
        <v/>
      </c>
      <c r="CD67" s="473" t="str">
        <f>IF($B67="","",IF($BI67="#1",CD$15,IF($BI67="#2",CD$16,VLOOKUP($H67,Table_9.6.1_2016[],IF(Compliance_Version_Year=2010,18,CD$18),FALSE))))</f>
        <v/>
      </c>
      <c r="CE67" s="473" t="str">
        <f t="shared" ref="CE67" si="84">IF(OR(CD67="ADD2",CD67="REQ"),"9.4.1.2c, ","")</f>
        <v/>
      </c>
      <c r="CF67" s="473" t="str">
        <f>IF($B67="","",IF($BI67="#1",CF$15,IF($BI67="#2",CF$16,VLOOKUP($H67,Table_9.6.1_2016[],IF(Compliance_Version_Year=2010,18,CF$18),FALSE))))</f>
        <v/>
      </c>
      <c r="CG67" s="473" t="str">
        <f t="shared" si="32"/>
        <v/>
      </c>
      <c r="CH67" s="473" t="str">
        <f>IF($B67="","",IF($BI67="#1",CH$15,IF($BI67="#2",CH$16,VLOOKUP($H67,Table_9.6.1_2016[],IF(Compliance_Version_Year=2010,18,CH$18),FALSE))))</f>
        <v/>
      </c>
      <c r="CI67" s="473" t="str">
        <f t="shared" si="34"/>
        <v/>
      </c>
      <c r="CL67" s="43" t="str">
        <f t="shared" si="66"/>
        <v/>
      </c>
      <c r="CM67" s="43" t="str">
        <f t="shared" si="67"/>
        <v/>
      </c>
      <c r="CR67" s="42" t="str">
        <f t="shared" si="27"/>
        <v/>
      </c>
      <c r="CS67" s="42" t="str">
        <f>'SpxSp Compliance Details'!I63</f>
        <v/>
      </c>
    </row>
    <row r="68" spans="1:97" x14ac:dyDescent="0.25">
      <c r="A68" s="5">
        <v>47</v>
      </c>
      <c r="B68" s="1627" t="str">
        <f>'Int Room Schedule'!Z62</f>
        <v/>
      </c>
      <c r="C68" s="1628"/>
      <c r="D68" s="1628"/>
      <c r="E68" s="1628"/>
      <c r="F68" s="1367"/>
      <c r="G68" s="321"/>
      <c r="H68" s="472" t="str">
        <f>'Int Room Schedule'!AA62</f>
        <v/>
      </c>
      <c r="I68" s="466" t="str">
        <f t="shared" si="59"/>
        <v/>
      </c>
      <c r="J68" s="655" t="str">
        <f ca="1">IF($B68&lt;&gt;"",VLOOKUP($AN68,INDIRECT('9.6 Table'!$P$338),2,FALSE)," ")</f>
        <v xml:space="preserve"> </v>
      </c>
      <c r="K68" s="948" t="str">
        <f ca="1">IF($B68&lt;&gt;"",VLOOKUP($AN68,INDIRECT('9.6 Table'!$P$338),3,FALSE)," ")</f>
        <v xml:space="preserve"> </v>
      </c>
      <c r="L68" s="484"/>
      <c r="M68" s="362">
        <f t="shared" ca="1" si="80"/>
        <v>1</v>
      </c>
      <c r="N68" s="464">
        <f t="shared" si="60"/>
        <v>0</v>
      </c>
      <c r="O68" s="166">
        <f ca="1">IFERROR(IF(SUMIF('SpxSp (step-b)'!B$26:F$75,'SpxSp (step-a)'!B68,'SpxSp (step-b)'!L$26:L$75)&gt;0,N68,0),0)</f>
        <v>0</v>
      </c>
      <c r="P68" s="486"/>
      <c r="Q68" s="487"/>
      <c r="R68" s="1074">
        <f t="shared" si="12"/>
        <v>0</v>
      </c>
      <c r="S68" s="486"/>
      <c r="T68" s="487"/>
      <c r="U68" s="487"/>
      <c r="V68" s="328" t="str">
        <f t="shared" si="61"/>
        <v/>
      </c>
      <c r="W68" s="1631">
        <f ca="1">SUMIFS('SpxSp (step-b)'!AZ72:AZ121,'SpxSp (step-b)'!AX$26:AX$75,AB68)</f>
        <v>0</v>
      </c>
      <c r="X68" s="1632"/>
      <c r="Y68" s="244"/>
      <c r="Z68" s="244">
        <f>IF(B68="",0,COUNTIF('SpxSp (step-b)'!B72:F80,B68))</f>
        <v>0</v>
      </c>
      <c r="AB68" s="737" t="str">
        <f ca="1">IF(OR($B68="",O68=0),"",VLOOKUP($AN68,INDIRECT('9.6 Table'!$P$338),17,FALSE))</f>
        <v/>
      </c>
      <c r="AC68" s="326"/>
      <c r="AD68" s="326"/>
      <c r="AE68" s="326"/>
      <c r="AF68" s="326"/>
      <c r="AG68" s="326"/>
      <c r="AH68" s="326"/>
      <c r="AI68" s="326"/>
      <c r="AJ68" s="326"/>
      <c r="AK68" s="326"/>
      <c r="AL68" s="326"/>
      <c r="AM68" s="231">
        <f>'Int Room Schedule'!U62</f>
        <v>0</v>
      </c>
      <c r="AN68" s="78" t="str">
        <f t="shared" si="62"/>
        <v/>
      </c>
      <c r="AO68" s="78"/>
      <c r="AP68" s="78"/>
      <c r="AQ68" s="78"/>
      <c r="AR68" s="43" t="str">
        <f t="shared" si="57"/>
        <v/>
      </c>
      <c r="AX68" s="43" t="str">
        <f t="shared" si="63"/>
        <v/>
      </c>
      <c r="AY68" s="326" t="str">
        <f t="shared" si="81"/>
        <v/>
      </c>
      <c r="AZ68" s="194" t="e">
        <f t="array" ref="AZ68">IF(ROWS(AX$22:AX68)&gt;COUNTA($AX$22:$AX$71),"",INDEX($AX$22:$AX$71,SMALL(IF($AX$22:$AX$71&lt;&gt;"",ROW($AX$22:$AX$71)-ROW($AX$22)+1),ROWS($AX$22:AX68))))</f>
        <v>#NUM!</v>
      </c>
      <c r="BA68" s="730" t="str">
        <f t="shared" si="13"/>
        <v/>
      </c>
      <c r="BB68" s="326" t="str">
        <f>IF(BA68="","",SUMIF('SpxSp (step-c)'!B$18:E$67,AZ68,'SpxSp (step-c)'!T$18:T$67))</f>
        <v/>
      </c>
      <c r="BC68" s="326">
        <f t="shared" si="33"/>
        <v>0</v>
      </c>
      <c r="BE68" s="43" t="str">
        <f t="shared" si="64"/>
        <v/>
      </c>
      <c r="BF68" s="326" t="str">
        <f t="shared" si="31"/>
        <v/>
      </c>
      <c r="BG68" s="194" t="e">
        <f t="array" ref="BG68">IF(ROWS(BE$22:BE68)&gt;COUNTA($BE$22:$BE$71),"",INDEX($BE$22:$BE$71,SMALL(IF($BE$22:$BE$71&lt;&gt;"",ROW($BE$22:$BE$71)-ROW($BE$22)+1),ROWS($BE$22:BE68))))</f>
        <v>#NUM!</v>
      </c>
      <c r="BI68" s="480" t="str">
        <f>IF(B68="","",VLOOKUP(B68,'SpxSp Compliance Details'!$Z$18:$BK$67,36,FALSE))</f>
        <v/>
      </c>
      <c r="BJ68" s="473" t="str">
        <f>IF($B68="","",VLOOKUP($H68,Table_9.6.1_2016[],IF(Compliance_Version_Year=2010,18,BJ$18),FALSE))</f>
        <v/>
      </c>
      <c r="BK68" s="473" t="str">
        <f t="shared" si="16"/>
        <v/>
      </c>
      <c r="BL68" s="473" t="str">
        <f>IF($B68="","",VLOOKUP($H68,Table_9.6.1_2016[],IF(Compliance_Version_Year=2010,18,BL$18),FALSE))</f>
        <v/>
      </c>
      <c r="BM68" s="473" t="str">
        <f t="shared" si="17"/>
        <v/>
      </c>
      <c r="BN68" s="473" t="str">
        <f>IF($B68="","",IF($BI68="#1",BN$15,IF($BI68="#2",BN$16,VLOOKUP($H68,Table_9.6.1_2016[],IF(Compliance_Version_Year=2010,18,BN$18),FALSE))))</f>
        <v/>
      </c>
      <c r="BO68" s="473" t="str">
        <f t="shared" si="18"/>
        <v/>
      </c>
      <c r="BP68" s="473" t="str">
        <f>IF($B68="","",IF($BI68="#1",BP$15,IF($BI68="#2",BP$16,VLOOKUP($H68,Table_9.6.1_2016[],IF(Compliance_Version_Year=2010,18,BP$18),FALSE))))</f>
        <v/>
      </c>
      <c r="BQ68" s="473" t="str">
        <f t="shared" si="19"/>
        <v/>
      </c>
      <c r="BR68" s="473" t="str">
        <f>IF($B68="","",IF($BI68="#1",BR$15,IF($BI68="#2",BR$17,VLOOKUP($H68,Table_9.6.1_2016[],IF(Compliance_Version_Year=2010,18,BR$18),FALSE))))</f>
        <v/>
      </c>
      <c r="BS68" s="473" t="str">
        <f t="shared" si="20"/>
        <v/>
      </c>
      <c r="BT68" s="473" t="str">
        <f>IF($B68="","",IF($BI68="#1",BT$15,IF($BI68="#2",BT$16,VLOOKUP($H68,Table_9.6.1_2016[],IF(Compliance_Version_Year=2010,18,BT$18),FALSE))))</f>
        <v/>
      </c>
      <c r="BU68" s="473" t="str">
        <f t="shared" si="21"/>
        <v/>
      </c>
      <c r="BV68" s="473" t="str">
        <f>IF($B68="","",IF($BI68="#1",BV$15,IF($BI68="#2",BV$16,VLOOKUP($H68,Table_9.6.1_2016[],IF(Compliance_Version_Year=2010,18,BV$18),FALSE))))</f>
        <v/>
      </c>
      <c r="BW68" s="473" t="str">
        <f t="shared" si="22"/>
        <v/>
      </c>
      <c r="BX68" s="473" t="str">
        <f>IF($B68="","",VLOOKUP($H68,Table_9.6.1_2016[],IF(Compliance_Version_Year=2010,18,BX$18),FALSE))</f>
        <v/>
      </c>
      <c r="BY68" s="473" t="str">
        <f t="shared" si="23"/>
        <v/>
      </c>
      <c r="BZ68" s="473" t="str">
        <f>IF($B68="","",IF($BI68="#1",BZ$15,VLOOKUP($H68,Table_9.6.1_2016[],IF(Compliance_Version_Year=2010,18,BZ$18),FALSE)))</f>
        <v/>
      </c>
      <c r="CA68" s="473" t="str">
        <f t="shared" si="24"/>
        <v/>
      </c>
      <c r="CB68" s="473" t="str">
        <f>IF($B68="","",IF($BI68="#1",CB$15,IF($BI68="#2",CB$16,VLOOKUP($H68,Table_9.6.1_2016[],IF(Compliance_Version_Year=2010,18,CB$18),FALSE))))</f>
        <v/>
      </c>
      <c r="CC68" s="473" t="str">
        <f t="shared" si="25"/>
        <v/>
      </c>
      <c r="CD68" s="473" t="str">
        <f>IF($B68="","",IF($BI68="#1",CD$15,IF($BI68="#2",CD$16,VLOOKUP($H68,Table_9.6.1_2016[],IF(Compliance_Version_Year=2010,18,CD$18),FALSE))))</f>
        <v/>
      </c>
      <c r="CE68" s="473" t="str">
        <f t="shared" ref="CE68" si="85">IF(OR(CD68="ADD2",CD68="REQ"),"9.4.1.2c, ","")</f>
        <v/>
      </c>
      <c r="CF68" s="473" t="str">
        <f>IF($B68="","",IF($BI68="#1",CF$15,IF($BI68="#2",CF$16,VLOOKUP($H68,Table_9.6.1_2016[],IF(Compliance_Version_Year=2010,18,CF$18),FALSE))))</f>
        <v/>
      </c>
      <c r="CG68" s="473" t="str">
        <f t="shared" si="32"/>
        <v/>
      </c>
      <c r="CH68" s="473" t="str">
        <f>IF($B68="","",IF($BI68="#1",CH$15,IF($BI68="#2",CH$16,VLOOKUP($H68,Table_9.6.1_2016[],IF(Compliance_Version_Year=2010,18,CH$18),FALSE))))</f>
        <v/>
      </c>
      <c r="CI68" s="473" t="str">
        <f t="shared" si="34"/>
        <v/>
      </c>
      <c r="CL68" s="43" t="str">
        <f t="shared" si="66"/>
        <v/>
      </c>
      <c r="CM68" s="43" t="str">
        <f t="shared" si="67"/>
        <v/>
      </c>
      <c r="CR68" s="42" t="str">
        <f t="shared" si="27"/>
        <v/>
      </c>
      <c r="CS68" s="42" t="str">
        <f>'SpxSp Compliance Details'!I64</f>
        <v/>
      </c>
    </row>
    <row r="69" spans="1:97" x14ac:dyDescent="0.25">
      <c r="A69" s="5">
        <v>48</v>
      </c>
      <c r="B69" s="1627" t="str">
        <f>'Int Room Schedule'!Z63</f>
        <v/>
      </c>
      <c r="C69" s="1628"/>
      <c r="D69" s="1628"/>
      <c r="E69" s="1628"/>
      <c r="F69" s="1367"/>
      <c r="G69" s="321"/>
      <c r="H69" s="472" t="str">
        <f>'Int Room Schedule'!AA63</f>
        <v/>
      </c>
      <c r="I69" s="466" t="str">
        <f t="shared" si="59"/>
        <v/>
      </c>
      <c r="J69" s="655" t="str">
        <f ca="1">IF($B69&lt;&gt;"",VLOOKUP($AN69,INDIRECT('9.6 Table'!$P$338),2,FALSE)," ")</f>
        <v xml:space="preserve"> </v>
      </c>
      <c r="K69" s="948" t="str">
        <f ca="1">IF($B69&lt;&gt;"",VLOOKUP($AN69,INDIRECT('9.6 Table'!$P$338),3,FALSE)," ")</f>
        <v xml:space="preserve"> </v>
      </c>
      <c r="L69" s="484"/>
      <c r="M69" s="362">
        <f t="shared" ca="1" si="80"/>
        <v>1</v>
      </c>
      <c r="N69" s="464">
        <f t="shared" si="60"/>
        <v>0</v>
      </c>
      <c r="O69" s="166">
        <f ca="1">IFERROR(IF(SUMIF('SpxSp (step-b)'!B$26:F$75,'SpxSp (step-a)'!B69,'SpxSp (step-b)'!L$26:L$75)&gt;0,N69,0),0)</f>
        <v>0</v>
      </c>
      <c r="P69" s="486"/>
      <c r="Q69" s="487"/>
      <c r="R69" s="1074">
        <f t="shared" si="12"/>
        <v>0</v>
      </c>
      <c r="S69" s="486"/>
      <c r="T69" s="487"/>
      <c r="U69" s="487"/>
      <c r="V69" s="328" t="str">
        <f t="shared" si="61"/>
        <v/>
      </c>
      <c r="W69" s="1631">
        <f ca="1">SUMIFS('SpxSp (step-b)'!AZ73:AZ122,'SpxSp (step-b)'!AX$26:AX$75,AB69)</f>
        <v>0</v>
      </c>
      <c r="X69" s="1632"/>
      <c r="Y69" s="244"/>
      <c r="Z69" s="244">
        <f>IF(B69="",0,COUNTIF('SpxSp (step-b)'!B73:F80,B69))</f>
        <v>0</v>
      </c>
      <c r="AB69" s="737" t="str">
        <f ca="1">IF(OR($B69="",O69=0),"",VLOOKUP($AN69,INDIRECT('9.6 Table'!$P$338),17,FALSE))</f>
        <v/>
      </c>
      <c r="AC69" s="326"/>
      <c r="AD69" s="326"/>
      <c r="AE69" s="326"/>
      <c r="AF69" s="326"/>
      <c r="AG69" s="326"/>
      <c r="AH69" s="326"/>
      <c r="AI69" s="326"/>
      <c r="AJ69" s="326"/>
      <c r="AK69" s="326"/>
      <c r="AL69" s="326"/>
      <c r="AM69" s="231">
        <f>'Int Room Schedule'!U63</f>
        <v>0</v>
      </c>
      <c r="AN69" s="78" t="str">
        <f t="shared" si="62"/>
        <v/>
      </c>
      <c r="AO69" s="78"/>
      <c r="AP69" s="78"/>
      <c r="AQ69" s="78"/>
      <c r="AR69" s="43" t="str">
        <f t="shared" si="57"/>
        <v/>
      </c>
      <c r="AX69" s="43" t="str">
        <f t="shared" si="63"/>
        <v/>
      </c>
      <c r="AY69" s="326" t="str">
        <f t="shared" si="81"/>
        <v/>
      </c>
      <c r="AZ69" s="194" t="e">
        <f t="array" ref="AZ69">IF(ROWS(AX$22:AX69)&gt;COUNTA($AX$22:$AX$71),"",INDEX($AX$22:$AX$71,SMALL(IF($AX$22:$AX$71&lt;&gt;"",ROW($AX$22:$AX$71)-ROW($AX$22)+1),ROWS($AX$22:AX69))))</f>
        <v>#NUM!</v>
      </c>
      <c r="BA69" s="730" t="str">
        <f t="shared" si="13"/>
        <v/>
      </c>
      <c r="BB69" s="326" t="str">
        <f>IF(BA69="","",SUMIF('SpxSp (step-c)'!B$18:E$67,AZ69,'SpxSp (step-c)'!T$18:T$67))</f>
        <v/>
      </c>
      <c r="BC69" s="326">
        <f t="shared" si="33"/>
        <v>0</v>
      </c>
      <c r="BE69" s="43" t="str">
        <f t="shared" si="64"/>
        <v/>
      </c>
      <c r="BF69" s="326" t="str">
        <f t="shared" si="31"/>
        <v/>
      </c>
      <c r="BG69" s="194" t="e">
        <f t="array" ref="BG69">IF(ROWS(BE$22:BE69)&gt;COUNTA($BE$22:$BE$71),"",INDEX($BE$22:$BE$71,SMALL(IF($BE$22:$BE$71&lt;&gt;"",ROW($BE$22:$BE$71)-ROW($BE$22)+1),ROWS($BE$22:BE69))))</f>
        <v>#NUM!</v>
      </c>
      <c r="BI69" s="480" t="str">
        <f>IF(B69="","",VLOOKUP(B69,'SpxSp Compliance Details'!$Z$18:$BK$67,36,FALSE))</f>
        <v/>
      </c>
      <c r="BJ69" s="473" t="str">
        <f>IF($B69="","",VLOOKUP($H69,Table_9.6.1_2016[],IF(Compliance_Version_Year=2010,18,BJ$18),FALSE))</f>
        <v/>
      </c>
      <c r="BK69" s="473" t="str">
        <f t="shared" si="16"/>
        <v/>
      </c>
      <c r="BL69" s="473" t="str">
        <f>IF($B69="","",VLOOKUP($H69,Table_9.6.1_2016[],IF(Compliance_Version_Year=2010,18,BL$18),FALSE))</f>
        <v/>
      </c>
      <c r="BM69" s="473" t="str">
        <f t="shared" si="17"/>
        <v/>
      </c>
      <c r="BN69" s="473" t="str">
        <f>IF($B69="","",IF($BI69="#1",BN$15,IF($BI69="#2",BN$16,VLOOKUP($H69,Table_9.6.1_2016[],IF(Compliance_Version_Year=2010,18,BN$18),FALSE))))</f>
        <v/>
      </c>
      <c r="BO69" s="473" t="str">
        <f t="shared" si="18"/>
        <v/>
      </c>
      <c r="BP69" s="473" t="str">
        <f>IF($B69="","",IF($BI69="#1",BP$15,IF($BI69="#2",BP$16,VLOOKUP($H69,Table_9.6.1_2016[],IF(Compliance_Version_Year=2010,18,BP$18),FALSE))))</f>
        <v/>
      </c>
      <c r="BQ69" s="473" t="str">
        <f t="shared" si="19"/>
        <v/>
      </c>
      <c r="BR69" s="473" t="str">
        <f>IF($B69="","",IF($BI69="#1",BR$15,IF($BI69="#2",BR$17,VLOOKUP($H69,Table_9.6.1_2016[],IF(Compliance_Version_Year=2010,18,BR$18),FALSE))))</f>
        <v/>
      </c>
      <c r="BS69" s="473" t="str">
        <f t="shared" si="20"/>
        <v/>
      </c>
      <c r="BT69" s="473" t="str">
        <f>IF($B69="","",IF($BI69="#1",BT$15,IF($BI69="#2",BT$16,VLOOKUP($H69,Table_9.6.1_2016[],IF(Compliance_Version_Year=2010,18,BT$18),FALSE))))</f>
        <v/>
      </c>
      <c r="BU69" s="473" t="str">
        <f t="shared" si="21"/>
        <v/>
      </c>
      <c r="BV69" s="473" t="str">
        <f>IF($B69="","",IF($BI69="#1",BV$15,IF($BI69="#2",BV$16,VLOOKUP($H69,Table_9.6.1_2016[],IF(Compliance_Version_Year=2010,18,BV$18),FALSE))))</f>
        <v/>
      </c>
      <c r="BW69" s="473" t="str">
        <f t="shared" si="22"/>
        <v/>
      </c>
      <c r="BX69" s="473" t="str">
        <f>IF($B69="","",VLOOKUP($H69,Table_9.6.1_2016[],IF(Compliance_Version_Year=2010,18,BX$18),FALSE))</f>
        <v/>
      </c>
      <c r="BY69" s="473" t="str">
        <f t="shared" si="23"/>
        <v/>
      </c>
      <c r="BZ69" s="473" t="str">
        <f>IF($B69="","",IF($BI69="#1",BZ$15,VLOOKUP($H69,Table_9.6.1_2016[],IF(Compliance_Version_Year=2010,18,BZ$18),FALSE)))</f>
        <v/>
      </c>
      <c r="CA69" s="473" t="str">
        <f t="shared" si="24"/>
        <v/>
      </c>
      <c r="CB69" s="473" t="str">
        <f>IF($B69="","",IF($BI69="#1",CB$15,IF($BI69="#2",CB$16,VLOOKUP($H69,Table_9.6.1_2016[],IF(Compliance_Version_Year=2010,18,CB$18),FALSE))))</f>
        <v/>
      </c>
      <c r="CC69" s="473" t="str">
        <f t="shared" si="25"/>
        <v/>
      </c>
      <c r="CD69" s="473" t="str">
        <f>IF($B69="","",IF($BI69="#1",CD$15,IF($BI69="#2",CD$16,VLOOKUP($H69,Table_9.6.1_2016[],IF(Compliance_Version_Year=2010,18,CD$18),FALSE))))</f>
        <v/>
      </c>
      <c r="CE69" s="473" t="str">
        <f t="shared" ref="CE69" si="86">IF(OR(CD69="ADD2",CD69="REQ"),"9.4.1.2c, ","")</f>
        <v/>
      </c>
      <c r="CF69" s="473" t="str">
        <f>IF($B69="","",IF($BI69="#1",CF$15,IF($BI69="#2",CF$16,VLOOKUP($H69,Table_9.6.1_2016[],IF(Compliance_Version_Year=2010,18,CF$18),FALSE))))</f>
        <v/>
      </c>
      <c r="CG69" s="473" t="str">
        <f t="shared" si="32"/>
        <v/>
      </c>
      <c r="CH69" s="473" t="str">
        <f>IF($B69="","",IF($BI69="#1",CH$15,IF($BI69="#2",CH$16,VLOOKUP($H69,Table_9.6.1_2016[],IF(Compliance_Version_Year=2010,18,CH$18),FALSE))))</f>
        <v/>
      </c>
      <c r="CI69" s="473" t="str">
        <f t="shared" si="34"/>
        <v/>
      </c>
      <c r="CL69" s="43" t="str">
        <f t="shared" si="66"/>
        <v/>
      </c>
      <c r="CM69" s="43" t="str">
        <f t="shared" si="67"/>
        <v/>
      </c>
      <c r="CR69" s="42" t="str">
        <f t="shared" si="27"/>
        <v/>
      </c>
      <c r="CS69" s="42" t="str">
        <f>'SpxSp Compliance Details'!I65</f>
        <v/>
      </c>
    </row>
    <row r="70" spans="1:97" x14ac:dyDescent="0.25">
      <c r="A70" s="5">
        <v>49</v>
      </c>
      <c r="B70" s="1627" t="str">
        <f>'Int Room Schedule'!Z64</f>
        <v/>
      </c>
      <c r="C70" s="1628"/>
      <c r="D70" s="1628"/>
      <c r="E70" s="1628"/>
      <c r="F70" s="1367"/>
      <c r="G70" s="321"/>
      <c r="H70" s="472" t="str">
        <f>'Int Room Schedule'!AA64</f>
        <v/>
      </c>
      <c r="I70" s="466" t="str">
        <f t="shared" si="59"/>
        <v/>
      </c>
      <c r="J70" s="655" t="str">
        <f ca="1">IF($B70&lt;&gt;"",VLOOKUP($AN70,INDIRECT('9.6 Table'!$P$338),2,FALSE)," ")</f>
        <v xml:space="preserve"> </v>
      </c>
      <c r="K70" s="948" t="str">
        <f ca="1">IF($B70&lt;&gt;"",VLOOKUP($AN70,INDIRECT('9.6 Table'!$P$338),3,FALSE)," ")</f>
        <v xml:space="preserve"> </v>
      </c>
      <c r="L70" s="484"/>
      <c r="M70" s="362">
        <f t="shared" ca="1" si="80"/>
        <v>1</v>
      </c>
      <c r="N70" s="464">
        <f t="shared" si="60"/>
        <v>0</v>
      </c>
      <c r="O70" s="166">
        <f ca="1">IFERROR(IF(SUMIF('SpxSp (step-b)'!B$26:F$75,'SpxSp (step-a)'!B70,'SpxSp (step-b)'!L$26:L$75)&gt;0,N70,0),0)</f>
        <v>0</v>
      </c>
      <c r="P70" s="486"/>
      <c r="Q70" s="487"/>
      <c r="R70" s="1074">
        <f t="shared" si="12"/>
        <v>0</v>
      </c>
      <c r="S70" s="486"/>
      <c r="T70" s="487"/>
      <c r="U70" s="487"/>
      <c r="V70" s="328" t="str">
        <f t="shared" si="61"/>
        <v/>
      </c>
      <c r="W70" s="1631">
        <f ca="1">SUMIFS('SpxSp (step-b)'!AZ74:AZ123,'SpxSp (step-b)'!AX$26:AX$75,AB70)</f>
        <v>0</v>
      </c>
      <c r="X70" s="1632"/>
      <c r="Y70" s="244"/>
      <c r="Z70" s="244">
        <f>IF(B70="",0,COUNTIF('SpxSp (step-b)'!B74:F80,B70))</f>
        <v>0</v>
      </c>
      <c r="AB70" s="737" t="str">
        <f ca="1">IF(OR($B70="",O70=0),"",VLOOKUP($AN70,INDIRECT('9.6 Table'!$P$338),17,FALSE))</f>
        <v/>
      </c>
      <c r="AC70" s="326"/>
      <c r="AD70" s="326"/>
      <c r="AE70" s="326"/>
      <c r="AF70" s="326"/>
      <c r="AG70" s="326"/>
      <c r="AH70" s="326"/>
      <c r="AI70" s="326"/>
      <c r="AJ70" s="326"/>
      <c r="AK70" s="326"/>
      <c r="AL70" s="326"/>
      <c r="AM70" s="231">
        <f>'Int Room Schedule'!U64</f>
        <v>0</v>
      </c>
      <c r="AN70" s="78" t="str">
        <f t="shared" si="62"/>
        <v/>
      </c>
      <c r="AO70" s="78"/>
      <c r="AP70" s="78"/>
      <c r="AQ70" s="78"/>
      <c r="AR70" s="43" t="str">
        <f t="shared" si="57"/>
        <v/>
      </c>
      <c r="AX70" s="43" t="str">
        <f t="shared" si="63"/>
        <v/>
      </c>
      <c r="AY70" s="326" t="str">
        <f t="shared" si="81"/>
        <v/>
      </c>
      <c r="AZ70" s="194" t="e">
        <f t="array" ref="AZ70">IF(ROWS(AX$22:AX70)&gt;COUNTA($AX$22:$AX$71),"",INDEX($AX$22:$AX$71,SMALL(IF($AX$22:$AX$71&lt;&gt;"",ROW($AX$22:$AX$71)-ROW($AX$22)+1),ROWS($AX$22:AX70))))</f>
        <v>#NUM!</v>
      </c>
      <c r="BA70" s="730" t="str">
        <f t="shared" si="13"/>
        <v/>
      </c>
      <c r="BB70" s="326" t="str">
        <f>IF(BA70="","",SUMIF('SpxSp (step-c)'!B$18:E$67,AZ70,'SpxSp (step-c)'!T$18:T$67))</f>
        <v/>
      </c>
      <c r="BC70" s="326">
        <f t="shared" si="33"/>
        <v>0</v>
      </c>
      <c r="BE70" s="43" t="str">
        <f t="shared" si="64"/>
        <v/>
      </c>
      <c r="BF70" s="326" t="str">
        <f t="shared" si="31"/>
        <v/>
      </c>
      <c r="BG70" s="194" t="e">
        <f t="array" ref="BG70">IF(ROWS(BE$22:BE70)&gt;COUNTA($BE$22:$BE$71),"",INDEX($BE$22:$BE$71,SMALL(IF($BE$22:$BE$71&lt;&gt;"",ROW($BE$22:$BE$71)-ROW($BE$22)+1),ROWS($BE$22:BE70))))</f>
        <v>#NUM!</v>
      </c>
      <c r="BI70" s="480" t="str">
        <f>IF(B70="","",VLOOKUP(B70,'SpxSp Compliance Details'!$Z$18:$BK$67,36,FALSE))</f>
        <v/>
      </c>
      <c r="BJ70" s="473" t="str">
        <f>IF($B70="","",VLOOKUP($H70,Table_9.6.1_2016[],IF(Compliance_Version_Year=2010,18,BJ$18),FALSE))</f>
        <v/>
      </c>
      <c r="BK70" s="473" t="str">
        <f t="shared" si="16"/>
        <v/>
      </c>
      <c r="BL70" s="473" t="str">
        <f>IF($B70="","",VLOOKUP($H70,Table_9.6.1_2016[],IF(Compliance_Version_Year=2010,18,BL$18),FALSE))</f>
        <v/>
      </c>
      <c r="BM70" s="473" t="str">
        <f t="shared" si="17"/>
        <v/>
      </c>
      <c r="BN70" s="473" t="str">
        <f>IF($B70="","",IF($BI70="#1",BN$15,IF($BI70="#2",BN$16,VLOOKUP($H70,Table_9.6.1_2016[],IF(Compliance_Version_Year=2010,18,BN$18),FALSE))))</f>
        <v/>
      </c>
      <c r="BO70" s="473" t="str">
        <f t="shared" si="18"/>
        <v/>
      </c>
      <c r="BP70" s="473" t="str">
        <f>IF($B70="","",IF($BI70="#1",BP$15,IF($BI70="#2",BP$16,VLOOKUP($H70,Table_9.6.1_2016[],IF(Compliance_Version_Year=2010,18,BP$18),FALSE))))</f>
        <v/>
      </c>
      <c r="BQ70" s="473" t="str">
        <f t="shared" si="19"/>
        <v/>
      </c>
      <c r="BR70" s="473" t="str">
        <f>IF($B70="","",IF($BI70="#1",BR$15,IF($BI70="#2",BR$17,VLOOKUP($H70,Table_9.6.1_2016[],IF(Compliance_Version_Year=2010,18,BR$18),FALSE))))</f>
        <v/>
      </c>
      <c r="BS70" s="473" t="str">
        <f t="shared" si="20"/>
        <v/>
      </c>
      <c r="BT70" s="473" t="str">
        <f>IF($B70="","",IF($BI70="#1",BT$15,IF($BI70="#2",BT$16,VLOOKUP($H70,Table_9.6.1_2016[],IF(Compliance_Version_Year=2010,18,BT$18),FALSE))))</f>
        <v/>
      </c>
      <c r="BU70" s="473" t="str">
        <f t="shared" si="21"/>
        <v/>
      </c>
      <c r="BV70" s="473" t="str">
        <f>IF($B70="","",IF($BI70="#1",BV$15,IF($BI70="#2",BV$16,VLOOKUP($H70,Table_9.6.1_2016[],IF(Compliance_Version_Year=2010,18,BV$18),FALSE))))</f>
        <v/>
      </c>
      <c r="BW70" s="473" t="str">
        <f t="shared" si="22"/>
        <v/>
      </c>
      <c r="BX70" s="473" t="str">
        <f>IF($B70="","",VLOOKUP($H70,Table_9.6.1_2016[],IF(Compliance_Version_Year=2010,18,BX$18),FALSE))</f>
        <v/>
      </c>
      <c r="BY70" s="473" t="str">
        <f t="shared" si="23"/>
        <v/>
      </c>
      <c r="BZ70" s="473" t="str">
        <f>IF($B70="","",IF($BI70="#1",BZ$15,VLOOKUP($H70,Table_9.6.1_2016[],IF(Compliance_Version_Year=2010,18,BZ$18),FALSE)))</f>
        <v/>
      </c>
      <c r="CA70" s="473" t="str">
        <f t="shared" si="24"/>
        <v/>
      </c>
      <c r="CB70" s="473" t="str">
        <f>IF($B70="","",IF($BI70="#1",CB$15,IF($BI70="#2",CB$16,VLOOKUP($H70,Table_9.6.1_2016[],IF(Compliance_Version_Year=2010,18,CB$18),FALSE))))</f>
        <v/>
      </c>
      <c r="CC70" s="473" t="str">
        <f t="shared" si="25"/>
        <v/>
      </c>
      <c r="CD70" s="473" t="str">
        <f>IF($B70="","",IF($BI70="#1",CD$15,IF($BI70="#2",CD$16,VLOOKUP($H70,Table_9.6.1_2016[],IF(Compliance_Version_Year=2010,18,CD$18),FALSE))))</f>
        <v/>
      </c>
      <c r="CE70" s="473" t="str">
        <f t="shared" ref="CE70" si="87">IF(OR(CD70="ADD2",CD70="REQ"),"9.4.1.2c, ","")</f>
        <v/>
      </c>
      <c r="CF70" s="473" t="str">
        <f>IF($B70="","",IF($BI70="#1",CF$15,IF($BI70="#2",CF$16,VLOOKUP($H70,Table_9.6.1_2016[],IF(Compliance_Version_Year=2010,18,CF$18),FALSE))))</f>
        <v/>
      </c>
      <c r="CG70" s="473" t="str">
        <f t="shared" si="32"/>
        <v/>
      </c>
      <c r="CH70" s="473" t="str">
        <f>IF($B70="","",IF($BI70="#1",CH$15,IF($BI70="#2",CH$16,VLOOKUP($H70,Table_9.6.1_2016[],IF(Compliance_Version_Year=2010,18,CH$18),FALSE))))</f>
        <v/>
      </c>
      <c r="CI70" s="473" t="str">
        <f t="shared" si="34"/>
        <v/>
      </c>
      <c r="CL70" s="43" t="str">
        <f t="shared" si="66"/>
        <v/>
      </c>
      <c r="CM70" s="43" t="str">
        <f t="shared" si="67"/>
        <v/>
      </c>
      <c r="CR70" s="42" t="str">
        <f t="shared" si="27"/>
        <v/>
      </c>
      <c r="CS70" s="42" t="str">
        <f>'SpxSp Compliance Details'!I66</f>
        <v/>
      </c>
    </row>
    <row r="71" spans="1:97" ht="13" thickBot="1" x14ac:dyDescent="0.3">
      <c r="A71" s="5">
        <v>50</v>
      </c>
      <c r="B71" s="1629" t="str">
        <f>'Int Room Schedule'!Z65</f>
        <v/>
      </c>
      <c r="C71" s="1630"/>
      <c r="D71" s="1630"/>
      <c r="E71" s="1630"/>
      <c r="F71" s="1343"/>
      <c r="G71" s="251"/>
      <c r="H71" s="1116" t="str">
        <f>'Int Room Schedule'!AA65</f>
        <v/>
      </c>
      <c r="I71" s="1117" t="str">
        <f t="shared" si="59"/>
        <v/>
      </c>
      <c r="J71" s="320" t="str">
        <f ca="1">IF($B71&lt;&gt;"",VLOOKUP($AN71,INDIRECT('9.6 Table'!$P$338),2,FALSE)," ")</f>
        <v xml:space="preserve"> </v>
      </c>
      <c r="K71" s="320" t="str">
        <f ca="1">IF($B71&lt;&gt;"",VLOOKUP($AN71,INDIRECT('9.6 Table'!$P$338),3,FALSE)," ")</f>
        <v xml:space="preserve"> </v>
      </c>
      <c r="L71" s="485"/>
      <c r="M71" s="320">
        <f t="shared" ca="1" si="80"/>
        <v>1</v>
      </c>
      <c r="N71" s="1118">
        <f t="shared" si="60"/>
        <v>0</v>
      </c>
      <c r="O71" s="583">
        <f ca="1">IFERROR(IF(SUMIF('SpxSp (step-b)'!B$26:F$75,'SpxSp (step-a)'!B71,'SpxSp (step-b)'!L$26:L$75)&gt;0,N71,0),0)</f>
        <v>0</v>
      </c>
      <c r="P71" s="488"/>
      <c r="Q71" s="489"/>
      <c r="R71" s="1101">
        <f t="shared" si="12"/>
        <v>0</v>
      </c>
      <c r="S71" s="488"/>
      <c r="T71" s="489"/>
      <c r="U71" s="489"/>
      <c r="V71" s="80" t="str">
        <f t="shared" si="61"/>
        <v/>
      </c>
      <c r="W71" s="1633">
        <f ca="1">SUMIFS('SpxSp (step-b)'!AZ75:AZ124,'SpxSp (step-b)'!AX$26:AX$75,AB71)</f>
        <v>0</v>
      </c>
      <c r="X71" s="1634"/>
      <c r="Y71" s="244"/>
      <c r="Z71" s="244">
        <f>IF(B71="",0,COUNTIF('SpxSp (step-b)'!B75:F80,B71))</f>
        <v>0</v>
      </c>
      <c r="AB71" s="737" t="str">
        <f ca="1">IF(OR($B71="",O71=0),"",VLOOKUP($AN71,INDIRECT('9.6 Table'!$P$338),17,FALSE))</f>
        <v/>
      </c>
      <c r="AC71" s="326"/>
      <c r="AD71" s="326"/>
      <c r="AE71" s="326"/>
      <c r="AF71" s="326"/>
      <c r="AG71" s="326"/>
      <c r="AH71" s="326"/>
      <c r="AI71" s="326"/>
      <c r="AJ71" s="326"/>
      <c r="AK71" s="326"/>
      <c r="AL71" s="326"/>
      <c r="AM71" s="231">
        <f>'Int Room Schedule'!U65</f>
        <v>0</v>
      </c>
      <c r="AN71" s="78" t="str">
        <f t="shared" si="62"/>
        <v/>
      </c>
      <c r="AO71" s="78"/>
      <c r="AP71" s="78"/>
      <c r="AQ71" s="78"/>
      <c r="AR71" s="43" t="str">
        <f t="shared" si="57"/>
        <v/>
      </c>
      <c r="AX71" s="43" t="str">
        <f t="shared" si="63"/>
        <v/>
      </c>
      <c r="AY71" s="326" t="str">
        <f t="shared" si="81"/>
        <v/>
      </c>
      <c r="AZ71" s="194" t="e">
        <f t="array" ref="AZ71">IF(ROWS(AX$22:AX71)&gt;COUNTA($AX$22:$AX$71),"",INDEX($AX$22:$AX$71,SMALL(IF($AX$22:$AX$71&lt;&gt;"",ROW($AX$22:$AX$71)-ROW($AX$22)+1),ROWS($AX$22:AX71))))</f>
        <v>#NUM!</v>
      </c>
      <c r="BA71" s="730" t="str">
        <f t="shared" si="13"/>
        <v/>
      </c>
      <c r="BB71" s="326" t="str">
        <f>IF(BA71="","",SUMIF('SpxSp (step-c)'!B$18:E$67,AZ71,'SpxSp (step-c)'!T$18:T$67))</f>
        <v/>
      </c>
      <c r="BC71" s="326">
        <f t="shared" si="33"/>
        <v>0</v>
      </c>
      <c r="BE71" s="43" t="str">
        <f t="shared" si="64"/>
        <v/>
      </c>
      <c r="BF71" s="326" t="str">
        <f t="shared" si="31"/>
        <v/>
      </c>
      <c r="BG71" s="194" t="e">
        <f t="array" ref="BG71">IF(ROWS(BE$22:BE71)&gt;COUNTA($BE$22:$BE$71),"",INDEX($BE$22:$BE$71,SMALL(IF($BE$22:$BE$71&lt;&gt;"",ROW($BE$22:$BE$71)-ROW($BE$22)+1),ROWS($BE$22:BE71))))</f>
        <v>#NUM!</v>
      </c>
      <c r="BI71" s="480" t="str">
        <f>IF(B71="","",VLOOKUP(B71,'SpxSp Compliance Details'!$Z$18:$BK$67,36,FALSE))</f>
        <v/>
      </c>
      <c r="BJ71" s="473" t="str">
        <f>IF($B71="","",VLOOKUP($H71,Table_9.6.1_2016[],IF(Compliance_Version_Year=2010,18,BJ$18),FALSE))</f>
        <v/>
      </c>
      <c r="BK71" s="473" t="str">
        <f t="shared" si="16"/>
        <v/>
      </c>
      <c r="BL71" s="473" t="str">
        <f>IF($B71="","",VLOOKUP($H71,Table_9.6.1_2016[],IF(Compliance_Version_Year=2010,18,BL$18),FALSE))</f>
        <v/>
      </c>
      <c r="BM71" s="473" t="str">
        <f t="shared" si="17"/>
        <v/>
      </c>
      <c r="BN71" s="473" t="str">
        <f>IF($B71="","",IF($BI71="#1",BN$15,IF($BI71="#2",BN$16,VLOOKUP($H71,Table_9.6.1_2016[],IF(Compliance_Version_Year=2010,18,BN$18),FALSE))))</f>
        <v/>
      </c>
      <c r="BO71" s="473" t="str">
        <f t="shared" si="18"/>
        <v/>
      </c>
      <c r="BP71" s="473" t="str">
        <f>IF($B71="","",IF($BI71="#1",BP$15,IF($BI71="#2",BP$16,VLOOKUP($H71,Table_9.6.1_2016[],IF(Compliance_Version_Year=2010,18,BP$18),FALSE))))</f>
        <v/>
      </c>
      <c r="BQ71" s="473" t="str">
        <f t="shared" si="19"/>
        <v/>
      </c>
      <c r="BR71" s="473" t="str">
        <f>IF($B71="","",IF($BI71="#1",BR$15,IF($BI71="#2",BR$17,VLOOKUP($H71,Table_9.6.1_2016[],IF(Compliance_Version_Year=2010,18,BR$18),FALSE))))</f>
        <v/>
      </c>
      <c r="BS71" s="473" t="str">
        <f t="shared" si="20"/>
        <v/>
      </c>
      <c r="BT71" s="473" t="str">
        <f>IF($B71="","",IF($BI71="#1",BT$15,IF($BI71="#2",BT$16,VLOOKUP($H71,Table_9.6.1_2016[],IF(Compliance_Version_Year=2010,18,BT$18),FALSE))))</f>
        <v/>
      </c>
      <c r="BU71" s="473" t="str">
        <f t="shared" si="21"/>
        <v/>
      </c>
      <c r="BV71" s="473" t="str">
        <f>IF($B71="","",IF($BI71="#1",BV$15,IF($BI71="#2",BV$16,VLOOKUP($H71,Table_9.6.1_2016[],IF(Compliance_Version_Year=2010,18,BV$18),FALSE))))</f>
        <v/>
      </c>
      <c r="BW71" s="473" t="str">
        <f t="shared" si="22"/>
        <v/>
      </c>
      <c r="BX71" s="473" t="str">
        <f>IF($B71="","",VLOOKUP($H71,Table_9.6.1_2016[],IF(Compliance_Version_Year=2010,18,BX$18),FALSE))</f>
        <v/>
      </c>
      <c r="BY71" s="473" t="str">
        <f t="shared" si="23"/>
        <v/>
      </c>
      <c r="BZ71" s="473" t="str">
        <f>IF($B71="","",IF($BI71="#1",BZ$15,VLOOKUP($H71,Table_9.6.1_2016[],IF(Compliance_Version_Year=2010,18,BZ$18),FALSE)))</f>
        <v/>
      </c>
      <c r="CA71" s="473" t="str">
        <f t="shared" si="24"/>
        <v/>
      </c>
      <c r="CB71" s="473" t="str">
        <f>IF($B71="","",IF($BI71="#1",CB$15,IF($BI71="#2",CB$16,VLOOKUP($H71,Table_9.6.1_2016[],IF(Compliance_Version_Year=2010,18,CB$18),FALSE))))</f>
        <v/>
      </c>
      <c r="CC71" s="473" t="str">
        <f t="shared" si="25"/>
        <v/>
      </c>
      <c r="CD71" s="473" t="str">
        <f>IF($B71="","",IF($BI71="#1",CD$15,IF($BI71="#2",CD$16,VLOOKUP($H71,Table_9.6.1_2016[],IF(Compliance_Version_Year=2010,18,CD$18),FALSE))))</f>
        <v/>
      </c>
      <c r="CE71" s="473" t="str">
        <f t="shared" ref="CE71" si="88">IF(OR(CD71="ADD2",CD71="REQ"),"9.4.1.2c, ","")</f>
        <v/>
      </c>
      <c r="CF71" s="473" t="str">
        <f>IF($B71="","",IF($BI71="#1",CF$15,IF($BI71="#2",CF$16,VLOOKUP($H71,Table_9.6.1_2016[],IF(Compliance_Version_Year=2010,18,CF$18),FALSE))))</f>
        <v/>
      </c>
      <c r="CG71" s="473" t="str">
        <f t="shared" si="32"/>
        <v/>
      </c>
      <c r="CH71" s="473" t="str">
        <f>IF($B71="","",IF($BI71="#1",CH$15,IF($BI71="#2",CH$16,VLOOKUP($H71,Table_9.6.1_2016[],IF(Compliance_Version_Year=2010,18,CH$18),FALSE))))</f>
        <v/>
      </c>
      <c r="CI71" s="473" t="str">
        <f t="shared" si="34"/>
        <v/>
      </c>
      <c r="CL71" s="43" t="str">
        <f t="shared" si="66"/>
        <v/>
      </c>
      <c r="CM71" s="43" t="str">
        <f t="shared" si="67"/>
        <v/>
      </c>
      <c r="CR71" s="42" t="str">
        <f t="shared" si="27"/>
        <v/>
      </c>
      <c r="CS71" s="42" t="str">
        <f>'SpxSp Compliance Details'!I67</f>
        <v/>
      </c>
    </row>
    <row r="72" spans="1:97" x14ac:dyDescent="0.25">
      <c r="A72" s="101"/>
      <c r="B72" s="129"/>
      <c r="C72" s="43"/>
      <c r="D72" s="43"/>
      <c r="E72" s="49"/>
      <c r="F72" s="49"/>
      <c r="G72" s="49"/>
      <c r="J72" s="1624"/>
      <c r="K72" s="1624"/>
      <c r="L72" s="1624"/>
      <c r="M72" s="43"/>
      <c r="P72" s="130"/>
      <c r="Q72" s="130"/>
      <c r="S72" s="130"/>
      <c r="U72" s="122"/>
      <c r="W72" s="230"/>
      <c r="X72" s="230"/>
      <c r="Y72" s="245"/>
      <c r="Z72" s="245"/>
      <c r="AB72" s="326"/>
      <c r="AC72" s="326"/>
      <c r="AD72" s="326"/>
      <c r="AE72" s="326"/>
      <c r="AF72" s="326"/>
      <c r="AG72" s="326"/>
      <c r="AH72" s="326"/>
      <c r="AI72" s="326"/>
      <c r="AJ72" s="326"/>
      <c r="AK72" s="326"/>
      <c r="AL72" s="326"/>
      <c r="AM72" s="43"/>
      <c r="AN72" s="43"/>
      <c r="AO72" s="43"/>
    </row>
    <row r="73" spans="1:97" ht="20.25" customHeight="1" x14ac:dyDescent="0.25">
      <c r="B73" s="326"/>
      <c r="C73" s="326"/>
      <c r="D73" s="129"/>
      <c r="E73" s="43"/>
      <c r="F73" s="43"/>
      <c r="G73" s="43"/>
      <c r="H73" s="43"/>
      <c r="I73" s="43"/>
      <c r="J73" s="43"/>
      <c r="K73" s="323"/>
      <c r="L73" s="323"/>
      <c r="M73" s="323"/>
      <c r="N73" s="323"/>
      <c r="O73" s="460"/>
      <c r="P73" s="43"/>
      <c r="R73" s="123"/>
      <c r="T73" s="123"/>
      <c r="U73" s="229"/>
      <c r="Y73" s="245"/>
      <c r="Z73" s="245"/>
      <c r="AB73" s="43"/>
      <c r="AC73" s="43"/>
      <c r="AD73" s="43"/>
      <c r="AE73" s="43"/>
      <c r="AF73" s="43"/>
      <c r="AG73" s="43"/>
      <c r="AH73" s="43"/>
      <c r="AI73" s="43"/>
      <c r="AJ73" s="43"/>
      <c r="AK73" s="43"/>
      <c r="AL73" s="43"/>
      <c r="AM73" s="131"/>
      <c r="AN73" s="43"/>
      <c r="AO73" s="43"/>
      <c r="AP73" s="43"/>
      <c r="AQ73" s="43"/>
    </row>
    <row r="74" spans="1:97" x14ac:dyDescent="0.25">
      <c r="B74" s="326"/>
      <c r="C74" s="326"/>
      <c r="D74" s="129"/>
      <c r="E74" s="43">
        <v>-1</v>
      </c>
      <c r="F74" s="43"/>
      <c r="G74" s="43">
        <v>0</v>
      </c>
      <c r="H74" s="43">
        <v>1</v>
      </c>
      <c r="I74" s="43">
        <v>2</v>
      </c>
      <c r="J74" s="43">
        <v>3</v>
      </c>
      <c r="K74" s="43">
        <v>4</v>
      </c>
      <c r="L74" s="43">
        <v>5</v>
      </c>
      <c r="M74" s="43">
        <v>6</v>
      </c>
      <c r="N74" s="43">
        <v>7</v>
      </c>
      <c r="O74" s="43">
        <v>8</v>
      </c>
      <c r="P74" s="43">
        <v>9</v>
      </c>
      <c r="Q74" s="43">
        <v>10</v>
      </c>
      <c r="R74" s="43">
        <v>11</v>
      </c>
      <c r="S74" s="43">
        <v>12</v>
      </c>
      <c r="T74" s="43">
        <v>13</v>
      </c>
      <c r="U74" s="43">
        <v>14</v>
      </c>
      <c r="V74" s="43">
        <v>15</v>
      </c>
      <c r="W74" s="43">
        <v>16</v>
      </c>
      <c r="X74" s="43">
        <v>17</v>
      </c>
      <c r="Y74" s="43">
        <v>18</v>
      </c>
      <c r="Z74" s="43">
        <v>19</v>
      </c>
      <c r="AA74" s="43">
        <v>20</v>
      </c>
      <c r="AB74" s="43">
        <v>21</v>
      </c>
      <c r="AC74" s="43"/>
      <c r="AD74" s="43"/>
      <c r="AE74" s="43"/>
      <c r="AF74" s="43"/>
      <c r="AG74" s="43"/>
      <c r="AH74" s="43"/>
      <c r="AI74" s="43"/>
      <c r="AJ74" s="43"/>
      <c r="AK74" s="43"/>
      <c r="AL74" s="43"/>
      <c r="AM74" s="131"/>
      <c r="AN74" s="43"/>
      <c r="AO74" s="43"/>
    </row>
    <row r="94" s="43" customFormat="1" ht="13" customHeight="1" x14ac:dyDescent="0.2"/>
    <row r="95" s="43" customFormat="1" ht="10" x14ac:dyDescent="0.2"/>
  </sheetData>
  <sheetProtection sheet="1" objects="1" scenarios="1" selectLockedCells="1"/>
  <mergeCells count="117">
    <mergeCell ref="W64:X64"/>
    <mergeCell ref="B39:E39"/>
    <mergeCell ref="W39:X39"/>
    <mergeCell ref="B40:E40"/>
    <mergeCell ref="W40:X40"/>
    <mergeCell ref="W49:X49"/>
    <mergeCell ref="B50:E50"/>
    <mergeCell ref="W50:X50"/>
    <mergeCell ref="B51:E51"/>
    <mergeCell ref="W51:X51"/>
    <mergeCell ref="W43:X43"/>
    <mergeCell ref="B41:E41"/>
    <mergeCell ref="W41:X41"/>
    <mergeCell ref="B42:E42"/>
    <mergeCell ref="W42:X42"/>
    <mergeCell ref="B46:E46"/>
    <mergeCell ref="W46:X46"/>
    <mergeCell ref="B55:E55"/>
    <mergeCell ref="W55:X55"/>
    <mergeCell ref="B53:E53"/>
    <mergeCell ref="W53:X53"/>
    <mergeCell ref="B48:E48"/>
    <mergeCell ref="W48:X48"/>
    <mergeCell ref="B49:E49"/>
    <mergeCell ref="B52:E52"/>
    <mergeCell ref="W52:X52"/>
    <mergeCell ref="P16:R16"/>
    <mergeCell ref="B69:E69"/>
    <mergeCell ref="B65:E65"/>
    <mergeCell ref="W65:X65"/>
    <mergeCell ref="B68:E68"/>
    <mergeCell ref="B56:E56"/>
    <mergeCell ref="W56:X56"/>
    <mergeCell ref="B62:E62"/>
    <mergeCell ref="W62:X62"/>
    <mergeCell ref="B63:E63"/>
    <mergeCell ref="W63:X63"/>
    <mergeCell ref="W20:X20"/>
    <mergeCell ref="W22:X22"/>
    <mergeCell ref="B37:E37"/>
    <mergeCell ref="B47:E47"/>
    <mergeCell ref="W47:X47"/>
    <mergeCell ref="W23:X23"/>
    <mergeCell ref="B35:E35"/>
    <mergeCell ref="W35:X35"/>
    <mergeCell ref="W36:X36"/>
    <mergeCell ref="B67:E67"/>
    <mergeCell ref="W67:X67"/>
    <mergeCell ref="W18:X18"/>
    <mergeCell ref="B66:E66"/>
    <mergeCell ref="W66:X66"/>
    <mergeCell ref="B30:E30"/>
    <mergeCell ref="W30:X30"/>
    <mergeCell ref="B64:E64"/>
    <mergeCell ref="B57:E57"/>
    <mergeCell ref="B58:E58"/>
    <mergeCell ref="B59:E59"/>
    <mergeCell ref="B60:E60"/>
    <mergeCell ref="B61:E61"/>
    <mergeCell ref="B43:E43"/>
    <mergeCell ref="B54:E54"/>
    <mergeCell ref="B33:E33"/>
    <mergeCell ref="B45:E45"/>
    <mergeCell ref="W45:X45"/>
    <mergeCell ref="B44:E44"/>
    <mergeCell ref="W44:X44"/>
    <mergeCell ref="W37:X37"/>
    <mergeCell ref="B38:E38"/>
    <mergeCell ref="B31:E31"/>
    <mergeCell ref="W31:X31"/>
    <mergeCell ref="B32:E32"/>
    <mergeCell ref="W32:X32"/>
    <mergeCell ref="B36:E36"/>
    <mergeCell ref="D1:E1"/>
    <mergeCell ref="B29:E29"/>
    <mergeCell ref="B13:C13"/>
    <mergeCell ref="D5:E5"/>
    <mergeCell ref="I1:N1"/>
    <mergeCell ref="I3:N3"/>
    <mergeCell ref="I5:N5"/>
    <mergeCell ref="L18:M18"/>
    <mergeCell ref="B20:E20"/>
    <mergeCell ref="B22:E22"/>
    <mergeCell ref="H16:N16"/>
    <mergeCell ref="B23:E23"/>
    <mergeCell ref="B25:E25"/>
    <mergeCell ref="B26:E26"/>
    <mergeCell ref="B27:E27"/>
    <mergeCell ref="B28:E28"/>
    <mergeCell ref="B16:E16"/>
    <mergeCell ref="B17:E17"/>
    <mergeCell ref="B18:E18"/>
    <mergeCell ref="B34:E34"/>
    <mergeCell ref="J72:L72"/>
    <mergeCell ref="S16:U16"/>
    <mergeCell ref="B70:E70"/>
    <mergeCell ref="B71:E71"/>
    <mergeCell ref="B24:E24"/>
    <mergeCell ref="W26:X26"/>
    <mergeCell ref="W27:X27"/>
    <mergeCell ref="W24:X24"/>
    <mergeCell ref="W25:X25"/>
    <mergeCell ref="W28:X28"/>
    <mergeCell ref="W29:X29"/>
    <mergeCell ref="W57:X57"/>
    <mergeCell ref="W58:X58"/>
    <mergeCell ref="W59:X59"/>
    <mergeCell ref="W60:X60"/>
    <mergeCell ref="W61:X61"/>
    <mergeCell ref="W54:X54"/>
    <mergeCell ref="W38:X38"/>
    <mergeCell ref="W70:X70"/>
    <mergeCell ref="W71:X71"/>
    <mergeCell ref="W69:X69"/>
    <mergeCell ref="W68:X68"/>
    <mergeCell ref="W33:X33"/>
    <mergeCell ref="W34:X34"/>
  </mergeCells>
  <conditionalFormatting sqref="L22:L71">
    <cfRule type="expression" dxfId="316" priority="5">
      <formula>$B22&lt;&gt;""</formula>
    </cfRule>
  </conditionalFormatting>
  <conditionalFormatting sqref="M22:O71">
    <cfRule type="expression" dxfId="315" priority="9">
      <formula>$B22=""</formula>
    </cfRule>
  </conditionalFormatting>
  <conditionalFormatting sqref="P22:P71">
    <cfRule type="expression" dxfId="314" priority="4">
      <formula>$B22&lt;&gt;""</formula>
    </cfRule>
  </conditionalFormatting>
  <conditionalFormatting sqref="P30:Q69">
    <cfRule type="expression" dxfId="313" priority="11">
      <formula>#REF!="Over Allowed"</formula>
    </cfRule>
  </conditionalFormatting>
  <conditionalFormatting sqref="P22:R22 R23:R71 P23:Q29 P70:Q71">
    <cfRule type="expression" dxfId="312" priority="520">
      <formula>#REF!="Over Allowed"</formula>
    </cfRule>
  </conditionalFormatting>
  <conditionalFormatting sqref="Q22:Q71">
    <cfRule type="expression" dxfId="311" priority="3">
      <formula>$P22="YES"</formula>
    </cfRule>
    <cfRule type="expression" dxfId="310" priority="6">
      <formula>$R22="sq.ft. ERROR"</formula>
    </cfRule>
  </conditionalFormatting>
  <conditionalFormatting sqref="R22:R71">
    <cfRule type="cellIs" dxfId="309" priority="339" operator="equal">
      <formula>"sq.ft. ERROR"</formula>
    </cfRule>
    <cfRule type="expression" dxfId="308" priority="349">
      <formula>$R22=0</formula>
    </cfRule>
  </conditionalFormatting>
  <conditionalFormatting sqref="S22:S71">
    <cfRule type="expression" dxfId="307" priority="2">
      <formula>$B22&lt;&gt;""</formula>
    </cfRule>
  </conditionalFormatting>
  <conditionalFormatting sqref="T22:T71">
    <cfRule type="expression" dxfId="306" priority="10">
      <formula>$V22="sq.ft. ERROR"</formula>
    </cfRule>
  </conditionalFormatting>
  <conditionalFormatting sqref="T22:U71">
    <cfRule type="expression" dxfId="305" priority="1">
      <formula>$S22="YES"</formula>
    </cfRule>
  </conditionalFormatting>
  <conditionalFormatting sqref="V17">
    <cfRule type="expression" dxfId="304" priority="360">
      <formula>#REF!="Over Allowed"</formula>
    </cfRule>
  </conditionalFormatting>
  <conditionalFormatting sqref="V22:V71">
    <cfRule type="expression" dxfId="303" priority="358">
      <formula>$V22="sq.ft. ERROR"</formula>
    </cfRule>
  </conditionalFormatting>
  <dataValidations count="3">
    <dataValidation type="list" allowBlank="1" showInputMessage="1" showErrorMessage="1" sqref="AL94:AL95" xr:uid="{00000000-0002-0000-0600-000000000000}">
      <formula1>YesNoNA</formula1>
    </dataValidation>
    <dataValidation type="list" allowBlank="1" showInputMessage="1" showErrorMessage="1" sqref="S22:S71 P22:P71" xr:uid="{00000000-0002-0000-0600-000001000000}">
      <formula1>YesNo</formula1>
    </dataValidation>
    <dataValidation type="list" allowBlank="1" showInputMessage="1" showErrorMessage="1" sqref="U22:U71" xr:uid="{00000000-0002-0000-0600-000002000000}">
      <formula1>_Space_by_Space_RetailAreas</formula1>
    </dataValidation>
  </dataValidations>
  <pageMargins left="0.5" right="0.5" top="1" bottom="1" header="0.5" footer="0.5"/>
  <pageSetup scale="16" orientation="portrait" r:id="rId1"/>
  <headerFooter alignWithMargins="0">
    <oddHeader>&amp;LLighting Compliance Documentation&amp;R&amp;D</oddHeader>
    <oddFooter>&amp;RPage &amp;P of &amp;N</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6">
    <tabColor theme="8" tint="-0.249977111117893"/>
  </sheetPr>
  <dimension ref="B1:Q34"/>
  <sheetViews>
    <sheetView showGridLines="0" showRowColHeaders="0" workbookViewId="0">
      <pane xSplit="6" ySplit="14" topLeftCell="G15" activePane="bottomRight" state="frozen"/>
      <selection pane="topRight" activeCell="G1" sqref="G1"/>
      <selection pane="bottomLeft" activeCell="A15" sqref="A15"/>
      <selection pane="bottomRight" activeCell="L17" sqref="L17"/>
    </sheetView>
  </sheetViews>
  <sheetFormatPr defaultColWidth="9.1796875" defaultRowHeight="12.5" x14ac:dyDescent="0.25"/>
  <cols>
    <col min="1" max="1" width="2.7265625" style="42" customWidth="1"/>
    <col min="2" max="5" width="10.7265625" style="42" customWidth="1"/>
    <col min="6" max="7" width="2.7265625" style="42" customWidth="1"/>
    <col min="8" max="16" width="10.7265625" style="42" customWidth="1"/>
    <col min="17" max="16384" width="9.1796875" style="42"/>
  </cols>
  <sheetData>
    <row r="1" spans="2:16" ht="15" customHeight="1" x14ac:dyDescent="0.3">
      <c r="H1" s="1472" t="str">
        <f>'Main Compliance Page'!K1</f>
        <v>ASHRAE/IES 90.1-2019 Lighting Compliance Documentation (v4.0)</v>
      </c>
      <c r="I1" s="1472"/>
      <c r="J1" s="1472"/>
      <c r="K1" s="1472"/>
      <c r="L1" s="1472"/>
      <c r="M1" s="1472"/>
      <c r="N1" s="1472"/>
      <c r="O1" s="1472"/>
      <c r="P1" s="1472"/>
    </row>
    <row r="2" spans="2:16" ht="5.15" customHeight="1" x14ac:dyDescent="0.3">
      <c r="H2" s="1472"/>
      <c r="I2" s="1472"/>
      <c r="J2" s="1472"/>
      <c r="K2" s="1472"/>
      <c r="L2" s="1472"/>
      <c r="M2" s="1472"/>
      <c r="N2" s="1472"/>
      <c r="O2" s="1472"/>
      <c r="P2" s="1472"/>
    </row>
    <row r="3" spans="2:16" ht="15" customHeight="1" x14ac:dyDescent="0.3">
      <c r="H3" s="1472" t="s">
        <v>196</v>
      </c>
      <c r="I3" s="1472"/>
      <c r="J3" s="1472"/>
      <c r="K3" s="1472"/>
      <c r="L3" s="1472"/>
      <c r="M3" s="1472"/>
      <c r="N3" s="1472"/>
      <c r="O3" s="1472"/>
      <c r="P3" s="1472"/>
    </row>
    <row r="4" spans="2:16" ht="5.15" customHeight="1" x14ac:dyDescent="0.3">
      <c r="H4" s="1472"/>
      <c r="I4" s="1472"/>
      <c r="J4" s="1472"/>
      <c r="K4" s="1472"/>
      <c r="L4" s="1472"/>
      <c r="M4" s="1472"/>
      <c r="N4" s="1472"/>
      <c r="O4" s="1472"/>
      <c r="P4" s="1472"/>
    </row>
    <row r="5" spans="2:16" ht="15" customHeight="1" x14ac:dyDescent="0.25"/>
    <row r="6" spans="2:16" ht="5.15" customHeight="1" x14ac:dyDescent="0.25"/>
    <row r="7" spans="2:16" ht="15" customHeight="1" x14ac:dyDescent="0.25"/>
    <row r="8" spans="2:16" ht="5.15" customHeight="1" x14ac:dyDescent="0.25"/>
    <row r="9" spans="2:16" ht="15" customHeight="1" x14ac:dyDescent="0.3">
      <c r="H9" s="50" t="s">
        <v>1321</v>
      </c>
    </row>
    <row r="10" spans="2:16" ht="5.15" customHeight="1" x14ac:dyDescent="0.25"/>
    <row r="11" spans="2:16" ht="15" customHeight="1" x14ac:dyDescent="0.25"/>
    <row r="12" spans="2:16" ht="5.15" customHeight="1" x14ac:dyDescent="0.25"/>
    <row r="13" spans="2:16" ht="15" customHeight="1" x14ac:dyDescent="0.25">
      <c r="B13" s="1520" t="str">
        <f>CONCATENATE("90.1-",Compliance_Version_Year)</f>
        <v>90.1-2019</v>
      </c>
      <c r="C13" s="1520"/>
    </row>
    <row r="14" spans="2:16" ht="38" x14ac:dyDescent="0.3">
      <c r="J14" s="368" t="s">
        <v>198</v>
      </c>
      <c r="K14" s="368" t="s">
        <v>199</v>
      </c>
      <c r="L14" s="368" t="s">
        <v>200</v>
      </c>
      <c r="M14" s="369" t="s">
        <v>201</v>
      </c>
    </row>
    <row r="15" spans="2:16" ht="1" customHeight="1" x14ac:dyDescent="0.25">
      <c r="G15" s="1434"/>
      <c r="H15" s="1434"/>
      <c r="I15" s="1434"/>
      <c r="J15" s="1434"/>
      <c r="K15" s="1434"/>
      <c r="L15" s="1434"/>
      <c r="M15" s="1434"/>
      <c r="N15" s="1434"/>
      <c r="O15" s="1434"/>
      <c r="P15" s="1434"/>
    </row>
    <row r="16" spans="2:16" x14ac:dyDescent="0.25">
      <c r="L16" s="325"/>
    </row>
    <row r="17" spans="2:17" ht="12.75" customHeight="1" x14ac:dyDescent="0.3">
      <c r="B17" s="1383" t="s">
        <v>1330</v>
      </c>
      <c r="C17" s="1383"/>
      <c r="D17" s="1383"/>
      <c r="E17" s="1383"/>
      <c r="J17" s="1369"/>
      <c r="K17" s="1369"/>
      <c r="L17" s="1369"/>
      <c r="M17" s="370" t="str">
        <f>IF(K17&gt;0,2.5*L17*J17/K17," ")</f>
        <v xml:space="preserve"> </v>
      </c>
    </row>
    <row r="18" spans="2:17" x14ac:dyDescent="0.25">
      <c r="B18" s="1383"/>
      <c r="C18" s="1383"/>
      <c r="D18" s="1383"/>
      <c r="E18" s="1383"/>
      <c r="J18" s="95" t="s">
        <v>197</v>
      </c>
    </row>
    <row r="19" spans="2:17" x14ac:dyDescent="0.25">
      <c r="B19" s="1383"/>
      <c r="C19" s="1383"/>
      <c r="D19" s="1383"/>
      <c r="E19" s="1383"/>
    </row>
    <row r="20" spans="2:17" x14ac:dyDescent="0.25">
      <c r="B20" s="1383"/>
      <c r="C20" s="1383"/>
      <c r="D20" s="1383"/>
      <c r="E20" s="1383"/>
    </row>
    <row r="21" spans="2:17" x14ac:dyDescent="0.25">
      <c r="B21" s="1383"/>
      <c r="C21" s="1383"/>
      <c r="D21" s="1383"/>
      <c r="E21" s="1383"/>
    </row>
    <row r="22" spans="2:17" ht="13" x14ac:dyDescent="0.3">
      <c r="B22" s="1383"/>
      <c r="C22" s="1383"/>
      <c r="D22" s="1383"/>
      <c r="E22" s="1383"/>
      <c r="O22" s="50" t="s">
        <v>202</v>
      </c>
    </row>
    <row r="23" spans="2:17" x14ac:dyDescent="0.25">
      <c r="B23" s="1383"/>
      <c r="C23" s="1383"/>
      <c r="D23" s="1383"/>
      <c r="E23" s="1383"/>
    </row>
    <row r="24" spans="2:17" ht="13" x14ac:dyDescent="0.3">
      <c r="B24" s="1383"/>
      <c r="C24" s="1383"/>
      <c r="D24" s="1383"/>
      <c r="E24" s="1383"/>
      <c r="O24" s="93" t="s">
        <v>203</v>
      </c>
      <c r="P24" s="316">
        <v>40</v>
      </c>
    </row>
    <row r="25" spans="2:17" ht="13" x14ac:dyDescent="0.3">
      <c r="B25" s="1383"/>
      <c r="C25" s="1383"/>
      <c r="D25" s="1383"/>
      <c r="E25" s="1383"/>
      <c r="O25" s="93" t="s">
        <v>204</v>
      </c>
      <c r="P25" s="316">
        <v>80</v>
      </c>
    </row>
    <row r="26" spans="2:17" ht="13" x14ac:dyDescent="0.3">
      <c r="B26" s="1383"/>
      <c r="C26" s="1383"/>
      <c r="D26" s="1383"/>
      <c r="E26" s="1383"/>
      <c r="O26" s="93"/>
      <c r="P26" s="1338"/>
    </row>
    <row r="27" spans="2:17" ht="13" x14ac:dyDescent="0.3">
      <c r="O27" s="1370" t="s">
        <v>1325</v>
      </c>
      <c r="P27" s="1338" t="s">
        <v>1323</v>
      </c>
      <c r="Q27" s="1337" t="s">
        <v>1324</v>
      </c>
    </row>
    <row r="28" spans="2:17" ht="13" x14ac:dyDescent="0.3">
      <c r="O28" s="1370" t="s">
        <v>1326</v>
      </c>
      <c r="P28" s="1338" t="s">
        <v>1322</v>
      </c>
    </row>
    <row r="29" spans="2:17" ht="13" x14ac:dyDescent="0.3">
      <c r="O29" s="1371" t="s">
        <v>1327</v>
      </c>
      <c r="P29" s="316">
        <v>7</v>
      </c>
    </row>
    <row r="31" spans="2:17" ht="13" x14ac:dyDescent="0.3">
      <c r="O31" s="93" t="s">
        <v>205</v>
      </c>
      <c r="P31" s="316">
        <v>8.75</v>
      </c>
    </row>
    <row r="33" spans="15:15" x14ac:dyDescent="0.25">
      <c r="O33" s="95" t="s">
        <v>1328</v>
      </c>
    </row>
    <row r="34" spans="15:15" x14ac:dyDescent="0.25">
      <c r="O34" s="95" t="s">
        <v>1329</v>
      </c>
    </row>
  </sheetData>
  <sheetProtection sheet="1" objects="1" scenarios="1" selectLockedCells="1"/>
  <mergeCells count="7">
    <mergeCell ref="G15:P15"/>
    <mergeCell ref="B17:E26"/>
    <mergeCell ref="B13:C13"/>
    <mergeCell ref="H1:P1"/>
    <mergeCell ref="H2:P2"/>
    <mergeCell ref="H3:P3"/>
    <mergeCell ref="H4:P4"/>
  </mergeCells>
  <phoneticPr fontId="4" type="noConversion"/>
  <pageMargins left="0.75" right="0.75" top="1" bottom="1" header="0.5" footer="0.5"/>
  <pageSetup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1">
    <tabColor theme="8" tint="-0.249977111117893"/>
  </sheetPr>
  <dimension ref="A1:CB103"/>
  <sheetViews>
    <sheetView showGridLines="0" showRowColHeaders="0" workbookViewId="0">
      <pane xSplit="6" ySplit="25" topLeftCell="G26" activePane="bottomRight" state="frozen"/>
      <selection pane="topRight" activeCell="G1" sqref="G1"/>
      <selection pane="bottomLeft" activeCell="A26" sqref="A26"/>
      <selection pane="bottomRight" activeCell="G25" sqref="G25:L25"/>
    </sheetView>
  </sheetViews>
  <sheetFormatPr defaultRowHeight="12.5" x14ac:dyDescent="0.25"/>
  <cols>
    <col min="1" max="1" width="2.54296875" customWidth="1"/>
    <col min="2" max="5" width="11.54296875" customWidth="1"/>
    <col min="6" max="7" width="2.7265625" customWidth="1"/>
    <col min="8" max="8" width="19.1796875" hidden="1" customWidth="1"/>
    <col min="9" max="9" width="25.7265625" customWidth="1"/>
    <col min="10" max="12" width="10.7265625" customWidth="1"/>
    <col min="13" max="13" width="0.81640625" customWidth="1"/>
    <col min="14" max="14" width="14.7265625" customWidth="1"/>
    <col min="15" max="15" width="0.81640625" customWidth="1"/>
    <col min="16" max="16" width="5.26953125" customWidth="1"/>
    <col min="17" max="17" width="7.7265625" customWidth="1"/>
    <col min="18" max="18" width="5.26953125" customWidth="1"/>
    <col min="19" max="19" width="7.7265625" customWidth="1"/>
    <col min="20" max="20" width="5.26953125" customWidth="1"/>
    <col min="21" max="21" width="7.7265625" customWidth="1"/>
    <col min="22" max="22" width="5.26953125" customWidth="1"/>
    <col min="23" max="23" width="7.7265625" customWidth="1"/>
    <col min="24" max="24" width="5.26953125" customWidth="1"/>
    <col min="25" max="25" width="7.7265625" customWidth="1"/>
    <col min="26" max="26" width="5.26953125" customWidth="1"/>
    <col min="27" max="27" width="7.7265625" customWidth="1"/>
    <col min="28" max="28" width="5.26953125" customWidth="1"/>
    <col min="29" max="29" width="7.7265625" customWidth="1"/>
    <col min="30" max="30" width="5.26953125" customWidth="1"/>
    <col min="31" max="31" width="7.7265625" customWidth="1"/>
    <col min="32" max="32" width="5.26953125" customWidth="1"/>
    <col min="33" max="33" width="7.7265625" customWidth="1"/>
    <col min="34" max="34" width="5.26953125" customWidth="1"/>
    <col min="35" max="35" width="7.7265625" customWidth="1"/>
    <col min="36" max="36" width="5.26953125" customWidth="1"/>
    <col min="37" max="37" width="7.7265625" customWidth="1"/>
    <col min="38" max="38" width="5.26953125" customWidth="1"/>
    <col min="39" max="39" width="7.7265625" customWidth="1"/>
    <col min="40" max="40" width="5.26953125" customWidth="1"/>
    <col min="41" max="41" width="7.7265625" customWidth="1"/>
    <col min="42" max="42" width="8.453125" customWidth="1"/>
    <col min="43" max="43" width="10.54296875" customWidth="1"/>
    <col min="44" max="44" width="10.1796875" customWidth="1"/>
    <col min="46" max="51" width="9" hidden="1" customWidth="1"/>
    <col min="52" max="53" width="16.54296875" hidden="1" customWidth="1"/>
    <col min="54" max="54" width="19.453125" hidden="1" customWidth="1"/>
    <col min="55" max="55" width="18.7265625" hidden="1" customWidth="1"/>
    <col min="56" max="59" width="16.54296875" hidden="1" customWidth="1"/>
    <col min="60" max="75" width="6.54296875" hidden="1" customWidth="1"/>
    <col min="76" max="80" width="10.7265625" hidden="1" customWidth="1"/>
    <col min="81" max="90" width="10.7265625" customWidth="1"/>
  </cols>
  <sheetData>
    <row r="1" spans="2:78" ht="15" customHeight="1" x14ac:dyDescent="0.3">
      <c r="D1" s="1498" t="s">
        <v>0</v>
      </c>
      <c r="E1" s="1498"/>
      <c r="F1" s="1498"/>
      <c r="I1" s="1472" t="str">
        <f>'Main Compliance Page'!K1</f>
        <v>ASHRAE/IES 90.1-2019 Lighting Compliance Documentation (v4.0)</v>
      </c>
      <c r="J1" s="1472"/>
      <c r="K1" s="1472"/>
      <c r="L1" s="1472"/>
      <c r="M1" s="1472"/>
      <c r="N1" s="1472"/>
      <c r="O1" s="1472"/>
      <c r="P1" s="1472"/>
      <c r="Q1" s="1472"/>
      <c r="R1" s="1472"/>
      <c r="S1" s="117"/>
      <c r="T1" s="117"/>
      <c r="U1" s="117"/>
      <c r="V1" s="117"/>
      <c r="W1" s="117"/>
      <c r="AO1" s="1653" t="s">
        <v>1067</v>
      </c>
      <c r="AP1" s="456">
        <v>1</v>
      </c>
      <c r="AQ1" t="s">
        <v>1066</v>
      </c>
      <c r="AS1" s="51"/>
    </row>
    <row r="2" spans="2:78" ht="5.15" customHeight="1" x14ac:dyDescent="0.3">
      <c r="D2" s="622"/>
      <c r="E2" s="622"/>
      <c r="F2" s="622"/>
      <c r="I2" s="623"/>
      <c r="J2" s="623"/>
      <c r="K2" s="623"/>
      <c r="L2" s="623"/>
      <c r="M2" s="744"/>
      <c r="N2" s="623"/>
      <c r="O2" s="744"/>
      <c r="P2" s="623"/>
      <c r="Q2" s="623"/>
      <c r="R2" s="623"/>
      <c r="S2" s="117"/>
      <c r="T2" s="117"/>
      <c r="U2" s="117"/>
      <c r="V2" s="117"/>
      <c r="W2" s="117"/>
      <c r="AO2" s="1653"/>
      <c r="AP2" s="732"/>
      <c r="AS2" s="51"/>
    </row>
    <row r="3" spans="2:78" ht="15" customHeight="1" x14ac:dyDescent="0.3">
      <c r="I3" s="1472" t="s">
        <v>141</v>
      </c>
      <c r="J3" s="1472"/>
      <c r="K3" s="1472"/>
      <c r="L3" s="1472"/>
      <c r="M3" s="1472"/>
      <c r="N3" s="1472"/>
      <c r="O3" s="1472"/>
      <c r="P3" s="1472"/>
      <c r="Q3" s="1472"/>
      <c r="R3" s="1472"/>
      <c r="S3" s="117"/>
      <c r="T3" s="117"/>
      <c r="U3" s="117"/>
      <c r="V3" s="117"/>
      <c r="W3" s="117"/>
      <c r="AO3" s="1653"/>
      <c r="AP3" s="456">
        <v>2</v>
      </c>
      <c r="AQ3" t="s">
        <v>648</v>
      </c>
    </row>
    <row r="4" spans="2:78" ht="5.15" customHeight="1" x14ac:dyDescent="0.3">
      <c r="I4" s="623"/>
      <c r="J4" s="623"/>
      <c r="K4" s="623"/>
      <c r="L4" s="623"/>
      <c r="M4" s="744"/>
      <c r="N4" s="623"/>
      <c r="O4" s="744"/>
      <c r="P4" s="623"/>
      <c r="Q4" s="623"/>
      <c r="R4" s="623"/>
      <c r="S4" s="117"/>
      <c r="T4" s="117"/>
      <c r="U4" s="117"/>
      <c r="V4" s="117"/>
      <c r="W4" s="117"/>
      <c r="AO4" s="1653"/>
      <c r="AP4" s="456"/>
    </row>
    <row r="5" spans="2:78" ht="15" customHeight="1" x14ac:dyDescent="0.3">
      <c r="D5" s="1635"/>
      <c r="E5" s="1635"/>
      <c r="F5" s="1635"/>
      <c r="I5" s="1472" t="s">
        <v>171</v>
      </c>
      <c r="J5" s="1472"/>
      <c r="K5" s="1472"/>
      <c r="L5" s="1472"/>
      <c r="M5" s="1472"/>
      <c r="N5" s="1472"/>
      <c r="O5" s="1472"/>
      <c r="P5" s="1472"/>
      <c r="Q5" s="1472"/>
      <c r="R5" s="1472"/>
      <c r="S5" s="117"/>
      <c r="T5" s="117"/>
      <c r="U5" s="117"/>
      <c r="V5" s="117"/>
      <c r="W5" s="117"/>
      <c r="AO5" s="1653"/>
      <c r="AP5" s="456">
        <v>3</v>
      </c>
      <c r="AQ5" t="s">
        <v>652</v>
      </c>
      <c r="BH5" s="216" t="s">
        <v>178</v>
      </c>
      <c r="BI5" s="216"/>
      <c r="BJ5" s="216"/>
      <c r="BK5" s="216"/>
      <c r="BL5" s="216"/>
      <c r="BM5" s="216"/>
      <c r="BN5" s="216"/>
      <c r="BO5" s="216"/>
      <c r="BP5" s="216"/>
      <c r="BQ5" s="216"/>
      <c r="BR5" s="216"/>
      <c r="BS5" s="216"/>
      <c r="BT5" s="216"/>
      <c r="BU5" s="216"/>
      <c r="BV5" s="216"/>
      <c r="BW5" s="216"/>
      <c r="BX5" s="216"/>
    </row>
    <row r="6" spans="2:78" ht="5.15" customHeight="1" x14ac:dyDescent="0.3">
      <c r="D6" s="625"/>
      <c r="E6" s="625"/>
      <c r="F6" s="625"/>
      <c r="I6" s="623"/>
      <c r="J6" s="623"/>
      <c r="K6" s="623"/>
      <c r="L6" s="623"/>
      <c r="M6" s="744"/>
      <c r="N6" s="623"/>
      <c r="O6" s="744"/>
      <c r="P6" s="623"/>
      <c r="Q6" s="623"/>
      <c r="R6" s="623"/>
      <c r="S6" s="117"/>
      <c r="T6" s="117"/>
      <c r="U6" s="117"/>
      <c r="V6" s="117"/>
      <c r="W6" s="117"/>
      <c r="AO6" s="1653"/>
      <c r="AP6" s="456"/>
    </row>
    <row r="7" spans="2:78" ht="15" customHeight="1" x14ac:dyDescent="0.25">
      <c r="AO7" s="1653"/>
      <c r="AP7" s="456">
        <v>4</v>
      </c>
      <c r="AQ7" t="s">
        <v>654</v>
      </c>
    </row>
    <row r="8" spans="2:78" ht="5.15" customHeight="1" x14ac:dyDescent="0.25">
      <c r="AO8" s="1653"/>
      <c r="AP8" s="456"/>
    </row>
    <row r="9" spans="2:78" ht="15" customHeight="1" x14ac:dyDescent="0.25">
      <c r="K9" s="635" t="s">
        <v>857</v>
      </c>
      <c r="L9" s="636">
        <f ca="1">_Space_by_Space_AllowedBase_wattage+'SpxSp (step-a)'!W18</f>
        <v>0</v>
      </c>
      <c r="M9" s="636"/>
      <c r="N9" s="787">
        <f>IF(N13=TRUE,15,0)</f>
        <v>0</v>
      </c>
      <c r="AO9" s="1653"/>
      <c r="AP9" s="456">
        <v>5</v>
      </c>
      <c r="AQ9" t="s">
        <v>663</v>
      </c>
      <c r="BY9" s="624"/>
      <c r="BZ9" s="624"/>
    </row>
    <row r="10" spans="2:78" ht="5.15" customHeight="1" x14ac:dyDescent="0.25">
      <c r="K10" s="635"/>
      <c r="L10" s="636"/>
      <c r="M10" s="636"/>
      <c r="AP10" s="456"/>
      <c r="BH10" s="835"/>
      <c r="BI10" s="101"/>
      <c r="BJ10" s="835"/>
      <c r="BK10" s="835"/>
      <c r="BL10" s="835"/>
      <c r="BM10" s="835"/>
      <c r="BN10" s="835"/>
      <c r="BO10" s="835"/>
      <c r="BP10" s="835"/>
      <c r="BQ10" s="835"/>
      <c r="BR10" s="835"/>
      <c r="BS10" s="835"/>
      <c r="BT10" s="835"/>
      <c r="BU10" s="835"/>
      <c r="BV10" s="835"/>
      <c r="BW10" s="746"/>
      <c r="BX10" s="835"/>
      <c r="BY10" s="624"/>
      <c r="BZ10" s="624"/>
    </row>
    <row r="11" spans="2:78" ht="15" customHeight="1" x14ac:dyDescent="0.3">
      <c r="I11" s="62" t="s">
        <v>172</v>
      </c>
      <c r="P11" s="645">
        <v>4</v>
      </c>
      <c r="Q11" s="645"/>
      <c r="R11" s="645">
        <v>5</v>
      </c>
      <c r="S11" s="645"/>
      <c r="T11" s="645">
        <v>6</v>
      </c>
      <c r="U11" s="645"/>
      <c r="V11" s="645">
        <v>7</v>
      </c>
      <c r="W11" s="645"/>
      <c r="X11" s="645">
        <v>8</v>
      </c>
      <c r="Y11" s="645"/>
      <c r="Z11" s="645">
        <v>9</v>
      </c>
      <c r="AA11" s="645"/>
      <c r="AB11" s="645">
        <v>10</v>
      </c>
      <c r="AC11" s="645"/>
      <c r="AD11" s="645">
        <v>11</v>
      </c>
      <c r="AE11" s="645"/>
      <c r="AF11" s="645">
        <v>12</v>
      </c>
      <c r="AG11" s="645"/>
      <c r="AH11" s="645">
        <v>13</v>
      </c>
      <c r="AI11" s="646"/>
      <c r="AJ11" s="645">
        <v>14</v>
      </c>
      <c r="AK11" s="646"/>
      <c r="AL11" s="645">
        <v>15</v>
      </c>
      <c r="AM11" s="646"/>
      <c r="AN11" s="645">
        <v>16</v>
      </c>
      <c r="BH11" s="835"/>
      <c r="BI11" s="101"/>
      <c r="BJ11" s="835"/>
      <c r="BK11" s="835"/>
      <c r="BL11" s="835"/>
      <c r="BM11" s="835"/>
      <c r="BN11" s="835"/>
      <c r="BO11" s="835"/>
      <c r="BP11" s="835"/>
      <c r="BQ11" s="835"/>
      <c r="BR11" s="835"/>
      <c r="BS11" s="835"/>
      <c r="BT11" s="835"/>
      <c r="BU11" s="835"/>
      <c r="BV11" s="835"/>
      <c r="BW11" s="746"/>
      <c r="BX11" s="835"/>
      <c r="BY11" s="624"/>
      <c r="BZ11" s="624"/>
    </row>
    <row r="12" spans="2:78" ht="5.15" customHeight="1" thickBot="1" x14ac:dyDescent="0.3">
      <c r="P12" s="631"/>
      <c r="Q12" s="631"/>
      <c r="R12" s="631"/>
      <c r="S12" s="631"/>
      <c r="T12" s="631"/>
      <c r="U12" s="631"/>
      <c r="V12" s="631"/>
      <c r="W12" s="631"/>
      <c r="X12" s="631"/>
      <c r="Y12" s="631"/>
      <c r="Z12" s="631"/>
      <c r="AA12" s="631"/>
      <c r="AB12" s="631"/>
      <c r="AC12" s="631"/>
      <c r="AD12" s="631"/>
      <c r="AE12" s="631"/>
      <c r="AF12" s="631"/>
      <c r="AG12" s="631"/>
      <c r="AH12" s="631"/>
      <c r="AJ12" s="631"/>
      <c r="AL12" s="631"/>
      <c r="AN12" s="631"/>
      <c r="AS12" s="626"/>
      <c r="BH12" s="835"/>
      <c r="BI12" s="101"/>
      <c r="BJ12" s="835"/>
      <c r="BK12" s="835"/>
      <c r="BL12" s="835"/>
      <c r="BM12" s="835"/>
      <c r="BN12" s="835"/>
      <c r="BO12" s="835"/>
      <c r="BP12" s="835"/>
      <c r="BQ12" s="835"/>
      <c r="BR12" s="835"/>
      <c r="BS12" s="835"/>
      <c r="BT12" s="835"/>
      <c r="BU12" s="835"/>
      <c r="BV12" s="835"/>
      <c r="BW12" s="746"/>
      <c r="BX12" s="835"/>
      <c r="BY12" s="624"/>
      <c r="BZ12" s="624"/>
    </row>
    <row r="13" spans="2:78" ht="15" customHeight="1" thickBot="1" x14ac:dyDescent="0.35">
      <c r="B13" s="1690" t="str">
        <f>'SpxSp (step-a)'!B13:C13</f>
        <v>90.1-2019</v>
      </c>
      <c r="C13" s="1690"/>
      <c r="K13" s="634" t="str">
        <f ca="1">IF(AND(_Step2_AlterationsYesNo="Yes",'Main Compliance Page'!J25="Yes"),"See SpxSp Compliance Details page for compliance.",IF(L13&gt;L9,"Total Wattage EXCEEDS allowed wattage","Total DESIGNED wattage"))</f>
        <v>Total DESIGNED wattage</v>
      </c>
      <c r="L13" s="250">
        <f>'SpxSp Compliance Details'!AP11</f>
        <v>0</v>
      </c>
      <c r="M13" s="837"/>
      <c r="N13" s="787" t="b">
        <f>IF('Main Compliance Page'!J19="Yes",TRUE,FALSE)</f>
        <v>0</v>
      </c>
      <c r="O13" s="787"/>
      <c r="P13" s="1661" t="str">
        <f>IF($BH76&lt;&gt;BJ76,"Incomplete","Complete")</f>
        <v>Complete</v>
      </c>
      <c r="Q13" s="1661"/>
      <c r="R13" s="1661" t="str">
        <f>IF($BH76&lt;&gt;BK76,"Incomplete","Complete")</f>
        <v>Complete</v>
      </c>
      <c r="S13" s="1661"/>
      <c r="T13" s="1661" t="str">
        <f>IF($BH76&lt;&gt;BL76,"Incomplete","Complete")</f>
        <v>Complete</v>
      </c>
      <c r="U13" s="1661"/>
      <c r="V13" s="1661" t="str">
        <f>IF($BH76&lt;&gt;BM76,"Incomplete","Complete")</f>
        <v>Complete</v>
      </c>
      <c r="W13" s="1661"/>
      <c r="X13" s="1661" t="str">
        <f>IF($BH76&lt;&gt;BN76,"Incomplete","Complete")</f>
        <v>Complete</v>
      </c>
      <c r="Y13" s="1661"/>
      <c r="Z13" s="1661" t="str">
        <f>IF($BH76&lt;&gt;BO76,"Incomplete","Complete")</f>
        <v>Complete</v>
      </c>
      <c r="AA13" s="1661"/>
      <c r="AB13" s="1661" t="str">
        <f>IF($BH76&lt;&gt;BP76,"Incomplete","Complete")</f>
        <v>Complete</v>
      </c>
      <c r="AC13" s="1661"/>
      <c r="AD13" s="1661" t="str">
        <f ca="1">IF(AD15="Not Used","",IF($BH76&lt;&gt;BQ76,"Incomplete","Complete"))</f>
        <v>Complete</v>
      </c>
      <c r="AE13" s="1661"/>
      <c r="AF13" s="1661" t="str">
        <f ca="1">IF(AF15="Not Used","",IF($BH76&lt;&gt;BR76,"Incomplete","Complete"))</f>
        <v>Complete</v>
      </c>
      <c r="AG13" s="1661"/>
      <c r="AH13" s="1661" t="str">
        <f>IF($BH76&lt;&gt;BS76,"Incomplete","Complete")</f>
        <v>Complete</v>
      </c>
      <c r="AI13" s="1661"/>
      <c r="AJ13" s="1661" t="str">
        <f>IF($BH76&lt;&gt;BT76,"Incomplete","Complete")</f>
        <v>Complete</v>
      </c>
      <c r="AK13" s="1661"/>
      <c r="AL13" s="1661" t="str">
        <f>IF($BH76&lt;&gt;BU76,"Incomplete","Complete")</f>
        <v>Complete</v>
      </c>
      <c r="AM13" s="1661"/>
      <c r="AN13" s="1661" t="str">
        <f>IF($BH76&lt;&gt;BV76,"Incomplete","Complete")</f>
        <v>Complete</v>
      </c>
      <c r="AO13" s="1661"/>
      <c r="AP13" s="687"/>
      <c r="AQ13" s="277" t="str">
        <f ca="1">IF(OR(P13="Incomplete",R13="Incomplete",T13="Incomplete",V13="Incomplete",X13="Incomplete",Z13="Incomplete",AB13="Incomplete",AD13="Incomplete",AF13="Incomplete",AH13="Incomplete",AJ13="Incomplete",AL13="Incomplete",AN13="Incomplete"),"Not Compliant","Compliant")</f>
        <v>Compliant</v>
      </c>
      <c r="BH13" s="835"/>
      <c r="BI13" s="101"/>
      <c r="BJ13" s="835"/>
      <c r="BK13" s="835"/>
      <c r="BL13" s="835"/>
      <c r="BM13" s="835"/>
      <c r="BN13" s="835"/>
      <c r="BO13" s="835"/>
      <c r="BP13" s="835"/>
      <c r="BQ13" s="835"/>
      <c r="BR13" s="835"/>
      <c r="BS13" s="835"/>
      <c r="BT13" s="835"/>
      <c r="BU13" s="835"/>
      <c r="BV13" s="835"/>
      <c r="BW13" s="746"/>
      <c r="BX13" s="835"/>
      <c r="BY13" s="624"/>
      <c r="BZ13" s="624"/>
    </row>
    <row r="14" spans="2:78" ht="5.15" customHeight="1" thickBot="1" x14ac:dyDescent="0.35">
      <c r="B14" s="628"/>
      <c r="C14" s="628"/>
      <c r="I14" s="62"/>
      <c r="BH14" s="835"/>
      <c r="BI14" s="101"/>
      <c r="BJ14" s="835"/>
      <c r="BK14" s="835"/>
      <c r="BL14" s="835"/>
      <c r="BM14" s="835"/>
      <c r="BN14" s="835"/>
      <c r="BO14" s="835"/>
      <c r="BP14" s="835"/>
      <c r="BQ14" s="835"/>
      <c r="BR14" s="835"/>
      <c r="BS14" s="835"/>
      <c r="BT14" s="835"/>
      <c r="BU14" s="835"/>
      <c r="BV14" s="835"/>
      <c r="BW14" s="746"/>
      <c r="BX14" s="835"/>
      <c r="BY14" s="624"/>
      <c r="BZ14" s="624"/>
    </row>
    <row r="15" spans="2:78" s="42" customFormat="1" ht="35.25" customHeight="1" x14ac:dyDescent="0.3">
      <c r="B15" s="1691" t="s">
        <v>940</v>
      </c>
      <c r="C15" s="1692"/>
      <c r="D15" s="1692"/>
      <c r="E15" s="1692"/>
      <c r="F15" s="1692"/>
      <c r="G15" s="895"/>
      <c r="H15" s="896"/>
      <c r="I15" s="897" t="s">
        <v>127</v>
      </c>
      <c r="J15" s="898" t="s">
        <v>128</v>
      </c>
      <c r="K15" s="898" t="s">
        <v>130</v>
      </c>
      <c r="L15" s="899" t="s">
        <v>871</v>
      </c>
      <c r="M15" s="839"/>
      <c r="N15" s="909" t="str">
        <f>IF(N13=TRUE,"For Alterations Only","Column not used")</f>
        <v>Column not used</v>
      </c>
      <c r="O15" s="839"/>
      <c r="P15" s="1681" t="str">
        <f ca="1">VLOOKUP(CONCATENATE(Compliance_Version_Year," Spaces"),INDIRECT('9.6 Table'!$P$338),P$11,FALSE)</f>
        <v xml:space="preserve">9.4.1.1a
Local Control </v>
      </c>
      <c r="Q15" s="1665"/>
      <c r="R15" s="1662" t="str">
        <f ca="1">VLOOKUP(CONCATENATE(Compliance_Version_Year," Spaces"),INDIRECT('9.6 Table'!$P$338),R$11,FALSE)</f>
        <v xml:space="preserve">9.4.1.1b
Restricted to Manual ON </v>
      </c>
      <c r="S15" s="1662"/>
      <c r="T15" s="1662" t="str">
        <f ca="1">VLOOKUP(CONCATENATE(Compliance_Version_Year," Spaces"),INDIRECT('9.6 Table'!$P$338),T$11,FALSE)</f>
        <v xml:space="preserve">9.4.1.1c
Restricted to Partial Automatic ON </v>
      </c>
      <c r="U15" s="1662"/>
      <c r="V15" s="1664" t="str">
        <f ca="1">VLOOKUP(CONCATENATE(Compliance_Version_Year," Spaces"),INDIRECT('9.6 Table'!$P$338),V$11,FALSE)</f>
        <v xml:space="preserve">9.4.1.1d
Bilevel Lighting Control </v>
      </c>
      <c r="W15" s="1665"/>
      <c r="X15" s="1664" t="str">
        <f ca="1">VLOOKUP(CONCATENATE(Compliance_Version_Year," Spaces"),INDIRECT('9.6 Table'!$P$338),X$11,FALSE)</f>
        <v xml:space="preserve">9.4.1.1e
Automatic Daylight Controls for Sidelighting </v>
      </c>
      <c r="Y15" s="1665"/>
      <c r="Z15" s="1664" t="str">
        <f ca="1">VLOOKUP(CONCATENATE(Compliance_Version_Year," Spaces"),INDIRECT('9.6 Table'!$P$338),Z$11,FALSE)</f>
        <v xml:space="preserve">9.4.1.1f
Automatic Daylight Controls for Toplighting </v>
      </c>
      <c r="AA15" s="1665"/>
      <c r="AB15" s="1664" t="str">
        <f ca="1">VLOOKUP(CONCATENATE(Compliance_Version_Year," Spaces"),INDIRECT('9.6 Table'!$P$338),AB$11,FALSE)</f>
        <v xml:space="preserve">9.4.1.1g
Automatic Partial OFF </v>
      </c>
      <c r="AC15" s="1665"/>
      <c r="AD15" s="1662" t="str">
        <f ca="1">VLOOKUP(CONCATENATE(Compliance_Version_Year," Spaces"),INDIRECT('9.6 Table'!$P$338),AD$11,FALSE)</f>
        <v xml:space="preserve">9.4.1.1h
Automatic Full OFF
</v>
      </c>
      <c r="AE15" s="1662"/>
      <c r="AF15" s="1662" t="str">
        <f ca="1">VLOOKUP(CONCATENATE(Compliance_Version_Year," Spaces"),INDIRECT('9.6 Table'!$P$338),AF$11,FALSE)</f>
        <v>9.4.1.1i
Scheduled Shutoff</v>
      </c>
      <c r="AG15" s="1662"/>
      <c r="AH15" s="1664" t="str">
        <f ca="1">VLOOKUP(CONCATENATE(Compliance_Version_Year," Spaces"),INDIRECT('9.6 Table'!$P$338),AH$11,FALSE)</f>
        <v>9.4.1.2b
Garage</v>
      </c>
      <c r="AI15" s="1665"/>
      <c r="AJ15" s="1664" t="str">
        <f ca="1">VLOOKUP(CONCATENATE(Compliance_Version_Year," Spaces"),INDIRECT('9.6 Table'!$P$338),AJ$11,FALSE)</f>
        <v xml:space="preserve">9.4.1.2c
Garage </v>
      </c>
      <c r="AK15" s="1665"/>
      <c r="AL15" s="1664" t="str">
        <f ca="1">VLOOKUP(CONCATENATE(Compliance_Version_Year," Spaces"),INDIRECT('9.6 Table'!$P$338),AL$11,FALSE)</f>
        <v xml:space="preserve">9.4.1.2d
Garage </v>
      </c>
      <c r="AM15" s="1665"/>
      <c r="AN15" s="1664" t="str">
        <f ca="1">VLOOKUP(CONCATENATE(Compliance_Version_Year," Spaces"),INDIRECT('9.6 Table'!$P$338),AN$11,FALSE)</f>
        <v xml:space="preserve">9.4.1.3b.2
Guest Room </v>
      </c>
      <c r="AO15" s="1686"/>
      <c r="AP15" s="1677" t="s">
        <v>1099</v>
      </c>
      <c r="AQ15" s="915"/>
      <c r="BH15" s="836"/>
      <c r="BI15" s="834"/>
      <c r="BJ15" s="1619" t="s">
        <v>898</v>
      </c>
      <c r="BK15" s="1619" t="s">
        <v>899</v>
      </c>
      <c r="BL15" s="1619" t="s">
        <v>900</v>
      </c>
      <c r="BM15" s="1619" t="s">
        <v>901</v>
      </c>
      <c r="BN15" s="1619" t="s">
        <v>902</v>
      </c>
      <c r="BO15" s="1619" t="s">
        <v>903</v>
      </c>
      <c r="BP15" s="1619" t="s">
        <v>904</v>
      </c>
      <c r="BQ15" s="1619" t="s">
        <v>905</v>
      </c>
      <c r="BR15" s="1619" t="s">
        <v>906</v>
      </c>
      <c r="BS15" s="1619" t="s">
        <v>907</v>
      </c>
      <c r="BT15" s="1619" t="s">
        <v>907</v>
      </c>
      <c r="BU15" s="1619" t="s">
        <v>907</v>
      </c>
      <c r="BV15" s="1619" t="s">
        <v>934</v>
      </c>
      <c r="BW15" s="637"/>
      <c r="BX15" s="1619" t="s">
        <v>879</v>
      </c>
      <c r="BY15" s="624"/>
      <c r="BZ15" s="624"/>
    </row>
    <row r="16" spans="2:78" s="42" customFormat="1" ht="5.15" customHeight="1" x14ac:dyDescent="0.3">
      <c r="B16" s="900"/>
      <c r="C16" s="239"/>
      <c r="D16" s="239"/>
      <c r="E16" s="239"/>
      <c r="F16" s="239"/>
      <c r="G16" s="478"/>
      <c r="H16" s="475"/>
      <c r="I16" s="468"/>
      <c r="J16" s="240"/>
      <c r="K16" s="240"/>
      <c r="L16" s="901"/>
      <c r="M16" s="839"/>
      <c r="N16" s="910"/>
      <c r="O16" s="839"/>
      <c r="P16" s="1682"/>
      <c r="Q16" s="1667"/>
      <c r="R16" s="1663"/>
      <c r="S16" s="1663"/>
      <c r="T16" s="1663"/>
      <c r="U16" s="1663"/>
      <c r="V16" s="1666"/>
      <c r="W16" s="1667"/>
      <c r="X16" s="1666"/>
      <c r="Y16" s="1667"/>
      <c r="Z16" s="1666"/>
      <c r="AA16" s="1667"/>
      <c r="AB16" s="1666"/>
      <c r="AC16" s="1667"/>
      <c r="AD16" s="1663"/>
      <c r="AE16" s="1663"/>
      <c r="AF16" s="1663"/>
      <c r="AG16" s="1663"/>
      <c r="AH16" s="1666"/>
      <c r="AI16" s="1667"/>
      <c r="AJ16" s="1666"/>
      <c r="AK16" s="1667"/>
      <c r="AL16" s="1666"/>
      <c r="AM16" s="1667"/>
      <c r="AN16" s="1666"/>
      <c r="AO16" s="1687"/>
      <c r="AP16" s="1678"/>
      <c r="AQ16" s="916"/>
      <c r="BH16" s="624"/>
      <c r="BI16" s="546"/>
      <c r="BJ16" s="1619"/>
      <c r="BK16" s="1619"/>
      <c r="BL16" s="1619"/>
      <c r="BM16" s="1619"/>
      <c r="BN16" s="1619"/>
      <c r="BO16" s="1619"/>
      <c r="BP16" s="1619"/>
      <c r="BQ16" s="1619"/>
      <c r="BR16" s="1619"/>
      <c r="BS16" s="1619"/>
      <c r="BT16" s="1619"/>
      <c r="BU16" s="1619"/>
      <c r="BV16" s="1619"/>
      <c r="BW16" s="624"/>
      <c r="BX16" s="1619"/>
      <c r="BY16" s="624"/>
      <c r="BZ16" s="624"/>
    </row>
    <row r="17" spans="1:80" s="42" customFormat="1" ht="15" customHeight="1" x14ac:dyDescent="0.3">
      <c r="B17" s="900"/>
      <c r="C17" s="239"/>
      <c r="D17" s="239"/>
      <c r="E17" s="239"/>
      <c r="F17" s="239"/>
      <c r="G17" s="478"/>
      <c r="H17" s="467"/>
      <c r="I17" s="468"/>
      <c r="J17" s="240"/>
      <c r="K17" s="240"/>
      <c r="L17" s="902"/>
      <c r="M17" s="742"/>
      <c r="N17" s="911"/>
      <c r="O17" s="840"/>
      <c r="P17" s="1682"/>
      <c r="Q17" s="1667"/>
      <c r="R17" s="1663"/>
      <c r="S17" s="1663"/>
      <c r="T17" s="1663"/>
      <c r="U17" s="1663"/>
      <c r="V17" s="1666"/>
      <c r="W17" s="1667"/>
      <c r="X17" s="1666"/>
      <c r="Y17" s="1667"/>
      <c r="Z17" s="1666"/>
      <c r="AA17" s="1667"/>
      <c r="AB17" s="1666"/>
      <c r="AC17" s="1667"/>
      <c r="AD17" s="1663"/>
      <c r="AE17" s="1663"/>
      <c r="AF17" s="1663"/>
      <c r="AG17" s="1663"/>
      <c r="AH17" s="1666"/>
      <c r="AI17" s="1667"/>
      <c r="AJ17" s="1666"/>
      <c r="AK17" s="1667"/>
      <c r="AL17" s="1666"/>
      <c r="AM17" s="1667"/>
      <c r="AN17" s="1666"/>
      <c r="AO17" s="1687"/>
      <c r="AP17" s="1678"/>
      <c r="AQ17" s="916"/>
      <c r="AT17" s="95" t="s">
        <v>1065</v>
      </c>
      <c r="AU17" s="95" t="s">
        <v>1065</v>
      </c>
      <c r="AV17" s="95" t="s">
        <v>1065</v>
      </c>
      <c r="AW17" s="95" t="s">
        <v>1065</v>
      </c>
      <c r="AX17" s="95" t="s">
        <v>1065</v>
      </c>
      <c r="AY17" s="95" t="s">
        <v>1065</v>
      </c>
      <c r="AZ17" s="95" t="s">
        <v>1065</v>
      </c>
      <c r="BB17" s="95" t="s">
        <v>1065</v>
      </c>
      <c r="BC17" s="95" t="s">
        <v>1065</v>
      </c>
      <c r="BH17" s="1619" t="s">
        <v>639</v>
      </c>
      <c r="BI17" s="101"/>
      <c r="BJ17" s="1619"/>
      <c r="BK17" s="1619"/>
      <c r="BL17" s="1619"/>
      <c r="BM17" s="1619"/>
      <c r="BN17" s="1619"/>
      <c r="BO17" s="1619"/>
      <c r="BP17" s="1619"/>
      <c r="BQ17" s="1619"/>
      <c r="BR17" s="1619"/>
      <c r="BS17" s="1619"/>
      <c r="BT17" s="1619"/>
      <c r="BU17" s="1619"/>
      <c r="BV17" s="1619"/>
      <c r="BW17" s="746"/>
      <c r="BX17" s="1619"/>
    </row>
    <row r="18" spans="1:80" s="42" customFormat="1" ht="5.15" customHeight="1" x14ac:dyDescent="0.3">
      <c r="B18" s="900"/>
      <c r="C18" s="239"/>
      <c r="D18" s="239"/>
      <c r="E18" s="239"/>
      <c r="F18" s="239"/>
      <c r="G18" s="478"/>
      <c r="H18" s="467"/>
      <c r="I18" s="468"/>
      <c r="J18" s="240"/>
      <c r="K18" s="240"/>
      <c r="L18" s="902"/>
      <c r="M18" s="742"/>
      <c r="N18" s="911"/>
      <c r="O18" s="840"/>
      <c r="P18" s="1682"/>
      <c r="Q18" s="1667"/>
      <c r="R18" s="1663"/>
      <c r="S18" s="1663"/>
      <c r="T18" s="1663"/>
      <c r="U18" s="1663"/>
      <c r="V18" s="1666"/>
      <c r="W18" s="1667"/>
      <c r="X18" s="1666"/>
      <c r="Y18" s="1667"/>
      <c r="Z18" s="1666"/>
      <c r="AA18" s="1667"/>
      <c r="AB18" s="1666"/>
      <c r="AC18" s="1667"/>
      <c r="AD18" s="1663"/>
      <c r="AE18" s="1663"/>
      <c r="AF18" s="1663"/>
      <c r="AG18" s="1663"/>
      <c r="AH18" s="1666"/>
      <c r="AI18" s="1667"/>
      <c r="AJ18" s="1666"/>
      <c r="AK18" s="1667"/>
      <c r="AL18" s="1666"/>
      <c r="AM18" s="1667"/>
      <c r="AN18" s="1666"/>
      <c r="AO18" s="1687"/>
      <c r="AP18" s="1678"/>
      <c r="AQ18" s="916"/>
      <c r="BH18" s="1619"/>
      <c r="BJ18" s="1619"/>
      <c r="BK18" s="1619"/>
      <c r="BL18" s="1619"/>
      <c r="BM18" s="1619"/>
      <c r="BN18" s="1619"/>
      <c r="BO18" s="1619"/>
      <c r="BP18" s="1619"/>
      <c r="BQ18" s="1619"/>
      <c r="BR18" s="1619"/>
      <c r="BS18" s="1619"/>
      <c r="BT18" s="1619"/>
      <c r="BU18" s="1619"/>
      <c r="BV18" s="1619"/>
      <c r="BX18" s="1619"/>
    </row>
    <row r="19" spans="1:80" s="42" customFormat="1" ht="15" customHeight="1" x14ac:dyDescent="0.3">
      <c r="B19" s="900"/>
      <c r="C19" s="239"/>
      <c r="D19" s="239"/>
      <c r="E19" s="239"/>
      <c r="F19" s="239"/>
      <c r="G19" s="478"/>
      <c r="H19" s="475"/>
      <c r="I19" s="476"/>
      <c r="J19" s="240"/>
      <c r="K19" s="240"/>
      <c r="L19" s="902"/>
      <c r="M19" s="742"/>
      <c r="N19" s="1657" t="str">
        <f>IF(N13=FALSE,"Leave cells below blank","Luminaire is ""New"", ""Existing Remains"", ""Existing Removed""")</f>
        <v>Leave cells below blank</v>
      </c>
      <c r="O19" s="196"/>
      <c r="P19" s="1682"/>
      <c r="Q19" s="1667"/>
      <c r="R19" s="1683" t="s">
        <v>1069</v>
      </c>
      <c r="S19" s="1684"/>
      <c r="T19" s="1684"/>
      <c r="U19" s="1685"/>
      <c r="V19" s="1666"/>
      <c r="W19" s="1667"/>
      <c r="X19" s="1666"/>
      <c r="Y19" s="1667"/>
      <c r="Z19" s="1666"/>
      <c r="AA19" s="1667"/>
      <c r="AB19" s="1666"/>
      <c r="AC19" s="1667"/>
      <c r="AD19" s="1683" t="s">
        <v>1070</v>
      </c>
      <c r="AE19" s="1684"/>
      <c r="AF19" s="1684"/>
      <c r="AG19" s="1685"/>
      <c r="AH19" s="1666"/>
      <c r="AI19" s="1667"/>
      <c r="AJ19" s="1666"/>
      <c r="AK19" s="1667"/>
      <c r="AL19" s="1666"/>
      <c r="AM19" s="1667"/>
      <c r="AN19" s="1666"/>
      <c r="AO19" s="1687"/>
      <c r="AP19" s="1678"/>
      <c r="AQ19" s="916"/>
      <c r="BH19" s="1619"/>
      <c r="BI19" s="276"/>
      <c r="BJ19" s="1619"/>
      <c r="BK19" s="1619"/>
      <c r="BL19" s="1619"/>
      <c r="BM19" s="1619"/>
      <c r="BN19" s="1619"/>
      <c r="BO19" s="1619"/>
      <c r="BP19" s="1619"/>
      <c r="BQ19" s="1619"/>
      <c r="BR19" s="1619"/>
      <c r="BS19" s="1619"/>
      <c r="BT19" s="1619"/>
      <c r="BU19" s="1619"/>
      <c r="BV19" s="1619"/>
      <c r="BW19" s="241"/>
      <c r="BX19" s="1619"/>
    </row>
    <row r="20" spans="1:80" s="42" customFormat="1" ht="5.15" customHeight="1" x14ac:dyDescent="0.3">
      <c r="B20" s="900"/>
      <c r="C20" s="239"/>
      <c r="D20" s="239"/>
      <c r="E20" s="239"/>
      <c r="F20" s="239"/>
      <c r="G20" s="478"/>
      <c r="H20" s="475"/>
      <c r="I20" s="476"/>
      <c r="J20" s="240"/>
      <c r="K20" s="240"/>
      <c r="L20" s="902"/>
      <c r="M20" s="742"/>
      <c r="N20" s="1657"/>
      <c r="O20" s="196"/>
      <c r="P20" s="1682"/>
      <c r="Q20" s="1667"/>
      <c r="R20" s="1683"/>
      <c r="S20" s="1684"/>
      <c r="T20" s="1684"/>
      <c r="U20" s="1685"/>
      <c r="V20" s="1666"/>
      <c r="W20" s="1667"/>
      <c r="X20" s="1666"/>
      <c r="Y20" s="1667"/>
      <c r="Z20" s="1666"/>
      <c r="AA20" s="1667"/>
      <c r="AB20" s="1666"/>
      <c r="AC20" s="1667"/>
      <c r="AD20" s="1683"/>
      <c r="AE20" s="1684"/>
      <c r="AF20" s="1684"/>
      <c r="AG20" s="1685"/>
      <c r="AH20" s="1666"/>
      <c r="AI20" s="1667"/>
      <c r="AJ20" s="1666"/>
      <c r="AK20" s="1667"/>
      <c r="AL20" s="1666"/>
      <c r="AM20" s="1667"/>
      <c r="AN20" s="1666"/>
      <c r="AO20" s="1687"/>
      <c r="AP20" s="1678"/>
      <c r="AQ20" s="916"/>
      <c r="BH20" s="1619"/>
      <c r="BI20" s="276"/>
      <c r="BJ20" s="1619"/>
      <c r="BK20" s="1619"/>
      <c r="BL20" s="1619"/>
      <c r="BM20" s="1619"/>
      <c r="BN20" s="1619"/>
      <c r="BO20" s="1619"/>
      <c r="BP20" s="1619"/>
      <c r="BQ20" s="1619"/>
      <c r="BR20" s="1619"/>
      <c r="BS20" s="1619"/>
      <c r="BT20" s="1619"/>
      <c r="BU20" s="1619"/>
      <c r="BV20" s="1619"/>
      <c r="BW20" s="241"/>
      <c r="BX20" s="1619"/>
    </row>
    <row r="21" spans="1:80" s="42" customFormat="1" ht="15" customHeight="1" x14ac:dyDescent="0.3">
      <c r="B21" s="900"/>
      <c r="C21" s="239"/>
      <c r="D21" s="239"/>
      <c r="E21" s="239"/>
      <c r="F21" s="239"/>
      <c r="G21" s="478"/>
      <c r="H21" s="467"/>
      <c r="I21" s="1656" t="s">
        <v>133</v>
      </c>
      <c r="J21" s="1572" t="s">
        <v>842</v>
      </c>
      <c r="K21" s="240"/>
      <c r="L21" s="902"/>
      <c r="M21" s="742"/>
      <c r="N21" s="1657"/>
      <c r="O21" s="196"/>
      <c r="P21" s="1682"/>
      <c r="Q21" s="1667"/>
      <c r="R21" s="1683"/>
      <c r="S21" s="1684"/>
      <c r="T21" s="1684"/>
      <c r="U21" s="1685"/>
      <c r="V21" s="1666"/>
      <c r="W21" s="1667"/>
      <c r="X21" s="1666"/>
      <c r="Y21" s="1667"/>
      <c r="Z21" s="1666"/>
      <c r="AA21" s="1667"/>
      <c r="AB21" s="1666"/>
      <c r="AC21" s="1667"/>
      <c r="AD21" s="1683"/>
      <c r="AE21" s="1684"/>
      <c r="AF21" s="1684"/>
      <c r="AG21" s="1685"/>
      <c r="AH21" s="1666"/>
      <c r="AI21" s="1667"/>
      <c r="AJ21" s="1666"/>
      <c r="AK21" s="1667"/>
      <c r="AL21" s="1666"/>
      <c r="AM21" s="1667"/>
      <c r="AN21" s="1666"/>
      <c r="AO21" s="1687"/>
      <c r="AP21" s="1678"/>
      <c r="AQ21" s="1659" t="s">
        <v>132</v>
      </c>
      <c r="AT21" s="43"/>
      <c r="BH21" s="1619"/>
      <c r="BI21" s="276"/>
      <c r="BJ21" s="1619"/>
      <c r="BK21" s="1619"/>
      <c r="BL21" s="1619"/>
      <c r="BM21" s="1619"/>
      <c r="BN21" s="1619"/>
      <c r="BO21" s="1619"/>
      <c r="BP21" s="1619"/>
      <c r="BQ21" s="1619"/>
      <c r="BR21" s="1619"/>
      <c r="BS21" s="1619"/>
      <c r="BT21" s="1619"/>
      <c r="BU21" s="1619"/>
      <c r="BV21" s="1619"/>
      <c r="BX21" s="1619"/>
    </row>
    <row r="22" spans="1:80" s="42" customFormat="1" ht="5.15" customHeight="1" x14ac:dyDescent="0.3">
      <c r="B22" s="903"/>
      <c r="C22" s="477"/>
      <c r="D22" s="477"/>
      <c r="E22" s="477"/>
      <c r="F22" s="477"/>
      <c r="G22" s="478"/>
      <c r="H22" s="477"/>
      <c r="I22" s="1656"/>
      <c r="J22" s="1572"/>
      <c r="K22" s="1572" t="s">
        <v>841</v>
      </c>
      <c r="L22" s="902"/>
      <c r="M22" s="742"/>
      <c r="N22" s="1657"/>
      <c r="O22" s="196"/>
      <c r="P22" s="1682"/>
      <c r="Q22" s="1667"/>
      <c r="R22" s="1683"/>
      <c r="S22" s="1684"/>
      <c r="T22" s="1684"/>
      <c r="U22" s="1685"/>
      <c r="V22" s="1666"/>
      <c r="W22" s="1667"/>
      <c r="X22" s="1666"/>
      <c r="Y22" s="1667"/>
      <c r="Z22" s="1666"/>
      <c r="AA22" s="1667"/>
      <c r="AB22" s="1666"/>
      <c r="AC22" s="1667"/>
      <c r="AD22" s="1683"/>
      <c r="AE22" s="1684"/>
      <c r="AF22" s="1684"/>
      <c r="AG22" s="1685"/>
      <c r="AH22" s="1666"/>
      <c r="AI22" s="1667"/>
      <c r="AJ22" s="1666"/>
      <c r="AK22" s="1667"/>
      <c r="AL22" s="1666"/>
      <c r="AM22" s="1667"/>
      <c r="AN22" s="1666"/>
      <c r="AO22" s="1687"/>
      <c r="AP22" s="1678"/>
      <c r="AQ22" s="1659"/>
      <c r="AX22" s="1654" t="s">
        <v>166</v>
      </c>
      <c r="AY22" s="1654" t="s">
        <v>175</v>
      </c>
      <c r="AZ22" s="1654" t="s">
        <v>176</v>
      </c>
      <c r="BM22" s="95"/>
    </row>
    <row r="23" spans="1:80" s="42" customFormat="1" ht="15" customHeight="1" x14ac:dyDescent="0.3">
      <c r="B23" s="903"/>
      <c r="C23" s="477"/>
      <c r="D23" s="477"/>
      <c r="E23" s="477"/>
      <c r="F23" s="477"/>
      <c r="G23" s="478"/>
      <c r="H23" s="477"/>
      <c r="I23" s="1656"/>
      <c r="J23" s="1572"/>
      <c r="K23" s="1572"/>
      <c r="L23" s="902"/>
      <c r="M23" s="742"/>
      <c r="N23" s="1657"/>
      <c r="O23" s="196"/>
      <c r="P23" s="917"/>
      <c r="Q23" s="775" t="str">
        <f>IF(P13="Incomplete","Select","")</f>
        <v/>
      </c>
      <c r="R23" s="776"/>
      <c r="S23" s="775" t="str">
        <f>IF(R13="Incomplete","Select","")</f>
        <v/>
      </c>
      <c r="T23" s="776"/>
      <c r="U23" s="775" t="str">
        <f>IF(T13="Incomplete","Select","")</f>
        <v/>
      </c>
      <c r="V23" s="771"/>
      <c r="W23" s="775" t="str">
        <f>IF(V13="Incomplete","Select","")</f>
        <v/>
      </c>
      <c r="X23" s="771"/>
      <c r="Y23" s="775" t="str">
        <f>IF(X13="Incomplete","Select","")</f>
        <v/>
      </c>
      <c r="Z23" s="771"/>
      <c r="AA23" s="775" t="str">
        <f>IF(Z13="Incomplete","Select","")</f>
        <v/>
      </c>
      <c r="AB23" s="771"/>
      <c r="AC23" s="775" t="str">
        <f>IF(AB13="Incomplete","Select","")</f>
        <v/>
      </c>
      <c r="AD23" s="776"/>
      <c r="AE23" s="775" t="str">
        <f ca="1">IF(AD13="Incomplete","Select","")</f>
        <v/>
      </c>
      <c r="AF23" s="776"/>
      <c r="AG23" s="775" t="str">
        <f ca="1">IF(AF13="Incomplete","Select","")</f>
        <v/>
      </c>
      <c r="AH23" s="771"/>
      <c r="AI23" s="775" t="str">
        <f>IF(AH13="Incomplete","Select","")</f>
        <v/>
      </c>
      <c r="AJ23" s="771"/>
      <c r="AK23" s="775" t="str">
        <f>IF(AJ13="Incomplete","Select","")</f>
        <v/>
      </c>
      <c r="AL23" s="771"/>
      <c r="AM23" s="775" t="str">
        <f>IF(AL13="Incomplete","Select","")</f>
        <v/>
      </c>
      <c r="AN23" s="771"/>
      <c r="AO23" s="932" t="str">
        <f>IF(AN13="Incomplete","Select","")</f>
        <v/>
      </c>
      <c r="AP23" s="1679"/>
      <c r="AQ23" s="1659"/>
      <c r="AX23" s="1654"/>
      <c r="AY23" s="1654"/>
      <c r="AZ23" s="1654"/>
      <c r="BC23" s="50" t="str">
        <f>VLOOKUP(COLUMN(),BZ26:CA103,2,FALSE)</f>
        <v>BC</v>
      </c>
      <c r="BH23" s="75"/>
      <c r="BI23" s="75"/>
      <c r="BJ23" s="75" t="s">
        <v>908</v>
      </c>
      <c r="BK23" s="75" t="s">
        <v>909</v>
      </c>
      <c r="BL23" s="75" t="s">
        <v>910</v>
      </c>
      <c r="BM23" s="75" t="s">
        <v>911</v>
      </c>
      <c r="BN23" s="75" t="s">
        <v>912</v>
      </c>
      <c r="BO23" s="75" t="s">
        <v>913</v>
      </c>
      <c r="BP23" s="75" t="s">
        <v>914</v>
      </c>
      <c r="BQ23" s="75" t="s">
        <v>915</v>
      </c>
      <c r="BR23" s="75" t="s">
        <v>916</v>
      </c>
      <c r="BS23" s="75" t="s">
        <v>917</v>
      </c>
      <c r="BT23" s="75"/>
      <c r="BU23" s="75"/>
      <c r="BV23" s="75"/>
      <c r="BW23" s="75"/>
      <c r="BX23" s="627">
        <v>13</v>
      </c>
      <c r="BY23" s="627"/>
      <c r="BZ23" s="627" t="s">
        <v>1059</v>
      </c>
      <c r="CA23" s="42" t="s">
        <v>1060</v>
      </c>
      <c r="CB23" s="531" t="s">
        <v>1100</v>
      </c>
    </row>
    <row r="24" spans="1:80" s="48" customFormat="1" ht="5.15" customHeight="1" thickBot="1" x14ac:dyDescent="0.3">
      <c r="B24" s="903"/>
      <c r="C24" s="477"/>
      <c r="D24" s="477"/>
      <c r="E24" s="477"/>
      <c r="F24" s="477"/>
      <c r="G24" s="478"/>
      <c r="H24" s="479"/>
      <c r="I24" s="1656"/>
      <c r="J24" s="1572"/>
      <c r="K24" s="1572"/>
      <c r="L24" s="904"/>
      <c r="M24" s="274"/>
      <c r="N24" s="1658"/>
      <c r="O24" s="196"/>
      <c r="P24" s="918"/>
      <c r="Q24" s="773"/>
      <c r="R24" s="777"/>
      <c r="S24" s="778"/>
      <c r="T24" s="777"/>
      <c r="U24" s="778"/>
      <c r="V24" s="772"/>
      <c r="W24" s="773"/>
      <c r="X24" s="772"/>
      <c r="Y24" s="773"/>
      <c r="Z24" s="772"/>
      <c r="AA24" s="773"/>
      <c r="AB24" s="772"/>
      <c r="AC24" s="773"/>
      <c r="AD24" s="777"/>
      <c r="AE24" s="778"/>
      <c r="AF24" s="777"/>
      <c r="AG24" s="778"/>
      <c r="AH24" s="772"/>
      <c r="AI24" s="773"/>
      <c r="AJ24" s="772"/>
      <c r="AK24" s="773"/>
      <c r="AL24" s="772"/>
      <c r="AM24" s="773"/>
      <c r="AN24" s="772"/>
      <c r="AO24" s="774"/>
      <c r="AP24" s="1680"/>
      <c r="AQ24" s="1660"/>
      <c r="AX24" s="1655"/>
      <c r="AY24" s="1655"/>
      <c r="AZ24" s="1655"/>
      <c r="BA24" s="42"/>
      <c r="BG24" s="76"/>
      <c r="BR24" s="75"/>
    </row>
    <row r="25" spans="1:80" s="48" customFormat="1" ht="1" customHeight="1" thickBot="1" x14ac:dyDescent="0.3">
      <c r="B25" s="905"/>
      <c r="C25" s="644"/>
      <c r="D25" s="644"/>
      <c r="E25" s="644"/>
      <c r="F25" s="644"/>
      <c r="G25" s="1688"/>
      <c r="H25" s="1688"/>
      <c r="I25" s="1688"/>
      <c r="J25" s="1688"/>
      <c r="K25" s="1688"/>
      <c r="L25" s="1689"/>
      <c r="M25" s="838"/>
      <c r="N25" s="912"/>
      <c r="O25" s="841"/>
      <c r="P25" s="1674"/>
      <c r="Q25" s="1675"/>
      <c r="R25" s="1675"/>
      <c r="S25" s="1675"/>
      <c r="T25" s="1675"/>
      <c r="U25" s="1675"/>
      <c r="V25" s="1675"/>
      <c r="W25" s="1675"/>
      <c r="X25" s="1675"/>
      <c r="Y25" s="1675"/>
      <c r="Z25" s="1675"/>
      <c r="AA25" s="1675"/>
      <c r="AB25" s="1675"/>
      <c r="AC25" s="1675"/>
      <c r="AD25" s="1675"/>
      <c r="AE25" s="1675"/>
      <c r="AF25" s="1675"/>
      <c r="AG25" s="1675"/>
      <c r="AH25" s="1675"/>
      <c r="AI25" s="1675"/>
      <c r="AJ25" s="1675"/>
      <c r="AK25" s="1675"/>
      <c r="AL25" s="1675"/>
      <c r="AM25" s="1675"/>
      <c r="AN25" s="1675"/>
      <c r="AO25" s="1675"/>
      <c r="AP25" s="1675"/>
      <c r="AQ25" s="1676"/>
      <c r="AY25" s="642"/>
      <c r="AZ25" s="642"/>
      <c r="BA25" s="42"/>
      <c r="BG25" s="76"/>
      <c r="BR25" s="75"/>
    </row>
    <row r="26" spans="1:80" s="43" customFormat="1" ht="12.75" customHeight="1" x14ac:dyDescent="0.25">
      <c r="A26" s="5">
        <v>1</v>
      </c>
      <c r="B26" s="1672"/>
      <c r="C26" s="1673"/>
      <c r="D26" s="1673"/>
      <c r="E26" s="1673"/>
      <c r="F26" s="1673"/>
      <c r="G26" s="784"/>
      <c r="H26" s="784" t="str">
        <f t="shared" ref="H26:H57" si="0">IFERROR(VLOOKUP(B26,_Interior_Final_Table,2,FALSE),"")</f>
        <v/>
      </c>
      <c r="I26" s="785"/>
      <c r="J26" s="643"/>
      <c r="K26" s="786" t="str">
        <f t="shared" ref="K26:K57" si="1">IFERROR(IF(B26&lt;&gt;"",VLOOKUP(I26,_FixtureList2,2,FALSE)," "),"")</f>
        <v xml:space="preserve"> </v>
      </c>
      <c r="L26" s="906" t="str">
        <f t="shared" ref="L26:L30" si="2">IF(B26="","",IFERROR(J26*K26,0))</f>
        <v/>
      </c>
      <c r="M26" s="842"/>
      <c r="N26" s="888"/>
      <c r="O26" s="121"/>
      <c r="P26" s="1061" t="str">
        <f ca="1">IF($B26="","",IF(AND($N$13=TRUE,OR($AT26="Remains",$AT26="#2",$AT26="Removed")),"NA",VLOOKUP($H26,INDIRECT('9.6 Table'!$P$338),P$11+N$9,FALSE)))</f>
        <v/>
      </c>
      <c r="Q26" s="1062"/>
      <c r="R26" s="876" t="str">
        <f ca="1">IF($B26="","",IF(AND($N$13=TRUE,OR($AT26="Remains",$AT26="#2",$AT26="Removed")),"NA",VLOOKUP($H26,INDIRECT('9.6 Table'!$P$338),R$11+N$9,FALSE)))</f>
        <v/>
      </c>
      <c r="S26" s="1062"/>
      <c r="T26" s="876" t="str">
        <f ca="1">IF($B26="","",IF(AND($N$13=TRUE,OR($AT26="Remains",$AT26="#2",$AT26="Removed")),"NA",VLOOKUP($H26,INDIRECT('9.6 Table'!$P$338),T$11+N$9,FALSE)))</f>
        <v/>
      </c>
      <c r="U26" s="1062"/>
      <c r="V26" s="876" t="str">
        <f ca="1">IF($B26="","",IF(AND($N$13=TRUE,OR($AT26="Remains",$AT26="#2",$AT26="Removed")),"NA",VLOOKUP($H26,INDIRECT('9.6 Table'!$P$338),V$11+N$9,FALSE)))</f>
        <v/>
      </c>
      <c r="W26" s="1062"/>
      <c r="X26" s="876" t="str">
        <f ca="1">IF($B26="","",IF(AND($N$13=TRUE,OR($AT26="Remains",$AT26="#2",$AT26="Removed")),"NA",VLOOKUP($H26,INDIRECT('9.6 Table'!$P$338),X$11+N$9,FALSE)))</f>
        <v/>
      </c>
      <c r="Y26" s="1062"/>
      <c r="Z26" s="876" t="str">
        <f ca="1">IF($B26="","",IF(AND($N$13=TRUE,OR($AT26="Remains",$AT26="#2",$AT26="Removed")),"NA",VLOOKUP($H26,INDIRECT('9.6 Table'!$P$338),Z$11+N$9,FALSE)))</f>
        <v/>
      </c>
      <c r="AA26" s="1062"/>
      <c r="AB26" s="876" t="str">
        <f ca="1">IF($B26="","",IF(AND($N$13=TRUE,OR($AT26="Remains",$AT26="#2",$AT26="Removed")),"NA",VLOOKUP($H26,INDIRECT('9.6 Table'!$P$338),AB$11+N$9,FALSE)))</f>
        <v/>
      </c>
      <c r="AC26" s="1062"/>
      <c r="AD26" s="876" t="str">
        <f ca="1">IF($B26="","",IF(AND($N$13=TRUE,OR($AT26="Remains",$AT26="#2",$AT26="Removed")),"NA",VLOOKUP($H26,INDIRECT('9.6 Table'!$P$338),AD$11+N$9,FALSE)))</f>
        <v/>
      </c>
      <c r="AE26" s="1062"/>
      <c r="AF26" s="876" t="str">
        <f ca="1">IF($B26="","",IF(AND($N$13=TRUE,OR($AT26="Remains",$AT26="#2",$AT26="Removed")),"NA",VLOOKUP($H26,INDIRECT('9.6 Table'!$P$338),AF$11+N$9,FALSE)))</f>
        <v/>
      </c>
      <c r="AG26" s="1062"/>
      <c r="AH26" s="876" t="str">
        <f ca="1">IF($B26="","",IF(AND($N$13=TRUE,OR($AT26="Remains",$AT26="#2",$AT26="Removed")),"NA",VLOOKUP($H26,INDIRECT('9.6 Table'!$P$338),AH$11+N$9,FALSE)))</f>
        <v/>
      </c>
      <c r="AI26" s="1062"/>
      <c r="AJ26" s="876" t="str">
        <f ca="1">IF($B26="","",IF(AND($N$13=TRUE,OR($AT26="Remains",$AT26="#2",$AT26="Removed")),"NA",VLOOKUP($H26,INDIRECT('9.6 Table'!$P$338),AJ$11+N$9,FALSE)))</f>
        <v/>
      </c>
      <c r="AK26" s="1062"/>
      <c r="AL26" s="876" t="str">
        <f ca="1">IF($B26="","",IF(AND($N$13=TRUE,OR($AT26="Remains",$AT26="#2",$AT26="Removed")),"NA",VLOOKUP($H26,INDIRECT('9.6 Table'!$P$338),AL$11+N$9,FALSE)))</f>
        <v/>
      </c>
      <c r="AM26" s="1062"/>
      <c r="AN26" s="876" t="str">
        <f ca="1">IF($B26="","",IF(AND($N$13=TRUE,OR($AT26="Remains",$AT26="#2",$AT26="Removed")),"NA",VLOOKUP($H26,INDIRECT('9.6 Table'!$P$338),AN$11+N$9,FALSE)))</f>
        <v/>
      </c>
      <c r="AO26" s="1063"/>
      <c r="AP26" s="770"/>
      <c r="AQ26" s="920" t="str">
        <f t="shared" ref="AQ26:AQ57" si="3">IF(B26="","",IF(BX26=$BX$23,"Compliant","Incomplete"))</f>
        <v/>
      </c>
      <c r="AT26" s="481" t="str">
        <f t="shared" ref="AT26:AT57" si="4">IFERROR(IF(N26="Existing Remains","Remains",IF(N26="Existing Removed","Removed","New")),"None")</f>
        <v>New</v>
      </c>
      <c r="AX26" s="737" t="str">
        <f ca="1">VLOOKUP(H26,'SpxSp (step-a)'!H$22:AB$71,21,FALSE)</f>
        <v/>
      </c>
      <c r="AY26" s="736">
        <f>IFERROR(IF(OR(AP26="",AP26=0),0,HLOOKUP(AX26,'9.6.3 Table'!$D$4:$H$9,1+AP26,FALSE)),0)</f>
        <v>0</v>
      </c>
      <c r="AZ26" s="363">
        <f t="shared" ref="AZ26:AZ57" si="5">IFERROR(IF(L26&lt;&gt;" ",AY26*L26," "),0)</f>
        <v>0</v>
      </c>
      <c r="BA26" s="42"/>
      <c r="BB26" s="43" t="str">
        <f t="shared" ref="BB26:BB57" si="6">IF(B26="","",IFERROR(I26,""))</f>
        <v/>
      </c>
      <c r="BC26" s="43" t="str">
        <f t="shared" ref="BC26:BC57" si="7">IF(B26="","",CONCATENATE("(",J26,") ",BB26," @ ",K26," watts each (",N26,")",CHAR(10)))</f>
        <v/>
      </c>
      <c r="BH26" s="326">
        <f t="shared" ref="BH26:BH57" si="8">IF(B26&lt;&gt;"",1,0)</f>
        <v>0</v>
      </c>
      <c r="BI26" s="326">
        <f t="shared" ref="BI26:BI57" si="9">IF(AP26&lt;&gt;"",1,0)</f>
        <v>0</v>
      </c>
      <c r="BJ26" s="326">
        <f t="shared" ref="BJ26:BJ57" si="10">IF($B26="",0,IF(P26="NA",1,IF(Q26&lt;&gt;"",1,0)))</f>
        <v>0</v>
      </c>
      <c r="BK26" s="537">
        <f t="shared" ref="BK26:BK57" si="11">IF($B26="",0,IF(R26="NA",1,IF(S26&lt;&gt;"",1,0)))</f>
        <v>0</v>
      </c>
      <c r="BL26" s="537">
        <f t="shared" ref="BL26:BL57" si="12">IF($B26="",0,IF(T26="NA",1,IF(U26&lt;&gt;"",1,0)))</f>
        <v>0</v>
      </c>
      <c r="BM26" s="537">
        <f t="shared" ref="BM26:BM57" si="13">IF($B26="",0,IF(V26="NA",1,IF(W26&lt;&gt;"",1,0)))</f>
        <v>0</v>
      </c>
      <c r="BN26" s="537">
        <f t="shared" ref="BN26:BN57" si="14">IF($B26="",0,IF(X26="NA",1,IF(Y26&lt;&gt;"",1,0)))</f>
        <v>0</v>
      </c>
      <c r="BO26" s="537">
        <f t="shared" ref="BO26:BO57" si="15">IF($B26="",0,IF(Z26="NA",1,IF(AA26&lt;&gt;"",1,0)))</f>
        <v>0</v>
      </c>
      <c r="BP26" s="537">
        <f t="shared" ref="BP26:BP57" si="16">IF($B26="",0,IF(AB26="NA",1,IF(AC26&lt;&gt;"",1,0)))</f>
        <v>0</v>
      </c>
      <c r="BQ26" s="537">
        <f t="shared" ref="BQ26:BQ57" si="17">IF($B26="",0,IF(AD26="NA",1,IF(AE26&lt;&gt;"",1,0)))</f>
        <v>0</v>
      </c>
      <c r="BR26" s="537">
        <f t="shared" ref="BR26:BR57" si="18">IF($B26="",0,IF(AF26="NA",1,IF(AG26&lt;&gt;"",1,0)))</f>
        <v>0</v>
      </c>
      <c r="BS26" s="537">
        <f t="shared" ref="BS26:BS57" si="19">IF($B26="",0,IF(AH26="NA",1,IF(AI26&lt;&gt;"",1,0)))</f>
        <v>0</v>
      </c>
      <c r="BT26" s="627">
        <f t="shared" ref="BT26:BT57" si="20">IF($B26="",0,IF(AJ26="NA",1,IF(AK26&lt;&gt;"",1,0)))</f>
        <v>0</v>
      </c>
      <c r="BU26" s="627">
        <f t="shared" ref="BU26:BU57" si="21">IF($B26="",0,IF(AL26="NA",1,IF(AM26&lt;&gt;"",1,0)))</f>
        <v>0</v>
      </c>
      <c r="BV26" s="627">
        <f t="shared" ref="BV26:BV57" si="22">IF($B26="",0,IF(AN26="NA",1,IF(AO26&lt;&gt;"",1,0)))</f>
        <v>0</v>
      </c>
      <c r="BW26" s="627"/>
      <c r="BX26" s="537">
        <f>SUM(BJ26:BV26)</f>
        <v>0</v>
      </c>
      <c r="BY26" s="627"/>
      <c r="BZ26" s="737">
        <v>1</v>
      </c>
      <c r="CA26" s="737" t="s">
        <v>1039</v>
      </c>
      <c r="CB26" s="730">
        <f>ROW()</f>
        <v>26</v>
      </c>
    </row>
    <row r="27" spans="1:80" s="43" customFormat="1" ht="12.75" customHeight="1" x14ac:dyDescent="0.2">
      <c r="A27" s="5">
        <v>2</v>
      </c>
      <c r="B27" s="1670"/>
      <c r="C27" s="1671"/>
      <c r="D27" s="1671"/>
      <c r="E27" s="1671"/>
      <c r="F27" s="1671"/>
      <c r="G27" s="784"/>
      <c r="H27" s="784" t="str">
        <f t="shared" si="0"/>
        <v/>
      </c>
      <c r="I27" s="785"/>
      <c r="J27" s="643"/>
      <c r="K27" s="786" t="str">
        <f t="shared" si="1"/>
        <v xml:space="preserve"> </v>
      </c>
      <c r="L27" s="906" t="str">
        <f t="shared" si="2"/>
        <v/>
      </c>
      <c r="M27" s="794"/>
      <c r="N27" s="913"/>
      <c r="O27" s="121"/>
      <c r="P27" s="919" t="str">
        <f ca="1">IF($B27="","",IF(AND($N$13=TRUE,OR($AT27="Remains",$AT27="#2",$AT27="Removed")),"NA",VLOOKUP($H27,INDIRECT('9.6 Table'!$P$338),P$11+N$9,FALSE)))</f>
        <v/>
      </c>
      <c r="Q27" s="767"/>
      <c r="R27" s="768" t="str">
        <f ca="1">IF($B27="","",IF(AND($N$13=TRUE,OR($AT27="Remains",$AT27="#2",$AT27="Removed")),"NA",VLOOKUP($H27,INDIRECT('9.6 Table'!$P$338),R$11+N$9,FALSE)))</f>
        <v/>
      </c>
      <c r="S27" s="767"/>
      <c r="T27" s="768" t="str">
        <f ca="1">IF($B27="","",IF(AND($N$13=TRUE,OR($AT27="Remains",$AT27="#2",$AT27="Removed")),"NA",VLOOKUP($H27,INDIRECT('9.6 Table'!$P$338),T$11+N$9,FALSE)))</f>
        <v/>
      </c>
      <c r="U27" s="767"/>
      <c r="V27" s="768" t="str">
        <f ca="1">IF($B27="","",IF(AND($N$13=TRUE,OR($AT27="Remains",$AT27="#2",$AT27="Removed")),"NA",VLOOKUP($H27,INDIRECT('9.6 Table'!$P$338),V$11+N$9,FALSE)))</f>
        <v/>
      </c>
      <c r="W27" s="767"/>
      <c r="X27" s="768" t="str">
        <f ca="1">IF($B27="","",IF(AND($N$13=TRUE,OR($AT27="Remains",$AT27="#2",$AT27="Removed")),"NA",VLOOKUP($H27,INDIRECT('9.6 Table'!$P$338),X$11+N$9,FALSE)))</f>
        <v/>
      </c>
      <c r="Y27" s="767"/>
      <c r="Z27" s="768" t="str">
        <f ca="1">IF($B27="","",IF(AND($N$13=TRUE,OR($AT27="Remains",$AT27="#2",$AT27="Removed")),"NA",VLOOKUP($H27,INDIRECT('9.6 Table'!$P$338),Z$11+N$9,FALSE)))</f>
        <v/>
      </c>
      <c r="AA27" s="767"/>
      <c r="AB27" s="768" t="str">
        <f ca="1">IF($B27="","",IF(AND($N$13=TRUE,OR($AT27="Remains",$AT27="#2",$AT27="Removed")),"NA",VLOOKUP($H27,INDIRECT('9.6 Table'!$P$338),AB$11+N$9,FALSE)))</f>
        <v/>
      </c>
      <c r="AC27" s="767"/>
      <c r="AD27" s="768" t="str">
        <f ca="1">IF($B27="","",IF(AND($N$13=TRUE,OR($AT27="Remains",$AT27="#2",$AT27="Removed")),"NA",VLOOKUP($H27,INDIRECT('9.6 Table'!$P$338),AD$11+N$9,FALSE)))</f>
        <v/>
      </c>
      <c r="AE27" s="767"/>
      <c r="AF27" s="768" t="str">
        <f ca="1">IF($B27="","",IF(AND($N$13=TRUE,OR($AT27="Remains",$AT27="#2",$AT27="Removed")),"NA",VLOOKUP($H27,INDIRECT('9.6 Table'!$P$338),AF$11+N$9,FALSE)))</f>
        <v/>
      </c>
      <c r="AG27" s="767"/>
      <c r="AH27" s="768" t="str">
        <f ca="1">IF($B27="","",IF(AND($N$13=TRUE,OR($AT27="Remains",$AT27="#2",$AT27="Removed")),"NA",VLOOKUP($H27,INDIRECT('9.6 Table'!$P$338),AH$11+N$9,FALSE)))</f>
        <v/>
      </c>
      <c r="AI27" s="767"/>
      <c r="AJ27" s="768" t="str">
        <f ca="1">IF($B27="","",IF(AND($N$13=TRUE,OR($AT27="Remains",$AT27="#2",$AT27="Removed")),"NA",VLOOKUP($H27,INDIRECT('9.6 Table'!$P$338),AJ$11+N$9,FALSE)))</f>
        <v/>
      </c>
      <c r="AK27" s="767"/>
      <c r="AL27" s="768" t="str">
        <f ca="1">IF($B27="","",IF(AND($N$13=TRUE,OR($AT27="Remains",$AT27="#2",$AT27="Removed")),"NA",VLOOKUP($H27,INDIRECT('9.6 Table'!$P$338),AL$11+N$9,FALSE)))</f>
        <v/>
      </c>
      <c r="AM27" s="767"/>
      <c r="AN27" s="768" t="str">
        <f ca="1">IF($B27="","",IF(AND($N$13=TRUE,OR($AT27="Remains",$AT27="#2",$AT27="Removed")),"NA",VLOOKUP($H27,INDIRECT('9.6 Table'!$P$338),AN$11+N$9,FALSE)))</f>
        <v/>
      </c>
      <c r="AO27" s="764"/>
      <c r="AP27" s="770"/>
      <c r="AQ27" s="921" t="str">
        <f t="shared" si="3"/>
        <v/>
      </c>
      <c r="AT27" s="730" t="str">
        <f t="shared" si="4"/>
        <v>New</v>
      </c>
      <c r="AX27" s="737" t="str">
        <f ca="1">VLOOKUP(H27,'SpxSp (step-a)'!H$22:AB$71,21,FALSE)</f>
        <v/>
      </c>
      <c r="AY27" s="736">
        <f>IFERROR(IF(OR(AP27="",AP27=0),0,HLOOKUP(AX27,'9.6.3 Table'!$D$4:$H$9,1+AP27,FALSE)),0)</f>
        <v>0</v>
      </c>
      <c r="AZ27" s="482">
        <f t="shared" si="5"/>
        <v>0</v>
      </c>
      <c r="BA27" s="327"/>
      <c r="BB27" s="43" t="str">
        <f t="shared" si="6"/>
        <v/>
      </c>
      <c r="BC27" s="43" t="str">
        <f t="shared" si="7"/>
        <v/>
      </c>
      <c r="BH27" s="326">
        <f t="shared" si="8"/>
        <v>0</v>
      </c>
      <c r="BI27" s="326">
        <f t="shared" si="9"/>
        <v>0</v>
      </c>
      <c r="BJ27" s="627">
        <f t="shared" si="10"/>
        <v>0</v>
      </c>
      <c r="BK27" s="627">
        <f t="shared" si="11"/>
        <v>0</v>
      </c>
      <c r="BL27" s="627">
        <f t="shared" si="12"/>
        <v>0</v>
      </c>
      <c r="BM27" s="627">
        <f t="shared" si="13"/>
        <v>0</v>
      </c>
      <c r="BN27" s="627">
        <f t="shared" si="14"/>
        <v>0</v>
      </c>
      <c r="BO27" s="627">
        <f t="shared" si="15"/>
        <v>0</v>
      </c>
      <c r="BP27" s="627">
        <f t="shared" si="16"/>
        <v>0</v>
      </c>
      <c r="BQ27" s="627">
        <f t="shared" si="17"/>
        <v>0</v>
      </c>
      <c r="BR27" s="627">
        <f t="shared" si="18"/>
        <v>0</v>
      </c>
      <c r="BS27" s="627">
        <f t="shared" si="19"/>
        <v>0</v>
      </c>
      <c r="BT27" s="627">
        <f t="shared" si="20"/>
        <v>0</v>
      </c>
      <c r="BU27" s="627">
        <f t="shared" si="21"/>
        <v>0</v>
      </c>
      <c r="BV27" s="627">
        <f t="shared" si="22"/>
        <v>0</v>
      </c>
      <c r="BW27" s="627"/>
      <c r="BX27" s="627">
        <f t="shared" ref="BX27:BX75" si="23">SUM(BJ27:BV27)</f>
        <v>0</v>
      </c>
      <c r="BZ27" s="737">
        <v>2</v>
      </c>
      <c r="CA27" s="737" t="s">
        <v>1040</v>
      </c>
      <c r="CB27" s="730">
        <f>ROW()</f>
        <v>27</v>
      </c>
    </row>
    <row r="28" spans="1:80" s="43" customFormat="1" ht="12.75" customHeight="1" x14ac:dyDescent="0.2">
      <c r="A28" s="5">
        <v>3</v>
      </c>
      <c r="B28" s="1670"/>
      <c r="C28" s="1671"/>
      <c r="D28" s="1671"/>
      <c r="E28" s="1671"/>
      <c r="F28" s="1671"/>
      <c r="G28" s="784"/>
      <c r="H28" s="784" t="str">
        <f t="shared" si="0"/>
        <v/>
      </c>
      <c r="I28" s="785"/>
      <c r="J28" s="643"/>
      <c r="K28" s="786" t="str">
        <f t="shared" si="1"/>
        <v xml:space="preserve"> </v>
      </c>
      <c r="L28" s="906" t="str">
        <f t="shared" si="2"/>
        <v/>
      </c>
      <c r="M28" s="794"/>
      <c r="N28" s="913"/>
      <c r="O28" s="121"/>
      <c r="P28" s="919" t="str">
        <f ca="1">IF($B28="","",IF(AND($N$13=TRUE,OR($AT28="Remains",$AT28="#2",$AT28="Removed")),"NA",VLOOKUP($H28,INDIRECT('9.6 Table'!$P$338),P$11+N$9,FALSE)))</f>
        <v/>
      </c>
      <c r="Q28" s="767"/>
      <c r="R28" s="768" t="str">
        <f ca="1">IF($B28="","",IF(AND($N$13=TRUE,OR($AT28="Remains",$AT28="#2",$AT28="Removed")),"NA",VLOOKUP($H28,INDIRECT('9.6 Table'!$P$338),R$11+N$9,FALSE)))</f>
        <v/>
      </c>
      <c r="S28" s="767"/>
      <c r="T28" s="768" t="str">
        <f ca="1">IF($B28="","",IF(AND($N$13=TRUE,OR($AT28="Remains",$AT28="#2",$AT28="Removed")),"NA",VLOOKUP($H28,INDIRECT('9.6 Table'!$P$338),T$11+N$9,FALSE)))</f>
        <v/>
      </c>
      <c r="U28" s="767"/>
      <c r="V28" s="768" t="str">
        <f ca="1">IF($B28="","",IF(AND($N$13=TRUE,OR($AT28="Remains",$AT28="#2",$AT28="Removed")),"NA",VLOOKUP($H28,INDIRECT('9.6 Table'!$P$338),V$11+N$9,FALSE)))</f>
        <v/>
      </c>
      <c r="W28" s="767"/>
      <c r="X28" s="768" t="str">
        <f ca="1">IF($B28="","",IF(AND($N$13=TRUE,OR($AT28="Remains",$AT28="#2",$AT28="Removed")),"NA",VLOOKUP($H28,INDIRECT('9.6 Table'!$P$338),X$11+N$9,FALSE)))</f>
        <v/>
      </c>
      <c r="Y28" s="767"/>
      <c r="Z28" s="768" t="str">
        <f ca="1">IF($B28="","",IF(AND($N$13=TRUE,OR($AT28="Remains",$AT28="#2",$AT28="Removed")),"NA",VLOOKUP($H28,INDIRECT('9.6 Table'!$P$338),Z$11+N$9,FALSE)))</f>
        <v/>
      </c>
      <c r="AA28" s="767"/>
      <c r="AB28" s="768" t="str">
        <f ca="1">IF($B28="","",IF(AND($N$13=TRUE,OR($AT28="Remains",$AT28="#2",$AT28="Removed")),"NA",VLOOKUP($H28,INDIRECT('9.6 Table'!$P$338),AB$11+N$9,FALSE)))</f>
        <v/>
      </c>
      <c r="AC28" s="767"/>
      <c r="AD28" s="768" t="str">
        <f ca="1">IF($B28="","",IF(AND($N$13=TRUE,OR($AT28="Remains",$AT28="#2",$AT28="Removed")),"NA",VLOOKUP($H28,INDIRECT('9.6 Table'!$P$338),AD$11+N$9,FALSE)))</f>
        <v/>
      </c>
      <c r="AE28" s="767"/>
      <c r="AF28" s="768" t="str">
        <f ca="1">IF($B28="","",IF(AND($N$13=TRUE,OR($AT28="Remains",$AT28="#2",$AT28="Removed")),"NA",VLOOKUP($H28,INDIRECT('9.6 Table'!$P$338),AF$11+N$9,FALSE)))</f>
        <v/>
      </c>
      <c r="AG28" s="767"/>
      <c r="AH28" s="768" t="str">
        <f ca="1">IF($B28="","",IF(AND($N$13=TRUE,OR($AT28="Remains",$AT28="#2",$AT28="Removed")),"NA",VLOOKUP($H28,INDIRECT('9.6 Table'!$P$338),AH$11+N$9,FALSE)))</f>
        <v/>
      </c>
      <c r="AI28" s="767"/>
      <c r="AJ28" s="768" t="str">
        <f ca="1">IF($B28="","",IF(AND($N$13=TRUE,OR($AT28="Remains",$AT28="#2",$AT28="Removed")),"NA",VLOOKUP($H28,INDIRECT('9.6 Table'!$P$338),AJ$11+N$9,FALSE)))</f>
        <v/>
      </c>
      <c r="AK28" s="767"/>
      <c r="AL28" s="768" t="str">
        <f ca="1">IF($B28="","",IF(AND($N$13=TRUE,OR($AT28="Remains",$AT28="#2",$AT28="Removed")),"NA",VLOOKUP($H28,INDIRECT('9.6 Table'!$P$338),AL$11+N$9,FALSE)))</f>
        <v/>
      </c>
      <c r="AM28" s="767"/>
      <c r="AN28" s="768" t="str">
        <f ca="1">IF($B28="","",IF(AND($N$13=TRUE,OR($AT28="Remains",$AT28="#2",$AT28="Removed")),"NA",VLOOKUP($H28,INDIRECT('9.6 Table'!$P$338),AN$11+N$9,FALSE)))</f>
        <v/>
      </c>
      <c r="AO28" s="764"/>
      <c r="AP28" s="770"/>
      <c r="AQ28" s="921" t="str">
        <f t="shared" si="3"/>
        <v/>
      </c>
      <c r="AT28" s="730" t="str">
        <f t="shared" si="4"/>
        <v>New</v>
      </c>
      <c r="AX28" s="737" t="str">
        <f ca="1">VLOOKUP(H28,'SpxSp (step-a)'!H$22:AB$71,21,FALSE)</f>
        <v/>
      </c>
      <c r="AY28" s="736">
        <f>IFERROR(IF(OR(AP28="",AP28=0),0,HLOOKUP(AX28,'9.6.3 Table'!$D$4:$H$9,1+AP28,FALSE)),0)</f>
        <v>0</v>
      </c>
      <c r="AZ28" s="482">
        <f t="shared" si="5"/>
        <v>0</v>
      </c>
      <c r="BA28" s="327"/>
      <c r="BB28" s="43" t="str">
        <f t="shared" si="6"/>
        <v/>
      </c>
      <c r="BC28" s="43" t="str">
        <f t="shared" si="7"/>
        <v/>
      </c>
      <c r="BH28" s="326">
        <f t="shared" si="8"/>
        <v>0</v>
      </c>
      <c r="BI28" s="326">
        <f t="shared" si="9"/>
        <v>0</v>
      </c>
      <c r="BJ28" s="627">
        <f t="shared" si="10"/>
        <v>0</v>
      </c>
      <c r="BK28" s="627">
        <f t="shared" si="11"/>
        <v>0</v>
      </c>
      <c r="BL28" s="627">
        <f t="shared" si="12"/>
        <v>0</v>
      </c>
      <c r="BM28" s="627">
        <f t="shared" si="13"/>
        <v>0</v>
      </c>
      <c r="BN28" s="627">
        <f t="shared" si="14"/>
        <v>0</v>
      </c>
      <c r="BO28" s="627">
        <f t="shared" si="15"/>
        <v>0</v>
      </c>
      <c r="BP28" s="627">
        <f t="shared" si="16"/>
        <v>0</v>
      </c>
      <c r="BQ28" s="627">
        <f t="shared" si="17"/>
        <v>0</v>
      </c>
      <c r="BR28" s="627">
        <f t="shared" si="18"/>
        <v>0</v>
      </c>
      <c r="BS28" s="627">
        <f t="shared" si="19"/>
        <v>0</v>
      </c>
      <c r="BT28" s="627">
        <f t="shared" si="20"/>
        <v>0</v>
      </c>
      <c r="BU28" s="627">
        <f t="shared" si="21"/>
        <v>0</v>
      </c>
      <c r="BV28" s="627">
        <f t="shared" si="22"/>
        <v>0</v>
      </c>
      <c r="BW28" s="627"/>
      <c r="BX28" s="627">
        <f t="shared" si="23"/>
        <v>0</v>
      </c>
      <c r="BZ28" s="737">
        <v>3</v>
      </c>
      <c r="CA28" s="737" t="s">
        <v>1041</v>
      </c>
      <c r="CB28" s="730">
        <f>ROW()</f>
        <v>28</v>
      </c>
    </row>
    <row r="29" spans="1:80" s="43" customFormat="1" ht="12.75" customHeight="1" x14ac:dyDescent="0.2">
      <c r="A29" s="5">
        <v>4</v>
      </c>
      <c r="B29" s="1670"/>
      <c r="C29" s="1671"/>
      <c r="D29" s="1671"/>
      <c r="E29" s="1671"/>
      <c r="F29" s="1671"/>
      <c r="G29" s="784"/>
      <c r="H29" s="784" t="str">
        <f t="shared" si="0"/>
        <v/>
      </c>
      <c r="I29" s="785"/>
      <c r="J29" s="643"/>
      <c r="K29" s="786" t="str">
        <f t="shared" si="1"/>
        <v xml:space="preserve"> </v>
      </c>
      <c r="L29" s="906" t="str">
        <f t="shared" si="2"/>
        <v/>
      </c>
      <c r="M29" s="794"/>
      <c r="N29" s="913"/>
      <c r="O29" s="121"/>
      <c r="P29" s="919" t="str">
        <f ca="1">IF($B29="","",IF(AND($N$13=TRUE,OR($AT29="Remains",$AT29="#2",$AT29="Removed")),"NA",VLOOKUP($H29,INDIRECT('9.6 Table'!$P$338),P$11+N$9,FALSE)))</f>
        <v/>
      </c>
      <c r="Q29" s="767"/>
      <c r="R29" s="768" t="str">
        <f ca="1">IF($B29="","",IF(AND($N$13=TRUE,OR($AT29="Remains",$AT29="#2",$AT29="Removed")),"NA",VLOOKUP($H29,INDIRECT('9.6 Table'!$P$338),R$11+N$9,FALSE)))</f>
        <v/>
      </c>
      <c r="S29" s="767"/>
      <c r="T29" s="768" t="str">
        <f ca="1">IF($B29="","",IF(AND($N$13=TRUE,OR($AT29="Remains",$AT29="#2",$AT29="Removed")),"NA",VLOOKUP($H29,INDIRECT('9.6 Table'!$P$338),T$11+N$9,FALSE)))</f>
        <v/>
      </c>
      <c r="U29" s="767"/>
      <c r="V29" s="768" t="str">
        <f ca="1">IF($B29="","",IF(AND($N$13=TRUE,OR($AT29="Remains",$AT29="#2",$AT29="Removed")),"NA",VLOOKUP($H29,INDIRECT('9.6 Table'!$P$338),V$11+N$9,FALSE)))</f>
        <v/>
      </c>
      <c r="W29" s="767"/>
      <c r="X29" s="768" t="str">
        <f ca="1">IF($B29="","",IF(AND($N$13=TRUE,OR($AT29="Remains",$AT29="#2",$AT29="Removed")),"NA",VLOOKUP($H29,INDIRECT('9.6 Table'!$P$338),X$11+N$9,FALSE)))</f>
        <v/>
      </c>
      <c r="Y29" s="767"/>
      <c r="Z29" s="768" t="str">
        <f ca="1">IF($B29="","",IF(AND($N$13=TRUE,OR($AT29="Remains",$AT29="#2",$AT29="Removed")),"NA",VLOOKUP($H29,INDIRECT('9.6 Table'!$P$338),Z$11+N$9,FALSE)))</f>
        <v/>
      </c>
      <c r="AA29" s="767"/>
      <c r="AB29" s="768" t="str">
        <f ca="1">IF($B29="","",IF(AND($N$13=TRUE,OR($AT29="Remains",$AT29="#2",$AT29="Removed")),"NA",VLOOKUP($H29,INDIRECT('9.6 Table'!$P$338),AB$11+N$9,FALSE)))</f>
        <v/>
      </c>
      <c r="AC29" s="767"/>
      <c r="AD29" s="768" t="str">
        <f ca="1">IF($B29="","",IF(AND($N$13=TRUE,OR($AT29="Remains",$AT29="#2",$AT29="Removed")),"NA",VLOOKUP($H29,INDIRECT('9.6 Table'!$P$338),AD$11+N$9,FALSE)))</f>
        <v/>
      </c>
      <c r="AE29" s="767"/>
      <c r="AF29" s="768" t="str">
        <f ca="1">IF($B29="","",IF(AND($N$13=TRUE,OR($AT29="Remains",$AT29="#2",$AT29="Removed")),"NA",VLOOKUP($H29,INDIRECT('9.6 Table'!$P$338),AF$11+N$9,FALSE)))</f>
        <v/>
      </c>
      <c r="AG29" s="767"/>
      <c r="AH29" s="768" t="str">
        <f ca="1">IF($B29="","",IF(AND($N$13=TRUE,OR($AT29="Remains",$AT29="#2",$AT29="Removed")),"NA",VLOOKUP($H29,INDIRECT('9.6 Table'!$P$338),AH$11+N$9,FALSE)))</f>
        <v/>
      </c>
      <c r="AI29" s="767"/>
      <c r="AJ29" s="768" t="str">
        <f ca="1">IF($B29="","",IF(AND($N$13=TRUE,OR($AT29="Remains",$AT29="#2",$AT29="Removed")),"NA",VLOOKUP($H29,INDIRECT('9.6 Table'!$P$338),AJ$11+N$9,FALSE)))</f>
        <v/>
      </c>
      <c r="AK29" s="767"/>
      <c r="AL29" s="768" t="str">
        <f ca="1">IF($B29="","",IF(AND($N$13=TRUE,OR($AT29="Remains",$AT29="#2",$AT29="Removed")),"NA",VLOOKUP($H29,INDIRECT('9.6 Table'!$P$338),AL$11+N$9,FALSE)))</f>
        <v/>
      </c>
      <c r="AM29" s="767"/>
      <c r="AN29" s="768" t="str">
        <f ca="1">IF($B29="","",IF(AND($N$13=TRUE,OR($AT29="Remains",$AT29="#2",$AT29="Removed")),"NA",VLOOKUP($H29,INDIRECT('9.6 Table'!$P$338),AN$11+N$9,FALSE)))</f>
        <v/>
      </c>
      <c r="AO29" s="764"/>
      <c r="AP29" s="770"/>
      <c r="AQ29" s="921" t="str">
        <f t="shared" si="3"/>
        <v/>
      </c>
      <c r="AT29" s="730" t="str">
        <f t="shared" si="4"/>
        <v>New</v>
      </c>
      <c r="AX29" s="737" t="str">
        <f ca="1">VLOOKUP(H29,'SpxSp (step-a)'!H$22:AB$71,21,FALSE)</f>
        <v/>
      </c>
      <c r="AY29" s="736">
        <f>IFERROR(IF(OR(AP29="",AP29=0),0,HLOOKUP(AX29,'9.6.3 Table'!$D$4:$H$9,1+AP29,FALSE)),0)</f>
        <v>0</v>
      </c>
      <c r="AZ29" s="482">
        <f t="shared" si="5"/>
        <v>0</v>
      </c>
      <c r="BA29" s="327"/>
      <c r="BB29" s="43" t="str">
        <f t="shared" si="6"/>
        <v/>
      </c>
      <c r="BC29" s="43" t="str">
        <f t="shared" si="7"/>
        <v/>
      </c>
      <c r="BH29" s="326">
        <f t="shared" si="8"/>
        <v>0</v>
      </c>
      <c r="BI29" s="326">
        <f t="shared" si="9"/>
        <v>0</v>
      </c>
      <c r="BJ29" s="627">
        <f t="shared" si="10"/>
        <v>0</v>
      </c>
      <c r="BK29" s="627">
        <f t="shared" si="11"/>
        <v>0</v>
      </c>
      <c r="BL29" s="627">
        <f t="shared" si="12"/>
        <v>0</v>
      </c>
      <c r="BM29" s="627">
        <f t="shared" si="13"/>
        <v>0</v>
      </c>
      <c r="BN29" s="627">
        <f t="shared" si="14"/>
        <v>0</v>
      </c>
      <c r="BO29" s="627">
        <f t="shared" si="15"/>
        <v>0</v>
      </c>
      <c r="BP29" s="627">
        <f t="shared" si="16"/>
        <v>0</v>
      </c>
      <c r="BQ29" s="627">
        <f t="shared" si="17"/>
        <v>0</v>
      </c>
      <c r="BR29" s="627">
        <f t="shared" si="18"/>
        <v>0</v>
      </c>
      <c r="BS29" s="627">
        <f t="shared" si="19"/>
        <v>0</v>
      </c>
      <c r="BT29" s="627">
        <f t="shared" si="20"/>
        <v>0</v>
      </c>
      <c r="BU29" s="627">
        <f t="shared" si="21"/>
        <v>0</v>
      </c>
      <c r="BV29" s="627">
        <f t="shared" si="22"/>
        <v>0</v>
      </c>
      <c r="BW29" s="627"/>
      <c r="BX29" s="627">
        <f t="shared" si="23"/>
        <v>0</v>
      </c>
      <c r="BZ29" s="737">
        <v>4</v>
      </c>
      <c r="CA29" s="737" t="s">
        <v>1042</v>
      </c>
      <c r="CB29" s="730">
        <f>ROW()</f>
        <v>29</v>
      </c>
    </row>
    <row r="30" spans="1:80" s="43" customFormat="1" ht="12.75" customHeight="1" x14ac:dyDescent="0.2">
      <c r="A30" s="5">
        <v>5</v>
      </c>
      <c r="B30" s="1670"/>
      <c r="C30" s="1671"/>
      <c r="D30" s="1671"/>
      <c r="E30" s="1671"/>
      <c r="F30" s="1671"/>
      <c r="G30" s="784"/>
      <c r="H30" s="784" t="str">
        <f t="shared" si="0"/>
        <v/>
      </c>
      <c r="I30" s="785"/>
      <c r="J30" s="643"/>
      <c r="K30" s="786" t="str">
        <f t="shared" si="1"/>
        <v xml:space="preserve"> </v>
      </c>
      <c r="L30" s="906" t="str">
        <f t="shared" si="2"/>
        <v/>
      </c>
      <c r="M30" s="794"/>
      <c r="N30" s="913"/>
      <c r="O30" s="121"/>
      <c r="P30" s="919" t="str">
        <f ca="1">IF($B30="","",IF(AND($N$13=TRUE,OR($AT30="Remains",$AT30="#2",$AT30="Removed")),"NA",VLOOKUP($H30,INDIRECT('9.6 Table'!$P$338),P$11+N$9,FALSE)))</f>
        <v/>
      </c>
      <c r="Q30" s="767"/>
      <c r="R30" s="768" t="str">
        <f ca="1">IF($B30="","",IF(AND($N$13=TRUE,OR($AT30="Remains",$AT30="#2",$AT30="Removed")),"NA",VLOOKUP($H30,INDIRECT('9.6 Table'!$P$338),R$11+N$9,FALSE)))</f>
        <v/>
      </c>
      <c r="S30" s="767"/>
      <c r="T30" s="768" t="str">
        <f ca="1">IF($B30="","",IF(AND($N$13=TRUE,OR($AT30="Remains",$AT30="#2",$AT30="Removed")),"NA",VLOOKUP($H30,INDIRECT('9.6 Table'!$P$338),T$11+N$9,FALSE)))</f>
        <v/>
      </c>
      <c r="U30" s="767"/>
      <c r="V30" s="768" t="str">
        <f ca="1">IF($B30="","",IF(AND($N$13=TRUE,OR($AT30="Remains",$AT30="#2",$AT30="Removed")),"NA",VLOOKUP($H30,INDIRECT('9.6 Table'!$P$338),V$11+N$9,FALSE)))</f>
        <v/>
      </c>
      <c r="W30" s="767"/>
      <c r="X30" s="768" t="str">
        <f ca="1">IF($B30="","",IF(AND($N$13=TRUE,OR($AT30="Remains",$AT30="#2",$AT30="Removed")),"NA",VLOOKUP($H30,INDIRECT('9.6 Table'!$P$338),X$11+N$9,FALSE)))</f>
        <v/>
      </c>
      <c r="Y30" s="767"/>
      <c r="Z30" s="768" t="str">
        <f ca="1">IF($B30="","",IF(AND($N$13=TRUE,OR($AT30="Remains",$AT30="#2",$AT30="Removed")),"NA",VLOOKUP($H30,INDIRECT('9.6 Table'!$P$338),Z$11+N$9,FALSE)))</f>
        <v/>
      </c>
      <c r="AA30" s="767"/>
      <c r="AB30" s="768" t="str">
        <f ca="1">IF($B30="","",IF(AND($N$13=TRUE,OR($AT30="Remains",$AT30="#2",$AT30="Removed")),"NA",VLOOKUP($H30,INDIRECT('9.6 Table'!$P$338),AB$11+N$9,FALSE)))</f>
        <v/>
      </c>
      <c r="AC30" s="767"/>
      <c r="AD30" s="768" t="str">
        <f ca="1">IF($B30="","",IF(AND($N$13=TRUE,OR($AT30="Remains",$AT30="#2",$AT30="Removed")),"NA",VLOOKUP($H30,INDIRECT('9.6 Table'!$P$338),AD$11+N$9,FALSE)))</f>
        <v/>
      </c>
      <c r="AE30" s="767"/>
      <c r="AF30" s="768" t="str">
        <f ca="1">IF($B30="","",IF(AND($N$13=TRUE,OR($AT30="Remains",$AT30="#2",$AT30="Removed")),"NA",VLOOKUP($H30,INDIRECT('9.6 Table'!$P$338),AF$11+N$9,FALSE)))</f>
        <v/>
      </c>
      <c r="AG30" s="767"/>
      <c r="AH30" s="768" t="str">
        <f ca="1">IF($B30="","",IF(AND($N$13=TRUE,OR($AT30="Remains",$AT30="#2",$AT30="Removed")),"NA",VLOOKUP($H30,INDIRECT('9.6 Table'!$P$338),AH$11+N$9,FALSE)))</f>
        <v/>
      </c>
      <c r="AI30" s="767"/>
      <c r="AJ30" s="768" t="str">
        <f ca="1">IF($B30="","",IF(AND($N$13=TRUE,OR($AT30="Remains",$AT30="#2",$AT30="Removed")),"NA",VLOOKUP($H30,INDIRECT('9.6 Table'!$P$338),AJ$11+N$9,FALSE)))</f>
        <v/>
      </c>
      <c r="AK30" s="767"/>
      <c r="AL30" s="768" t="str">
        <f ca="1">IF($B30="","",IF(AND($N$13=TRUE,OR($AT30="Remains",$AT30="#2",$AT30="Removed")),"NA",VLOOKUP($H30,INDIRECT('9.6 Table'!$P$338),AL$11+N$9,FALSE)))</f>
        <v/>
      </c>
      <c r="AM30" s="767"/>
      <c r="AN30" s="768" t="str">
        <f ca="1">IF($B30="","",IF(AND($N$13=TRUE,OR($AT30="Remains",$AT30="#2",$AT30="Removed")),"NA",VLOOKUP($H30,INDIRECT('9.6 Table'!$P$338),AN$11+N$9,FALSE)))</f>
        <v/>
      </c>
      <c r="AO30" s="764"/>
      <c r="AP30" s="770"/>
      <c r="AQ30" s="921" t="str">
        <f t="shared" si="3"/>
        <v/>
      </c>
      <c r="AT30" s="730" t="str">
        <f t="shared" si="4"/>
        <v>New</v>
      </c>
      <c r="AX30" s="737" t="str">
        <f ca="1">VLOOKUP(H30,'SpxSp (step-a)'!H$22:AB$71,21,FALSE)</f>
        <v/>
      </c>
      <c r="AY30" s="736">
        <f>IFERROR(IF(OR(AP30="",AP30=0),0,HLOOKUP(AX30,'9.6.3 Table'!$D$4:$H$9,1+AP30,FALSE)),0)</f>
        <v>0</v>
      </c>
      <c r="AZ30" s="482">
        <f t="shared" si="5"/>
        <v>0</v>
      </c>
      <c r="BA30" s="327"/>
      <c r="BB30" s="43" t="str">
        <f t="shared" si="6"/>
        <v/>
      </c>
      <c r="BC30" s="43" t="str">
        <f t="shared" si="7"/>
        <v/>
      </c>
      <c r="BH30" s="326">
        <f t="shared" si="8"/>
        <v>0</v>
      </c>
      <c r="BI30" s="326">
        <f t="shared" si="9"/>
        <v>0</v>
      </c>
      <c r="BJ30" s="627">
        <f t="shared" si="10"/>
        <v>0</v>
      </c>
      <c r="BK30" s="627">
        <f t="shared" si="11"/>
        <v>0</v>
      </c>
      <c r="BL30" s="627">
        <f t="shared" si="12"/>
        <v>0</v>
      </c>
      <c r="BM30" s="627">
        <f t="shared" si="13"/>
        <v>0</v>
      </c>
      <c r="BN30" s="627">
        <f t="shared" si="14"/>
        <v>0</v>
      </c>
      <c r="BO30" s="627">
        <f t="shared" si="15"/>
        <v>0</v>
      </c>
      <c r="BP30" s="627">
        <f t="shared" si="16"/>
        <v>0</v>
      </c>
      <c r="BQ30" s="627">
        <f t="shared" si="17"/>
        <v>0</v>
      </c>
      <c r="BR30" s="627">
        <f t="shared" si="18"/>
        <v>0</v>
      </c>
      <c r="BS30" s="627">
        <f t="shared" si="19"/>
        <v>0</v>
      </c>
      <c r="BT30" s="627">
        <f t="shared" si="20"/>
        <v>0</v>
      </c>
      <c r="BU30" s="627">
        <f t="shared" si="21"/>
        <v>0</v>
      </c>
      <c r="BV30" s="627">
        <f t="shared" si="22"/>
        <v>0</v>
      </c>
      <c r="BW30" s="627"/>
      <c r="BX30" s="627">
        <f t="shared" si="23"/>
        <v>0</v>
      </c>
      <c r="BZ30" s="737">
        <v>5</v>
      </c>
      <c r="CA30" s="737" t="s">
        <v>1043</v>
      </c>
      <c r="CB30" s="730">
        <f>ROW()</f>
        <v>30</v>
      </c>
    </row>
    <row r="31" spans="1:80" s="43" customFormat="1" ht="12.75" customHeight="1" x14ac:dyDescent="0.2">
      <c r="A31" s="5">
        <v>6</v>
      </c>
      <c r="B31" s="1670"/>
      <c r="C31" s="1671"/>
      <c r="D31" s="1671"/>
      <c r="E31" s="1671"/>
      <c r="F31" s="1671"/>
      <c r="G31" s="784"/>
      <c r="H31" s="784" t="str">
        <f t="shared" si="0"/>
        <v/>
      </c>
      <c r="I31" s="785"/>
      <c r="J31" s="643"/>
      <c r="K31" s="786" t="str">
        <f t="shared" si="1"/>
        <v xml:space="preserve"> </v>
      </c>
      <c r="L31" s="906" t="str">
        <f>IF(B31="","",IFERROR(J31*K31,0))</f>
        <v/>
      </c>
      <c r="M31" s="794"/>
      <c r="N31" s="913"/>
      <c r="O31" s="121"/>
      <c r="P31" s="919" t="str">
        <f ca="1">IF($B31="","",IF(AND($N$13=TRUE,OR($AT31="Remains",$AT31="#2",$AT31="Removed")),"NA",VLOOKUP($H31,INDIRECT('9.6 Table'!$P$338),P$11+N$9,FALSE)))</f>
        <v/>
      </c>
      <c r="Q31" s="767"/>
      <c r="R31" s="768" t="str">
        <f ca="1">IF($B31="","",IF(AND($N$13=TRUE,OR($AT31="Remains",$AT31="#2",$AT31="Removed")),"NA",VLOOKUP($H31,INDIRECT('9.6 Table'!$P$338),R$11+N$9,FALSE)))</f>
        <v/>
      </c>
      <c r="S31" s="767"/>
      <c r="T31" s="768" t="str">
        <f ca="1">IF($B31="","",IF(AND($N$13=TRUE,OR($AT31="Remains",$AT31="#2",$AT31="Removed")),"NA",VLOOKUP($H31,INDIRECT('9.6 Table'!$P$338),T$11+N$9,FALSE)))</f>
        <v/>
      </c>
      <c r="U31" s="767"/>
      <c r="V31" s="768" t="str">
        <f ca="1">IF($B31="","",IF(AND($N$13=TRUE,OR($AT31="Remains",$AT31="#2",$AT31="Removed")),"NA",VLOOKUP($H31,INDIRECT('9.6 Table'!$P$338),V$11+N$9,FALSE)))</f>
        <v/>
      </c>
      <c r="W31" s="767"/>
      <c r="X31" s="768" t="str">
        <f ca="1">IF($B31="","",IF(AND($N$13=TRUE,OR($AT31="Remains",$AT31="#2",$AT31="Removed")),"NA",VLOOKUP($H31,INDIRECT('9.6 Table'!$P$338),X$11+N$9,FALSE)))</f>
        <v/>
      </c>
      <c r="Y31" s="767"/>
      <c r="Z31" s="768" t="str">
        <f ca="1">IF($B31="","",IF(AND($N$13=TRUE,OR($AT31="Remains",$AT31="#2",$AT31="Removed")),"NA",VLOOKUP($H31,INDIRECT('9.6 Table'!$P$338),Z$11+N$9,FALSE)))</f>
        <v/>
      </c>
      <c r="AA31" s="767"/>
      <c r="AB31" s="768" t="str">
        <f ca="1">IF($B31="","",IF(AND($N$13=TRUE,OR($AT31="Remains",$AT31="#2",$AT31="Removed")),"NA",VLOOKUP($H31,INDIRECT('9.6 Table'!$P$338),AB$11+N$9,FALSE)))</f>
        <v/>
      </c>
      <c r="AC31" s="767"/>
      <c r="AD31" s="768" t="str">
        <f ca="1">IF($B31="","",IF(AND($N$13=TRUE,OR($AT31="Remains",$AT31="#2",$AT31="Removed")),"NA",VLOOKUP($H31,INDIRECT('9.6 Table'!$P$338),AD$11+N$9,FALSE)))</f>
        <v/>
      </c>
      <c r="AE31" s="767"/>
      <c r="AF31" s="768" t="str">
        <f ca="1">IF($B31="","",IF(AND($N$13=TRUE,OR($AT31="Remains",$AT31="#2",$AT31="Removed")),"NA",VLOOKUP($H31,INDIRECT('9.6 Table'!$P$338),AF$11+N$9,FALSE)))</f>
        <v/>
      </c>
      <c r="AG31" s="767"/>
      <c r="AH31" s="768" t="str">
        <f ca="1">IF($B31="","",IF(AND($N$13=TRUE,OR($AT31="Remains",$AT31="#2",$AT31="Removed")),"NA",VLOOKUP($H31,INDIRECT('9.6 Table'!$P$338),AH$11+N$9,FALSE)))</f>
        <v/>
      </c>
      <c r="AI31" s="767"/>
      <c r="AJ31" s="768" t="str">
        <f ca="1">IF($B31="","",IF(AND($N$13=TRUE,OR($AT31="Remains",$AT31="#2",$AT31="Removed")),"NA",VLOOKUP($H31,INDIRECT('9.6 Table'!$P$338),AJ$11+N$9,FALSE)))</f>
        <v/>
      </c>
      <c r="AK31" s="767"/>
      <c r="AL31" s="768" t="str">
        <f ca="1">IF($B31="","",IF(AND($N$13=TRUE,OR($AT31="Remains",$AT31="#2",$AT31="Removed")),"NA",VLOOKUP($H31,INDIRECT('9.6 Table'!$P$338),AL$11+N$9,FALSE)))</f>
        <v/>
      </c>
      <c r="AM31" s="767"/>
      <c r="AN31" s="768" t="str">
        <f ca="1">IF($B31="","",IF(AND($N$13=TRUE,OR($AT31="Remains",$AT31="#2",$AT31="Removed")),"NA",VLOOKUP($H31,INDIRECT('9.6 Table'!$P$338),AN$11+N$9,FALSE)))</f>
        <v/>
      </c>
      <c r="AO31" s="764"/>
      <c r="AP31" s="770"/>
      <c r="AQ31" s="921" t="str">
        <f t="shared" si="3"/>
        <v/>
      </c>
      <c r="AT31" s="730" t="str">
        <f t="shared" si="4"/>
        <v>New</v>
      </c>
      <c r="AX31" s="737" t="str">
        <f ca="1">VLOOKUP(H31,'SpxSp (step-a)'!H$22:AB$71,21,FALSE)</f>
        <v/>
      </c>
      <c r="AY31" s="736">
        <f>IFERROR(IF(OR(AP31="",AP31=0),0,HLOOKUP(AX31,'9.6.3 Table'!$D$4:$H$9,1+AP31,FALSE)),0)</f>
        <v>0</v>
      </c>
      <c r="AZ31" s="482">
        <f t="shared" si="5"/>
        <v>0</v>
      </c>
      <c r="BA31" s="327"/>
      <c r="BB31" s="43" t="str">
        <f t="shared" si="6"/>
        <v/>
      </c>
      <c r="BC31" s="43" t="str">
        <f t="shared" si="7"/>
        <v/>
      </c>
      <c r="BH31" s="326">
        <f t="shared" si="8"/>
        <v>0</v>
      </c>
      <c r="BI31" s="326">
        <f t="shared" si="9"/>
        <v>0</v>
      </c>
      <c r="BJ31" s="627">
        <f t="shared" si="10"/>
        <v>0</v>
      </c>
      <c r="BK31" s="627">
        <f t="shared" si="11"/>
        <v>0</v>
      </c>
      <c r="BL31" s="627">
        <f t="shared" si="12"/>
        <v>0</v>
      </c>
      <c r="BM31" s="627">
        <f t="shared" si="13"/>
        <v>0</v>
      </c>
      <c r="BN31" s="627">
        <f t="shared" si="14"/>
        <v>0</v>
      </c>
      <c r="BO31" s="627">
        <f t="shared" si="15"/>
        <v>0</v>
      </c>
      <c r="BP31" s="627">
        <f t="shared" si="16"/>
        <v>0</v>
      </c>
      <c r="BQ31" s="627">
        <f t="shared" si="17"/>
        <v>0</v>
      </c>
      <c r="BR31" s="627">
        <f t="shared" si="18"/>
        <v>0</v>
      </c>
      <c r="BS31" s="627">
        <f t="shared" si="19"/>
        <v>0</v>
      </c>
      <c r="BT31" s="627">
        <f t="shared" si="20"/>
        <v>0</v>
      </c>
      <c r="BU31" s="627">
        <f t="shared" si="21"/>
        <v>0</v>
      </c>
      <c r="BV31" s="627">
        <f t="shared" si="22"/>
        <v>0</v>
      </c>
      <c r="BW31" s="627"/>
      <c r="BX31" s="627">
        <f t="shared" si="23"/>
        <v>0</v>
      </c>
      <c r="BZ31" s="737">
        <v>6</v>
      </c>
      <c r="CA31" s="737" t="s">
        <v>1044</v>
      </c>
      <c r="CB31" s="730">
        <f>ROW()</f>
        <v>31</v>
      </c>
    </row>
    <row r="32" spans="1:80" s="43" customFormat="1" ht="12.75" customHeight="1" x14ac:dyDescent="0.2">
      <c r="A32" s="5">
        <v>7</v>
      </c>
      <c r="B32" s="1670"/>
      <c r="C32" s="1671"/>
      <c r="D32" s="1671"/>
      <c r="E32" s="1671"/>
      <c r="F32" s="1671"/>
      <c r="G32" s="784"/>
      <c r="H32" s="784" t="str">
        <f t="shared" si="0"/>
        <v/>
      </c>
      <c r="I32" s="785"/>
      <c r="J32" s="643"/>
      <c r="K32" s="786" t="str">
        <f t="shared" si="1"/>
        <v xml:space="preserve"> </v>
      </c>
      <c r="L32" s="906" t="str">
        <f t="shared" ref="L32:L75" si="24">IF(B32="","",IFERROR(J32*K32,0))</f>
        <v/>
      </c>
      <c r="M32" s="794"/>
      <c r="N32" s="913"/>
      <c r="O32" s="121"/>
      <c r="P32" s="919" t="str">
        <f ca="1">IF($B32="","",IF(AND($N$13=TRUE,OR($AT32="Remains",$AT32="#2",$AT32="Removed")),"NA",VLOOKUP($H32,INDIRECT('9.6 Table'!$P$338),P$11+N$9,FALSE)))</f>
        <v/>
      </c>
      <c r="Q32" s="767"/>
      <c r="R32" s="768" t="str">
        <f ca="1">IF($B32="","",IF(AND($N$13=TRUE,OR($AT32="Remains",$AT32="#2",$AT32="Removed")),"NA",VLOOKUP($H32,INDIRECT('9.6 Table'!$P$338),R$11+N$9,FALSE)))</f>
        <v/>
      </c>
      <c r="S32" s="767"/>
      <c r="T32" s="768" t="str">
        <f ca="1">IF($B32="","",IF(AND($N$13=TRUE,OR($AT32="Remains",$AT32="#2",$AT32="Removed")),"NA",VLOOKUP($H32,INDIRECT('9.6 Table'!$P$338),T$11+N$9,FALSE)))</f>
        <v/>
      </c>
      <c r="U32" s="767"/>
      <c r="V32" s="768" t="str">
        <f ca="1">IF($B32="","",IF(AND($N$13=TRUE,OR($AT32="Remains",$AT32="#2",$AT32="Removed")),"NA",VLOOKUP($H32,INDIRECT('9.6 Table'!$P$338),V$11+N$9,FALSE)))</f>
        <v/>
      </c>
      <c r="W32" s="767"/>
      <c r="X32" s="768" t="str">
        <f ca="1">IF($B32="","",IF(AND($N$13=TRUE,OR($AT32="Remains",$AT32="#2",$AT32="Removed")),"NA",VLOOKUP($H32,INDIRECT('9.6 Table'!$P$338),X$11+N$9,FALSE)))</f>
        <v/>
      </c>
      <c r="Y32" s="767"/>
      <c r="Z32" s="768" t="str">
        <f ca="1">IF($B32="","",IF(AND($N$13=TRUE,OR($AT32="Remains",$AT32="#2",$AT32="Removed")),"NA",VLOOKUP($H32,INDIRECT('9.6 Table'!$P$338),Z$11+N$9,FALSE)))</f>
        <v/>
      </c>
      <c r="AA32" s="767"/>
      <c r="AB32" s="768" t="str">
        <f ca="1">IF($B32="","",IF(AND($N$13=TRUE,OR($AT32="Remains",$AT32="#2",$AT32="Removed")),"NA",VLOOKUP($H32,INDIRECT('9.6 Table'!$P$338),AB$11+N$9,FALSE)))</f>
        <v/>
      </c>
      <c r="AC32" s="767"/>
      <c r="AD32" s="768" t="str">
        <f ca="1">IF($B32="","",IF(AND($N$13=TRUE,OR($AT32="Remains",$AT32="#2",$AT32="Removed")),"NA",VLOOKUP($H32,INDIRECT('9.6 Table'!$P$338),AD$11+N$9,FALSE)))</f>
        <v/>
      </c>
      <c r="AE32" s="767"/>
      <c r="AF32" s="768" t="str">
        <f ca="1">IF($B32="","",IF(AND($N$13=TRUE,OR($AT32="Remains",$AT32="#2",$AT32="Removed")),"NA",VLOOKUP($H32,INDIRECT('9.6 Table'!$P$338),AF$11+N$9,FALSE)))</f>
        <v/>
      </c>
      <c r="AG32" s="767"/>
      <c r="AH32" s="768" t="str">
        <f ca="1">IF($B32="","",IF(AND($N$13=TRUE,OR($AT32="Remains",$AT32="#2",$AT32="Removed")),"NA",VLOOKUP($H32,INDIRECT('9.6 Table'!$P$338),AH$11+N$9,FALSE)))</f>
        <v/>
      </c>
      <c r="AI32" s="767"/>
      <c r="AJ32" s="768" t="str">
        <f ca="1">IF($B32="","",IF(AND($N$13=TRUE,OR($AT32="Remains",$AT32="#2",$AT32="Removed")),"NA",VLOOKUP($H32,INDIRECT('9.6 Table'!$P$338),AJ$11+N$9,FALSE)))</f>
        <v/>
      </c>
      <c r="AK32" s="767"/>
      <c r="AL32" s="768" t="str">
        <f ca="1">IF($B32="","",IF(AND($N$13=TRUE,OR($AT32="Remains",$AT32="#2",$AT32="Removed")),"NA",VLOOKUP($H32,INDIRECT('9.6 Table'!$P$338),AL$11+N$9,FALSE)))</f>
        <v/>
      </c>
      <c r="AM32" s="767"/>
      <c r="AN32" s="768" t="str">
        <f ca="1">IF($B32="","",IF(AND($N$13=TRUE,OR($AT32="Remains",$AT32="#2",$AT32="Removed")),"NA",VLOOKUP($H32,INDIRECT('9.6 Table'!$P$338),AN$11+N$9,FALSE)))</f>
        <v/>
      </c>
      <c r="AO32" s="764"/>
      <c r="AP32" s="770"/>
      <c r="AQ32" s="921" t="str">
        <f t="shared" si="3"/>
        <v/>
      </c>
      <c r="AT32" s="730" t="str">
        <f t="shared" si="4"/>
        <v>New</v>
      </c>
      <c r="AX32" s="737" t="str">
        <f ca="1">VLOOKUP(H32,'SpxSp (step-a)'!H$22:AB$71,21,FALSE)</f>
        <v/>
      </c>
      <c r="AY32" s="736">
        <f>IFERROR(IF(OR(AP32="",AP32=0),0,HLOOKUP(AX32,'9.6.3 Table'!$D$4:$H$9,1+AP32,FALSE)),0)</f>
        <v>0</v>
      </c>
      <c r="AZ32" s="482">
        <f t="shared" si="5"/>
        <v>0</v>
      </c>
      <c r="BA32" s="327"/>
      <c r="BB32" s="43" t="str">
        <f t="shared" si="6"/>
        <v/>
      </c>
      <c r="BC32" s="43" t="str">
        <f t="shared" si="7"/>
        <v/>
      </c>
      <c r="BH32" s="326">
        <f t="shared" si="8"/>
        <v>0</v>
      </c>
      <c r="BI32" s="326">
        <f t="shared" si="9"/>
        <v>0</v>
      </c>
      <c r="BJ32" s="627">
        <f t="shared" si="10"/>
        <v>0</v>
      </c>
      <c r="BK32" s="627">
        <f t="shared" si="11"/>
        <v>0</v>
      </c>
      <c r="BL32" s="627">
        <f t="shared" si="12"/>
        <v>0</v>
      </c>
      <c r="BM32" s="627">
        <f t="shared" si="13"/>
        <v>0</v>
      </c>
      <c r="BN32" s="627">
        <f t="shared" si="14"/>
        <v>0</v>
      </c>
      <c r="BO32" s="627">
        <f t="shared" si="15"/>
        <v>0</v>
      </c>
      <c r="BP32" s="627">
        <f t="shared" si="16"/>
        <v>0</v>
      </c>
      <c r="BQ32" s="627">
        <f t="shared" si="17"/>
        <v>0</v>
      </c>
      <c r="BR32" s="627">
        <f t="shared" si="18"/>
        <v>0</v>
      </c>
      <c r="BS32" s="627">
        <f t="shared" si="19"/>
        <v>0</v>
      </c>
      <c r="BT32" s="627">
        <f t="shared" si="20"/>
        <v>0</v>
      </c>
      <c r="BU32" s="627">
        <f t="shared" si="21"/>
        <v>0</v>
      </c>
      <c r="BV32" s="627">
        <f t="shared" si="22"/>
        <v>0</v>
      </c>
      <c r="BW32" s="627"/>
      <c r="BX32" s="627">
        <f t="shared" si="23"/>
        <v>0</v>
      </c>
      <c r="BZ32" s="737">
        <v>7</v>
      </c>
      <c r="CA32" s="737" t="s">
        <v>1045</v>
      </c>
      <c r="CB32" s="730">
        <f>ROW()</f>
        <v>32</v>
      </c>
    </row>
    <row r="33" spans="1:80" s="43" customFormat="1" ht="12.75" customHeight="1" x14ac:dyDescent="0.2">
      <c r="A33" s="5">
        <v>8</v>
      </c>
      <c r="B33" s="1670"/>
      <c r="C33" s="1671"/>
      <c r="D33" s="1671"/>
      <c r="E33" s="1671"/>
      <c r="F33" s="1671"/>
      <c r="G33" s="784"/>
      <c r="H33" s="784" t="str">
        <f t="shared" si="0"/>
        <v/>
      </c>
      <c r="I33" s="785"/>
      <c r="J33" s="643"/>
      <c r="K33" s="786" t="str">
        <f t="shared" si="1"/>
        <v xml:space="preserve"> </v>
      </c>
      <c r="L33" s="906" t="str">
        <f t="shared" si="24"/>
        <v/>
      </c>
      <c r="M33" s="794"/>
      <c r="N33" s="913"/>
      <c r="O33" s="121"/>
      <c r="P33" s="919" t="str">
        <f ca="1">IF($B33="","",IF(AND($N$13=TRUE,OR($AT33="Remains",$AT33="#2",$AT33="Removed")),"NA",VLOOKUP($H33,INDIRECT('9.6 Table'!$P$338),P$11+N$9,FALSE)))</f>
        <v/>
      </c>
      <c r="Q33" s="767"/>
      <c r="R33" s="768" t="str">
        <f ca="1">IF($B33="","",IF(AND($N$13=TRUE,OR($AT33="Remains",$AT33="#2",$AT33="Removed")),"NA",VLOOKUP($H33,INDIRECT('9.6 Table'!$P$338),R$11+N$9,FALSE)))</f>
        <v/>
      </c>
      <c r="S33" s="767"/>
      <c r="T33" s="768" t="str">
        <f ca="1">IF($B33="","",IF(AND($N$13=TRUE,OR($AT33="Remains",$AT33="#2",$AT33="Removed")),"NA",VLOOKUP($H33,INDIRECT('9.6 Table'!$P$338),T$11+N$9,FALSE)))</f>
        <v/>
      </c>
      <c r="U33" s="767"/>
      <c r="V33" s="768" t="str">
        <f ca="1">IF($B33="","",IF(AND($N$13=TRUE,OR($AT33="Remains",$AT33="#2",$AT33="Removed")),"NA",VLOOKUP($H33,INDIRECT('9.6 Table'!$P$338),V$11+N$9,FALSE)))</f>
        <v/>
      </c>
      <c r="W33" s="767"/>
      <c r="X33" s="768" t="str">
        <f ca="1">IF($B33="","",IF(AND($N$13=TRUE,OR($AT33="Remains",$AT33="#2",$AT33="Removed")),"NA",VLOOKUP($H33,INDIRECT('9.6 Table'!$P$338),X$11+N$9,FALSE)))</f>
        <v/>
      </c>
      <c r="Y33" s="767"/>
      <c r="Z33" s="768" t="str">
        <f ca="1">IF($B33="","",IF(AND($N$13=TRUE,OR($AT33="Remains",$AT33="#2",$AT33="Removed")),"NA",VLOOKUP($H33,INDIRECT('9.6 Table'!$P$338),Z$11+N$9,FALSE)))</f>
        <v/>
      </c>
      <c r="AA33" s="767"/>
      <c r="AB33" s="768" t="str">
        <f ca="1">IF($B33="","",IF(AND($N$13=TRUE,OR($AT33="Remains",$AT33="#2",$AT33="Removed")),"NA",VLOOKUP($H33,INDIRECT('9.6 Table'!$P$338),AB$11+N$9,FALSE)))</f>
        <v/>
      </c>
      <c r="AC33" s="767"/>
      <c r="AD33" s="768" t="str">
        <f ca="1">IF($B33="","",IF(AND($N$13=TRUE,OR($AT33="Remains",$AT33="#2",$AT33="Removed")),"NA",VLOOKUP($H33,INDIRECT('9.6 Table'!$P$338),AD$11+N$9,FALSE)))</f>
        <v/>
      </c>
      <c r="AE33" s="767"/>
      <c r="AF33" s="768" t="str">
        <f ca="1">IF($B33="","",IF(AND($N$13=TRUE,OR($AT33="Remains",$AT33="#2",$AT33="Removed")),"NA",VLOOKUP($H33,INDIRECT('9.6 Table'!$P$338),AF$11+N$9,FALSE)))</f>
        <v/>
      </c>
      <c r="AG33" s="767"/>
      <c r="AH33" s="768" t="str">
        <f ca="1">IF($B33="","",IF(AND($N$13=TRUE,OR($AT33="Remains",$AT33="#2",$AT33="Removed")),"NA",VLOOKUP($H33,INDIRECT('9.6 Table'!$P$338),AH$11+N$9,FALSE)))</f>
        <v/>
      </c>
      <c r="AI33" s="767"/>
      <c r="AJ33" s="768" t="str">
        <f ca="1">IF($B33="","",IF(AND($N$13=TRUE,OR($AT33="Remains",$AT33="#2",$AT33="Removed")),"NA",VLOOKUP($H33,INDIRECT('9.6 Table'!$P$338),AJ$11+N$9,FALSE)))</f>
        <v/>
      </c>
      <c r="AK33" s="767"/>
      <c r="AL33" s="768" t="str">
        <f ca="1">IF($B33="","",IF(AND($N$13=TRUE,OR($AT33="Remains",$AT33="#2",$AT33="Removed")),"NA",VLOOKUP($H33,INDIRECT('9.6 Table'!$P$338),AL$11+N$9,FALSE)))</f>
        <v/>
      </c>
      <c r="AM33" s="767"/>
      <c r="AN33" s="768" t="str">
        <f ca="1">IF($B33="","",IF(AND($N$13=TRUE,OR($AT33="Remains",$AT33="#2",$AT33="Removed")),"NA",VLOOKUP($H33,INDIRECT('9.6 Table'!$P$338),AN$11+N$9,FALSE)))</f>
        <v/>
      </c>
      <c r="AO33" s="764"/>
      <c r="AP33" s="770"/>
      <c r="AQ33" s="921" t="str">
        <f t="shared" si="3"/>
        <v/>
      </c>
      <c r="AT33" s="730" t="str">
        <f t="shared" si="4"/>
        <v>New</v>
      </c>
      <c r="AX33" s="737" t="str">
        <f ca="1">VLOOKUP(H33,'SpxSp (step-a)'!H$22:AB$71,21,FALSE)</f>
        <v/>
      </c>
      <c r="AY33" s="736">
        <f>IFERROR(IF(OR(AP33="",AP33=0),0,HLOOKUP(AX33,'9.6.3 Table'!$D$4:$H$9,1+AP33,FALSE)),0)</f>
        <v>0</v>
      </c>
      <c r="AZ33" s="482">
        <f t="shared" si="5"/>
        <v>0</v>
      </c>
      <c r="BA33" s="327"/>
      <c r="BB33" s="43" t="str">
        <f t="shared" si="6"/>
        <v/>
      </c>
      <c r="BC33" s="43" t="str">
        <f t="shared" si="7"/>
        <v/>
      </c>
      <c r="BH33" s="326">
        <f t="shared" si="8"/>
        <v>0</v>
      </c>
      <c r="BI33" s="326">
        <f t="shared" si="9"/>
        <v>0</v>
      </c>
      <c r="BJ33" s="627">
        <f t="shared" si="10"/>
        <v>0</v>
      </c>
      <c r="BK33" s="627">
        <f t="shared" si="11"/>
        <v>0</v>
      </c>
      <c r="BL33" s="627">
        <f t="shared" si="12"/>
        <v>0</v>
      </c>
      <c r="BM33" s="627">
        <f t="shared" si="13"/>
        <v>0</v>
      </c>
      <c r="BN33" s="627">
        <f t="shared" si="14"/>
        <v>0</v>
      </c>
      <c r="BO33" s="627">
        <f t="shared" si="15"/>
        <v>0</v>
      </c>
      <c r="BP33" s="627">
        <f t="shared" si="16"/>
        <v>0</v>
      </c>
      <c r="BQ33" s="627">
        <f t="shared" si="17"/>
        <v>0</v>
      </c>
      <c r="BR33" s="627">
        <f t="shared" si="18"/>
        <v>0</v>
      </c>
      <c r="BS33" s="627">
        <f t="shared" si="19"/>
        <v>0</v>
      </c>
      <c r="BT33" s="627">
        <f t="shared" si="20"/>
        <v>0</v>
      </c>
      <c r="BU33" s="627">
        <f t="shared" si="21"/>
        <v>0</v>
      </c>
      <c r="BV33" s="627">
        <f t="shared" si="22"/>
        <v>0</v>
      </c>
      <c r="BW33" s="627"/>
      <c r="BX33" s="627">
        <f t="shared" si="23"/>
        <v>0</v>
      </c>
      <c r="BZ33" s="737">
        <v>8</v>
      </c>
      <c r="CA33" s="737" t="s">
        <v>1046</v>
      </c>
      <c r="CB33" s="730">
        <f>ROW()</f>
        <v>33</v>
      </c>
    </row>
    <row r="34" spans="1:80" s="43" customFormat="1" ht="12.75" customHeight="1" x14ac:dyDescent="0.2">
      <c r="A34" s="5">
        <v>9</v>
      </c>
      <c r="B34" s="1670"/>
      <c r="C34" s="1671"/>
      <c r="D34" s="1671"/>
      <c r="E34" s="1671"/>
      <c r="F34" s="1671"/>
      <c r="G34" s="784"/>
      <c r="H34" s="784" t="str">
        <f t="shared" si="0"/>
        <v/>
      </c>
      <c r="I34" s="785"/>
      <c r="J34" s="643"/>
      <c r="K34" s="786" t="str">
        <f t="shared" si="1"/>
        <v xml:space="preserve"> </v>
      </c>
      <c r="L34" s="906" t="str">
        <f t="shared" si="24"/>
        <v/>
      </c>
      <c r="M34" s="794"/>
      <c r="N34" s="913"/>
      <c r="O34" s="121"/>
      <c r="P34" s="919" t="str">
        <f ca="1">IF($B34="","",IF(AND($N$13=TRUE,OR($AT34="Remains",$AT34="#2",$AT34="Removed")),"NA",VLOOKUP($H34,INDIRECT('9.6 Table'!$P$338),P$11+N$9,FALSE)))</f>
        <v/>
      </c>
      <c r="Q34" s="767"/>
      <c r="R34" s="768" t="str">
        <f ca="1">IF($B34="","",IF(AND($N$13=TRUE,OR($AT34="Remains",$AT34="#2",$AT34="Removed")),"NA",VLOOKUP($H34,INDIRECT('9.6 Table'!$P$338),R$11+N$9,FALSE)))</f>
        <v/>
      </c>
      <c r="S34" s="767"/>
      <c r="T34" s="768" t="str">
        <f ca="1">IF($B34="","",IF(AND($N$13=TRUE,OR($AT34="Remains",$AT34="#2",$AT34="Removed")),"NA",VLOOKUP($H34,INDIRECT('9.6 Table'!$P$338),T$11+N$9,FALSE)))</f>
        <v/>
      </c>
      <c r="U34" s="767"/>
      <c r="V34" s="768" t="str">
        <f ca="1">IF($B34="","",IF(AND($N$13=TRUE,OR($AT34="Remains",$AT34="#2",$AT34="Removed")),"NA",VLOOKUP($H34,INDIRECT('9.6 Table'!$P$338),V$11+N$9,FALSE)))</f>
        <v/>
      </c>
      <c r="W34" s="767"/>
      <c r="X34" s="768" t="str">
        <f ca="1">IF($B34="","",IF(AND($N$13=TRUE,OR($AT34="Remains",$AT34="#2",$AT34="Removed")),"NA",VLOOKUP($H34,INDIRECT('9.6 Table'!$P$338),X$11+N$9,FALSE)))</f>
        <v/>
      </c>
      <c r="Y34" s="767"/>
      <c r="Z34" s="768" t="str">
        <f ca="1">IF($B34="","",IF(AND($N$13=TRUE,OR($AT34="Remains",$AT34="#2",$AT34="Removed")),"NA",VLOOKUP($H34,INDIRECT('9.6 Table'!$P$338),Z$11+N$9,FALSE)))</f>
        <v/>
      </c>
      <c r="AA34" s="767"/>
      <c r="AB34" s="768" t="str">
        <f ca="1">IF($B34="","",IF(AND($N$13=TRUE,OR($AT34="Remains",$AT34="#2",$AT34="Removed")),"NA",VLOOKUP($H34,INDIRECT('9.6 Table'!$P$338),AB$11+N$9,FALSE)))</f>
        <v/>
      </c>
      <c r="AC34" s="767"/>
      <c r="AD34" s="768" t="str">
        <f ca="1">IF($B34="","",IF(AND($N$13=TRUE,OR($AT34="Remains",$AT34="#2",$AT34="Removed")),"NA",VLOOKUP($H34,INDIRECT('9.6 Table'!$P$338),AD$11+N$9,FALSE)))</f>
        <v/>
      </c>
      <c r="AE34" s="767"/>
      <c r="AF34" s="768" t="str">
        <f ca="1">IF($B34="","",IF(AND($N$13=TRUE,OR($AT34="Remains",$AT34="#2",$AT34="Removed")),"NA",VLOOKUP($H34,INDIRECT('9.6 Table'!$P$338),AF$11+N$9,FALSE)))</f>
        <v/>
      </c>
      <c r="AG34" s="767"/>
      <c r="AH34" s="768" t="str">
        <f ca="1">IF($B34="","",IF(AND($N$13=TRUE,OR($AT34="Remains",$AT34="#2",$AT34="Removed")),"NA",VLOOKUP($H34,INDIRECT('9.6 Table'!$P$338),AH$11+N$9,FALSE)))</f>
        <v/>
      </c>
      <c r="AI34" s="767"/>
      <c r="AJ34" s="768" t="str">
        <f ca="1">IF($B34="","",IF(AND($N$13=TRUE,OR($AT34="Remains",$AT34="#2",$AT34="Removed")),"NA",VLOOKUP($H34,INDIRECT('9.6 Table'!$P$338),AJ$11+N$9,FALSE)))</f>
        <v/>
      </c>
      <c r="AK34" s="767"/>
      <c r="AL34" s="768" t="str">
        <f ca="1">IF($B34="","",IF(AND($N$13=TRUE,OR($AT34="Remains",$AT34="#2",$AT34="Removed")),"NA",VLOOKUP($H34,INDIRECT('9.6 Table'!$P$338),AL$11+N$9,FALSE)))</f>
        <v/>
      </c>
      <c r="AM34" s="767"/>
      <c r="AN34" s="768" t="str">
        <f ca="1">IF($B34="","",IF(AND($N$13=TRUE,OR($AT34="Remains",$AT34="#2",$AT34="Removed")),"NA",VLOOKUP($H34,INDIRECT('9.6 Table'!$P$338),AN$11+N$9,FALSE)))</f>
        <v/>
      </c>
      <c r="AO34" s="764"/>
      <c r="AP34" s="770"/>
      <c r="AQ34" s="921" t="str">
        <f t="shared" si="3"/>
        <v/>
      </c>
      <c r="AT34" s="730" t="str">
        <f t="shared" si="4"/>
        <v>New</v>
      </c>
      <c r="AX34" s="737" t="str">
        <f ca="1">VLOOKUP(H34,'SpxSp (step-a)'!H$22:AB$71,21,FALSE)</f>
        <v/>
      </c>
      <c r="AY34" s="736">
        <f>IFERROR(IF(OR(AP34="",AP34=0),0,HLOOKUP(AX34,'9.6.3 Table'!$D$4:$H$9,1+AP34,FALSE)),0)</f>
        <v>0</v>
      </c>
      <c r="AZ34" s="482">
        <f t="shared" si="5"/>
        <v>0</v>
      </c>
      <c r="BA34" s="327"/>
      <c r="BB34" s="43" t="str">
        <f t="shared" si="6"/>
        <v/>
      </c>
      <c r="BC34" s="43" t="str">
        <f t="shared" si="7"/>
        <v/>
      </c>
      <c r="BH34" s="326">
        <f t="shared" si="8"/>
        <v>0</v>
      </c>
      <c r="BI34" s="326">
        <f t="shared" si="9"/>
        <v>0</v>
      </c>
      <c r="BJ34" s="627">
        <f t="shared" si="10"/>
        <v>0</v>
      </c>
      <c r="BK34" s="627">
        <f t="shared" si="11"/>
        <v>0</v>
      </c>
      <c r="BL34" s="627">
        <f t="shared" si="12"/>
        <v>0</v>
      </c>
      <c r="BM34" s="627">
        <f t="shared" si="13"/>
        <v>0</v>
      </c>
      <c r="BN34" s="627">
        <f t="shared" si="14"/>
        <v>0</v>
      </c>
      <c r="BO34" s="627">
        <f t="shared" si="15"/>
        <v>0</v>
      </c>
      <c r="BP34" s="627">
        <f t="shared" si="16"/>
        <v>0</v>
      </c>
      <c r="BQ34" s="627">
        <f t="shared" si="17"/>
        <v>0</v>
      </c>
      <c r="BR34" s="627">
        <f t="shared" si="18"/>
        <v>0</v>
      </c>
      <c r="BS34" s="627">
        <f t="shared" si="19"/>
        <v>0</v>
      </c>
      <c r="BT34" s="627">
        <f t="shared" si="20"/>
        <v>0</v>
      </c>
      <c r="BU34" s="627">
        <f t="shared" si="21"/>
        <v>0</v>
      </c>
      <c r="BV34" s="627">
        <f t="shared" si="22"/>
        <v>0</v>
      </c>
      <c r="BW34" s="627"/>
      <c r="BX34" s="627">
        <f t="shared" si="23"/>
        <v>0</v>
      </c>
      <c r="BZ34" s="737">
        <v>9</v>
      </c>
      <c r="CA34" s="737" t="s">
        <v>1047</v>
      </c>
      <c r="CB34" s="730">
        <f>ROW()</f>
        <v>34</v>
      </c>
    </row>
    <row r="35" spans="1:80" s="43" customFormat="1" ht="12.75" customHeight="1" x14ac:dyDescent="0.2">
      <c r="A35" s="5">
        <v>10</v>
      </c>
      <c r="B35" s="1670"/>
      <c r="C35" s="1671"/>
      <c r="D35" s="1671"/>
      <c r="E35" s="1671"/>
      <c r="F35" s="1671"/>
      <c r="G35" s="784"/>
      <c r="H35" s="784" t="str">
        <f t="shared" si="0"/>
        <v/>
      </c>
      <c r="I35" s="785"/>
      <c r="J35" s="643"/>
      <c r="K35" s="786" t="str">
        <f t="shared" si="1"/>
        <v xml:space="preserve"> </v>
      </c>
      <c r="L35" s="906" t="str">
        <f t="shared" si="24"/>
        <v/>
      </c>
      <c r="M35" s="794"/>
      <c r="N35" s="913"/>
      <c r="O35" s="121"/>
      <c r="P35" s="919" t="str">
        <f ca="1">IF($B35="","",IF(AND($N$13=TRUE,OR($AT35="Remains",$AT35="#2",$AT35="Removed")),"NA",VLOOKUP($H35,INDIRECT('9.6 Table'!$P$338),P$11+N$9,FALSE)))</f>
        <v/>
      </c>
      <c r="Q35" s="767"/>
      <c r="R35" s="768" t="str">
        <f ca="1">IF($B35="","",IF(AND($N$13=TRUE,OR($AT35="Remains",$AT35="#2",$AT35="Removed")),"NA",VLOOKUP($H35,INDIRECT('9.6 Table'!$P$338),R$11+N$9,FALSE)))</f>
        <v/>
      </c>
      <c r="S35" s="767"/>
      <c r="T35" s="768" t="str">
        <f ca="1">IF($B35="","",IF(AND($N$13=TRUE,OR($AT35="Remains",$AT35="#2",$AT35="Removed")),"NA",VLOOKUP($H35,INDIRECT('9.6 Table'!$P$338),T$11+N$9,FALSE)))</f>
        <v/>
      </c>
      <c r="U35" s="767"/>
      <c r="V35" s="768" t="str">
        <f ca="1">IF($B35="","",IF(AND($N$13=TRUE,OR($AT35="Remains",$AT35="#2",$AT35="Removed")),"NA",VLOOKUP($H35,INDIRECT('9.6 Table'!$P$338),V$11+N$9,FALSE)))</f>
        <v/>
      </c>
      <c r="W35" s="767"/>
      <c r="X35" s="768" t="str">
        <f ca="1">IF($B35="","",IF(AND($N$13=TRUE,OR($AT35="Remains",$AT35="#2",$AT35="Removed")),"NA",VLOOKUP($H35,INDIRECT('9.6 Table'!$P$338),X$11+N$9,FALSE)))</f>
        <v/>
      </c>
      <c r="Y35" s="767"/>
      <c r="Z35" s="768" t="str">
        <f ca="1">IF($B35="","",IF(AND($N$13=TRUE,OR($AT35="Remains",$AT35="#2",$AT35="Removed")),"NA",VLOOKUP($H35,INDIRECT('9.6 Table'!$P$338),Z$11+N$9,FALSE)))</f>
        <v/>
      </c>
      <c r="AA35" s="767"/>
      <c r="AB35" s="768" t="str">
        <f ca="1">IF($B35="","",IF(AND($N$13=TRUE,OR($AT35="Remains",$AT35="#2",$AT35="Removed")),"NA",VLOOKUP($H35,INDIRECT('9.6 Table'!$P$338),AB$11+N$9,FALSE)))</f>
        <v/>
      </c>
      <c r="AC35" s="767"/>
      <c r="AD35" s="768" t="str">
        <f ca="1">IF($B35="","",IF(AND($N$13=TRUE,OR($AT35="Remains",$AT35="#2",$AT35="Removed")),"NA",VLOOKUP($H35,INDIRECT('9.6 Table'!$P$338),AD$11+N$9,FALSE)))</f>
        <v/>
      </c>
      <c r="AE35" s="767"/>
      <c r="AF35" s="768" t="str">
        <f ca="1">IF($B35="","",IF(AND($N$13=TRUE,OR($AT35="Remains",$AT35="#2",$AT35="Removed")),"NA",VLOOKUP($H35,INDIRECT('9.6 Table'!$P$338),AF$11+N$9,FALSE)))</f>
        <v/>
      </c>
      <c r="AG35" s="767"/>
      <c r="AH35" s="768" t="str">
        <f ca="1">IF($B35="","",IF(AND($N$13=TRUE,OR($AT35="Remains",$AT35="#2",$AT35="Removed")),"NA",VLOOKUP($H35,INDIRECT('9.6 Table'!$P$338),AH$11+N$9,FALSE)))</f>
        <v/>
      </c>
      <c r="AI35" s="767"/>
      <c r="AJ35" s="768" t="str">
        <f ca="1">IF($B35="","",IF(AND($N$13=TRUE,OR($AT35="Remains",$AT35="#2",$AT35="Removed")),"NA",VLOOKUP($H35,INDIRECT('9.6 Table'!$P$338),AJ$11+N$9,FALSE)))</f>
        <v/>
      </c>
      <c r="AK35" s="767"/>
      <c r="AL35" s="768" t="str">
        <f ca="1">IF($B35="","",IF(AND($N$13=TRUE,OR($AT35="Remains",$AT35="#2",$AT35="Removed")),"NA",VLOOKUP($H35,INDIRECT('9.6 Table'!$P$338),AL$11+N$9,FALSE)))</f>
        <v/>
      </c>
      <c r="AM35" s="767"/>
      <c r="AN35" s="768" t="str">
        <f ca="1">IF($B35="","",IF(AND($N$13=TRUE,OR($AT35="Remains",$AT35="#2",$AT35="Removed")),"NA",VLOOKUP($H35,INDIRECT('9.6 Table'!$P$338),AN$11+N$9,FALSE)))</f>
        <v/>
      </c>
      <c r="AO35" s="764"/>
      <c r="AP35" s="770"/>
      <c r="AQ35" s="921" t="str">
        <f t="shared" si="3"/>
        <v/>
      </c>
      <c r="AT35" s="730" t="str">
        <f t="shared" si="4"/>
        <v>New</v>
      </c>
      <c r="AX35" s="737" t="str">
        <f ca="1">VLOOKUP(H35,'SpxSp (step-a)'!H$22:AB$71,21,FALSE)</f>
        <v/>
      </c>
      <c r="AY35" s="736">
        <f>IFERROR(IF(OR(AP35="",AP35=0),0,HLOOKUP(AX35,'9.6.3 Table'!$D$4:$H$9,1+AP35,FALSE)),0)</f>
        <v>0</v>
      </c>
      <c r="AZ35" s="482">
        <f t="shared" si="5"/>
        <v>0</v>
      </c>
      <c r="BA35" s="327"/>
      <c r="BB35" s="43" t="str">
        <f t="shared" si="6"/>
        <v/>
      </c>
      <c r="BC35" s="43" t="str">
        <f t="shared" si="7"/>
        <v/>
      </c>
      <c r="BH35" s="326">
        <f t="shared" si="8"/>
        <v>0</v>
      </c>
      <c r="BI35" s="326">
        <f t="shared" si="9"/>
        <v>0</v>
      </c>
      <c r="BJ35" s="627">
        <f t="shared" si="10"/>
        <v>0</v>
      </c>
      <c r="BK35" s="627">
        <f t="shared" si="11"/>
        <v>0</v>
      </c>
      <c r="BL35" s="627">
        <f t="shared" si="12"/>
        <v>0</v>
      </c>
      <c r="BM35" s="627">
        <f t="shared" si="13"/>
        <v>0</v>
      </c>
      <c r="BN35" s="627">
        <f t="shared" si="14"/>
        <v>0</v>
      </c>
      <c r="BO35" s="627">
        <f t="shared" si="15"/>
        <v>0</v>
      </c>
      <c r="BP35" s="627">
        <f t="shared" si="16"/>
        <v>0</v>
      </c>
      <c r="BQ35" s="627">
        <f t="shared" si="17"/>
        <v>0</v>
      </c>
      <c r="BR35" s="627">
        <f t="shared" si="18"/>
        <v>0</v>
      </c>
      <c r="BS35" s="627">
        <f t="shared" si="19"/>
        <v>0</v>
      </c>
      <c r="BT35" s="627">
        <f t="shared" si="20"/>
        <v>0</v>
      </c>
      <c r="BU35" s="627">
        <f t="shared" si="21"/>
        <v>0</v>
      </c>
      <c r="BV35" s="627">
        <f t="shared" si="22"/>
        <v>0</v>
      </c>
      <c r="BW35" s="627"/>
      <c r="BX35" s="627">
        <f t="shared" si="23"/>
        <v>0</v>
      </c>
      <c r="BZ35" s="737">
        <v>10</v>
      </c>
      <c r="CA35" s="737" t="s">
        <v>1048</v>
      </c>
      <c r="CB35" s="730">
        <f>ROW()</f>
        <v>35</v>
      </c>
    </row>
    <row r="36" spans="1:80" s="43" customFormat="1" ht="12.75" customHeight="1" x14ac:dyDescent="0.2">
      <c r="A36" s="5">
        <v>11</v>
      </c>
      <c r="B36" s="1670"/>
      <c r="C36" s="1671"/>
      <c r="D36" s="1671"/>
      <c r="E36" s="1671"/>
      <c r="F36" s="1671"/>
      <c r="G36" s="784"/>
      <c r="H36" s="784" t="str">
        <f t="shared" si="0"/>
        <v/>
      </c>
      <c r="I36" s="785"/>
      <c r="J36" s="643"/>
      <c r="K36" s="786" t="str">
        <f t="shared" si="1"/>
        <v xml:space="preserve"> </v>
      </c>
      <c r="L36" s="906" t="str">
        <f t="shared" si="24"/>
        <v/>
      </c>
      <c r="M36" s="794"/>
      <c r="N36" s="913"/>
      <c r="O36" s="121"/>
      <c r="P36" s="919" t="str">
        <f ca="1">IF($B36="","",IF(AND($N$13=TRUE,OR($AT36="Remains",$AT36="#2",$AT36="Removed")),"NA",VLOOKUP($H36,INDIRECT('9.6 Table'!$P$338),P$11+N$9,FALSE)))</f>
        <v/>
      </c>
      <c r="Q36" s="767"/>
      <c r="R36" s="768" t="str">
        <f ca="1">IF($B36="","",IF(AND($N$13=TRUE,OR($AT36="Remains",$AT36="#2",$AT36="Removed")),"NA",VLOOKUP($H36,INDIRECT('9.6 Table'!$P$338),R$11+N$9,FALSE)))</f>
        <v/>
      </c>
      <c r="S36" s="767"/>
      <c r="T36" s="768" t="str">
        <f ca="1">IF($B36="","",IF(AND($N$13=TRUE,OR($AT36="Remains",$AT36="#2",$AT36="Removed")),"NA",VLOOKUP($H36,INDIRECT('9.6 Table'!$P$338),T$11+N$9,FALSE)))</f>
        <v/>
      </c>
      <c r="U36" s="767"/>
      <c r="V36" s="768" t="str">
        <f ca="1">IF($B36="","",IF(AND($N$13=TRUE,OR($AT36="Remains",$AT36="#2",$AT36="Removed")),"NA",VLOOKUP($H36,INDIRECT('9.6 Table'!$P$338),V$11+N$9,FALSE)))</f>
        <v/>
      </c>
      <c r="W36" s="767"/>
      <c r="X36" s="768" t="str">
        <f ca="1">IF($B36="","",IF(AND($N$13=TRUE,OR($AT36="Remains",$AT36="#2",$AT36="Removed")),"NA",VLOOKUP($H36,INDIRECT('9.6 Table'!$P$338),X$11+N$9,FALSE)))</f>
        <v/>
      </c>
      <c r="Y36" s="767"/>
      <c r="Z36" s="768" t="str">
        <f ca="1">IF($B36="","",IF(AND($N$13=TRUE,OR($AT36="Remains",$AT36="#2",$AT36="Removed")),"NA",VLOOKUP($H36,INDIRECT('9.6 Table'!$P$338),Z$11+N$9,FALSE)))</f>
        <v/>
      </c>
      <c r="AA36" s="767"/>
      <c r="AB36" s="768" t="str">
        <f ca="1">IF($B36="","",IF(AND($N$13=TRUE,OR($AT36="Remains",$AT36="#2",$AT36="Removed")),"NA",VLOOKUP($H36,INDIRECT('9.6 Table'!$P$338),AB$11+N$9,FALSE)))</f>
        <v/>
      </c>
      <c r="AC36" s="767"/>
      <c r="AD36" s="768" t="str">
        <f ca="1">IF($B36="","",IF(AND($N$13=TRUE,OR($AT36="Remains",$AT36="#2",$AT36="Removed")),"NA",VLOOKUP($H36,INDIRECT('9.6 Table'!$P$338),AD$11+N$9,FALSE)))</f>
        <v/>
      </c>
      <c r="AE36" s="767"/>
      <c r="AF36" s="768" t="str">
        <f ca="1">IF($B36="","",IF(AND($N$13=TRUE,OR($AT36="Remains",$AT36="#2",$AT36="Removed")),"NA",VLOOKUP($H36,INDIRECT('9.6 Table'!$P$338),AF$11+N$9,FALSE)))</f>
        <v/>
      </c>
      <c r="AG36" s="767"/>
      <c r="AH36" s="768" t="str">
        <f ca="1">IF($B36="","",IF(AND($N$13=TRUE,OR($AT36="Remains",$AT36="#2",$AT36="Removed")),"NA",VLOOKUP($H36,INDIRECT('9.6 Table'!$P$338),AH$11+N$9,FALSE)))</f>
        <v/>
      </c>
      <c r="AI36" s="767"/>
      <c r="AJ36" s="768" t="str">
        <f ca="1">IF($B36="","",IF(AND($N$13=TRUE,OR($AT36="Remains",$AT36="#2",$AT36="Removed")),"NA",VLOOKUP($H36,INDIRECT('9.6 Table'!$P$338),AJ$11+N$9,FALSE)))</f>
        <v/>
      </c>
      <c r="AK36" s="767"/>
      <c r="AL36" s="768" t="str">
        <f ca="1">IF($B36="","",IF(AND($N$13=TRUE,OR($AT36="Remains",$AT36="#2",$AT36="Removed")),"NA",VLOOKUP($H36,INDIRECT('9.6 Table'!$P$338),AL$11+N$9,FALSE)))</f>
        <v/>
      </c>
      <c r="AM36" s="767"/>
      <c r="AN36" s="768" t="str">
        <f ca="1">IF($B36="","",IF(AND($N$13=TRUE,OR($AT36="Remains",$AT36="#2",$AT36="Removed")),"NA",VLOOKUP($H36,INDIRECT('9.6 Table'!$P$338),AN$11+N$9,FALSE)))</f>
        <v/>
      </c>
      <c r="AO36" s="764"/>
      <c r="AP36" s="770"/>
      <c r="AQ36" s="921" t="str">
        <f t="shared" si="3"/>
        <v/>
      </c>
      <c r="AT36" s="730" t="str">
        <f t="shared" si="4"/>
        <v>New</v>
      </c>
      <c r="AX36" s="737" t="str">
        <f ca="1">VLOOKUP(H36,'SpxSp (step-a)'!H$22:AB$71,21,FALSE)</f>
        <v/>
      </c>
      <c r="AY36" s="736">
        <f>IFERROR(IF(OR(AP36="",AP36=0),0,HLOOKUP(AX36,'9.6.3 Table'!$D$4:$H$9,1+AP36,FALSE)),0)</f>
        <v>0</v>
      </c>
      <c r="AZ36" s="482">
        <f t="shared" si="5"/>
        <v>0</v>
      </c>
      <c r="BA36" s="327"/>
      <c r="BB36" s="43" t="str">
        <f t="shared" si="6"/>
        <v/>
      </c>
      <c r="BC36" s="43" t="str">
        <f t="shared" si="7"/>
        <v/>
      </c>
      <c r="BH36" s="326">
        <f t="shared" si="8"/>
        <v>0</v>
      </c>
      <c r="BI36" s="326">
        <f t="shared" si="9"/>
        <v>0</v>
      </c>
      <c r="BJ36" s="627">
        <f t="shared" si="10"/>
        <v>0</v>
      </c>
      <c r="BK36" s="627">
        <f t="shared" si="11"/>
        <v>0</v>
      </c>
      <c r="BL36" s="627">
        <f t="shared" si="12"/>
        <v>0</v>
      </c>
      <c r="BM36" s="627">
        <f t="shared" si="13"/>
        <v>0</v>
      </c>
      <c r="BN36" s="627">
        <f t="shared" si="14"/>
        <v>0</v>
      </c>
      <c r="BO36" s="627">
        <f t="shared" si="15"/>
        <v>0</v>
      </c>
      <c r="BP36" s="627">
        <f t="shared" si="16"/>
        <v>0</v>
      </c>
      <c r="BQ36" s="627">
        <f t="shared" si="17"/>
        <v>0</v>
      </c>
      <c r="BR36" s="627">
        <f t="shared" si="18"/>
        <v>0</v>
      </c>
      <c r="BS36" s="627">
        <f t="shared" si="19"/>
        <v>0</v>
      </c>
      <c r="BT36" s="627">
        <f t="shared" si="20"/>
        <v>0</v>
      </c>
      <c r="BU36" s="627">
        <f t="shared" si="21"/>
        <v>0</v>
      </c>
      <c r="BV36" s="627">
        <f t="shared" si="22"/>
        <v>0</v>
      </c>
      <c r="BW36" s="627"/>
      <c r="BX36" s="627">
        <f t="shared" si="23"/>
        <v>0</v>
      </c>
      <c r="BZ36" s="737">
        <v>11</v>
      </c>
      <c r="CA36" s="737" t="s">
        <v>1049</v>
      </c>
      <c r="CB36" s="730">
        <f>ROW()</f>
        <v>36</v>
      </c>
    </row>
    <row r="37" spans="1:80" s="43" customFormat="1" ht="12.75" customHeight="1" x14ac:dyDescent="0.2">
      <c r="A37" s="5">
        <v>12</v>
      </c>
      <c r="B37" s="1670"/>
      <c r="C37" s="1671"/>
      <c r="D37" s="1671"/>
      <c r="E37" s="1671"/>
      <c r="F37" s="1671"/>
      <c r="G37" s="784"/>
      <c r="H37" s="784" t="str">
        <f t="shared" si="0"/>
        <v/>
      </c>
      <c r="I37" s="785"/>
      <c r="J37" s="643"/>
      <c r="K37" s="786" t="str">
        <f t="shared" si="1"/>
        <v xml:space="preserve"> </v>
      </c>
      <c r="L37" s="906" t="str">
        <f t="shared" si="24"/>
        <v/>
      </c>
      <c r="M37" s="794"/>
      <c r="N37" s="913"/>
      <c r="O37" s="121"/>
      <c r="P37" s="919" t="str">
        <f ca="1">IF($B37="","",IF(AND($N$13=TRUE,OR($AT37="Remains",$AT37="#2",$AT37="Removed")),"NA",VLOOKUP($H37,INDIRECT('9.6 Table'!$P$338),P$11+N$9,FALSE)))</f>
        <v/>
      </c>
      <c r="Q37" s="767"/>
      <c r="R37" s="768" t="str">
        <f ca="1">IF($B37="","",IF(AND($N$13=TRUE,OR($AT37="Remains",$AT37="#2",$AT37="Removed")),"NA",VLOOKUP($H37,INDIRECT('9.6 Table'!$P$338),R$11+N$9,FALSE)))</f>
        <v/>
      </c>
      <c r="S37" s="767"/>
      <c r="T37" s="768" t="str">
        <f ca="1">IF($B37="","",IF(AND($N$13=TRUE,OR($AT37="Remains",$AT37="#2",$AT37="Removed")),"NA",VLOOKUP($H37,INDIRECT('9.6 Table'!$P$338),T$11+N$9,FALSE)))</f>
        <v/>
      </c>
      <c r="U37" s="767"/>
      <c r="V37" s="768" t="str">
        <f ca="1">IF($B37="","",IF(AND($N$13=TRUE,OR($AT37="Remains",$AT37="#2",$AT37="Removed")),"NA",VLOOKUP($H37,INDIRECT('9.6 Table'!$P$338),V$11+N$9,FALSE)))</f>
        <v/>
      </c>
      <c r="W37" s="767"/>
      <c r="X37" s="768" t="str">
        <f ca="1">IF($B37="","",IF(AND($N$13=TRUE,OR($AT37="Remains",$AT37="#2",$AT37="Removed")),"NA",VLOOKUP($H37,INDIRECT('9.6 Table'!$P$338),X$11+N$9,FALSE)))</f>
        <v/>
      </c>
      <c r="Y37" s="767"/>
      <c r="Z37" s="768" t="str">
        <f ca="1">IF($B37="","",IF(AND($N$13=TRUE,OR($AT37="Remains",$AT37="#2",$AT37="Removed")),"NA",VLOOKUP($H37,INDIRECT('9.6 Table'!$P$338),Z$11+N$9,FALSE)))</f>
        <v/>
      </c>
      <c r="AA37" s="767"/>
      <c r="AB37" s="768" t="str">
        <f ca="1">IF($B37="","",IF(AND($N$13=TRUE,OR($AT37="Remains",$AT37="#2",$AT37="Removed")),"NA",VLOOKUP($H37,INDIRECT('9.6 Table'!$P$338),AB$11+N$9,FALSE)))</f>
        <v/>
      </c>
      <c r="AC37" s="767"/>
      <c r="AD37" s="768" t="str">
        <f ca="1">IF($B37="","",IF(AND($N$13=TRUE,OR($AT37="Remains",$AT37="#2",$AT37="Removed")),"NA",VLOOKUP($H37,INDIRECT('9.6 Table'!$P$338),AD$11+N$9,FALSE)))</f>
        <v/>
      </c>
      <c r="AE37" s="767"/>
      <c r="AF37" s="768" t="str">
        <f ca="1">IF($B37="","",IF(AND($N$13=TRUE,OR($AT37="Remains",$AT37="#2",$AT37="Removed")),"NA",VLOOKUP($H37,INDIRECT('9.6 Table'!$P$338),AF$11+N$9,FALSE)))</f>
        <v/>
      </c>
      <c r="AG37" s="767"/>
      <c r="AH37" s="768" t="str">
        <f ca="1">IF($B37="","",IF(AND($N$13=TRUE,OR($AT37="Remains",$AT37="#2",$AT37="Removed")),"NA",VLOOKUP($H37,INDIRECT('9.6 Table'!$P$338),AH$11+N$9,FALSE)))</f>
        <v/>
      </c>
      <c r="AI37" s="767"/>
      <c r="AJ37" s="768" t="str">
        <f ca="1">IF($B37="","",IF(AND($N$13=TRUE,OR($AT37="Remains",$AT37="#2",$AT37="Removed")),"NA",VLOOKUP($H37,INDIRECT('9.6 Table'!$P$338),AJ$11+N$9,FALSE)))</f>
        <v/>
      </c>
      <c r="AK37" s="767"/>
      <c r="AL37" s="768" t="str">
        <f ca="1">IF($B37="","",IF(AND($N$13=TRUE,OR($AT37="Remains",$AT37="#2",$AT37="Removed")),"NA",VLOOKUP($H37,INDIRECT('9.6 Table'!$P$338),AL$11+N$9,FALSE)))</f>
        <v/>
      </c>
      <c r="AM37" s="765"/>
      <c r="AN37" s="768" t="str">
        <f ca="1">IF($B37="","",IF(AND($N$13=TRUE,OR($AT37="Remains",$AT37="#2",$AT37="Removed")),"NA",VLOOKUP($H37,INDIRECT('9.6 Table'!$P$338),AN$11+N$9,FALSE)))</f>
        <v/>
      </c>
      <c r="AO37" s="764"/>
      <c r="AP37" s="770"/>
      <c r="AQ37" s="921" t="str">
        <f t="shared" si="3"/>
        <v/>
      </c>
      <c r="AT37" s="730" t="str">
        <f t="shared" si="4"/>
        <v>New</v>
      </c>
      <c r="AX37" s="737" t="str">
        <f ca="1">VLOOKUP(H37,'SpxSp (step-a)'!H$22:AB$71,21,FALSE)</f>
        <v/>
      </c>
      <c r="AY37" s="736">
        <f>IFERROR(IF(OR(AP37="",AP37=0),0,HLOOKUP(AX37,'9.6.3 Table'!$D$4:$H$9,1+AP37,FALSE)),0)</f>
        <v>0</v>
      </c>
      <c r="AZ37" s="482">
        <f t="shared" si="5"/>
        <v>0</v>
      </c>
      <c r="BA37" s="327"/>
      <c r="BB37" s="43" t="str">
        <f t="shared" si="6"/>
        <v/>
      </c>
      <c r="BC37" s="43" t="str">
        <f t="shared" si="7"/>
        <v/>
      </c>
      <c r="BH37" s="326">
        <f t="shared" si="8"/>
        <v>0</v>
      </c>
      <c r="BI37" s="326">
        <f t="shared" si="9"/>
        <v>0</v>
      </c>
      <c r="BJ37" s="627">
        <f t="shared" si="10"/>
        <v>0</v>
      </c>
      <c r="BK37" s="627">
        <f t="shared" si="11"/>
        <v>0</v>
      </c>
      <c r="BL37" s="627">
        <f t="shared" si="12"/>
        <v>0</v>
      </c>
      <c r="BM37" s="627">
        <f t="shared" si="13"/>
        <v>0</v>
      </c>
      <c r="BN37" s="627">
        <f t="shared" si="14"/>
        <v>0</v>
      </c>
      <c r="BO37" s="627">
        <f t="shared" si="15"/>
        <v>0</v>
      </c>
      <c r="BP37" s="627">
        <f t="shared" si="16"/>
        <v>0</v>
      </c>
      <c r="BQ37" s="627">
        <f t="shared" si="17"/>
        <v>0</v>
      </c>
      <c r="BR37" s="627">
        <f t="shared" si="18"/>
        <v>0</v>
      </c>
      <c r="BS37" s="627">
        <f t="shared" si="19"/>
        <v>0</v>
      </c>
      <c r="BT37" s="627">
        <f t="shared" si="20"/>
        <v>0</v>
      </c>
      <c r="BU37" s="627">
        <f t="shared" si="21"/>
        <v>0</v>
      </c>
      <c r="BV37" s="627">
        <f t="shared" si="22"/>
        <v>0</v>
      </c>
      <c r="BW37" s="627"/>
      <c r="BX37" s="627">
        <f t="shared" si="23"/>
        <v>0</v>
      </c>
      <c r="BZ37" s="737">
        <v>12</v>
      </c>
      <c r="CA37" s="737" t="s">
        <v>1050</v>
      </c>
      <c r="CB37" s="730">
        <f>ROW()</f>
        <v>37</v>
      </c>
    </row>
    <row r="38" spans="1:80" s="43" customFormat="1" ht="12.75" customHeight="1" x14ac:dyDescent="0.2">
      <c r="A38" s="5">
        <v>13</v>
      </c>
      <c r="B38" s="1670"/>
      <c r="C38" s="1671"/>
      <c r="D38" s="1671"/>
      <c r="E38" s="1671"/>
      <c r="F38" s="1671"/>
      <c r="G38" s="784"/>
      <c r="H38" s="784" t="str">
        <f t="shared" si="0"/>
        <v/>
      </c>
      <c r="I38" s="785"/>
      <c r="J38" s="643"/>
      <c r="K38" s="786" t="str">
        <f t="shared" si="1"/>
        <v xml:space="preserve"> </v>
      </c>
      <c r="L38" s="906" t="str">
        <f t="shared" si="24"/>
        <v/>
      </c>
      <c r="M38" s="794"/>
      <c r="N38" s="913"/>
      <c r="O38" s="121"/>
      <c r="P38" s="919" t="str">
        <f ca="1">IF($B38="","",IF(AND($N$13=TRUE,OR($AT38="Remains",$AT38="#2",$AT38="Removed")),"NA",VLOOKUP($H38,INDIRECT('9.6 Table'!$P$338),P$11+N$9,FALSE)))</f>
        <v/>
      </c>
      <c r="Q38" s="767"/>
      <c r="R38" s="768" t="str">
        <f ca="1">IF($B38="","",IF(AND($N$13=TRUE,OR($AT38="Remains",$AT38="#2",$AT38="Removed")),"NA",VLOOKUP($H38,INDIRECT('9.6 Table'!$P$338),R$11+N$9,FALSE)))</f>
        <v/>
      </c>
      <c r="S38" s="767"/>
      <c r="T38" s="768" t="str">
        <f ca="1">IF($B38="","",IF(AND($N$13=TRUE,OR($AT38="Remains",$AT38="#2",$AT38="Removed")),"NA",VLOOKUP($H38,INDIRECT('9.6 Table'!$P$338),T$11+N$9,FALSE)))</f>
        <v/>
      </c>
      <c r="U38" s="767"/>
      <c r="V38" s="768" t="str">
        <f ca="1">IF($B38="","",IF(AND($N$13=TRUE,OR($AT38="Remains",$AT38="#2",$AT38="Removed")),"NA",VLOOKUP($H38,INDIRECT('9.6 Table'!$P$338),V$11+N$9,FALSE)))</f>
        <v/>
      </c>
      <c r="W38" s="767"/>
      <c r="X38" s="768" t="str">
        <f ca="1">IF($B38="","",IF(AND($N$13=TRUE,OR($AT38="Remains",$AT38="#2",$AT38="Removed")),"NA",VLOOKUP($H38,INDIRECT('9.6 Table'!$P$338),X$11+N$9,FALSE)))</f>
        <v/>
      </c>
      <c r="Y38" s="767"/>
      <c r="Z38" s="768" t="str">
        <f ca="1">IF($B38="","",IF(AND($N$13=TRUE,OR($AT38="Remains",$AT38="#2",$AT38="Removed")),"NA",VLOOKUP($H38,INDIRECT('9.6 Table'!$P$338),Z$11+N$9,FALSE)))</f>
        <v/>
      </c>
      <c r="AA38" s="767"/>
      <c r="AB38" s="768" t="str">
        <f ca="1">IF($B38="","",IF(AND($N$13=TRUE,OR($AT38="Remains",$AT38="#2",$AT38="Removed")),"NA",VLOOKUP($H38,INDIRECT('9.6 Table'!$P$338),AB$11+N$9,FALSE)))</f>
        <v/>
      </c>
      <c r="AC38" s="767"/>
      <c r="AD38" s="768" t="str">
        <f ca="1">IF($B38="","",IF(AND($N$13=TRUE,OR($AT38="Remains",$AT38="#2",$AT38="Removed")),"NA",VLOOKUP($H38,INDIRECT('9.6 Table'!$P$338),AD$11+N$9,FALSE)))</f>
        <v/>
      </c>
      <c r="AE38" s="767"/>
      <c r="AF38" s="768" t="str">
        <f ca="1">IF($B38="","",IF(AND($N$13=TRUE,OR($AT38="Remains",$AT38="#2",$AT38="Removed")),"NA",VLOOKUP($H38,INDIRECT('9.6 Table'!$P$338),AF$11+N$9,FALSE)))</f>
        <v/>
      </c>
      <c r="AG38" s="767"/>
      <c r="AH38" s="768" t="str">
        <f ca="1">IF($B38="","",IF(AND($N$13=TRUE,OR($AT38="Remains",$AT38="#2",$AT38="Removed")),"NA",VLOOKUP($H38,INDIRECT('9.6 Table'!$P$338),AH$11+N$9,FALSE)))</f>
        <v/>
      </c>
      <c r="AI38" s="767"/>
      <c r="AJ38" s="768" t="str">
        <f ca="1">IF($B38="","",IF(AND($N$13=TRUE,OR($AT38="Remains",$AT38="#2",$AT38="Removed")),"NA",VLOOKUP($H38,INDIRECT('9.6 Table'!$P$338),AJ$11+N$9,FALSE)))</f>
        <v/>
      </c>
      <c r="AK38" s="767"/>
      <c r="AL38" s="768" t="str">
        <f ca="1">IF($B38="","",IF(AND($N$13=TRUE,OR($AT38="Remains",$AT38="#2",$AT38="Removed")),"NA",VLOOKUP($H38,INDIRECT('9.6 Table'!$P$338),AL$11+N$9,FALSE)))</f>
        <v/>
      </c>
      <c r="AM38" s="767"/>
      <c r="AN38" s="768" t="str">
        <f ca="1">IF($B38="","",IF(AND($N$13=TRUE,OR($AT38="Remains",$AT38="#2",$AT38="Removed")),"NA",VLOOKUP($H38,INDIRECT('9.6 Table'!$P$338),AN$11+N$9,FALSE)))</f>
        <v/>
      </c>
      <c r="AO38" s="764"/>
      <c r="AP38" s="770"/>
      <c r="AQ38" s="921" t="str">
        <f t="shared" si="3"/>
        <v/>
      </c>
      <c r="AT38" s="730" t="str">
        <f t="shared" si="4"/>
        <v>New</v>
      </c>
      <c r="AX38" s="737" t="str">
        <f ca="1">VLOOKUP(H38,'SpxSp (step-a)'!H$22:AB$71,21,FALSE)</f>
        <v/>
      </c>
      <c r="AY38" s="736">
        <f>IFERROR(IF(OR(AP38="",AP38=0),0,HLOOKUP(AX38,'9.6.3 Table'!$D$4:$H$9,1+AP38,FALSE)),0)</f>
        <v>0</v>
      </c>
      <c r="AZ38" s="482">
        <f t="shared" si="5"/>
        <v>0</v>
      </c>
      <c r="BA38" s="327"/>
      <c r="BB38" s="43" t="str">
        <f t="shared" si="6"/>
        <v/>
      </c>
      <c r="BC38" s="43" t="str">
        <f t="shared" si="7"/>
        <v/>
      </c>
      <c r="BH38" s="326">
        <f t="shared" si="8"/>
        <v>0</v>
      </c>
      <c r="BI38" s="326">
        <f t="shared" si="9"/>
        <v>0</v>
      </c>
      <c r="BJ38" s="627">
        <f t="shared" si="10"/>
        <v>0</v>
      </c>
      <c r="BK38" s="627">
        <f t="shared" si="11"/>
        <v>0</v>
      </c>
      <c r="BL38" s="627">
        <f t="shared" si="12"/>
        <v>0</v>
      </c>
      <c r="BM38" s="627">
        <f t="shared" si="13"/>
        <v>0</v>
      </c>
      <c r="BN38" s="627">
        <f t="shared" si="14"/>
        <v>0</v>
      </c>
      <c r="BO38" s="627">
        <f t="shared" si="15"/>
        <v>0</v>
      </c>
      <c r="BP38" s="627">
        <f t="shared" si="16"/>
        <v>0</v>
      </c>
      <c r="BQ38" s="627">
        <f t="shared" si="17"/>
        <v>0</v>
      </c>
      <c r="BR38" s="627">
        <f t="shared" si="18"/>
        <v>0</v>
      </c>
      <c r="BS38" s="627">
        <f t="shared" si="19"/>
        <v>0</v>
      </c>
      <c r="BT38" s="627">
        <f t="shared" si="20"/>
        <v>0</v>
      </c>
      <c r="BU38" s="627">
        <f t="shared" si="21"/>
        <v>0</v>
      </c>
      <c r="BV38" s="627">
        <f t="shared" si="22"/>
        <v>0</v>
      </c>
      <c r="BW38" s="627"/>
      <c r="BX38" s="627">
        <f t="shared" si="23"/>
        <v>0</v>
      </c>
      <c r="BZ38" s="737">
        <v>13</v>
      </c>
      <c r="CA38" s="737" t="s">
        <v>1051</v>
      </c>
      <c r="CB38" s="730">
        <f>ROW()</f>
        <v>38</v>
      </c>
    </row>
    <row r="39" spans="1:80" s="43" customFormat="1" ht="12.75" customHeight="1" x14ac:dyDescent="0.2">
      <c r="A39" s="5">
        <v>14</v>
      </c>
      <c r="B39" s="1670"/>
      <c r="C39" s="1671"/>
      <c r="D39" s="1671"/>
      <c r="E39" s="1671"/>
      <c r="F39" s="1671"/>
      <c r="G39" s="784"/>
      <c r="H39" s="784" t="str">
        <f t="shared" si="0"/>
        <v/>
      </c>
      <c r="I39" s="785"/>
      <c r="J39" s="643"/>
      <c r="K39" s="786" t="str">
        <f t="shared" si="1"/>
        <v xml:space="preserve"> </v>
      </c>
      <c r="L39" s="906" t="str">
        <f t="shared" si="24"/>
        <v/>
      </c>
      <c r="M39" s="794"/>
      <c r="N39" s="913"/>
      <c r="O39" s="121"/>
      <c r="P39" s="919" t="str">
        <f ca="1">IF($B39="","",IF(AND($N$13=TRUE,OR($AT39="Remains",$AT39="#2",$AT39="Removed")),"NA",VLOOKUP($H39,INDIRECT('9.6 Table'!$P$338),P$11+N$9,FALSE)))</f>
        <v/>
      </c>
      <c r="Q39" s="767"/>
      <c r="R39" s="768" t="str">
        <f ca="1">IF($B39="","",IF(AND($N$13=TRUE,OR($AT39="Remains",$AT39="#2",$AT39="Removed")),"NA",VLOOKUP($H39,INDIRECT('9.6 Table'!$P$338),R$11+N$9,FALSE)))</f>
        <v/>
      </c>
      <c r="S39" s="767"/>
      <c r="T39" s="768" t="str">
        <f ca="1">IF($B39="","",IF(AND($N$13=TRUE,OR($AT39="Remains",$AT39="#2",$AT39="Removed")),"NA",VLOOKUP($H39,INDIRECT('9.6 Table'!$P$338),T$11+N$9,FALSE)))</f>
        <v/>
      </c>
      <c r="U39" s="767"/>
      <c r="V39" s="768" t="str">
        <f ca="1">IF($B39="","",IF(AND($N$13=TRUE,OR($AT39="Remains",$AT39="#2",$AT39="Removed")),"NA",VLOOKUP($H39,INDIRECT('9.6 Table'!$P$338),V$11+N$9,FALSE)))</f>
        <v/>
      </c>
      <c r="W39" s="767"/>
      <c r="X39" s="768" t="str">
        <f ca="1">IF($B39="","",IF(AND($N$13=TRUE,OR($AT39="Remains",$AT39="#2",$AT39="Removed")),"NA",VLOOKUP($H39,INDIRECT('9.6 Table'!$P$338),X$11+N$9,FALSE)))</f>
        <v/>
      </c>
      <c r="Y39" s="767"/>
      <c r="Z39" s="768" t="str">
        <f ca="1">IF($B39="","",IF(AND($N$13=TRUE,OR($AT39="Remains",$AT39="#2",$AT39="Removed")),"NA",VLOOKUP($H39,INDIRECT('9.6 Table'!$P$338),Z$11+N$9,FALSE)))</f>
        <v/>
      </c>
      <c r="AA39" s="767"/>
      <c r="AB39" s="768" t="str">
        <f ca="1">IF($B39="","",IF(AND($N$13=TRUE,OR($AT39="Remains",$AT39="#2",$AT39="Removed")),"NA",VLOOKUP($H39,INDIRECT('9.6 Table'!$P$338),AB$11+N$9,FALSE)))</f>
        <v/>
      </c>
      <c r="AC39" s="767"/>
      <c r="AD39" s="768" t="str">
        <f ca="1">IF($B39="","",IF(AND($N$13=TRUE,OR($AT39="Remains",$AT39="#2",$AT39="Removed")),"NA",VLOOKUP($H39,INDIRECT('9.6 Table'!$P$338),AD$11+N$9,FALSE)))</f>
        <v/>
      </c>
      <c r="AE39" s="767"/>
      <c r="AF39" s="768" t="str">
        <f ca="1">IF($B39="","",IF(AND($N$13=TRUE,OR($AT39="Remains",$AT39="#2",$AT39="Removed")),"NA",VLOOKUP($H39,INDIRECT('9.6 Table'!$P$338),AF$11+N$9,FALSE)))</f>
        <v/>
      </c>
      <c r="AG39" s="767"/>
      <c r="AH39" s="768" t="str">
        <f ca="1">IF($B39="","",IF(AND($N$13=TRUE,OR($AT39="Remains",$AT39="#2",$AT39="Removed")),"NA",VLOOKUP($H39,INDIRECT('9.6 Table'!$P$338),AH$11+N$9,FALSE)))</f>
        <v/>
      </c>
      <c r="AI39" s="767"/>
      <c r="AJ39" s="768" t="str">
        <f ca="1">IF($B39="","",IF(AND($N$13=TRUE,OR($AT39="Remains",$AT39="#2",$AT39="Removed")),"NA",VLOOKUP($H39,INDIRECT('9.6 Table'!$P$338),AJ$11+N$9,FALSE)))</f>
        <v/>
      </c>
      <c r="AK39" s="767"/>
      <c r="AL39" s="768" t="str">
        <f ca="1">IF($B39="","",IF(AND($N$13=TRUE,OR($AT39="Remains",$AT39="#2",$AT39="Removed")),"NA",VLOOKUP($H39,INDIRECT('9.6 Table'!$P$338),AL$11+N$9,FALSE)))</f>
        <v/>
      </c>
      <c r="AM39" s="767"/>
      <c r="AN39" s="768" t="str">
        <f ca="1">IF($B39="","",IF(AND($N$13=TRUE,OR($AT39="Remains",$AT39="#2",$AT39="Removed")),"NA",VLOOKUP($H39,INDIRECT('9.6 Table'!$P$338),AN$11+N$9,FALSE)))</f>
        <v/>
      </c>
      <c r="AO39" s="764"/>
      <c r="AP39" s="770"/>
      <c r="AQ39" s="921" t="str">
        <f t="shared" si="3"/>
        <v/>
      </c>
      <c r="AT39" s="730" t="str">
        <f t="shared" si="4"/>
        <v>New</v>
      </c>
      <c r="AX39" s="737" t="str">
        <f ca="1">VLOOKUP(H39,'SpxSp (step-a)'!H$22:AB$71,21,FALSE)</f>
        <v/>
      </c>
      <c r="AY39" s="736">
        <f>IFERROR(IF(OR(AP39="",AP39=0),0,HLOOKUP(AX39,'9.6.3 Table'!$D$4:$H$9,1+AP39,FALSE)),0)</f>
        <v>0</v>
      </c>
      <c r="AZ39" s="482">
        <f t="shared" si="5"/>
        <v>0</v>
      </c>
      <c r="BA39" s="327"/>
      <c r="BB39" s="43" t="str">
        <f t="shared" si="6"/>
        <v/>
      </c>
      <c r="BC39" s="43" t="str">
        <f t="shared" si="7"/>
        <v/>
      </c>
      <c r="BH39" s="326">
        <f t="shared" si="8"/>
        <v>0</v>
      </c>
      <c r="BI39" s="326">
        <f t="shared" si="9"/>
        <v>0</v>
      </c>
      <c r="BJ39" s="627">
        <f t="shared" si="10"/>
        <v>0</v>
      </c>
      <c r="BK39" s="627">
        <f t="shared" si="11"/>
        <v>0</v>
      </c>
      <c r="BL39" s="627">
        <f t="shared" si="12"/>
        <v>0</v>
      </c>
      <c r="BM39" s="627">
        <f t="shared" si="13"/>
        <v>0</v>
      </c>
      <c r="BN39" s="627">
        <f t="shared" si="14"/>
        <v>0</v>
      </c>
      <c r="BO39" s="627">
        <f t="shared" si="15"/>
        <v>0</v>
      </c>
      <c r="BP39" s="627">
        <f t="shared" si="16"/>
        <v>0</v>
      </c>
      <c r="BQ39" s="627">
        <f t="shared" si="17"/>
        <v>0</v>
      </c>
      <c r="BR39" s="627">
        <f t="shared" si="18"/>
        <v>0</v>
      </c>
      <c r="BS39" s="627">
        <f t="shared" si="19"/>
        <v>0</v>
      </c>
      <c r="BT39" s="627">
        <f t="shared" si="20"/>
        <v>0</v>
      </c>
      <c r="BU39" s="627">
        <f t="shared" si="21"/>
        <v>0</v>
      </c>
      <c r="BV39" s="627">
        <f t="shared" si="22"/>
        <v>0</v>
      </c>
      <c r="BW39" s="627"/>
      <c r="BX39" s="627">
        <f t="shared" si="23"/>
        <v>0</v>
      </c>
      <c r="BZ39" s="737">
        <v>14</v>
      </c>
      <c r="CA39" s="737" t="s">
        <v>1052</v>
      </c>
      <c r="CB39" s="730">
        <f>ROW()</f>
        <v>39</v>
      </c>
    </row>
    <row r="40" spans="1:80" s="43" customFormat="1" ht="12.75" customHeight="1" x14ac:dyDescent="0.2">
      <c r="A40" s="5">
        <v>15</v>
      </c>
      <c r="B40" s="1670"/>
      <c r="C40" s="1671"/>
      <c r="D40" s="1671"/>
      <c r="E40" s="1671"/>
      <c r="F40" s="1671"/>
      <c r="G40" s="784"/>
      <c r="H40" s="784" t="str">
        <f t="shared" si="0"/>
        <v/>
      </c>
      <c r="I40" s="785"/>
      <c r="J40" s="643"/>
      <c r="K40" s="786" t="str">
        <f t="shared" si="1"/>
        <v xml:space="preserve"> </v>
      </c>
      <c r="L40" s="906" t="str">
        <f t="shared" si="24"/>
        <v/>
      </c>
      <c r="M40" s="794"/>
      <c r="N40" s="913"/>
      <c r="O40" s="121"/>
      <c r="P40" s="919" t="str">
        <f ca="1">IF($B40="","",IF(AND($N$13=TRUE,OR($AT40="Remains",$AT40="#2",$AT40="Removed")),"NA",VLOOKUP($H40,INDIRECT('9.6 Table'!$P$338),P$11+N$9,FALSE)))</f>
        <v/>
      </c>
      <c r="Q40" s="767"/>
      <c r="R40" s="768" t="str">
        <f ca="1">IF($B40="","",IF(AND($N$13=TRUE,OR($AT40="Remains",$AT40="#2",$AT40="Removed")),"NA",VLOOKUP($H40,INDIRECT('9.6 Table'!$P$338),R$11+N$9,FALSE)))</f>
        <v/>
      </c>
      <c r="S40" s="767"/>
      <c r="T40" s="768" t="str">
        <f ca="1">IF($B40="","",IF(AND($N$13=TRUE,OR($AT40="Remains",$AT40="#2",$AT40="Removed")),"NA",VLOOKUP($H40,INDIRECT('9.6 Table'!$P$338),T$11+N$9,FALSE)))</f>
        <v/>
      </c>
      <c r="U40" s="767"/>
      <c r="V40" s="768" t="str">
        <f ca="1">IF($B40="","",IF(AND($N$13=TRUE,OR($AT40="Remains",$AT40="#2",$AT40="Removed")),"NA",VLOOKUP($H40,INDIRECT('9.6 Table'!$P$338),V$11+N$9,FALSE)))</f>
        <v/>
      </c>
      <c r="W40" s="767"/>
      <c r="X40" s="768" t="str">
        <f ca="1">IF($B40="","",IF(AND($N$13=TRUE,OR($AT40="Remains",$AT40="#2",$AT40="Removed")),"NA",VLOOKUP($H40,INDIRECT('9.6 Table'!$P$338),X$11+N$9,FALSE)))</f>
        <v/>
      </c>
      <c r="Y40" s="767"/>
      <c r="Z40" s="768" t="str">
        <f ca="1">IF($B40="","",IF(AND($N$13=TRUE,OR($AT40="Remains",$AT40="#2",$AT40="Removed")),"NA",VLOOKUP($H40,INDIRECT('9.6 Table'!$P$338),Z$11+N$9,FALSE)))</f>
        <v/>
      </c>
      <c r="AA40" s="767"/>
      <c r="AB40" s="768" t="str">
        <f ca="1">IF($B40="","",IF(AND($N$13=TRUE,OR($AT40="Remains",$AT40="#2",$AT40="Removed")),"NA",VLOOKUP($H40,INDIRECT('9.6 Table'!$P$338),AB$11+N$9,FALSE)))</f>
        <v/>
      </c>
      <c r="AC40" s="767"/>
      <c r="AD40" s="768" t="str">
        <f ca="1">IF($B40="","",IF(AND($N$13=TRUE,OR($AT40="Remains",$AT40="#2",$AT40="Removed")),"NA",VLOOKUP($H40,INDIRECT('9.6 Table'!$P$338),AD$11+N$9,FALSE)))</f>
        <v/>
      </c>
      <c r="AE40" s="767"/>
      <c r="AF40" s="768" t="str">
        <f ca="1">IF($B40="","",IF(AND($N$13=TRUE,OR($AT40="Remains",$AT40="#2",$AT40="Removed")),"NA",VLOOKUP($H40,INDIRECT('9.6 Table'!$P$338),AF$11+N$9,FALSE)))</f>
        <v/>
      </c>
      <c r="AG40" s="767"/>
      <c r="AH40" s="768" t="str">
        <f ca="1">IF($B40="","",IF(AND($N$13=TRUE,OR($AT40="Remains",$AT40="#2",$AT40="Removed")),"NA",VLOOKUP($H40,INDIRECT('9.6 Table'!$P$338),AH$11+N$9,FALSE)))</f>
        <v/>
      </c>
      <c r="AI40" s="767"/>
      <c r="AJ40" s="768" t="str">
        <f ca="1">IF($B40="","",IF(AND($N$13=TRUE,OR($AT40="Remains",$AT40="#2",$AT40="Removed")),"NA",VLOOKUP($H40,INDIRECT('9.6 Table'!$P$338),AJ$11+N$9,FALSE)))</f>
        <v/>
      </c>
      <c r="AK40" s="767"/>
      <c r="AL40" s="768" t="str">
        <f ca="1">IF($B40="","",IF(AND($N$13=TRUE,OR($AT40="Remains",$AT40="#2",$AT40="Removed")),"NA",VLOOKUP($H40,INDIRECT('9.6 Table'!$P$338),AL$11+N$9,FALSE)))</f>
        <v/>
      </c>
      <c r="AM40" s="767"/>
      <c r="AN40" s="768" t="str">
        <f ca="1">IF($B40="","",IF(AND($N$13=TRUE,OR($AT40="Remains",$AT40="#2",$AT40="Removed")),"NA",VLOOKUP($H40,INDIRECT('9.6 Table'!$P$338),AN$11+N$9,FALSE)))</f>
        <v/>
      </c>
      <c r="AO40" s="764"/>
      <c r="AP40" s="770"/>
      <c r="AQ40" s="921" t="str">
        <f t="shared" si="3"/>
        <v/>
      </c>
      <c r="AT40" s="730" t="str">
        <f t="shared" si="4"/>
        <v>New</v>
      </c>
      <c r="AX40" s="737" t="str">
        <f ca="1">VLOOKUP(H40,'SpxSp (step-a)'!H$22:AB$71,21,FALSE)</f>
        <v/>
      </c>
      <c r="AY40" s="736">
        <f>IFERROR(IF(OR(AP40="",AP40=0),0,HLOOKUP(AX40,'9.6.3 Table'!$D$4:$H$9,1+AP40,FALSE)),0)</f>
        <v>0</v>
      </c>
      <c r="AZ40" s="482">
        <f t="shared" si="5"/>
        <v>0</v>
      </c>
      <c r="BA40" s="327"/>
      <c r="BB40" s="43" t="str">
        <f t="shared" si="6"/>
        <v/>
      </c>
      <c r="BC40" s="43" t="str">
        <f t="shared" si="7"/>
        <v/>
      </c>
      <c r="BH40" s="326">
        <f t="shared" si="8"/>
        <v>0</v>
      </c>
      <c r="BI40" s="326">
        <f t="shared" si="9"/>
        <v>0</v>
      </c>
      <c r="BJ40" s="627">
        <f t="shared" si="10"/>
        <v>0</v>
      </c>
      <c r="BK40" s="627">
        <f t="shared" si="11"/>
        <v>0</v>
      </c>
      <c r="BL40" s="627">
        <f t="shared" si="12"/>
        <v>0</v>
      </c>
      <c r="BM40" s="627">
        <f t="shared" si="13"/>
        <v>0</v>
      </c>
      <c r="BN40" s="627">
        <f t="shared" si="14"/>
        <v>0</v>
      </c>
      <c r="BO40" s="627">
        <f t="shared" si="15"/>
        <v>0</v>
      </c>
      <c r="BP40" s="627">
        <f t="shared" si="16"/>
        <v>0</v>
      </c>
      <c r="BQ40" s="627">
        <f t="shared" si="17"/>
        <v>0</v>
      </c>
      <c r="BR40" s="627">
        <f t="shared" si="18"/>
        <v>0</v>
      </c>
      <c r="BS40" s="627">
        <f t="shared" si="19"/>
        <v>0</v>
      </c>
      <c r="BT40" s="627">
        <f t="shared" si="20"/>
        <v>0</v>
      </c>
      <c r="BU40" s="627">
        <f t="shared" si="21"/>
        <v>0</v>
      </c>
      <c r="BV40" s="627">
        <f t="shared" si="22"/>
        <v>0</v>
      </c>
      <c r="BW40" s="627"/>
      <c r="BX40" s="627">
        <f t="shared" si="23"/>
        <v>0</v>
      </c>
      <c r="BZ40" s="737">
        <v>15</v>
      </c>
      <c r="CA40" s="737" t="s">
        <v>908</v>
      </c>
      <c r="CB40" s="730">
        <f>ROW()</f>
        <v>40</v>
      </c>
    </row>
    <row r="41" spans="1:80" s="43" customFormat="1" ht="12.75" customHeight="1" x14ac:dyDescent="0.2">
      <c r="A41" s="5">
        <v>16</v>
      </c>
      <c r="B41" s="1670"/>
      <c r="C41" s="1671"/>
      <c r="D41" s="1671"/>
      <c r="E41" s="1671"/>
      <c r="F41" s="1671"/>
      <c r="G41" s="784"/>
      <c r="H41" s="784" t="str">
        <f t="shared" si="0"/>
        <v/>
      </c>
      <c r="I41" s="785"/>
      <c r="J41" s="643"/>
      <c r="K41" s="786" t="str">
        <f t="shared" si="1"/>
        <v xml:space="preserve"> </v>
      </c>
      <c r="L41" s="906" t="str">
        <f t="shared" si="24"/>
        <v/>
      </c>
      <c r="M41" s="794"/>
      <c r="N41" s="913"/>
      <c r="O41" s="121"/>
      <c r="P41" s="919" t="str">
        <f ca="1">IF($B41="","",IF(AND($N$13=TRUE,OR($AT41="Remains",$AT41="#2",$AT41="Removed")),"NA",VLOOKUP($H41,INDIRECT('9.6 Table'!$P$338),P$11+N$9,FALSE)))</f>
        <v/>
      </c>
      <c r="Q41" s="767"/>
      <c r="R41" s="768" t="str">
        <f ca="1">IF($B41="","",IF(AND($N$13=TRUE,OR($AT41="Remains",$AT41="#2",$AT41="Removed")),"NA",VLOOKUP($H41,INDIRECT('9.6 Table'!$P$338),R$11+N$9,FALSE)))</f>
        <v/>
      </c>
      <c r="S41" s="767"/>
      <c r="T41" s="768" t="str">
        <f ca="1">IF($B41="","",IF(AND($N$13=TRUE,OR($AT41="Remains",$AT41="#2",$AT41="Removed")),"NA",VLOOKUP($H41,INDIRECT('9.6 Table'!$P$338),T$11+N$9,FALSE)))</f>
        <v/>
      </c>
      <c r="U41" s="767"/>
      <c r="V41" s="768" t="str">
        <f ca="1">IF($B41="","",IF(AND($N$13=TRUE,OR($AT41="Remains",$AT41="#2",$AT41="Removed")),"NA",VLOOKUP($H41,INDIRECT('9.6 Table'!$P$338),V$11+N$9,FALSE)))</f>
        <v/>
      </c>
      <c r="W41" s="767"/>
      <c r="X41" s="768" t="str">
        <f ca="1">IF($B41="","",IF(AND($N$13=TRUE,OR($AT41="Remains",$AT41="#2",$AT41="Removed")),"NA",VLOOKUP($H41,INDIRECT('9.6 Table'!$P$338),X$11+N$9,FALSE)))</f>
        <v/>
      </c>
      <c r="Y41" s="767"/>
      <c r="Z41" s="768" t="str">
        <f ca="1">IF($B41="","",IF(AND($N$13=TRUE,OR($AT41="Remains",$AT41="#2",$AT41="Removed")),"NA",VLOOKUP($H41,INDIRECT('9.6 Table'!$P$338),Z$11+N$9,FALSE)))</f>
        <v/>
      </c>
      <c r="AA41" s="767"/>
      <c r="AB41" s="768" t="str">
        <f ca="1">IF($B41="","",IF(AND($N$13=TRUE,OR($AT41="Remains",$AT41="#2",$AT41="Removed")),"NA",VLOOKUP($H41,INDIRECT('9.6 Table'!$P$338),AB$11+N$9,FALSE)))</f>
        <v/>
      </c>
      <c r="AC41" s="767"/>
      <c r="AD41" s="768" t="str">
        <f ca="1">IF($B41="","",IF(AND($N$13=TRUE,OR($AT41="Remains",$AT41="#2",$AT41="Removed")),"NA",VLOOKUP($H41,INDIRECT('9.6 Table'!$P$338),AD$11+N$9,FALSE)))</f>
        <v/>
      </c>
      <c r="AE41" s="767"/>
      <c r="AF41" s="768" t="str">
        <f ca="1">IF($B41="","",IF(AND($N$13=TRUE,OR($AT41="Remains",$AT41="#2",$AT41="Removed")),"NA",VLOOKUP($H41,INDIRECT('9.6 Table'!$P$338),AF$11+N$9,FALSE)))</f>
        <v/>
      </c>
      <c r="AG41" s="767"/>
      <c r="AH41" s="768" t="str">
        <f ca="1">IF($B41="","",IF(AND($N$13=TRUE,OR($AT41="Remains",$AT41="#2",$AT41="Removed")),"NA",VLOOKUP($H41,INDIRECT('9.6 Table'!$P$338),AH$11+N$9,FALSE)))</f>
        <v/>
      </c>
      <c r="AI41" s="767"/>
      <c r="AJ41" s="768" t="str">
        <f ca="1">IF($B41="","",IF(AND($N$13=TRUE,OR($AT41="Remains",$AT41="#2",$AT41="Removed")),"NA",VLOOKUP($H41,INDIRECT('9.6 Table'!$P$338),AJ$11+N$9,FALSE)))</f>
        <v/>
      </c>
      <c r="AK41" s="767"/>
      <c r="AL41" s="768" t="str">
        <f ca="1">IF($B41="","",IF(AND($N$13=TRUE,OR($AT41="Remains",$AT41="#2",$AT41="Removed")),"NA",VLOOKUP($H41,INDIRECT('9.6 Table'!$P$338),AL$11+N$9,FALSE)))</f>
        <v/>
      </c>
      <c r="AM41" s="767"/>
      <c r="AN41" s="768" t="str">
        <f ca="1">IF($B41="","",IF(AND($N$13=TRUE,OR($AT41="Remains",$AT41="#2",$AT41="Removed")),"NA",VLOOKUP($H41,INDIRECT('9.6 Table'!$P$338),AN$11+N$9,FALSE)))</f>
        <v/>
      </c>
      <c r="AO41" s="764"/>
      <c r="AP41" s="770"/>
      <c r="AQ41" s="921" t="str">
        <f t="shared" si="3"/>
        <v/>
      </c>
      <c r="AT41" s="730" t="str">
        <f t="shared" si="4"/>
        <v>New</v>
      </c>
      <c r="AX41" s="737" t="str">
        <f ca="1">VLOOKUP(H41,'SpxSp (step-a)'!H$22:AB$71,21,FALSE)</f>
        <v/>
      </c>
      <c r="AY41" s="736">
        <f>IFERROR(IF(OR(AP41="",AP41=0),0,HLOOKUP(AX41,'9.6.3 Table'!$D$4:$H$9,1+AP41,FALSE)),0)</f>
        <v>0</v>
      </c>
      <c r="AZ41" s="482">
        <f t="shared" si="5"/>
        <v>0</v>
      </c>
      <c r="BA41" s="327"/>
      <c r="BB41" s="43" t="str">
        <f t="shared" si="6"/>
        <v/>
      </c>
      <c r="BC41" s="43" t="str">
        <f t="shared" si="7"/>
        <v/>
      </c>
      <c r="BH41" s="326">
        <f t="shared" si="8"/>
        <v>0</v>
      </c>
      <c r="BI41" s="326">
        <f t="shared" si="9"/>
        <v>0</v>
      </c>
      <c r="BJ41" s="627">
        <f t="shared" si="10"/>
        <v>0</v>
      </c>
      <c r="BK41" s="627">
        <f t="shared" si="11"/>
        <v>0</v>
      </c>
      <c r="BL41" s="627">
        <f t="shared" si="12"/>
        <v>0</v>
      </c>
      <c r="BM41" s="627">
        <f t="shared" si="13"/>
        <v>0</v>
      </c>
      <c r="BN41" s="627">
        <f t="shared" si="14"/>
        <v>0</v>
      </c>
      <c r="BO41" s="627">
        <f t="shared" si="15"/>
        <v>0</v>
      </c>
      <c r="BP41" s="627">
        <f t="shared" si="16"/>
        <v>0</v>
      </c>
      <c r="BQ41" s="627">
        <f t="shared" si="17"/>
        <v>0</v>
      </c>
      <c r="BR41" s="627">
        <f t="shared" si="18"/>
        <v>0</v>
      </c>
      <c r="BS41" s="627">
        <f t="shared" si="19"/>
        <v>0</v>
      </c>
      <c r="BT41" s="627">
        <f t="shared" si="20"/>
        <v>0</v>
      </c>
      <c r="BU41" s="627">
        <f t="shared" si="21"/>
        <v>0</v>
      </c>
      <c r="BV41" s="627">
        <f t="shared" si="22"/>
        <v>0</v>
      </c>
      <c r="BW41" s="627"/>
      <c r="BX41" s="627">
        <f t="shared" si="23"/>
        <v>0</v>
      </c>
      <c r="BZ41" s="737">
        <v>16</v>
      </c>
      <c r="CA41" s="737" t="s">
        <v>1053</v>
      </c>
      <c r="CB41" s="730">
        <f>ROW()</f>
        <v>41</v>
      </c>
    </row>
    <row r="42" spans="1:80" s="43" customFormat="1" ht="12.75" customHeight="1" x14ac:dyDescent="0.2">
      <c r="A42" s="5">
        <v>17</v>
      </c>
      <c r="B42" s="1670"/>
      <c r="C42" s="1671"/>
      <c r="D42" s="1671"/>
      <c r="E42" s="1671"/>
      <c r="F42" s="1671"/>
      <c r="G42" s="784"/>
      <c r="H42" s="784" t="str">
        <f t="shared" si="0"/>
        <v/>
      </c>
      <c r="I42" s="785"/>
      <c r="J42" s="643"/>
      <c r="K42" s="786" t="str">
        <f t="shared" si="1"/>
        <v xml:space="preserve"> </v>
      </c>
      <c r="L42" s="906" t="str">
        <f t="shared" si="24"/>
        <v/>
      </c>
      <c r="M42" s="794"/>
      <c r="N42" s="913"/>
      <c r="O42" s="121"/>
      <c r="P42" s="919" t="str">
        <f ca="1">IF($B42="","",IF(AND($N$13=TRUE,OR($AT42="Remains",$AT42="#2",$AT42="Removed")),"NA",VLOOKUP($H42,INDIRECT('9.6 Table'!$P$338),P$11+N$9,FALSE)))</f>
        <v/>
      </c>
      <c r="Q42" s="767"/>
      <c r="R42" s="768" t="str">
        <f ca="1">IF($B42="","",IF(AND($N$13=TRUE,OR($AT42="Remains",$AT42="#2",$AT42="Removed")),"NA",VLOOKUP($H42,INDIRECT('9.6 Table'!$P$338),R$11+N$9,FALSE)))</f>
        <v/>
      </c>
      <c r="S42" s="767"/>
      <c r="T42" s="768" t="str">
        <f ca="1">IF($B42="","",IF(AND($N$13=TRUE,OR($AT42="Remains",$AT42="#2",$AT42="Removed")),"NA",VLOOKUP($H42,INDIRECT('9.6 Table'!$P$338),T$11+N$9,FALSE)))</f>
        <v/>
      </c>
      <c r="U42" s="767"/>
      <c r="V42" s="768" t="str">
        <f ca="1">IF($B42="","",IF(AND($N$13=TRUE,OR($AT42="Remains",$AT42="#2",$AT42="Removed")),"NA",VLOOKUP($H42,INDIRECT('9.6 Table'!$P$338),V$11+N$9,FALSE)))</f>
        <v/>
      </c>
      <c r="W42" s="767"/>
      <c r="X42" s="768" t="str">
        <f ca="1">IF($B42="","",IF(AND($N$13=TRUE,OR($AT42="Remains",$AT42="#2",$AT42="Removed")),"NA",VLOOKUP($H42,INDIRECT('9.6 Table'!$P$338),X$11+N$9,FALSE)))</f>
        <v/>
      </c>
      <c r="Y42" s="767"/>
      <c r="Z42" s="768" t="str">
        <f ca="1">IF($B42="","",IF(AND($N$13=TRUE,OR($AT42="Remains",$AT42="#2",$AT42="Removed")),"NA",VLOOKUP($H42,INDIRECT('9.6 Table'!$P$338),Z$11+N$9,FALSE)))</f>
        <v/>
      </c>
      <c r="AA42" s="767"/>
      <c r="AB42" s="768" t="str">
        <f ca="1">IF($B42="","",IF(AND($N$13=TRUE,OR($AT42="Remains",$AT42="#2",$AT42="Removed")),"NA",VLOOKUP($H42,INDIRECT('9.6 Table'!$P$338),AB$11+N$9,FALSE)))</f>
        <v/>
      </c>
      <c r="AC42" s="767"/>
      <c r="AD42" s="768" t="str">
        <f ca="1">IF($B42="","",IF(AND($N$13=TRUE,OR($AT42="Remains",$AT42="#2",$AT42="Removed")),"NA",VLOOKUP($H42,INDIRECT('9.6 Table'!$P$338),AD$11+N$9,FALSE)))</f>
        <v/>
      </c>
      <c r="AE42" s="767"/>
      <c r="AF42" s="768" t="str">
        <f ca="1">IF($B42="","",IF(AND($N$13=TRUE,OR($AT42="Remains",$AT42="#2",$AT42="Removed")),"NA",VLOOKUP($H42,INDIRECT('9.6 Table'!$P$338),AF$11+N$9,FALSE)))</f>
        <v/>
      </c>
      <c r="AG42" s="767"/>
      <c r="AH42" s="768" t="str">
        <f ca="1">IF($B42="","",IF(AND($N$13=TRUE,OR($AT42="Remains",$AT42="#2",$AT42="Removed")),"NA",VLOOKUP($H42,INDIRECT('9.6 Table'!$P$338),AH$11+N$9,FALSE)))</f>
        <v/>
      </c>
      <c r="AI42" s="767"/>
      <c r="AJ42" s="768" t="str">
        <f ca="1">IF($B42="","",IF(AND($N$13=TRUE,OR($AT42="Remains",$AT42="#2",$AT42="Removed")),"NA",VLOOKUP($H42,INDIRECT('9.6 Table'!$P$338),AJ$11+N$9,FALSE)))</f>
        <v/>
      </c>
      <c r="AK42" s="767"/>
      <c r="AL42" s="768" t="str">
        <f ca="1">IF($B42="","",IF(AND($N$13=TRUE,OR($AT42="Remains",$AT42="#2",$AT42="Removed")),"NA",VLOOKUP($H42,INDIRECT('9.6 Table'!$P$338),AL$11+N$9,FALSE)))</f>
        <v/>
      </c>
      <c r="AM42" s="767"/>
      <c r="AN42" s="768" t="str">
        <f ca="1">IF($B42="","",IF(AND($N$13=TRUE,OR($AT42="Remains",$AT42="#2",$AT42="Removed")),"NA",VLOOKUP($H42,INDIRECT('9.6 Table'!$P$338),AN$11+N$9,FALSE)))</f>
        <v/>
      </c>
      <c r="AO42" s="764"/>
      <c r="AP42" s="770"/>
      <c r="AQ42" s="921" t="str">
        <f t="shared" si="3"/>
        <v/>
      </c>
      <c r="AT42" s="730" t="str">
        <f t="shared" si="4"/>
        <v>New</v>
      </c>
      <c r="AX42" s="737" t="str">
        <f ca="1">VLOOKUP(H42,'SpxSp (step-a)'!H$22:AB$71,21,FALSE)</f>
        <v/>
      </c>
      <c r="AY42" s="736">
        <f>IFERROR(IF(OR(AP42="",AP42=0),0,HLOOKUP(AX42,'9.6.3 Table'!$D$4:$H$9,1+AP42,FALSE)),0)</f>
        <v>0</v>
      </c>
      <c r="AZ42" s="482">
        <f t="shared" si="5"/>
        <v>0</v>
      </c>
      <c r="BA42" s="327"/>
      <c r="BB42" s="43" t="str">
        <f t="shared" si="6"/>
        <v/>
      </c>
      <c r="BC42" s="43" t="str">
        <f t="shared" si="7"/>
        <v/>
      </c>
      <c r="BH42" s="326">
        <f t="shared" si="8"/>
        <v>0</v>
      </c>
      <c r="BI42" s="326">
        <f t="shared" si="9"/>
        <v>0</v>
      </c>
      <c r="BJ42" s="627">
        <f t="shared" si="10"/>
        <v>0</v>
      </c>
      <c r="BK42" s="627">
        <f t="shared" si="11"/>
        <v>0</v>
      </c>
      <c r="BL42" s="627">
        <f t="shared" si="12"/>
        <v>0</v>
      </c>
      <c r="BM42" s="627">
        <f t="shared" si="13"/>
        <v>0</v>
      </c>
      <c r="BN42" s="627">
        <f t="shared" si="14"/>
        <v>0</v>
      </c>
      <c r="BO42" s="627">
        <f t="shared" si="15"/>
        <v>0</v>
      </c>
      <c r="BP42" s="627">
        <f t="shared" si="16"/>
        <v>0</v>
      </c>
      <c r="BQ42" s="627">
        <f t="shared" si="17"/>
        <v>0</v>
      </c>
      <c r="BR42" s="627">
        <f t="shared" si="18"/>
        <v>0</v>
      </c>
      <c r="BS42" s="627">
        <f t="shared" si="19"/>
        <v>0</v>
      </c>
      <c r="BT42" s="627">
        <f t="shared" si="20"/>
        <v>0</v>
      </c>
      <c r="BU42" s="627">
        <f t="shared" si="21"/>
        <v>0</v>
      </c>
      <c r="BV42" s="627">
        <f t="shared" si="22"/>
        <v>0</v>
      </c>
      <c r="BW42" s="627"/>
      <c r="BX42" s="627">
        <f t="shared" si="23"/>
        <v>0</v>
      </c>
      <c r="BZ42" s="737">
        <v>17</v>
      </c>
      <c r="CA42" s="737" t="s">
        <v>909</v>
      </c>
      <c r="CB42" s="730">
        <f>ROW()</f>
        <v>42</v>
      </c>
    </row>
    <row r="43" spans="1:80" s="43" customFormat="1" ht="12.75" customHeight="1" x14ac:dyDescent="0.2">
      <c r="A43" s="5">
        <v>18</v>
      </c>
      <c r="B43" s="1670"/>
      <c r="C43" s="1671"/>
      <c r="D43" s="1671"/>
      <c r="E43" s="1671"/>
      <c r="F43" s="1671"/>
      <c r="G43" s="784"/>
      <c r="H43" s="784" t="str">
        <f t="shared" si="0"/>
        <v/>
      </c>
      <c r="I43" s="785"/>
      <c r="J43" s="643"/>
      <c r="K43" s="786" t="str">
        <f t="shared" si="1"/>
        <v xml:space="preserve"> </v>
      </c>
      <c r="L43" s="906" t="str">
        <f t="shared" si="24"/>
        <v/>
      </c>
      <c r="M43" s="794"/>
      <c r="N43" s="913"/>
      <c r="O43" s="121"/>
      <c r="P43" s="919" t="str">
        <f ca="1">IF($B43="","",IF(AND($N$13=TRUE,OR($AT43="Remains",$AT43="#2",$AT43="Removed")),"NA",VLOOKUP($H43,INDIRECT('9.6 Table'!$P$338),P$11+N$9,FALSE)))</f>
        <v/>
      </c>
      <c r="Q43" s="767"/>
      <c r="R43" s="768" t="str">
        <f ca="1">IF($B43="","",IF(AND($N$13=TRUE,OR($AT43="Remains",$AT43="#2",$AT43="Removed")),"NA",VLOOKUP($H43,INDIRECT('9.6 Table'!$P$338),R$11+N$9,FALSE)))</f>
        <v/>
      </c>
      <c r="S43" s="767"/>
      <c r="T43" s="768" t="str">
        <f ca="1">IF($B43="","",IF(AND($N$13=TRUE,OR($AT43="Remains",$AT43="#2",$AT43="Removed")),"NA",VLOOKUP($H43,INDIRECT('9.6 Table'!$P$338),T$11+N$9,FALSE)))</f>
        <v/>
      </c>
      <c r="U43" s="767"/>
      <c r="V43" s="768" t="str">
        <f ca="1">IF($B43="","",IF(AND($N$13=TRUE,OR($AT43="Remains",$AT43="#2",$AT43="Removed")),"NA",VLOOKUP($H43,INDIRECT('9.6 Table'!$P$338),V$11+N$9,FALSE)))</f>
        <v/>
      </c>
      <c r="W43" s="767"/>
      <c r="X43" s="768" t="str">
        <f ca="1">IF($B43="","",IF(AND($N$13=TRUE,OR($AT43="Remains",$AT43="#2",$AT43="Removed")),"NA",VLOOKUP($H43,INDIRECT('9.6 Table'!$P$338),X$11+N$9,FALSE)))</f>
        <v/>
      </c>
      <c r="Y43" s="767"/>
      <c r="Z43" s="768" t="str">
        <f ca="1">IF($B43="","",IF(AND($N$13=TRUE,OR($AT43="Remains",$AT43="#2",$AT43="Removed")),"NA",VLOOKUP($H43,INDIRECT('9.6 Table'!$P$338),Z$11+N$9,FALSE)))</f>
        <v/>
      </c>
      <c r="AA43" s="767"/>
      <c r="AB43" s="768" t="str">
        <f ca="1">IF($B43="","",IF(AND($N$13=TRUE,OR($AT43="Remains",$AT43="#2",$AT43="Removed")),"NA",VLOOKUP($H43,INDIRECT('9.6 Table'!$P$338),AB$11+N$9,FALSE)))</f>
        <v/>
      </c>
      <c r="AC43" s="767"/>
      <c r="AD43" s="768" t="str">
        <f ca="1">IF($B43="","",IF(AND($N$13=TRUE,OR($AT43="Remains",$AT43="#2",$AT43="Removed")),"NA",VLOOKUP($H43,INDIRECT('9.6 Table'!$P$338),AD$11+N$9,FALSE)))</f>
        <v/>
      </c>
      <c r="AE43" s="767"/>
      <c r="AF43" s="768" t="str">
        <f ca="1">IF($B43="","",IF(AND($N$13=TRUE,OR($AT43="Remains",$AT43="#2",$AT43="Removed")),"NA",VLOOKUP($H43,INDIRECT('9.6 Table'!$P$338),AF$11+N$9,FALSE)))</f>
        <v/>
      </c>
      <c r="AG43" s="767"/>
      <c r="AH43" s="768" t="str">
        <f ca="1">IF($B43="","",IF(AND($N$13=TRUE,OR($AT43="Remains",$AT43="#2",$AT43="Removed")),"NA",VLOOKUP($H43,INDIRECT('9.6 Table'!$P$338),AH$11+N$9,FALSE)))</f>
        <v/>
      </c>
      <c r="AI43" s="767"/>
      <c r="AJ43" s="768" t="str">
        <f ca="1">IF($B43="","",IF(AND($N$13=TRUE,OR($AT43="Remains",$AT43="#2",$AT43="Removed")),"NA",VLOOKUP($H43,INDIRECT('9.6 Table'!$P$338),AJ$11+N$9,FALSE)))</f>
        <v/>
      </c>
      <c r="AK43" s="767"/>
      <c r="AL43" s="768" t="str">
        <f ca="1">IF($B43="","",IF(AND($N$13=TRUE,OR($AT43="Remains",$AT43="#2",$AT43="Removed")),"NA",VLOOKUP($H43,INDIRECT('9.6 Table'!$P$338),AL$11+N$9,FALSE)))</f>
        <v/>
      </c>
      <c r="AM43" s="767"/>
      <c r="AN43" s="768" t="str">
        <f ca="1">IF($B43="","",IF(AND($N$13=TRUE,OR($AT43="Remains",$AT43="#2",$AT43="Removed")),"NA",VLOOKUP($H43,INDIRECT('9.6 Table'!$P$338),AN$11+N$9,FALSE)))</f>
        <v/>
      </c>
      <c r="AO43" s="764"/>
      <c r="AP43" s="770"/>
      <c r="AQ43" s="921" t="str">
        <f t="shared" si="3"/>
        <v/>
      </c>
      <c r="AT43" s="730" t="str">
        <f t="shared" si="4"/>
        <v>New</v>
      </c>
      <c r="AX43" s="737" t="str">
        <f ca="1">VLOOKUP(H43,'SpxSp (step-a)'!H$22:AB$71,21,FALSE)</f>
        <v/>
      </c>
      <c r="AY43" s="736">
        <f>IFERROR(IF(OR(AP43="",AP43=0),0,HLOOKUP(AX43,'9.6.3 Table'!$D$4:$H$9,1+AP43,FALSE)),0)</f>
        <v>0</v>
      </c>
      <c r="AZ43" s="482">
        <f t="shared" si="5"/>
        <v>0</v>
      </c>
      <c r="BA43" s="327"/>
      <c r="BB43" s="43" t="str">
        <f t="shared" si="6"/>
        <v/>
      </c>
      <c r="BC43" s="43" t="str">
        <f t="shared" si="7"/>
        <v/>
      </c>
      <c r="BH43" s="326">
        <f t="shared" si="8"/>
        <v>0</v>
      </c>
      <c r="BI43" s="326">
        <f t="shared" si="9"/>
        <v>0</v>
      </c>
      <c r="BJ43" s="627">
        <f t="shared" si="10"/>
        <v>0</v>
      </c>
      <c r="BK43" s="627">
        <f t="shared" si="11"/>
        <v>0</v>
      </c>
      <c r="BL43" s="627">
        <f t="shared" si="12"/>
        <v>0</v>
      </c>
      <c r="BM43" s="627">
        <f t="shared" si="13"/>
        <v>0</v>
      </c>
      <c r="BN43" s="627">
        <f t="shared" si="14"/>
        <v>0</v>
      </c>
      <c r="BO43" s="627">
        <f t="shared" si="15"/>
        <v>0</v>
      </c>
      <c r="BP43" s="627">
        <f t="shared" si="16"/>
        <v>0</v>
      </c>
      <c r="BQ43" s="627">
        <f t="shared" si="17"/>
        <v>0</v>
      </c>
      <c r="BR43" s="627">
        <f t="shared" si="18"/>
        <v>0</v>
      </c>
      <c r="BS43" s="627">
        <f t="shared" si="19"/>
        <v>0</v>
      </c>
      <c r="BT43" s="627">
        <f t="shared" si="20"/>
        <v>0</v>
      </c>
      <c r="BU43" s="627">
        <f t="shared" si="21"/>
        <v>0</v>
      </c>
      <c r="BV43" s="627">
        <f t="shared" si="22"/>
        <v>0</v>
      </c>
      <c r="BW43" s="627"/>
      <c r="BX43" s="627">
        <f t="shared" si="23"/>
        <v>0</v>
      </c>
      <c r="BZ43" s="737">
        <v>18</v>
      </c>
      <c r="CA43" s="737" t="s">
        <v>1054</v>
      </c>
      <c r="CB43" s="730">
        <f>ROW()</f>
        <v>43</v>
      </c>
    </row>
    <row r="44" spans="1:80" s="43" customFormat="1" ht="12.75" customHeight="1" x14ac:dyDescent="0.2">
      <c r="A44" s="5">
        <v>19</v>
      </c>
      <c r="B44" s="1670"/>
      <c r="C44" s="1671"/>
      <c r="D44" s="1671"/>
      <c r="E44" s="1671"/>
      <c r="F44" s="1671"/>
      <c r="G44" s="784"/>
      <c r="H44" s="784" t="str">
        <f t="shared" si="0"/>
        <v/>
      </c>
      <c r="I44" s="785"/>
      <c r="J44" s="643"/>
      <c r="K44" s="786" t="str">
        <f t="shared" si="1"/>
        <v xml:space="preserve"> </v>
      </c>
      <c r="L44" s="906" t="str">
        <f t="shared" si="24"/>
        <v/>
      </c>
      <c r="M44" s="794"/>
      <c r="N44" s="913"/>
      <c r="O44" s="121"/>
      <c r="P44" s="919" t="str">
        <f ca="1">IF($B44="","",IF(AND($N$13=TRUE,OR($AT44="Remains",$AT44="#2",$AT44="Removed")),"NA",VLOOKUP($H44,INDIRECT('9.6 Table'!$P$338),P$11+N$9,FALSE)))</f>
        <v/>
      </c>
      <c r="Q44" s="767"/>
      <c r="R44" s="768" t="str">
        <f ca="1">IF($B44="","",IF(AND($N$13=TRUE,OR($AT44="Remains",$AT44="#2",$AT44="Removed")),"NA",VLOOKUP($H44,INDIRECT('9.6 Table'!$P$338),R$11+N$9,FALSE)))</f>
        <v/>
      </c>
      <c r="S44" s="767"/>
      <c r="T44" s="768" t="str">
        <f ca="1">IF($B44="","",IF(AND($N$13=TRUE,OR($AT44="Remains",$AT44="#2",$AT44="Removed")),"NA",VLOOKUP($H44,INDIRECT('9.6 Table'!$P$338),T$11+N$9,FALSE)))</f>
        <v/>
      </c>
      <c r="U44" s="767"/>
      <c r="V44" s="768" t="str">
        <f ca="1">IF($B44="","",IF(AND($N$13=TRUE,OR($AT44="Remains",$AT44="#2",$AT44="Removed")),"NA",VLOOKUP($H44,INDIRECT('9.6 Table'!$P$338),V$11+N$9,FALSE)))</f>
        <v/>
      </c>
      <c r="W44" s="767"/>
      <c r="X44" s="768" t="str">
        <f ca="1">IF($B44="","",IF(AND($N$13=TRUE,OR($AT44="Remains",$AT44="#2",$AT44="Removed")),"NA",VLOOKUP($H44,INDIRECT('9.6 Table'!$P$338),X$11+N$9,FALSE)))</f>
        <v/>
      </c>
      <c r="Y44" s="767"/>
      <c r="Z44" s="768" t="str">
        <f ca="1">IF($B44="","",IF(AND($N$13=TRUE,OR($AT44="Remains",$AT44="#2",$AT44="Removed")),"NA",VLOOKUP($H44,INDIRECT('9.6 Table'!$P$338),Z$11+N$9,FALSE)))</f>
        <v/>
      </c>
      <c r="AA44" s="767"/>
      <c r="AB44" s="768" t="str">
        <f ca="1">IF($B44="","",IF(AND($N$13=TRUE,OR($AT44="Remains",$AT44="#2",$AT44="Removed")),"NA",VLOOKUP($H44,INDIRECT('9.6 Table'!$P$338),AB$11+N$9,FALSE)))</f>
        <v/>
      </c>
      <c r="AC44" s="767"/>
      <c r="AD44" s="768" t="str">
        <f ca="1">IF($B44="","",IF(AND($N$13=TRUE,OR($AT44="Remains",$AT44="#2",$AT44="Removed")),"NA",VLOOKUP($H44,INDIRECT('9.6 Table'!$P$338),AD$11+N$9,FALSE)))</f>
        <v/>
      </c>
      <c r="AE44" s="767"/>
      <c r="AF44" s="768" t="str">
        <f ca="1">IF($B44="","",IF(AND($N$13=TRUE,OR($AT44="Remains",$AT44="#2",$AT44="Removed")),"NA",VLOOKUP($H44,INDIRECT('9.6 Table'!$P$338),AF$11+N$9,FALSE)))</f>
        <v/>
      </c>
      <c r="AG44" s="767"/>
      <c r="AH44" s="768" t="str">
        <f ca="1">IF($B44="","",IF(AND($N$13=TRUE,OR($AT44="Remains",$AT44="#2",$AT44="Removed")),"NA",VLOOKUP($H44,INDIRECT('9.6 Table'!$P$338),AH$11+N$9,FALSE)))</f>
        <v/>
      </c>
      <c r="AI44" s="767"/>
      <c r="AJ44" s="768" t="str">
        <f ca="1">IF($B44="","",IF(AND($N$13=TRUE,OR($AT44="Remains",$AT44="#2",$AT44="Removed")),"NA",VLOOKUP($H44,INDIRECT('9.6 Table'!$P$338),AJ$11+N$9,FALSE)))</f>
        <v/>
      </c>
      <c r="AK44" s="767"/>
      <c r="AL44" s="768" t="str">
        <f ca="1">IF($B44="","",IF(AND($N$13=TRUE,OR($AT44="Remains",$AT44="#2",$AT44="Removed")),"NA",VLOOKUP($H44,INDIRECT('9.6 Table'!$P$338),AL$11+N$9,FALSE)))</f>
        <v/>
      </c>
      <c r="AM44" s="767"/>
      <c r="AN44" s="768" t="str">
        <f ca="1">IF($B44="","",IF(AND($N$13=TRUE,OR($AT44="Remains",$AT44="#2",$AT44="Removed")),"NA",VLOOKUP($H44,INDIRECT('9.6 Table'!$P$338),AN$11+N$9,FALSE)))</f>
        <v/>
      </c>
      <c r="AO44" s="764"/>
      <c r="AP44" s="770"/>
      <c r="AQ44" s="921" t="str">
        <f t="shared" si="3"/>
        <v/>
      </c>
      <c r="AT44" s="730" t="str">
        <f t="shared" si="4"/>
        <v>New</v>
      </c>
      <c r="AX44" s="737" t="str">
        <f ca="1">VLOOKUP(H44,'SpxSp (step-a)'!H$22:AB$71,21,FALSE)</f>
        <v/>
      </c>
      <c r="AY44" s="736">
        <f>IFERROR(IF(OR(AP44="",AP44=0),0,HLOOKUP(AX44,'9.6.3 Table'!$D$4:$H$9,1+AP44,FALSE)),0)</f>
        <v>0</v>
      </c>
      <c r="AZ44" s="482">
        <f t="shared" si="5"/>
        <v>0</v>
      </c>
      <c r="BA44" s="327"/>
      <c r="BB44" s="43" t="str">
        <f t="shared" si="6"/>
        <v/>
      </c>
      <c r="BC44" s="43" t="str">
        <f t="shared" si="7"/>
        <v/>
      </c>
      <c r="BH44" s="326">
        <f t="shared" si="8"/>
        <v>0</v>
      </c>
      <c r="BI44" s="326">
        <f t="shared" si="9"/>
        <v>0</v>
      </c>
      <c r="BJ44" s="627">
        <f t="shared" si="10"/>
        <v>0</v>
      </c>
      <c r="BK44" s="627">
        <f t="shared" si="11"/>
        <v>0</v>
      </c>
      <c r="BL44" s="627">
        <f t="shared" si="12"/>
        <v>0</v>
      </c>
      <c r="BM44" s="627">
        <f t="shared" si="13"/>
        <v>0</v>
      </c>
      <c r="BN44" s="627">
        <f t="shared" si="14"/>
        <v>0</v>
      </c>
      <c r="BO44" s="627">
        <f t="shared" si="15"/>
        <v>0</v>
      </c>
      <c r="BP44" s="627">
        <f t="shared" si="16"/>
        <v>0</v>
      </c>
      <c r="BQ44" s="627">
        <f t="shared" si="17"/>
        <v>0</v>
      </c>
      <c r="BR44" s="627">
        <f t="shared" si="18"/>
        <v>0</v>
      </c>
      <c r="BS44" s="627">
        <f t="shared" si="19"/>
        <v>0</v>
      </c>
      <c r="BT44" s="627">
        <f t="shared" si="20"/>
        <v>0</v>
      </c>
      <c r="BU44" s="627">
        <f t="shared" si="21"/>
        <v>0</v>
      </c>
      <c r="BV44" s="627">
        <f t="shared" si="22"/>
        <v>0</v>
      </c>
      <c r="BW44" s="627"/>
      <c r="BX44" s="627">
        <f t="shared" si="23"/>
        <v>0</v>
      </c>
      <c r="BZ44" s="737">
        <v>19</v>
      </c>
      <c r="CA44" s="737" t="s">
        <v>910</v>
      </c>
      <c r="CB44" s="730">
        <f>ROW()</f>
        <v>44</v>
      </c>
    </row>
    <row r="45" spans="1:80" s="43" customFormat="1" ht="12.75" customHeight="1" x14ac:dyDescent="0.2">
      <c r="A45" s="5">
        <v>20</v>
      </c>
      <c r="B45" s="1670"/>
      <c r="C45" s="1671"/>
      <c r="D45" s="1671"/>
      <c r="E45" s="1671"/>
      <c r="F45" s="1671"/>
      <c r="G45" s="784"/>
      <c r="H45" s="784" t="str">
        <f t="shared" si="0"/>
        <v/>
      </c>
      <c r="I45" s="785"/>
      <c r="J45" s="643"/>
      <c r="K45" s="786" t="str">
        <f t="shared" si="1"/>
        <v xml:space="preserve"> </v>
      </c>
      <c r="L45" s="906" t="str">
        <f t="shared" si="24"/>
        <v/>
      </c>
      <c r="M45" s="794"/>
      <c r="N45" s="913"/>
      <c r="O45" s="121"/>
      <c r="P45" s="919" t="str">
        <f ca="1">IF($B45="","",IF(AND($N$13=TRUE,OR($AT45="Remains",$AT45="#2",$AT45="Removed")),"NA",VLOOKUP($H45,INDIRECT('9.6 Table'!$P$338),P$11+N$9,FALSE)))</f>
        <v/>
      </c>
      <c r="Q45" s="767"/>
      <c r="R45" s="768" t="str">
        <f ca="1">IF($B45="","",IF(AND($N$13=TRUE,OR($AT45="Remains",$AT45="#2",$AT45="Removed")),"NA",VLOOKUP($H45,INDIRECT('9.6 Table'!$P$338),R$11+N$9,FALSE)))</f>
        <v/>
      </c>
      <c r="S45" s="767"/>
      <c r="T45" s="768" t="str">
        <f ca="1">IF($B45="","",IF(AND($N$13=TRUE,OR($AT45="Remains",$AT45="#2",$AT45="Removed")),"NA",VLOOKUP($H45,INDIRECT('9.6 Table'!$P$338),T$11+N$9,FALSE)))</f>
        <v/>
      </c>
      <c r="U45" s="767"/>
      <c r="V45" s="768" t="str">
        <f ca="1">IF($B45="","",IF(AND($N$13=TRUE,OR($AT45="Remains",$AT45="#2",$AT45="Removed")),"NA",VLOOKUP($H45,INDIRECT('9.6 Table'!$P$338),V$11+N$9,FALSE)))</f>
        <v/>
      </c>
      <c r="W45" s="767"/>
      <c r="X45" s="768" t="str">
        <f ca="1">IF($B45="","",IF(AND($N$13=TRUE,OR($AT45="Remains",$AT45="#2",$AT45="Removed")),"NA",VLOOKUP($H45,INDIRECT('9.6 Table'!$P$338),X$11+N$9,FALSE)))</f>
        <v/>
      </c>
      <c r="Y45" s="767"/>
      <c r="Z45" s="768" t="str">
        <f ca="1">IF($B45="","",IF(AND($N$13=TRUE,OR($AT45="Remains",$AT45="#2",$AT45="Removed")),"NA",VLOOKUP($H45,INDIRECT('9.6 Table'!$P$338),Z$11+N$9,FALSE)))</f>
        <v/>
      </c>
      <c r="AA45" s="767"/>
      <c r="AB45" s="768" t="str">
        <f ca="1">IF($B45="","",IF(AND($N$13=TRUE,OR($AT45="Remains",$AT45="#2",$AT45="Removed")),"NA",VLOOKUP($H45,INDIRECT('9.6 Table'!$P$338),AB$11+N$9,FALSE)))</f>
        <v/>
      </c>
      <c r="AC45" s="767"/>
      <c r="AD45" s="768" t="str">
        <f ca="1">IF($B45="","",IF(AND($N$13=TRUE,OR($AT45="Remains",$AT45="#2",$AT45="Removed")),"NA",VLOOKUP($H45,INDIRECT('9.6 Table'!$P$338),AD$11+N$9,FALSE)))</f>
        <v/>
      </c>
      <c r="AE45" s="767"/>
      <c r="AF45" s="768" t="str">
        <f ca="1">IF($B45="","",IF(AND($N$13=TRUE,OR($AT45="Remains",$AT45="#2",$AT45="Removed")),"NA",VLOOKUP($H45,INDIRECT('9.6 Table'!$P$338),AF$11+N$9,FALSE)))</f>
        <v/>
      </c>
      <c r="AG45" s="767"/>
      <c r="AH45" s="768" t="str">
        <f ca="1">IF($B45="","",IF(AND($N$13=TRUE,OR($AT45="Remains",$AT45="#2",$AT45="Removed")),"NA",VLOOKUP($H45,INDIRECT('9.6 Table'!$P$338),AH$11+N$9,FALSE)))</f>
        <v/>
      </c>
      <c r="AI45" s="767"/>
      <c r="AJ45" s="768" t="str">
        <f ca="1">IF($B45="","",IF(AND($N$13=TRUE,OR($AT45="Remains",$AT45="#2",$AT45="Removed")),"NA",VLOOKUP($H45,INDIRECT('9.6 Table'!$P$338),AJ$11+N$9,FALSE)))</f>
        <v/>
      </c>
      <c r="AK45" s="767"/>
      <c r="AL45" s="768" t="str">
        <f ca="1">IF($B45="","",IF(AND($N$13=TRUE,OR($AT45="Remains",$AT45="#2",$AT45="Removed")),"NA",VLOOKUP($H45,INDIRECT('9.6 Table'!$P$338),AL$11+N$9,FALSE)))</f>
        <v/>
      </c>
      <c r="AM45" s="767"/>
      <c r="AN45" s="768" t="str">
        <f ca="1">IF($B45="","",IF(AND($N$13=TRUE,OR($AT45="Remains",$AT45="#2",$AT45="Removed")),"NA",VLOOKUP($H45,INDIRECT('9.6 Table'!$P$338),AN$11+N$9,FALSE)))</f>
        <v/>
      </c>
      <c r="AO45" s="764"/>
      <c r="AP45" s="770"/>
      <c r="AQ45" s="921" t="str">
        <f t="shared" si="3"/>
        <v/>
      </c>
      <c r="AT45" s="730" t="str">
        <f t="shared" si="4"/>
        <v>New</v>
      </c>
      <c r="AX45" s="737" t="str">
        <f ca="1">VLOOKUP(H45,'SpxSp (step-a)'!H$22:AB$71,21,FALSE)</f>
        <v/>
      </c>
      <c r="AY45" s="736">
        <f>IFERROR(IF(OR(AP45="",AP45=0),0,HLOOKUP(AX45,'9.6.3 Table'!$D$4:$H$9,1+AP45,FALSE)),0)</f>
        <v>0</v>
      </c>
      <c r="AZ45" s="482">
        <f t="shared" si="5"/>
        <v>0</v>
      </c>
      <c r="BA45" s="327"/>
      <c r="BB45" s="43" t="str">
        <f t="shared" si="6"/>
        <v/>
      </c>
      <c r="BC45" s="43" t="str">
        <f t="shared" si="7"/>
        <v/>
      </c>
      <c r="BH45" s="326">
        <f t="shared" si="8"/>
        <v>0</v>
      </c>
      <c r="BI45" s="326">
        <f t="shared" si="9"/>
        <v>0</v>
      </c>
      <c r="BJ45" s="627">
        <f t="shared" si="10"/>
        <v>0</v>
      </c>
      <c r="BK45" s="627">
        <f t="shared" si="11"/>
        <v>0</v>
      </c>
      <c r="BL45" s="627">
        <f t="shared" si="12"/>
        <v>0</v>
      </c>
      <c r="BM45" s="627">
        <f t="shared" si="13"/>
        <v>0</v>
      </c>
      <c r="BN45" s="627">
        <f t="shared" si="14"/>
        <v>0</v>
      </c>
      <c r="BO45" s="627">
        <f t="shared" si="15"/>
        <v>0</v>
      </c>
      <c r="BP45" s="627">
        <f t="shared" si="16"/>
        <v>0</v>
      </c>
      <c r="BQ45" s="627">
        <f t="shared" si="17"/>
        <v>0</v>
      </c>
      <c r="BR45" s="627">
        <f t="shared" si="18"/>
        <v>0</v>
      </c>
      <c r="BS45" s="627">
        <f t="shared" si="19"/>
        <v>0</v>
      </c>
      <c r="BT45" s="627">
        <f t="shared" si="20"/>
        <v>0</v>
      </c>
      <c r="BU45" s="627">
        <f t="shared" si="21"/>
        <v>0</v>
      </c>
      <c r="BV45" s="627">
        <f t="shared" si="22"/>
        <v>0</v>
      </c>
      <c r="BW45" s="627"/>
      <c r="BX45" s="627">
        <f t="shared" si="23"/>
        <v>0</v>
      </c>
      <c r="BZ45" s="737">
        <v>20</v>
      </c>
      <c r="CA45" s="737" t="s">
        <v>1055</v>
      </c>
      <c r="CB45" s="730">
        <f>ROW()</f>
        <v>45</v>
      </c>
    </row>
    <row r="46" spans="1:80" s="43" customFormat="1" ht="12.75" customHeight="1" x14ac:dyDescent="0.2">
      <c r="A46" s="5">
        <v>21</v>
      </c>
      <c r="B46" s="1670"/>
      <c r="C46" s="1671"/>
      <c r="D46" s="1671"/>
      <c r="E46" s="1671"/>
      <c r="F46" s="1671"/>
      <c r="G46" s="784"/>
      <c r="H46" s="784" t="str">
        <f t="shared" si="0"/>
        <v/>
      </c>
      <c r="I46" s="785"/>
      <c r="J46" s="643"/>
      <c r="K46" s="786" t="str">
        <f t="shared" si="1"/>
        <v xml:space="preserve"> </v>
      </c>
      <c r="L46" s="906" t="str">
        <f t="shared" si="24"/>
        <v/>
      </c>
      <c r="M46" s="794"/>
      <c r="N46" s="913"/>
      <c r="O46" s="121"/>
      <c r="P46" s="919" t="str">
        <f ca="1">IF($B46="","",IF(AND($N$13=TRUE,OR($AT46="Remains",$AT46="#2",$AT46="Removed")),"NA",VLOOKUP($H46,INDIRECT('9.6 Table'!$P$338),P$11+N$9,FALSE)))</f>
        <v/>
      </c>
      <c r="Q46" s="767"/>
      <c r="R46" s="768" t="str">
        <f ca="1">IF($B46="","",IF(AND($N$13=TRUE,OR($AT46="Remains",$AT46="#2",$AT46="Removed")),"NA",VLOOKUP($H46,INDIRECT('9.6 Table'!$P$338),R$11+N$9,FALSE)))</f>
        <v/>
      </c>
      <c r="S46" s="767"/>
      <c r="T46" s="768" t="str">
        <f ca="1">IF($B46="","",IF(AND($N$13=TRUE,OR($AT46="Remains",$AT46="#2",$AT46="Removed")),"NA",VLOOKUP($H46,INDIRECT('9.6 Table'!$P$338),T$11+N$9,FALSE)))</f>
        <v/>
      </c>
      <c r="U46" s="767"/>
      <c r="V46" s="768" t="str">
        <f ca="1">IF($B46="","",IF(AND($N$13=TRUE,OR($AT46="Remains",$AT46="#2",$AT46="Removed")),"NA",VLOOKUP($H46,INDIRECT('9.6 Table'!$P$338),V$11+N$9,FALSE)))</f>
        <v/>
      </c>
      <c r="W46" s="767"/>
      <c r="X46" s="768" t="str">
        <f ca="1">IF($B46="","",IF(AND($N$13=TRUE,OR($AT46="Remains",$AT46="#2",$AT46="Removed")),"NA",VLOOKUP($H46,INDIRECT('9.6 Table'!$P$338),X$11+N$9,FALSE)))</f>
        <v/>
      </c>
      <c r="Y46" s="767"/>
      <c r="Z46" s="768" t="str">
        <f ca="1">IF($B46="","",IF(AND($N$13=TRUE,OR($AT46="Remains",$AT46="#2",$AT46="Removed")),"NA",VLOOKUP($H46,INDIRECT('9.6 Table'!$P$338),Z$11+N$9,FALSE)))</f>
        <v/>
      </c>
      <c r="AA46" s="767"/>
      <c r="AB46" s="768" t="str">
        <f ca="1">IF($B46="","",IF(AND($N$13=TRUE,OR($AT46="Remains",$AT46="#2",$AT46="Removed")),"NA",VLOOKUP($H46,INDIRECT('9.6 Table'!$P$338),AB$11+N$9,FALSE)))</f>
        <v/>
      </c>
      <c r="AC46" s="767"/>
      <c r="AD46" s="768" t="str">
        <f ca="1">IF($B46="","",IF(AND($N$13=TRUE,OR($AT46="Remains",$AT46="#2",$AT46="Removed")),"NA",VLOOKUP($H46,INDIRECT('9.6 Table'!$P$338),AD$11+N$9,FALSE)))</f>
        <v/>
      </c>
      <c r="AE46" s="767"/>
      <c r="AF46" s="768" t="str">
        <f ca="1">IF($B46="","",IF(AND($N$13=TRUE,OR($AT46="Remains",$AT46="#2",$AT46="Removed")),"NA",VLOOKUP($H46,INDIRECT('9.6 Table'!$P$338),AF$11+N$9,FALSE)))</f>
        <v/>
      </c>
      <c r="AG46" s="767"/>
      <c r="AH46" s="768" t="str">
        <f ca="1">IF($B46="","",IF(AND($N$13=TRUE,OR($AT46="Remains",$AT46="#2",$AT46="Removed")),"NA",VLOOKUP($H46,INDIRECT('9.6 Table'!$P$338),AH$11+N$9,FALSE)))</f>
        <v/>
      </c>
      <c r="AI46" s="767"/>
      <c r="AJ46" s="768" t="str">
        <f ca="1">IF($B46="","",IF(AND($N$13=TRUE,OR($AT46="Remains",$AT46="#2",$AT46="Removed")),"NA",VLOOKUP($H46,INDIRECT('9.6 Table'!$P$338),AJ$11+N$9,FALSE)))</f>
        <v/>
      </c>
      <c r="AK46" s="767"/>
      <c r="AL46" s="768" t="str">
        <f ca="1">IF($B46="","",IF(AND($N$13=TRUE,OR($AT46="Remains",$AT46="#2",$AT46="Removed")),"NA",VLOOKUP($H46,INDIRECT('9.6 Table'!$P$338),AL$11+N$9,FALSE)))</f>
        <v/>
      </c>
      <c r="AM46" s="767"/>
      <c r="AN46" s="768" t="str">
        <f ca="1">IF($B46="","",IF(AND($N$13=TRUE,OR($AT46="Remains",$AT46="#2",$AT46="Removed")),"NA",VLOOKUP($H46,INDIRECT('9.6 Table'!$P$338),AN$11+N$9,FALSE)))</f>
        <v/>
      </c>
      <c r="AO46" s="764"/>
      <c r="AP46" s="770"/>
      <c r="AQ46" s="921" t="str">
        <f t="shared" si="3"/>
        <v/>
      </c>
      <c r="AT46" s="730" t="str">
        <f t="shared" si="4"/>
        <v>New</v>
      </c>
      <c r="AX46" s="737" t="str">
        <f ca="1">VLOOKUP(H46,'SpxSp (step-a)'!H$22:AB$71,21,FALSE)</f>
        <v/>
      </c>
      <c r="AY46" s="736">
        <f>IFERROR(IF(OR(AP46="",AP46=0),0,HLOOKUP(AX46,'9.6.3 Table'!$D$4:$H$9,1+AP46,FALSE)),0)</f>
        <v>0</v>
      </c>
      <c r="AZ46" s="482">
        <f t="shared" si="5"/>
        <v>0</v>
      </c>
      <c r="BA46" s="327"/>
      <c r="BB46" s="43" t="str">
        <f t="shared" si="6"/>
        <v/>
      </c>
      <c r="BC46" s="43" t="str">
        <f t="shared" si="7"/>
        <v/>
      </c>
      <c r="BH46" s="326">
        <f t="shared" si="8"/>
        <v>0</v>
      </c>
      <c r="BI46" s="326">
        <f t="shared" si="9"/>
        <v>0</v>
      </c>
      <c r="BJ46" s="627">
        <f t="shared" si="10"/>
        <v>0</v>
      </c>
      <c r="BK46" s="627">
        <f t="shared" si="11"/>
        <v>0</v>
      </c>
      <c r="BL46" s="627">
        <f t="shared" si="12"/>
        <v>0</v>
      </c>
      <c r="BM46" s="627">
        <f t="shared" si="13"/>
        <v>0</v>
      </c>
      <c r="BN46" s="627">
        <f t="shared" si="14"/>
        <v>0</v>
      </c>
      <c r="BO46" s="627">
        <f t="shared" si="15"/>
        <v>0</v>
      </c>
      <c r="BP46" s="627">
        <f t="shared" si="16"/>
        <v>0</v>
      </c>
      <c r="BQ46" s="627">
        <f t="shared" si="17"/>
        <v>0</v>
      </c>
      <c r="BR46" s="627">
        <f t="shared" si="18"/>
        <v>0</v>
      </c>
      <c r="BS46" s="627">
        <f t="shared" si="19"/>
        <v>0</v>
      </c>
      <c r="BT46" s="627">
        <f t="shared" si="20"/>
        <v>0</v>
      </c>
      <c r="BU46" s="627">
        <f t="shared" si="21"/>
        <v>0</v>
      </c>
      <c r="BV46" s="627">
        <f t="shared" si="22"/>
        <v>0</v>
      </c>
      <c r="BW46" s="627"/>
      <c r="BX46" s="627">
        <f t="shared" si="23"/>
        <v>0</v>
      </c>
      <c r="BZ46" s="737">
        <v>21</v>
      </c>
      <c r="CA46" s="737" t="s">
        <v>911</v>
      </c>
      <c r="CB46" s="730">
        <f>ROW()</f>
        <v>46</v>
      </c>
    </row>
    <row r="47" spans="1:80" s="43" customFormat="1" ht="12.75" customHeight="1" x14ac:dyDescent="0.2">
      <c r="A47" s="5">
        <v>22</v>
      </c>
      <c r="B47" s="1670"/>
      <c r="C47" s="1671"/>
      <c r="D47" s="1671"/>
      <c r="E47" s="1671"/>
      <c r="F47" s="1671"/>
      <c r="G47" s="784"/>
      <c r="H47" s="784" t="str">
        <f t="shared" si="0"/>
        <v/>
      </c>
      <c r="I47" s="785"/>
      <c r="J47" s="643"/>
      <c r="K47" s="786" t="str">
        <f t="shared" si="1"/>
        <v xml:space="preserve"> </v>
      </c>
      <c r="L47" s="906" t="str">
        <f t="shared" si="24"/>
        <v/>
      </c>
      <c r="M47" s="794"/>
      <c r="N47" s="913"/>
      <c r="O47" s="121"/>
      <c r="P47" s="919" t="str">
        <f ca="1">IF($B47="","",IF(AND($N$13=TRUE,OR($AT47="Remains",$AT47="#2",$AT47="Removed")),"NA",VLOOKUP($H47,INDIRECT('9.6 Table'!$P$338),P$11+N$9,FALSE)))</f>
        <v/>
      </c>
      <c r="Q47" s="767"/>
      <c r="R47" s="768" t="str">
        <f ca="1">IF($B47="","",IF(AND($N$13=TRUE,OR($AT47="Remains",$AT47="#2",$AT47="Removed")),"NA",VLOOKUP($H47,INDIRECT('9.6 Table'!$P$338),R$11+N$9,FALSE)))</f>
        <v/>
      </c>
      <c r="S47" s="767"/>
      <c r="T47" s="768" t="str">
        <f ca="1">IF($B47="","",IF(AND($N$13=TRUE,OR($AT47="Remains",$AT47="#2",$AT47="Removed")),"NA",VLOOKUP($H47,INDIRECT('9.6 Table'!$P$338),T$11+N$9,FALSE)))</f>
        <v/>
      </c>
      <c r="U47" s="767"/>
      <c r="V47" s="768" t="str">
        <f ca="1">IF($B47="","",IF(AND($N$13=TRUE,OR($AT47="Remains",$AT47="#2",$AT47="Removed")),"NA",VLOOKUP($H47,INDIRECT('9.6 Table'!$P$338),V$11+N$9,FALSE)))</f>
        <v/>
      </c>
      <c r="W47" s="767"/>
      <c r="X47" s="768" t="str">
        <f ca="1">IF($B47="","",IF(AND($N$13=TRUE,OR($AT47="Remains",$AT47="#2",$AT47="Removed")),"NA",VLOOKUP($H47,INDIRECT('9.6 Table'!$P$338),X$11+N$9,FALSE)))</f>
        <v/>
      </c>
      <c r="Y47" s="767"/>
      <c r="Z47" s="768" t="str">
        <f ca="1">IF($B47="","",IF(AND($N$13=TRUE,OR($AT47="Remains",$AT47="#2",$AT47="Removed")),"NA",VLOOKUP($H47,INDIRECT('9.6 Table'!$P$338),Z$11+N$9,FALSE)))</f>
        <v/>
      </c>
      <c r="AA47" s="767"/>
      <c r="AB47" s="768" t="str">
        <f ca="1">IF($B47="","",IF(AND($N$13=TRUE,OR($AT47="Remains",$AT47="#2",$AT47="Removed")),"NA",VLOOKUP($H47,INDIRECT('9.6 Table'!$P$338),AB$11+N$9,FALSE)))</f>
        <v/>
      </c>
      <c r="AC47" s="767"/>
      <c r="AD47" s="768" t="str">
        <f ca="1">IF($B47="","",IF(AND($N$13=TRUE,OR($AT47="Remains",$AT47="#2",$AT47="Removed")),"NA",VLOOKUP($H47,INDIRECT('9.6 Table'!$P$338),AD$11+N$9,FALSE)))</f>
        <v/>
      </c>
      <c r="AE47" s="767"/>
      <c r="AF47" s="768" t="str">
        <f ca="1">IF($B47="","",IF(AND($N$13=TRUE,OR($AT47="Remains",$AT47="#2",$AT47="Removed")),"NA",VLOOKUP($H47,INDIRECT('9.6 Table'!$P$338),AF$11+N$9,FALSE)))</f>
        <v/>
      </c>
      <c r="AG47" s="767"/>
      <c r="AH47" s="768" t="str">
        <f ca="1">IF($B47="","",IF(AND($N$13=TRUE,OR($AT47="Remains",$AT47="#2",$AT47="Removed")),"NA",VLOOKUP($H47,INDIRECT('9.6 Table'!$P$338),AH$11+N$9,FALSE)))</f>
        <v/>
      </c>
      <c r="AI47" s="767"/>
      <c r="AJ47" s="768" t="str">
        <f ca="1">IF($B47="","",IF(AND($N$13=TRUE,OR($AT47="Remains",$AT47="#2",$AT47="Removed")),"NA",VLOOKUP($H47,INDIRECT('9.6 Table'!$P$338),AJ$11+N$9,FALSE)))</f>
        <v/>
      </c>
      <c r="AK47" s="767"/>
      <c r="AL47" s="768" t="str">
        <f ca="1">IF($B47="","",IF(AND($N$13=TRUE,OR($AT47="Remains",$AT47="#2",$AT47="Removed")),"NA",VLOOKUP($H47,INDIRECT('9.6 Table'!$P$338),AL$11+N$9,FALSE)))</f>
        <v/>
      </c>
      <c r="AM47" s="767"/>
      <c r="AN47" s="768" t="str">
        <f ca="1">IF($B47="","",IF(AND($N$13=TRUE,OR($AT47="Remains",$AT47="#2",$AT47="Removed")),"NA",VLOOKUP($H47,INDIRECT('9.6 Table'!$P$338),AN$11+N$9,FALSE)))</f>
        <v/>
      </c>
      <c r="AO47" s="764"/>
      <c r="AP47" s="770"/>
      <c r="AQ47" s="921" t="str">
        <f t="shared" si="3"/>
        <v/>
      </c>
      <c r="AT47" s="730" t="str">
        <f t="shared" si="4"/>
        <v>New</v>
      </c>
      <c r="AX47" s="737" t="str">
        <f ca="1">VLOOKUP(H47,'SpxSp (step-a)'!H$22:AB$71,21,FALSE)</f>
        <v/>
      </c>
      <c r="AY47" s="736">
        <f>IFERROR(IF(OR(AP47="",AP47=0),0,HLOOKUP(AX47,'9.6.3 Table'!$D$4:$H$9,1+AP47,FALSE)),0)</f>
        <v>0</v>
      </c>
      <c r="AZ47" s="482">
        <f t="shared" si="5"/>
        <v>0</v>
      </c>
      <c r="BA47" s="327"/>
      <c r="BB47" s="43" t="str">
        <f t="shared" si="6"/>
        <v/>
      </c>
      <c r="BC47" s="43" t="str">
        <f t="shared" si="7"/>
        <v/>
      </c>
      <c r="BH47" s="326">
        <f t="shared" si="8"/>
        <v>0</v>
      </c>
      <c r="BI47" s="326">
        <f t="shared" si="9"/>
        <v>0</v>
      </c>
      <c r="BJ47" s="627">
        <f t="shared" si="10"/>
        <v>0</v>
      </c>
      <c r="BK47" s="627">
        <f t="shared" si="11"/>
        <v>0</v>
      </c>
      <c r="BL47" s="627">
        <f t="shared" si="12"/>
        <v>0</v>
      </c>
      <c r="BM47" s="627">
        <f t="shared" si="13"/>
        <v>0</v>
      </c>
      <c r="BN47" s="627">
        <f t="shared" si="14"/>
        <v>0</v>
      </c>
      <c r="BO47" s="627">
        <f t="shared" si="15"/>
        <v>0</v>
      </c>
      <c r="BP47" s="627">
        <f t="shared" si="16"/>
        <v>0</v>
      </c>
      <c r="BQ47" s="627">
        <f t="shared" si="17"/>
        <v>0</v>
      </c>
      <c r="BR47" s="627">
        <f t="shared" si="18"/>
        <v>0</v>
      </c>
      <c r="BS47" s="627">
        <f t="shared" si="19"/>
        <v>0</v>
      </c>
      <c r="BT47" s="627">
        <f t="shared" si="20"/>
        <v>0</v>
      </c>
      <c r="BU47" s="627">
        <f t="shared" si="21"/>
        <v>0</v>
      </c>
      <c r="BV47" s="627">
        <f t="shared" si="22"/>
        <v>0</v>
      </c>
      <c r="BW47" s="627"/>
      <c r="BX47" s="627">
        <f t="shared" si="23"/>
        <v>0</v>
      </c>
      <c r="BZ47" s="737">
        <v>22</v>
      </c>
      <c r="CA47" s="737" t="s">
        <v>1056</v>
      </c>
      <c r="CB47" s="730">
        <f>ROW()</f>
        <v>47</v>
      </c>
    </row>
    <row r="48" spans="1:80" s="43" customFormat="1" ht="12.75" customHeight="1" x14ac:dyDescent="0.2">
      <c r="A48" s="5">
        <v>23</v>
      </c>
      <c r="B48" s="1670"/>
      <c r="C48" s="1671"/>
      <c r="D48" s="1671"/>
      <c r="E48" s="1671"/>
      <c r="F48" s="1671"/>
      <c r="G48" s="784"/>
      <c r="H48" s="784" t="str">
        <f t="shared" si="0"/>
        <v/>
      </c>
      <c r="I48" s="785"/>
      <c r="J48" s="643"/>
      <c r="K48" s="786" t="str">
        <f t="shared" si="1"/>
        <v xml:space="preserve"> </v>
      </c>
      <c r="L48" s="906" t="str">
        <f t="shared" si="24"/>
        <v/>
      </c>
      <c r="M48" s="794"/>
      <c r="N48" s="913"/>
      <c r="O48" s="121"/>
      <c r="P48" s="919" t="str">
        <f ca="1">IF($B48="","",IF(AND($N$13=TRUE,OR($AT48="Remains",$AT48="#2",$AT48="Removed")),"NA",VLOOKUP($H48,INDIRECT('9.6 Table'!$P$338),P$11+N$9,FALSE)))</f>
        <v/>
      </c>
      <c r="Q48" s="767"/>
      <c r="R48" s="768" t="str">
        <f ca="1">IF($B48="","",IF(AND($N$13=TRUE,OR($AT48="Remains",$AT48="#2",$AT48="Removed")),"NA",VLOOKUP($H48,INDIRECT('9.6 Table'!$P$338),R$11+N$9,FALSE)))</f>
        <v/>
      </c>
      <c r="S48" s="767"/>
      <c r="T48" s="768" t="str">
        <f ca="1">IF($B48="","",IF(AND($N$13=TRUE,OR($AT48="Remains",$AT48="#2",$AT48="Removed")),"NA",VLOOKUP($H48,INDIRECT('9.6 Table'!$P$338),T$11+N$9,FALSE)))</f>
        <v/>
      </c>
      <c r="U48" s="767"/>
      <c r="V48" s="768" t="str">
        <f ca="1">IF($B48="","",IF(AND($N$13=TRUE,OR($AT48="Remains",$AT48="#2",$AT48="Removed")),"NA",VLOOKUP($H48,INDIRECT('9.6 Table'!$P$338),V$11+N$9,FALSE)))</f>
        <v/>
      </c>
      <c r="W48" s="767"/>
      <c r="X48" s="768" t="str">
        <f ca="1">IF($B48="","",IF(AND($N$13=TRUE,OR($AT48="Remains",$AT48="#2",$AT48="Removed")),"NA",VLOOKUP($H48,INDIRECT('9.6 Table'!$P$338),X$11+N$9,FALSE)))</f>
        <v/>
      </c>
      <c r="Y48" s="767"/>
      <c r="Z48" s="768" t="str">
        <f ca="1">IF($B48="","",IF(AND($N$13=TRUE,OR($AT48="Remains",$AT48="#2",$AT48="Removed")),"NA",VLOOKUP($H48,INDIRECT('9.6 Table'!$P$338),Z$11+N$9,FALSE)))</f>
        <v/>
      </c>
      <c r="AA48" s="767"/>
      <c r="AB48" s="768" t="str">
        <f ca="1">IF($B48="","",IF(AND($N$13=TRUE,OR($AT48="Remains",$AT48="#2",$AT48="Removed")),"NA",VLOOKUP($H48,INDIRECT('9.6 Table'!$P$338),AB$11+N$9,FALSE)))</f>
        <v/>
      </c>
      <c r="AC48" s="767"/>
      <c r="AD48" s="768" t="str">
        <f ca="1">IF($B48="","",IF(AND($N$13=TRUE,OR($AT48="Remains",$AT48="#2",$AT48="Removed")),"NA",VLOOKUP($H48,INDIRECT('9.6 Table'!$P$338),AD$11+N$9,FALSE)))</f>
        <v/>
      </c>
      <c r="AE48" s="767"/>
      <c r="AF48" s="768" t="str">
        <f ca="1">IF($B48="","",IF(AND($N$13=TRUE,OR($AT48="Remains",$AT48="#2",$AT48="Removed")),"NA",VLOOKUP($H48,INDIRECT('9.6 Table'!$P$338),AF$11+N$9,FALSE)))</f>
        <v/>
      </c>
      <c r="AG48" s="767"/>
      <c r="AH48" s="768" t="str">
        <f ca="1">IF($B48="","",IF(AND($N$13=TRUE,OR($AT48="Remains",$AT48="#2",$AT48="Removed")),"NA",VLOOKUP($H48,INDIRECT('9.6 Table'!$P$338),AH$11+N$9,FALSE)))</f>
        <v/>
      </c>
      <c r="AI48" s="767"/>
      <c r="AJ48" s="768" t="str">
        <f ca="1">IF($B48="","",IF(AND($N$13=TRUE,OR($AT48="Remains",$AT48="#2",$AT48="Removed")),"NA",VLOOKUP($H48,INDIRECT('9.6 Table'!$P$338),AJ$11+N$9,FALSE)))</f>
        <v/>
      </c>
      <c r="AK48" s="767"/>
      <c r="AL48" s="768" t="str">
        <f ca="1">IF($B48="","",IF(AND($N$13=TRUE,OR($AT48="Remains",$AT48="#2",$AT48="Removed")),"NA",VLOOKUP($H48,INDIRECT('9.6 Table'!$P$338),AL$11+N$9,FALSE)))</f>
        <v/>
      </c>
      <c r="AM48" s="767"/>
      <c r="AN48" s="768" t="str">
        <f ca="1">IF($B48="","",IF(AND($N$13=TRUE,OR($AT48="Remains",$AT48="#2",$AT48="Removed")),"NA",VLOOKUP($H48,INDIRECT('9.6 Table'!$P$338),AN$11+N$9,FALSE)))</f>
        <v/>
      </c>
      <c r="AO48" s="764"/>
      <c r="AP48" s="770"/>
      <c r="AQ48" s="921" t="str">
        <f t="shared" si="3"/>
        <v/>
      </c>
      <c r="AT48" s="730" t="str">
        <f t="shared" si="4"/>
        <v>New</v>
      </c>
      <c r="AX48" s="737" t="str">
        <f ca="1">VLOOKUP(H48,'SpxSp (step-a)'!H$22:AB$71,21,FALSE)</f>
        <v/>
      </c>
      <c r="AY48" s="736">
        <f>IFERROR(IF(OR(AP48="",AP48=0),0,HLOOKUP(AX48,'9.6.3 Table'!$D$4:$H$9,1+AP48,FALSE)),0)</f>
        <v>0</v>
      </c>
      <c r="AZ48" s="482">
        <f t="shared" si="5"/>
        <v>0</v>
      </c>
      <c r="BA48" s="327"/>
      <c r="BB48" s="43" t="str">
        <f t="shared" si="6"/>
        <v/>
      </c>
      <c r="BC48" s="43" t="str">
        <f t="shared" si="7"/>
        <v/>
      </c>
      <c r="BH48" s="326">
        <f t="shared" si="8"/>
        <v>0</v>
      </c>
      <c r="BI48" s="326">
        <f t="shared" si="9"/>
        <v>0</v>
      </c>
      <c r="BJ48" s="627">
        <f t="shared" si="10"/>
        <v>0</v>
      </c>
      <c r="BK48" s="627">
        <f t="shared" si="11"/>
        <v>0</v>
      </c>
      <c r="BL48" s="627">
        <f t="shared" si="12"/>
        <v>0</v>
      </c>
      <c r="BM48" s="627">
        <f t="shared" si="13"/>
        <v>0</v>
      </c>
      <c r="BN48" s="627">
        <f t="shared" si="14"/>
        <v>0</v>
      </c>
      <c r="BO48" s="627">
        <f t="shared" si="15"/>
        <v>0</v>
      </c>
      <c r="BP48" s="627">
        <f t="shared" si="16"/>
        <v>0</v>
      </c>
      <c r="BQ48" s="627">
        <f t="shared" si="17"/>
        <v>0</v>
      </c>
      <c r="BR48" s="627">
        <f t="shared" si="18"/>
        <v>0</v>
      </c>
      <c r="BS48" s="627">
        <f t="shared" si="19"/>
        <v>0</v>
      </c>
      <c r="BT48" s="627">
        <f t="shared" si="20"/>
        <v>0</v>
      </c>
      <c r="BU48" s="627">
        <f t="shared" si="21"/>
        <v>0</v>
      </c>
      <c r="BV48" s="627">
        <f t="shared" si="22"/>
        <v>0</v>
      </c>
      <c r="BW48" s="627"/>
      <c r="BX48" s="627">
        <f t="shared" si="23"/>
        <v>0</v>
      </c>
      <c r="BZ48" s="737">
        <v>23</v>
      </c>
      <c r="CA48" s="737" t="s">
        <v>912</v>
      </c>
      <c r="CB48" s="730">
        <f>ROW()</f>
        <v>48</v>
      </c>
    </row>
    <row r="49" spans="1:80" s="43" customFormat="1" ht="12.75" customHeight="1" x14ac:dyDescent="0.2">
      <c r="A49" s="5">
        <v>24</v>
      </c>
      <c r="B49" s="1670"/>
      <c r="C49" s="1671"/>
      <c r="D49" s="1671"/>
      <c r="E49" s="1671"/>
      <c r="F49" s="1671"/>
      <c r="G49" s="784"/>
      <c r="H49" s="784" t="str">
        <f t="shared" si="0"/>
        <v/>
      </c>
      <c r="I49" s="785"/>
      <c r="J49" s="643"/>
      <c r="K49" s="786" t="str">
        <f t="shared" si="1"/>
        <v xml:space="preserve"> </v>
      </c>
      <c r="L49" s="906" t="str">
        <f t="shared" si="24"/>
        <v/>
      </c>
      <c r="M49" s="794"/>
      <c r="N49" s="913"/>
      <c r="O49" s="121"/>
      <c r="P49" s="919" t="str">
        <f ca="1">IF($B49="","",IF(AND($N$13=TRUE,OR($AT49="Remains",$AT49="#2",$AT49="Removed")),"NA",VLOOKUP($H49,INDIRECT('9.6 Table'!$P$338),P$11+N$9,FALSE)))</f>
        <v/>
      </c>
      <c r="Q49" s="767"/>
      <c r="R49" s="768" t="str">
        <f ca="1">IF($B49="","",IF(AND($N$13=TRUE,OR($AT49="Remains",$AT49="#2",$AT49="Removed")),"NA",VLOOKUP($H49,INDIRECT('9.6 Table'!$P$338),R$11+N$9,FALSE)))</f>
        <v/>
      </c>
      <c r="S49" s="767"/>
      <c r="T49" s="768" t="str">
        <f ca="1">IF($B49="","",IF(AND($N$13=TRUE,OR($AT49="Remains",$AT49="#2",$AT49="Removed")),"NA",VLOOKUP($H49,INDIRECT('9.6 Table'!$P$338),T$11+N$9,FALSE)))</f>
        <v/>
      </c>
      <c r="U49" s="767"/>
      <c r="V49" s="768" t="str">
        <f ca="1">IF($B49="","",IF(AND($N$13=TRUE,OR($AT49="Remains",$AT49="#2",$AT49="Removed")),"NA",VLOOKUP($H49,INDIRECT('9.6 Table'!$P$338),V$11+N$9,FALSE)))</f>
        <v/>
      </c>
      <c r="W49" s="767"/>
      <c r="X49" s="768" t="str">
        <f ca="1">IF($B49="","",IF(AND($N$13=TRUE,OR($AT49="Remains",$AT49="#2",$AT49="Removed")),"NA",VLOOKUP($H49,INDIRECT('9.6 Table'!$P$338),X$11+N$9,FALSE)))</f>
        <v/>
      </c>
      <c r="Y49" s="767"/>
      <c r="Z49" s="768" t="str">
        <f ca="1">IF($B49="","",IF(AND($N$13=TRUE,OR($AT49="Remains",$AT49="#2",$AT49="Removed")),"NA",VLOOKUP($H49,INDIRECT('9.6 Table'!$P$338),Z$11+N$9,FALSE)))</f>
        <v/>
      </c>
      <c r="AA49" s="767"/>
      <c r="AB49" s="768" t="str">
        <f ca="1">IF($B49="","",IF(AND($N$13=TRUE,OR($AT49="Remains",$AT49="#2",$AT49="Removed")),"NA",VLOOKUP($H49,INDIRECT('9.6 Table'!$P$338),AB$11+N$9,FALSE)))</f>
        <v/>
      </c>
      <c r="AC49" s="767"/>
      <c r="AD49" s="768" t="str">
        <f ca="1">IF($B49="","",IF(AND($N$13=TRUE,OR($AT49="Remains",$AT49="#2",$AT49="Removed")),"NA",VLOOKUP($H49,INDIRECT('9.6 Table'!$P$338),AD$11+N$9,FALSE)))</f>
        <v/>
      </c>
      <c r="AE49" s="767"/>
      <c r="AF49" s="768" t="str">
        <f ca="1">IF($B49="","",IF(AND($N$13=TRUE,OR($AT49="Remains",$AT49="#2",$AT49="Removed")),"NA",VLOOKUP($H49,INDIRECT('9.6 Table'!$P$338),AF$11+N$9,FALSE)))</f>
        <v/>
      </c>
      <c r="AG49" s="767"/>
      <c r="AH49" s="768" t="str">
        <f ca="1">IF($B49="","",IF(AND($N$13=TRUE,OR($AT49="Remains",$AT49="#2",$AT49="Removed")),"NA",VLOOKUP($H49,INDIRECT('9.6 Table'!$P$338),AH$11+N$9,FALSE)))</f>
        <v/>
      </c>
      <c r="AI49" s="767"/>
      <c r="AJ49" s="768" t="str">
        <f ca="1">IF($B49="","",IF(AND($N$13=TRUE,OR($AT49="Remains",$AT49="#2",$AT49="Removed")),"NA",VLOOKUP($H49,INDIRECT('9.6 Table'!$P$338),AJ$11+N$9,FALSE)))</f>
        <v/>
      </c>
      <c r="AK49" s="767"/>
      <c r="AL49" s="768" t="str">
        <f ca="1">IF($B49="","",IF(AND($N$13=TRUE,OR($AT49="Remains",$AT49="#2",$AT49="Removed")),"NA",VLOOKUP($H49,INDIRECT('9.6 Table'!$P$338),AL$11+N$9,FALSE)))</f>
        <v/>
      </c>
      <c r="AM49" s="767"/>
      <c r="AN49" s="768" t="str">
        <f ca="1">IF($B49="","",IF(AND($N$13=TRUE,OR($AT49="Remains",$AT49="#2",$AT49="Removed")),"NA",VLOOKUP($H49,INDIRECT('9.6 Table'!$P$338),AN$11+N$9,FALSE)))</f>
        <v/>
      </c>
      <c r="AO49" s="764"/>
      <c r="AP49" s="770"/>
      <c r="AQ49" s="921" t="str">
        <f t="shared" si="3"/>
        <v/>
      </c>
      <c r="AT49" s="730" t="str">
        <f t="shared" si="4"/>
        <v>New</v>
      </c>
      <c r="AX49" s="737" t="str">
        <f ca="1">VLOOKUP(H49,'SpxSp (step-a)'!H$22:AB$71,21,FALSE)</f>
        <v/>
      </c>
      <c r="AY49" s="736">
        <f>IFERROR(IF(OR(AP49="",AP49=0),0,HLOOKUP(AX49,'9.6.3 Table'!$D$4:$H$9,1+AP49,FALSE)),0)</f>
        <v>0</v>
      </c>
      <c r="AZ49" s="482">
        <f t="shared" si="5"/>
        <v>0</v>
      </c>
      <c r="BA49" s="327"/>
      <c r="BB49" s="43" t="str">
        <f t="shared" si="6"/>
        <v/>
      </c>
      <c r="BC49" s="43" t="str">
        <f t="shared" si="7"/>
        <v/>
      </c>
      <c r="BH49" s="326">
        <f t="shared" si="8"/>
        <v>0</v>
      </c>
      <c r="BI49" s="326">
        <f t="shared" si="9"/>
        <v>0</v>
      </c>
      <c r="BJ49" s="627">
        <f t="shared" si="10"/>
        <v>0</v>
      </c>
      <c r="BK49" s="627">
        <f t="shared" si="11"/>
        <v>0</v>
      </c>
      <c r="BL49" s="627">
        <f t="shared" si="12"/>
        <v>0</v>
      </c>
      <c r="BM49" s="627">
        <f t="shared" si="13"/>
        <v>0</v>
      </c>
      <c r="BN49" s="627">
        <f t="shared" si="14"/>
        <v>0</v>
      </c>
      <c r="BO49" s="627">
        <f t="shared" si="15"/>
        <v>0</v>
      </c>
      <c r="BP49" s="627">
        <f t="shared" si="16"/>
        <v>0</v>
      </c>
      <c r="BQ49" s="627">
        <f t="shared" si="17"/>
        <v>0</v>
      </c>
      <c r="BR49" s="627">
        <f t="shared" si="18"/>
        <v>0</v>
      </c>
      <c r="BS49" s="627">
        <f t="shared" si="19"/>
        <v>0</v>
      </c>
      <c r="BT49" s="627">
        <f t="shared" si="20"/>
        <v>0</v>
      </c>
      <c r="BU49" s="627">
        <f t="shared" si="21"/>
        <v>0</v>
      </c>
      <c r="BV49" s="627">
        <f t="shared" si="22"/>
        <v>0</v>
      </c>
      <c r="BW49" s="627"/>
      <c r="BX49" s="627">
        <f t="shared" si="23"/>
        <v>0</v>
      </c>
      <c r="BZ49" s="737">
        <v>24</v>
      </c>
      <c r="CA49" s="737" t="s">
        <v>1057</v>
      </c>
      <c r="CB49" s="730">
        <f>ROW()</f>
        <v>49</v>
      </c>
    </row>
    <row r="50" spans="1:80" s="43" customFormat="1" ht="12.75" customHeight="1" x14ac:dyDescent="0.2">
      <c r="A50" s="5">
        <v>25</v>
      </c>
      <c r="B50" s="1670"/>
      <c r="C50" s="1671"/>
      <c r="D50" s="1671"/>
      <c r="E50" s="1671"/>
      <c r="F50" s="1671"/>
      <c r="G50" s="784"/>
      <c r="H50" s="784" t="str">
        <f t="shared" si="0"/>
        <v/>
      </c>
      <c r="I50" s="785"/>
      <c r="J50" s="643"/>
      <c r="K50" s="786" t="str">
        <f t="shared" si="1"/>
        <v xml:space="preserve"> </v>
      </c>
      <c r="L50" s="906" t="str">
        <f t="shared" si="24"/>
        <v/>
      </c>
      <c r="M50" s="794"/>
      <c r="N50" s="913"/>
      <c r="O50" s="121"/>
      <c r="P50" s="919" t="str">
        <f ca="1">IF($B50="","",IF(AND($N$13=TRUE,OR($AT50="Remains",$AT50="#2",$AT50="Removed")),"NA",VLOOKUP($H50,INDIRECT('9.6 Table'!$P$338),P$11+N$9,FALSE)))</f>
        <v/>
      </c>
      <c r="Q50" s="767"/>
      <c r="R50" s="768" t="str">
        <f ca="1">IF($B50="","",IF(AND($N$13=TRUE,OR($AT50="Remains",$AT50="#2",$AT50="Removed")),"NA",VLOOKUP($H50,INDIRECT('9.6 Table'!$P$338),R$11+N$9,FALSE)))</f>
        <v/>
      </c>
      <c r="S50" s="767"/>
      <c r="T50" s="768" t="str">
        <f ca="1">IF($B50="","",IF(AND($N$13=TRUE,OR($AT50="Remains",$AT50="#2",$AT50="Removed")),"NA",VLOOKUP($H50,INDIRECT('9.6 Table'!$P$338),T$11+N$9,FALSE)))</f>
        <v/>
      </c>
      <c r="U50" s="767"/>
      <c r="V50" s="768" t="str">
        <f ca="1">IF($B50="","",IF(AND($N$13=TRUE,OR($AT50="Remains",$AT50="#2",$AT50="Removed")),"NA",VLOOKUP($H50,INDIRECT('9.6 Table'!$P$338),V$11+N$9,FALSE)))</f>
        <v/>
      </c>
      <c r="W50" s="767"/>
      <c r="X50" s="768" t="str">
        <f ca="1">IF($B50="","",IF(AND($N$13=TRUE,OR($AT50="Remains",$AT50="#2",$AT50="Removed")),"NA",VLOOKUP($H50,INDIRECT('9.6 Table'!$P$338),X$11+N$9,FALSE)))</f>
        <v/>
      </c>
      <c r="Y50" s="767"/>
      <c r="Z50" s="768" t="str">
        <f ca="1">IF($B50="","",IF(AND($N$13=TRUE,OR($AT50="Remains",$AT50="#2",$AT50="Removed")),"NA",VLOOKUP($H50,INDIRECT('9.6 Table'!$P$338),Z$11+N$9,FALSE)))</f>
        <v/>
      </c>
      <c r="AA50" s="767"/>
      <c r="AB50" s="768" t="str">
        <f ca="1">IF($B50="","",IF(AND($N$13=TRUE,OR($AT50="Remains",$AT50="#2",$AT50="Removed")),"NA",VLOOKUP($H50,INDIRECT('9.6 Table'!$P$338),AB$11+N$9,FALSE)))</f>
        <v/>
      </c>
      <c r="AC50" s="767"/>
      <c r="AD50" s="768" t="str">
        <f ca="1">IF($B50="","",IF(AND($N$13=TRUE,OR($AT50="Remains",$AT50="#2",$AT50="Removed")),"NA",VLOOKUP($H50,INDIRECT('9.6 Table'!$P$338),AD$11+N$9,FALSE)))</f>
        <v/>
      </c>
      <c r="AE50" s="767"/>
      <c r="AF50" s="768" t="str">
        <f ca="1">IF($B50="","",IF(AND($N$13=TRUE,OR($AT50="Remains",$AT50="#2",$AT50="Removed")),"NA",VLOOKUP($H50,INDIRECT('9.6 Table'!$P$338),AF$11+N$9,FALSE)))</f>
        <v/>
      </c>
      <c r="AG50" s="767"/>
      <c r="AH50" s="768" t="str">
        <f ca="1">IF($B50="","",IF(AND($N$13=TRUE,OR($AT50="Remains",$AT50="#2",$AT50="Removed")),"NA",VLOOKUP($H50,INDIRECT('9.6 Table'!$P$338),AH$11+N$9,FALSE)))</f>
        <v/>
      </c>
      <c r="AI50" s="767"/>
      <c r="AJ50" s="768" t="str">
        <f ca="1">IF($B50="","",IF(AND($N$13=TRUE,OR($AT50="Remains",$AT50="#2",$AT50="Removed")),"NA",VLOOKUP($H50,INDIRECT('9.6 Table'!$P$338),AJ$11+N$9,FALSE)))</f>
        <v/>
      </c>
      <c r="AK50" s="767"/>
      <c r="AL50" s="768" t="str">
        <f ca="1">IF($B50="","",IF(AND($N$13=TRUE,OR($AT50="Remains",$AT50="#2",$AT50="Removed")),"NA",VLOOKUP($H50,INDIRECT('9.6 Table'!$P$338),AL$11+N$9,FALSE)))</f>
        <v/>
      </c>
      <c r="AM50" s="767"/>
      <c r="AN50" s="768" t="str">
        <f ca="1">IF($B50="","",IF(AND($N$13=TRUE,OR($AT50="Remains",$AT50="#2",$AT50="Removed")),"NA",VLOOKUP($H50,INDIRECT('9.6 Table'!$P$338),AN$11+N$9,FALSE)))</f>
        <v/>
      </c>
      <c r="AO50" s="764"/>
      <c r="AP50" s="770"/>
      <c r="AQ50" s="921" t="str">
        <f t="shared" si="3"/>
        <v/>
      </c>
      <c r="AT50" s="730" t="str">
        <f t="shared" si="4"/>
        <v>New</v>
      </c>
      <c r="AX50" s="737" t="str">
        <f ca="1">VLOOKUP(H50,'SpxSp (step-a)'!H$22:AB$71,21,FALSE)</f>
        <v/>
      </c>
      <c r="AY50" s="736">
        <f>IFERROR(IF(OR(AP50="",AP50=0),0,HLOOKUP(AX50,'9.6.3 Table'!$D$4:$H$9,1+AP50,FALSE)),0)</f>
        <v>0</v>
      </c>
      <c r="AZ50" s="482">
        <f t="shared" si="5"/>
        <v>0</v>
      </c>
      <c r="BA50" s="327"/>
      <c r="BB50" s="43" t="str">
        <f t="shared" si="6"/>
        <v/>
      </c>
      <c r="BC50" s="43" t="str">
        <f t="shared" si="7"/>
        <v/>
      </c>
      <c r="BH50" s="326">
        <f t="shared" si="8"/>
        <v>0</v>
      </c>
      <c r="BI50" s="326">
        <f t="shared" si="9"/>
        <v>0</v>
      </c>
      <c r="BJ50" s="627">
        <f t="shared" si="10"/>
        <v>0</v>
      </c>
      <c r="BK50" s="627">
        <f t="shared" si="11"/>
        <v>0</v>
      </c>
      <c r="BL50" s="627">
        <f t="shared" si="12"/>
        <v>0</v>
      </c>
      <c r="BM50" s="627">
        <f t="shared" si="13"/>
        <v>0</v>
      </c>
      <c r="BN50" s="627">
        <f t="shared" si="14"/>
        <v>0</v>
      </c>
      <c r="BO50" s="627">
        <f t="shared" si="15"/>
        <v>0</v>
      </c>
      <c r="BP50" s="627">
        <f t="shared" si="16"/>
        <v>0</v>
      </c>
      <c r="BQ50" s="627">
        <f t="shared" si="17"/>
        <v>0</v>
      </c>
      <c r="BR50" s="627">
        <f t="shared" si="18"/>
        <v>0</v>
      </c>
      <c r="BS50" s="627">
        <f t="shared" si="19"/>
        <v>0</v>
      </c>
      <c r="BT50" s="627">
        <f t="shared" si="20"/>
        <v>0</v>
      </c>
      <c r="BU50" s="627">
        <f t="shared" si="21"/>
        <v>0</v>
      </c>
      <c r="BV50" s="627">
        <f t="shared" si="22"/>
        <v>0</v>
      </c>
      <c r="BW50" s="627"/>
      <c r="BX50" s="627">
        <f t="shared" si="23"/>
        <v>0</v>
      </c>
      <c r="BZ50" s="737">
        <v>25</v>
      </c>
      <c r="CA50" s="737" t="s">
        <v>913</v>
      </c>
      <c r="CB50" s="730">
        <f>ROW()</f>
        <v>50</v>
      </c>
    </row>
    <row r="51" spans="1:80" s="43" customFormat="1" ht="12.75" customHeight="1" x14ac:dyDescent="0.2">
      <c r="A51" s="5">
        <v>26</v>
      </c>
      <c r="B51" s="1670"/>
      <c r="C51" s="1671"/>
      <c r="D51" s="1671"/>
      <c r="E51" s="1671"/>
      <c r="F51" s="1671"/>
      <c r="G51" s="784"/>
      <c r="H51" s="784" t="str">
        <f t="shared" si="0"/>
        <v/>
      </c>
      <c r="I51" s="785"/>
      <c r="J51" s="643"/>
      <c r="K51" s="786" t="str">
        <f t="shared" si="1"/>
        <v xml:space="preserve"> </v>
      </c>
      <c r="L51" s="906" t="str">
        <f t="shared" si="24"/>
        <v/>
      </c>
      <c r="M51" s="794"/>
      <c r="N51" s="913"/>
      <c r="O51" s="121"/>
      <c r="P51" s="919" t="str">
        <f ca="1">IF($B51="","",IF(AND($N$13=TRUE,OR($AT51="Remains",$AT51="#2",$AT51="Removed")),"NA",VLOOKUP($H51,INDIRECT('9.6 Table'!$P$338),P$11+N$9,FALSE)))</f>
        <v/>
      </c>
      <c r="Q51" s="767"/>
      <c r="R51" s="768" t="str">
        <f ca="1">IF($B51="","",IF(AND($N$13=TRUE,OR($AT51="Remains",$AT51="#2",$AT51="Removed")),"NA",VLOOKUP($H51,INDIRECT('9.6 Table'!$P$338),R$11+N$9,FALSE)))</f>
        <v/>
      </c>
      <c r="S51" s="767"/>
      <c r="T51" s="768" t="str">
        <f ca="1">IF($B51="","",IF(AND($N$13=TRUE,OR($AT51="Remains",$AT51="#2",$AT51="Removed")),"NA",VLOOKUP($H51,INDIRECT('9.6 Table'!$P$338),T$11+N$9,FALSE)))</f>
        <v/>
      </c>
      <c r="U51" s="767"/>
      <c r="V51" s="768" t="str">
        <f ca="1">IF($B51="","",IF(AND($N$13=TRUE,OR($AT51="Remains",$AT51="#2",$AT51="Removed")),"NA",VLOOKUP($H51,INDIRECT('9.6 Table'!$P$338),V$11+N$9,FALSE)))</f>
        <v/>
      </c>
      <c r="W51" s="767"/>
      <c r="X51" s="768" t="str">
        <f ca="1">IF($B51="","",IF(AND($N$13=TRUE,OR($AT51="Remains",$AT51="#2",$AT51="Removed")),"NA",VLOOKUP($H51,INDIRECT('9.6 Table'!$P$338),X$11+N$9,FALSE)))</f>
        <v/>
      </c>
      <c r="Y51" s="767"/>
      <c r="Z51" s="768" t="str">
        <f ca="1">IF($B51="","",IF(AND($N$13=TRUE,OR($AT51="Remains",$AT51="#2",$AT51="Removed")),"NA",VLOOKUP($H51,INDIRECT('9.6 Table'!$P$338),Z$11+N$9,FALSE)))</f>
        <v/>
      </c>
      <c r="AA51" s="767"/>
      <c r="AB51" s="768" t="str">
        <f ca="1">IF($B51="","",IF(AND($N$13=TRUE,OR($AT51="Remains",$AT51="#2",$AT51="Removed")),"NA",VLOOKUP($H51,INDIRECT('9.6 Table'!$P$338),AB$11+N$9,FALSE)))</f>
        <v/>
      </c>
      <c r="AC51" s="767"/>
      <c r="AD51" s="768" t="str">
        <f ca="1">IF($B51="","",IF(AND($N$13=TRUE,OR($AT51="Remains",$AT51="#2",$AT51="Removed")),"NA",VLOOKUP($H51,INDIRECT('9.6 Table'!$P$338),AD$11+N$9,FALSE)))</f>
        <v/>
      </c>
      <c r="AE51" s="767"/>
      <c r="AF51" s="768" t="str">
        <f ca="1">IF($B51="","",IF(AND($N$13=TRUE,OR($AT51="Remains",$AT51="#2",$AT51="Removed")),"NA",VLOOKUP($H51,INDIRECT('9.6 Table'!$P$338),AF$11+N$9,FALSE)))</f>
        <v/>
      </c>
      <c r="AG51" s="767"/>
      <c r="AH51" s="768" t="str">
        <f ca="1">IF($B51="","",IF(AND($N$13=TRUE,OR($AT51="Remains",$AT51="#2",$AT51="Removed")),"NA",VLOOKUP($H51,INDIRECT('9.6 Table'!$P$338),AH$11+N$9,FALSE)))</f>
        <v/>
      </c>
      <c r="AI51" s="767"/>
      <c r="AJ51" s="768" t="str">
        <f ca="1">IF($B51="","",IF(AND($N$13=TRUE,OR($AT51="Remains",$AT51="#2",$AT51="Removed")),"NA",VLOOKUP($H51,INDIRECT('9.6 Table'!$P$338),AJ$11+N$9,FALSE)))</f>
        <v/>
      </c>
      <c r="AK51" s="767"/>
      <c r="AL51" s="768" t="str">
        <f ca="1">IF($B51="","",IF(AND($N$13=TRUE,OR($AT51="Remains",$AT51="#2",$AT51="Removed")),"NA",VLOOKUP($H51,INDIRECT('9.6 Table'!$P$338),AL$11+N$9,FALSE)))</f>
        <v/>
      </c>
      <c r="AM51" s="767"/>
      <c r="AN51" s="768" t="str">
        <f ca="1">IF($B51="","",IF(AND($N$13=TRUE,OR($AT51="Remains",$AT51="#2",$AT51="Removed")),"NA",VLOOKUP($H51,INDIRECT('9.6 Table'!$P$338),AN$11+N$9,FALSE)))</f>
        <v/>
      </c>
      <c r="AO51" s="764"/>
      <c r="AP51" s="770"/>
      <c r="AQ51" s="921" t="str">
        <f t="shared" si="3"/>
        <v/>
      </c>
      <c r="AT51" s="730" t="str">
        <f t="shared" si="4"/>
        <v>New</v>
      </c>
      <c r="AX51" s="737" t="str">
        <f ca="1">VLOOKUP(H51,'SpxSp (step-a)'!H$22:AB$71,21,FALSE)</f>
        <v/>
      </c>
      <c r="AY51" s="736">
        <f>IFERROR(IF(OR(AP51="",AP51=0),0,HLOOKUP(AX51,'9.6.3 Table'!$D$4:$H$9,1+AP51,FALSE)),0)</f>
        <v>0</v>
      </c>
      <c r="AZ51" s="482">
        <f t="shared" si="5"/>
        <v>0</v>
      </c>
      <c r="BA51" s="327"/>
      <c r="BB51" s="43" t="str">
        <f t="shared" si="6"/>
        <v/>
      </c>
      <c r="BC51" s="43" t="str">
        <f t="shared" si="7"/>
        <v/>
      </c>
      <c r="BH51" s="326">
        <f t="shared" si="8"/>
        <v>0</v>
      </c>
      <c r="BI51" s="326">
        <f t="shared" si="9"/>
        <v>0</v>
      </c>
      <c r="BJ51" s="627">
        <f t="shared" si="10"/>
        <v>0</v>
      </c>
      <c r="BK51" s="627">
        <f t="shared" si="11"/>
        <v>0</v>
      </c>
      <c r="BL51" s="627">
        <f t="shared" si="12"/>
        <v>0</v>
      </c>
      <c r="BM51" s="627">
        <f t="shared" si="13"/>
        <v>0</v>
      </c>
      <c r="BN51" s="627">
        <f t="shared" si="14"/>
        <v>0</v>
      </c>
      <c r="BO51" s="627">
        <f t="shared" si="15"/>
        <v>0</v>
      </c>
      <c r="BP51" s="627">
        <f t="shared" si="16"/>
        <v>0</v>
      </c>
      <c r="BQ51" s="627">
        <f t="shared" si="17"/>
        <v>0</v>
      </c>
      <c r="BR51" s="627">
        <f t="shared" si="18"/>
        <v>0</v>
      </c>
      <c r="BS51" s="627">
        <f t="shared" si="19"/>
        <v>0</v>
      </c>
      <c r="BT51" s="627">
        <f t="shared" si="20"/>
        <v>0</v>
      </c>
      <c r="BU51" s="627">
        <f t="shared" si="21"/>
        <v>0</v>
      </c>
      <c r="BV51" s="627">
        <f t="shared" si="22"/>
        <v>0</v>
      </c>
      <c r="BW51" s="627"/>
      <c r="BX51" s="627">
        <f t="shared" si="23"/>
        <v>0</v>
      </c>
      <c r="BZ51" s="737">
        <v>26</v>
      </c>
      <c r="CA51" s="737" t="s">
        <v>1058</v>
      </c>
      <c r="CB51" s="730">
        <f>ROW()</f>
        <v>51</v>
      </c>
    </row>
    <row r="52" spans="1:80" s="43" customFormat="1" ht="12.75" customHeight="1" x14ac:dyDescent="0.2">
      <c r="A52" s="5">
        <v>27</v>
      </c>
      <c r="B52" s="1670"/>
      <c r="C52" s="1671"/>
      <c r="D52" s="1671"/>
      <c r="E52" s="1671"/>
      <c r="F52" s="1671"/>
      <c r="G52" s="784"/>
      <c r="H52" s="784" t="str">
        <f t="shared" si="0"/>
        <v/>
      </c>
      <c r="I52" s="785"/>
      <c r="J52" s="643"/>
      <c r="K52" s="786" t="str">
        <f t="shared" si="1"/>
        <v xml:space="preserve"> </v>
      </c>
      <c r="L52" s="906" t="str">
        <f t="shared" si="24"/>
        <v/>
      </c>
      <c r="M52" s="794"/>
      <c r="N52" s="913"/>
      <c r="O52" s="121"/>
      <c r="P52" s="919" t="str">
        <f ca="1">IF($B52="","",IF(AND($N$13=TRUE,OR($AT52="Remains",$AT52="#2",$AT52="Removed")),"NA",VLOOKUP($H52,INDIRECT('9.6 Table'!$P$338),P$11+N$9,FALSE)))</f>
        <v/>
      </c>
      <c r="Q52" s="767"/>
      <c r="R52" s="768" t="str">
        <f ca="1">IF($B52="","",IF(AND($N$13=TRUE,OR($AT52="Remains",$AT52="#2",$AT52="Removed")),"NA",VLOOKUP($H52,INDIRECT('9.6 Table'!$P$338),R$11+N$9,FALSE)))</f>
        <v/>
      </c>
      <c r="S52" s="767"/>
      <c r="T52" s="768" t="str">
        <f ca="1">IF($B52="","",IF(AND($N$13=TRUE,OR($AT52="Remains",$AT52="#2",$AT52="Removed")),"NA",VLOOKUP($H52,INDIRECT('9.6 Table'!$P$338),T$11+N$9,FALSE)))</f>
        <v/>
      </c>
      <c r="U52" s="767"/>
      <c r="V52" s="768" t="str">
        <f ca="1">IF($B52="","",IF(AND($N$13=TRUE,OR($AT52="Remains",$AT52="#2",$AT52="Removed")),"NA",VLOOKUP($H52,INDIRECT('9.6 Table'!$P$338),V$11+N$9,FALSE)))</f>
        <v/>
      </c>
      <c r="W52" s="767"/>
      <c r="X52" s="768" t="str">
        <f ca="1">IF($B52="","",IF(AND($N$13=TRUE,OR($AT52="Remains",$AT52="#2",$AT52="Removed")),"NA",VLOOKUP($H52,INDIRECT('9.6 Table'!$P$338),X$11+N$9,FALSE)))</f>
        <v/>
      </c>
      <c r="Y52" s="767"/>
      <c r="Z52" s="768" t="str">
        <f ca="1">IF($B52="","",IF(AND($N$13=TRUE,OR($AT52="Remains",$AT52="#2",$AT52="Removed")),"NA",VLOOKUP($H52,INDIRECT('9.6 Table'!$P$338),Z$11+N$9,FALSE)))</f>
        <v/>
      </c>
      <c r="AA52" s="767"/>
      <c r="AB52" s="768" t="str">
        <f ca="1">IF($B52="","",IF(AND($N$13=TRUE,OR($AT52="Remains",$AT52="#2",$AT52="Removed")),"NA",VLOOKUP($H52,INDIRECT('9.6 Table'!$P$338),AB$11+N$9,FALSE)))</f>
        <v/>
      </c>
      <c r="AC52" s="767"/>
      <c r="AD52" s="768" t="str">
        <f ca="1">IF($B52="","",IF(AND($N$13=TRUE,OR($AT52="Remains",$AT52="#2",$AT52="Removed")),"NA",VLOOKUP($H52,INDIRECT('9.6 Table'!$P$338),AD$11+N$9,FALSE)))</f>
        <v/>
      </c>
      <c r="AE52" s="767"/>
      <c r="AF52" s="768" t="str">
        <f ca="1">IF($B52="","",IF(AND($N$13=TRUE,OR($AT52="Remains",$AT52="#2",$AT52="Removed")),"NA",VLOOKUP($H52,INDIRECT('9.6 Table'!$P$338),AF$11+N$9,FALSE)))</f>
        <v/>
      </c>
      <c r="AG52" s="767"/>
      <c r="AH52" s="768" t="str">
        <f ca="1">IF($B52="","",IF(AND($N$13=TRUE,OR($AT52="Remains",$AT52="#2",$AT52="Removed")),"NA",VLOOKUP($H52,INDIRECT('9.6 Table'!$P$338),AH$11+N$9,FALSE)))</f>
        <v/>
      </c>
      <c r="AI52" s="767"/>
      <c r="AJ52" s="768" t="str">
        <f ca="1">IF($B52="","",IF(AND($N$13=TRUE,OR($AT52="Remains",$AT52="#2",$AT52="Removed")),"NA",VLOOKUP($H52,INDIRECT('9.6 Table'!$P$338),AJ$11+N$9,FALSE)))</f>
        <v/>
      </c>
      <c r="AK52" s="767"/>
      <c r="AL52" s="768" t="str">
        <f ca="1">IF($B52="","",IF(AND($N$13=TRUE,OR($AT52="Remains",$AT52="#2",$AT52="Removed")),"NA",VLOOKUP($H52,INDIRECT('9.6 Table'!$P$338),AL$11+N$9,FALSE)))</f>
        <v/>
      </c>
      <c r="AM52" s="767"/>
      <c r="AN52" s="768" t="str">
        <f ca="1">IF($B52="","",IF(AND($N$13=TRUE,OR($AT52="Remains",$AT52="#2",$AT52="Removed")),"NA",VLOOKUP($H52,INDIRECT('9.6 Table'!$P$338),AN$11+N$9,FALSE)))</f>
        <v/>
      </c>
      <c r="AO52" s="764"/>
      <c r="AP52" s="770"/>
      <c r="AQ52" s="921" t="str">
        <f t="shared" si="3"/>
        <v/>
      </c>
      <c r="AT52" s="730" t="str">
        <f t="shared" si="4"/>
        <v>New</v>
      </c>
      <c r="AX52" s="737" t="str">
        <f ca="1">VLOOKUP(H52,'SpxSp (step-a)'!H$22:AB$71,21,FALSE)</f>
        <v/>
      </c>
      <c r="AY52" s="736">
        <f>IFERROR(IF(OR(AP52="",AP52=0),0,HLOOKUP(AX52,'9.6.3 Table'!$D$4:$H$9,1+AP52,FALSE)),0)</f>
        <v>0</v>
      </c>
      <c r="AZ52" s="482">
        <f t="shared" si="5"/>
        <v>0</v>
      </c>
      <c r="BA52" s="327"/>
      <c r="BB52" s="43" t="str">
        <f t="shared" si="6"/>
        <v/>
      </c>
      <c r="BC52" s="43" t="str">
        <f t="shared" si="7"/>
        <v/>
      </c>
      <c r="BH52" s="326">
        <f t="shared" si="8"/>
        <v>0</v>
      </c>
      <c r="BI52" s="326">
        <f t="shared" si="9"/>
        <v>0</v>
      </c>
      <c r="BJ52" s="627">
        <f t="shared" si="10"/>
        <v>0</v>
      </c>
      <c r="BK52" s="627">
        <f t="shared" si="11"/>
        <v>0</v>
      </c>
      <c r="BL52" s="627">
        <f t="shared" si="12"/>
        <v>0</v>
      </c>
      <c r="BM52" s="627">
        <f t="shared" si="13"/>
        <v>0</v>
      </c>
      <c r="BN52" s="627">
        <f t="shared" si="14"/>
        <v>0</v>
      </c>
      <c r="BO52" s="627">
        <f t="shared" si="15"/>
        <v>0</v>
      </c>
      <c r="BP52" s="627">
        <f t="shared" si="16"/>
        <v>0</v>
      </c>
      <c r="BQ52" s="627">
        <f t="shared" si="17"/>
        <v>0</v>
      </c>
      <c r="BR52" s="627">
        <f t="shared" si="18"/>
        <v>0</v>
      </c>
      <c r="BS52" s="627">
        <f t="shared" si="19"/>
        <v>0</v>
      </c>
      <c r="BT52" s="627">
        <f t="shared" si="20"/>
        <v>0</v>
      </c>
      <c r="BU52" s="627">
        <f t="shared" si="21"/>
        <v>0</v>
      </c>
      <c r="BV52" s="627">
        <f t="shared" si="22"/>
        <v>0</v>
      </c>
      <c r="BW52" s="627"/>
      <c r="BX52" s="627">
        <f t="shared" si="23"/>
        <v>0</v>
      </c>
      <c r="BZ52" s="737">
        <v>27</v>
      </c>
      <c r="CA52" s="737" t="str">
        <f>CONCATENATE("A",CA26)</f>
        <v>AA</v>
      </c>
      <c r="CB52" s="730">
        <f>ROW()</f>
        <v>52</v>
      </c>
    </row>
    <row r="53" spans="1:80" s="43" customFormat="1" ht="12.75" customHeight="1" x14ac:dyDescent="0.2">
      <c r="A53" s="5">
        <v>28</v>
      </c>
      <c r="B53" s="1670"/>
      <c r="C53" s="1671"/>
      <c r="D53" s="1671"/>
      <c r="E53" s="1671"/>
      <c r="F53" s="1671"/>
      <c r="G53" s="784"/>
      <c r="H53" s="784" t="str">
        <f t="shared" si="0"/>
        <v/>
      </c>
      <c r="I53" s="785"/>
      <c r="J53" s="643"/>
      <c r="K53" s="786" t="str">
        <f t="shared" si="1"/>
        <v xml:space="preserve"> </v>
      </c>
      <c r="L53" s="906" t="str">
        <f t="shared" si="24"/>
        <v/>
      </c>
      <c r="M53" s="794"/>
      <c r="N53" s="913"/>
      <c r="O53" s="121"/>
      <c r="P53" s="919" t="str">
        <f ca="1">IF($B53="","",IF(AND($N$13=TRUE,OR($AT53="Remains",$AT53="#2",$AT53="Removed")),"NA",VLOOKUP($H53,INDIRECT('9.6 Table'!$P$338),P$11+N$9,FALSE)))</f>
        <v/>
      </c>
      <c r="Q53" s="767"/>
      <c r="R53" s="768" t="str">
        <f ca="1">IF($B53="","",IF(AND($N$13=TRUE,OR($AT53="Remains",$AT53="#2",$AT53="Removed")),"NA",VLOOKUP($H53,INDIRECT('9.6 Table'!$P$338),R$11+N$9,FALSE)))</f>
        <v/>
      </c>
      <c r="S53" s="767"/>
      <c r="T53" s="768" t="str">
        <f ca="1">IF($B53="","",IF(AND($N$13=TRUE,OR($AT53="Remains",$AT53="#2",$AT53="Removed")),"NA",VLOOKUP($H53,INDIRECT('9.6 Table'!$P$338),T$11+N$9,FALSE)))</f>
        <v/>
      </c>
      <c r="U53" s="767"/>
      <c r="V53" s="768" t="str">
        <f ca="1">IF($B53="","",IF(AND($N$13=TRUE,OR($AT53="Remains",$AT53="#2",$AT53="Removed")),"NA",VLOOKUP($H53,INDIRECT('9.6 Table'!$P$338),V$11+N$9,FALSE)))</f>
        <v/>
      </c>
      <c r="W53" s="767"/>
      <c r="X53" s="768" t="str">
        <f ca="1">IF($B53="","",IF(AND($N$13=TRUE,OR($AT53="Remains",$AT53="#2",$AT53="Removed")),"NA",VLOOKUP($H53,INDIRECT('9.6 Table'!$P$338),X$11+N$9,FALSE)))</f>
        <v/>
      </c>
      <c r="Y53" s="767"/>
      <c r="Z53" s="768" t="str">
        <f ca="1">IF($B53="","",IF(AND($N$13=TRUE,OR($AT53="Remains",$AT53="#2",$AT53="Removed")),"NA",VLOOKUP($H53,INDIRECT('9.6 Table'!$P$338),Z$11+N$9,FALSE)))</f>
        <v/>
      </c>
      <c r="AA53" s="767"/>
      <c r="AB53" s="768" t="str">
        <f ca="1">IF($B53="","",IF(AND($N$13=TRUE,OR($AT53="Remains",$AT53="#2",$AT53="Removed")),"NA",VLOOKUP($H53,INDIRECT('9.6 Table'!$P$338),AB$11+N$9,FALSE)))</f>
        <v/>
      </c>
      <c r="AC53" s="767"/>
      <c r="AD53" s="768" t="str">
        <f ca="1">IF($B53="","",IF(AND($N$13=TRUE,OR($AT53="Remains",$AT53="#2",$AT53="Removed")),"NA",VLOOKUP($H53,INDIRECT('9.6 Table'!$P$338),AD$11+N$9,FALSE)))</f>
        <v/>
      </c>
      <c r="AE53" s="767"/>
      <c r="AF53" s="768" t="str">
        <f ca="1">IF($B53="","",IF(AND($N$13=TRUE,OR($AT53="Remains",$AT53="#2",$AT53="Removed")),"NA",VLOOKUP($H53,INDIRECT('9.6 Table'!$P$338),AF$11+N$9,FALSE)))</f>
        <v/>
      </c>
      <c r="AG53" s="767"/>
      <c r="AH53" s="768" t="str">
        <f ca="1">IF($B53="","",IF(AND($N$13=TRUE,OR($AT53="Remains",$AT53="#2",$AT53="Removed")),"NA",VLOOKUP($H53,INDIRECT('9.6 Table'!$P$338),AH$11+N$9,FALSE)))</f>
        <v/>
      </c>
      <c r="AI53" s="767"/>
      <c r="AJ53" s="768" t="str">
        <f ca="1">IF($B53="","",IF(AND($N$13=TRUE,OR($AT53="Remains",$AT53="#2",$AT53="Removed")),"NA",VLOOKUP($H53,INDIRECT('9.6 Table'!$P$338),AJ$11+N$9,FALSE)))</f>
        <v/>
      </c>
      <c r="AK53" s="767"/>
      <c r="AL53" s="768" t="str">
        <f ca="1">IF($B53="","",IF(AND($N$13=TRUE,OR($AT53="Remains",$AT53="#2",$AT53="Removed")),"NA",VLOOKUP($H53,INDIRECT('9.6 Table'!$P$338),AL$11+N$9,FALSE)))</f>
        <v/>
      </c>
      <c r="AM53" s="767"/>
      <c r="AN53" s="768" t="str">
        <f ca="1">IF($B53="","",IF(AND($N$13=TRUE,OR($AT53="Remains",$AT53="#2",$AT53="Removed")),"NA",VLOOKUP($H53,INDIRECT('9.6 Table'!$P$338),AN$11+N$9,FALSE)))</f>
        <v/>
      </c>
      <c r="AO53" s="764"/>
      <c r="AP53" s="770"/>
      <c r="AQ53" s="921" t="str">
        <f t="shared" si="3"/>
        <v/>
      </c>
      <c r="AT53" s="730" t="str">
        <f t="shared" si="4"/>
        <v>New</v>
      </c>
      <c r="AX53" s="737" t="str">
        <f ca="1">VLOOKUP(H53,'SpxSp (step-a)'!H$22:AB$71,21,FALSE)</f>
        <v/>
      </c>
      <c r="AY53" s="736">
        <f>IFERROR(IF(OR(AP53="",AP53=0),0,HLOOKUP(AX53,'9.6.3 Table'!$D$4:$H$9,1+AP53,FALSE)),0)</f>
        <v>0</v>
      </c>
      <c r="AZ53" s="482">
        <f t="shared" si="5"/>
        <v>0</v>
      </c>
      <c r="BA53" s="327"/>
      <c r="BB53" s="43" t="str">
        <f t="shared" si="6"/>
        <v/>
      </c>
      <c r="BC53" s="43" t="str">
        <f t="shared" si="7"/>
        <v/>
      </c>
      <c r="BH53" s="326">
        <f t="shared" si="8"/>
        <v>0</v>
      </c>
      <c r="BI53" s="326">
        <f t="shared" si="9"/>
        <v>0</v>
      </c>
      <c r="BJ53" s="627">
        <f t="shared" si="10"/>
        <v>0</v>
      </c>
      <c r="BK53" s="627">
        <f t="shared" si="11"/>
        <v>0</v>
      </c>
      <c r="BL53" s="627">
        <f t="shared" si="12"/>
        <v>0</v>
      </c>
      <c r="BM53" s="627">
        <f t="shared" si="13"/>
        <v>0</v>
      </c>
      <c r="BN53" s="627">
        <f t="shared" si="14"/>
        <v>0</v>
      </c>
      <c r="BO53" s="627">
        <f t="shared" si="15"/>
        <v>0</v>
      </c>
      <c r="BP53" s="627">
        <f t="shared" si="16"/>
        <v>0</v>
      </c>
      <c r="BQ53" s="627">
        <f t="shared" si="17"/>
        <v>0</v>
      </c>
      <c r="BR53" s="627">
        <f t="shared" si="18"/>
        <v>0</v>
      </c>
      <c r="BS53" s="627">
        <f t="shared" si="19"/>
        <v>0</v>
      </c>
      <c r="BT53" s="627">
        <f t="shared" si="20"/>
        <v>0</v>
      </c>
      <c r="BU53" s="627">
        <f t="shared" si="21"/>
        <v>0</v>
      </c>
      <c r="BV53" s="627">
        <f t="shared" si="22"/>
        <v>0</v>
      </c>
      <c r="BW53" s="627"/>
      <c r="BX53" s="627">
        <f t="shared" si="23"/>
        <v>0</v>
      </c>
      <c r="BZ53" s="737">
        <v>28</v>
      </c>
      <c r="CA53" s="737" t="str">
        <f t="shared" ref="CA53:CA77" si="25">CONCATENATE("A",CA27)</f>
        <v>AB</v>
      </c>
      <c r="CB53" s="730">
        <f>ROW()</f>
        <v>53</v>
      </c>
    </row>
    <row r="54" spans="1:80" s="43" customFormat="1" ht="12.75" customHeight="1" x14ac:dyDescent="0.2">
      <c r="A54" s="5">
        <v>29</v>
      </c>
      <c r="B54" s="1670"/>
      <c r="C54" s="1671"/>
      <c r="D54" s="1671"/>
      <c r="E54" s="1671"/>
      <c r="F54" s="1671"/>
      <c r="G54" s="784"/>
      <c r="H54" s="784" t="str">
        <f t="shared" si="0"/>
        <v/>
      </c>
      <c r="I54" s="785"/>
      <c r="J54" s="643"/>
      <c r="K54" s="786" t="str">
        <f t="shared" si="1"/>
        <v xml:space="preserve"> </v>
      </c>
      <c r="L54" s="906" t="str">
        <f t="shared" si="24"/>
        <v/>
      </c>
      <c r="M54" s="794"/>
      <c r="N54" s="913"/>
      <c r="O54" s="121"/>
      <c r="P54" s="919" t="str">
        <f ca="1">IF($B54="","",IF(AND($N$13=TRUE,OR($AT54="Remains",$AT54="#2",$AT54="Removed")),"NA",VLOOKUP($H54,INDIRECT('9.6 Table'!$P$338),P$11+N$9,FALSE)))</f>
        <v/>
      </c>
      <c r="Q54" s="767"/>
      <c r="R54" s="768" t="str">
        <f ca="1">IF($B54="","",IF(AND($N$13=TRUE,OR($AT54="Remains",$AT54="#2",$AT54="Removed")),"NA",VLOOKUP($H54,INDIRECT('9.6 Table'!$P$338),R$11+N$9,FALSE)))</f>
        <v/>
      </c>
      <c r="S54" s="767"/>
      <c r="T54" s="768" t="str">
        <f ca="1">IF($B54="","",IF(AND($N$13=TRUE,OR($AT54="Remains",$AT54="#2",$AT54="Removed")),"NA",VLOOKUP($H54,INDIRECT('9.6 Table'!$P$338),T$11+N$9,FALSE)))</f>
        <v/>
      </c>
      <c r="U54" s="767"/>
      <c r="V54" s="768" t="str">
        <f ca="1">IF($B54="","",IF(AND($N$13=TRUE,OR($AT54="Remains",$AT54="#2",$AT54="Removed")),"NA",VLOOKUP($H54,INDIRECT('9.6 Table'!$P$338),V$11+N$9,FALSE)))</f>
        <v/>
      </c>
      <c r="W54" s="767"/>
      <c r="X54" s="768" t="str">
        <f ca="1">IF($B54="","",IF(AND($N$13=TRUE,OR($AT54="Remains",$AT54="#2",$AT54="Removed")),"NA",VLOOKUP($H54,INDIRECT('9.6 Table'!$P$338),X$11+N$9,FALSE)))</f>
        <v/>
      </c>
      <c r="Y54" s="767"/>
      <c r="Z54" s="768" t="str">
        <f ca="1">IF($B54="","",IF(AND($N$13=TRUE,OR($AT54="Remains",$AT54="#2",$AT54="Removed")),"NA",VLOOKUP($H54,INDIRECT('9.6 Table'!$P$338),Z$11+N$9,FALSE)))</f>
        <v/>
      </c>
      <c r="AA54" s="767"/>
      <c r="AB54" s="768" t="str">
        <f ca="1">IF($B54="","",IF(AND($N$13=TRUE,OR($AT54="Remains",$AT54="#2",$AT54="Removed")),"NA",VLOOKUP($H54,INDIRECT('9.6 Table'!$P$338),AB$11+N$9,FALSE)))</f>
        <v/>
      </c>
      <c r="AC54" s="767"/>
      <c r="AD54" s="768" t="str">
        <f ca="1">IF($B54="","",IF(AND($N$13=TRUE,OR($AT54="Remains",$AT54="#2",$AT54="Removed")),"NA",VLOOKUP($H54,INDIRECT('9.6 Table'!$P$338),AD$11+N$9,FALSE)))</f>
        <v/>
      </c>
      <c r="AE54" s="767"/>
      <c r="AF54" s="768" t="str">
        <f ca="1">IF($B54="","",IF(AND($N$13=TRUE,OR($AT54="Remains",$AT54="#2",$AT54="Removed")),"NA",VLOOKUP($H54,INDIRECT('9.6 Table'!$P$338),AF$11+N$9,FALSE)))</f>
        <v/>
      </c>
      <c r="AG54" s="767"/>
      <c r="AH54" s="768" t="str">
        <f ca="1">IF($B54="","",IF(AND($N$13=TRUE,OR($AT54="Remains",$AT54="#2",$AT54="Removed")),"NA",VLOOKUP($H54,INDIRECT('9.6 Table'!$P$338),AH$11+N$9,FALSE)))</f>
        <v/>
      </c>
      <c r="AI54" s="767"/>
      <c r="AJ54" s="768" t="str">
        <f ca="1">IF($B54="","",IF(AND($N$13=TRUE,OR($AT54="Remains",$AT54="#2",$AT54="Removed")),"NA",VLOOKUP($H54,INDIRECT('9.6 Table'!$P$338),AJ$11+N$9,FALSE)))</f>
        <v/>
      </c>
      <c r="AK54" s="767"/>
      <c r="AL54" s="768" t="str">
        <f ca="1">IF($B54="","",IF(AND($N$13=TRUE,OR($AT54="Remains",$AT54="#2",$AT54="Removed")),"NA",VLOOKUP($H54,INDIRECT('9.6 Table'!$P$338),AL$11+N$9,FALSE)))</f>
        <v/>
      </c>
      <c r="AM54" s="767"/>
      <c r="AN54" s="768" t="str">
        <f ca="1">IF($B54="","",IF(AND($N$13=TRUE,OR($AT54="Remains",$AT54="#2",$AT54="Removed")),"NA",VLOOKUP($H54,INDIRECT('9.6 Table'!$P$338),AN$11+N$9,FALSE)))</f>
        <v/>
      </c>
      <c r="AO54" s="764"/>
      <c r="AP54" s="770"/>
      <c r="AQ54" s="921" t="str">
        <f t="shared" si="3"/>
        <v/>
      </c>
      <c r="AT54" s="730" t="str">
        <f t="shared" si="4"/>
        <v>New</v>
      </c>
      <c r="AX54" s="737" t="str">
        <f ca="1">VLOOKUP(H54,'SpxSp (step-a)'!H$22:AB$71,21,FALSE)</f>
        <v/>
      </c>
      <c r="AY54" s="736">
        <f>IFERROR(IF(OR(AP54="",AP54=0),0,HLOOKUP(AX54,'9.6.3 Table'!$D$4:$H$9,1+AP54,FALSE)),0)</f>
        <v>0</v>
      </c>
      <c r="AZ54" s="482">
        <f t="shared" si="5"/>
        <v>0</v>
      </c>
      <c r="BA54" s="327"/>
      <c r="BB54" s="43" t="str">
        <f t="shared" si="6"/>
        <v/>
      </c>
      <c r="BC54" s="43" t="str">
        <f t="shared" si="7"/>
        <v/>
      </c>
      <c r="BH54" s="326">
        <f t="shared" si="8"/>
        <v>0</v>
      </c>
      <c r="BI54" s="326">
        <f t="shared" si="9"/>
        <v>0</v>
      </c>
      <c r="BJ54" s="627">
        <f t="shared" si="10"/>
        <v>0</v>
      </c>
      <c r="BK54" s="627">
        <f t="shared" si="11"/>
        <v>0</v>
      </c>
      <c r="BL54" s="627">
        <f t="shared" si="12"/>
        <v>0</v>
      </c>
      <c r="BM54" s="627">
        <f t="shared" si="13"/>
        <v>0</v>
      </c>
      <c r="BN54" s="627">
        <f t="shared" si="14"/>
        <v>0</v>
      </c>
      <c r="BO54" s="627">
        <f t="shared" si="15"/>
        <v>0</v>
      </c>
      <c r="BP54" s="627">
        <f t="shared" si="16"/>
        <v>0</v>
      </c>
      <c r="BQ54" s="627">
        <f t="shared" si="17"/>
        <v>0</v>
      </c>
      <c r="BR54" s="627">
        <f t="shared" si="18"/>
        <v>0</v>
      </c>
      <c r="BS54" s="627">
        <f t="shared" si="19"/>
        <v>0</v>
      </c>
      <c r="BT54" s="627">
        <f t="shared" si="20"/>
        <v>0</v>
      </c>
      <c r="BU54" s="627">
        <f t="shared" si="21"/>
        <v>0</v>
      </c>
      <c r="BV54" s="627">
        <f t="shared" si="22"/>
        <v>0</v>
      </c>
      <c r="BW54" s="627"/>
      <c r="BX54" s="627">
        <f t="shared" si="23"/>
        <v>0</v>
      </c>
      <c r="BZ54" s="737">
        <v>29</v>
      </c>
      <c r="CA54" s="737" t="str">
        <f t="shared" si="25"/>
        <v>AC</v>
      </c>
      <c r="CB54" s="730">
        <f>ROW()</f>
        <v>54</v>
      </c>
    </row>
    <row r="55" spans="1:80" s="43" customFormat="1" ht="12.75" customHeight="1" x14ac:dyDescent="0.2">
      <c r="A55" s="5">
        <v>30</v>
      </c>
      <c r="B55" s="1670"/>
      <c r="C55" s="1671"/>
      <c r="D55" s="1671"/>
      <c r="E55" s="1671"/>
      <c r="F55" s="1671"/>
      <c r="G55" s="784"/>
      <c r="H55" s="784" t="str">
        <f t="shared" si="0"/>
        <v/>
      </c>
      <c r="I55" s="785"/>
      <c r="J55" s="643"/>
      <c r="K55" s="786" t="str">
        <f t="shared" si="1"/>
        <v xml:space="preserve"> </v>
      </c>
      <c r="L55" s="906" t="str">
        <f t="shared" si="24"/>
        <v/>
      </c>
      <c r="M55" s="794"/>
      <c r="N55" s="913"/>
      <c r="O55" s="121"/>
      <c r="P55" s="919" t="str">
        <f ca="1">IF($B55="","",IF(AND($N$13=TRUE,OR($AT55="Remains",$AT55="#2",$AT55="Removed")),"NA",VLOOKUP($H55,INDIRECT('9.6 Table'!$P$338),P$11+N$9,FALSE)))</f>
        <v/>
      </c>
      <c r="Q55" s="767"/>
      <c r="R55" s="768" t="str">
        <f ca="1">IF($B55="","",IF(AND($N$13=TRUE,OR($AT55="Remains",$AT55="#2",$AT55="Removed")),"NA",VLOOKUP($H55,INDIRECT('9.6 Table'!$P$338),R$11+N$9,FALSE)))</f>
        <v/>
      </c>
      <c r="S55" s="767"/>
      <c r="T55" s="768" t="str">
        <f ca="1">IF($B55="","",IF(AND($N$13=TRUE,OR($AT55="Remains",$AT55="#2",$AT55="Removed")),"NA",VLOOKUP($H55,INDIRECT('9.6 Table'!$P$338),T$11+N$9,FALSE)))</f>
        <v/>
      </c>
      <c r="U55" s="767"/>
      <c r="V55" s="768" t="str">
        <f ca="1">IF($B55="","",IF(AND($N$13=TRUE,OR($AT55="Remains",$AT55="#2",$AT55="Removed")),"NA",VLOOKUP($H55,INDIRECT('9.6 Table'!$P$338),V$11+N$9,FALSE)))</f>
        <v/>
      </c>
      <c r="W55" s="767"/>
      <c r="X55" s="768" t="str">
        <f ca="1">IF($B55="","",IF(AND($N$13=TRUE,OR($AT55="Remains",$AT55="#2",$AT55="Removed")),"NA",VLOOKUP($H55,INDIRECT('9.6 Table'!$P$338),X$11+N$9,FALSE)))</f>
        <v/>
      </c>
      <c r="Y55" s="767"/>
      <c r="Z55" s="768" t="str">
        <f ca="1">IF($B55="","",IF(AND($N$13=TRUE,OR($AT55="Remains",$AT55="#2",$AT55="Removed")),"NA",VLOOKUP($H55,INDIRECT('9.6 Table'!$P$338),Z$11+N$9,FALSE)))</f>
        <v/>
      </c>
      <c r="AA55" s="767"/>
      <c r="AB55" s="768" t="str">
        <f ca="1">IF($B55="","",IF(AND($N$13=TRUE,OR($AT55="Remains",$AT55="#2",$AT55="Removed")),"NA",VLOOKUP($H55,INDIRECT('9.6 Table'!$P$338),AB$11+N$9,FALSE)))</f>
        <v/>
      </c>
      <c r="AC55" s="767"/>
      <c r="AD55" s="768" t="str">
        <f ca="1">IF($B55="","",IF(AND($N$13=TRUE,OR($AT55="Remains",$AT55="#2",$AT55="Removed")),"NA",VLOOKUP($H55,INDIRECT('9.6 Table'!$P$338),AD$11+N$9,FALSE)))</f>
        <v/>
      </c>
      <c r="AE55" s="767"/>
      <c r="AF55" s="768" t="str">
        <f ca="1">IF($B55="","",IF(AND($N$13=TRUE,OR($AT55="Remains",$AT55="#2",$AT55="Removed")),"NA",VLOOKUP($H55,INDIRECT('9.6 Table'!$P$338),AF$11+N$9,FALSE)))</f>
        <v/>
      </c>
      <c r="AG55" s="767"/>
      <c r="AH55" s="768" t="str">
        <f ca="1">IF($B55="","",IF(AND($N$13=TRUE,OR($AT55="Remains",$AT55="#2",$AT55="Removed")),"NA",VLOOKUP($H55,INDIRECT('9.6 Table'!$P$338),AH$11+N$9,FALSE)))</f>
        <v/>
      </c>
      <c r="AI55" s="767"/>
      <c r="AJ55" s="768" t="str">
        <f ca="1">IF($B55="","",IF(AND($N$13=TRUE,OR($AT55="Remains",$AT55="#2",$AT55="Removed")),"NA",VLOOKUP($H55,INDIRECT('9.6 Table'!$P$338),AJ$11+N$9,FALSE)))</f>
        <v/>
      </c>
      <c r="AK55" s="767"/>
      <c r="AL55" s="768" t="str">
        <f ca="1">IF($B55="","",IF(AND($N$13=TRUE,OR($AT55="Remains",$AT55="#2",$AT55="Removed")),"NA",VLOOKUP($H55,INDIRECT('9.6 Table'!$P$338),AL$11+N$9,FALSE)))</f>
        <v/>
      </c>
      <c r="AM55" s="767"/>
      <c r="AN55" s="768" t="str">
        <f ca="1">IF($B55="","",IF(AND($N$13=TRUE,OR($AT55="Remains",$AT55="#2",$AT55="Removed")),"NA",VLOOKUP($H55,INDIRECT('9.6 Table'!$P$338),AN$11+N$9,FALSE)))</f>
        <v/>
      </c>
      <c r="AO55" s="764"/>
      <c r="AP55" s="770"/>
      <c r="AQ55" s="921" t="str">
        <f t="shared" si="3"/>
        <v/>
      </c>
      <c r="AT55" s="730" t="str">
        <f t="shared" si="4"/>
        <v>New</v>
      </c>
      <c r="AX55" s="737" t="str">
        <f ca="1">VLOOKUP(H55,'SpxSp (step-a)'!H$22:AB$71,21,FALSE)</f>
        <v/>
      </c>
      <c r="AY55" s="736">
        <f>IFERROR(IF(OR(AP55="",AP55=0),0,HLOOKUP(AX55,'9.6.3 Table'!$D$4:$H$9,1+AP55,FALSE)),0)</f>
        <v>0</v>
      </c>
      <c r="AZ55" s="482">
        <f t="shared" si="5"/>
        <v>0</v>
      </c>
      <c r="BA55" s="327"/>
      <c r="BB55" s="43" t="str">
        <f t="shared" si="6"/>
        <v/>
      </c>
      <c r="BC55" s="43" t="str">
        <f t="shared" si="7"/>
        <v/>
      </c>
      <c r="BH55" s="326">
        <f t="shared" si="8"/>
        <v>0</v>
      </c>
      <c r="BI55" s="326">
        <f t="shared" si="9"/>
        <v>0</v>
      </c>
      <c r="BJ55" s="627">
        <f t="shared" si="10"/>
        <v>0</v>
      </c>
      <c r="BK55" s="627">
        <f t="shared" si="11"/>
        <v>0</v>
      </c>
      <c r="BL55" s="627">
        <f t="shared" si="12"/>
        <v>0</v>
      </c>
      <c r="BM55" s="627">
        <f t="shared" si="13"/>
        <v>0</v>
      </c>
      <c r="BN55" s="627">
        <f t="shared" si="14"/>
        <v>0</v>
      </c>
      <c r="BO55" s="627">
        <f t="shared" si="15"/>
        <v>0</v>
      </c>
      <c r="BP55" s="627">
        <f t="shared" si="16"/>
        <v>0</v>
      </c>
      <c r="BQ55" s="627">
        <f t="shared" si="17"/>
        <v>0</v>
      </c>
      <c r="BR55" s="627">
        <f t="shared" si="18"/>
        <v>0</v>
      </c>
      <c r="BS55" s="627">
        <f t="shared" si="19"/>
        <v>0</v>
      </c>
      <c r="BT55" s="627">
        <f t="shared" si="20"/>
        <v>0</v>
      </c>
      <c r="BU55" s="627">
        <f t="shared" si="21"/>
        <v>0</v>
      </c>
      <c r="BV55" s="627">
        <f t="shared" si="22"/>
        <v>0</v>
      </c>
      <c r="BW55" s="627"/>
      <c r="BX55" s="627">
        <f t="shared" si="23"/>
        <v>0</v>
      </c>
      <c r="BZ55" s="737">
        <v>30</v>
      </c>
      <c r="CA55" s="737" t="str">
        <f t="shared" si="25"/>
        <v>AD</v>
      </c>
      <c r="CB55" s="730">
        <f>ROW()</f>
        <v>55</v>
      </c>
    </row>
    <row r="56" spans="1:80" s="43" customFormat="1" ht="12.75" customHeight="1" x14ac:dyDescent="0.2">
      <c r="A56" s="5">
        <v>31</v>
      </c>
      <c r="B56" s="1670"/>
      <c r="C56" s="1671"/>
      <c r="D56" s="1671"/>
      <c r="E56" s="1671"/>
      <c r="F56" s="1671"/>
      <c r="G56" s="784"/>
      <c r="H56" s="784" t="str">
        <f t="shared" si="0"/>
        <v/>
      </c>
      <c r="I56" s="785"/>
      <c r="J56" s="643"/>
      <c r="K56" s="786" t="str">
        <f t="shared" si="1"/>
        <v xml:space="preserve"> </v>
      </c>
      <c r="L56" s="906" t="str">
        <f t="shared" si="24"/>
        <v/>
      </c>
      <c r="M56" s="794"/>
      <c r="N56" s="913"/>
      <c r="O56" s="121"/>
      <c r="P56" s="919" t="str">
        <f ca="1">IF($B56="","",IF(AND($N$13=TRUE,OR($AT56="Remains",$AT56="#2",$AT56="Removed")),"NA",VLOOKUP($H56,INDIRECT('9.6 Table'!$P$338),P$11+N$9,FALSE)))</f>
        <v/>
      </c>
      <c r="Q56" s="767"/>
      <c r="R56" s="768" t="str">
        <f ca="1">IF($B56="","",IF(AND($N$13=TRUE,OR($AT56="Remains",$AT56="#2",$AT56="Removed")),"NA",VLOOKUP($H56,INDIRECT('9.6 Table'!$P$338),R$11+N$9,FALSE)))</f>
        <v/>
      </c>
      <c r="S56" s="767"/>
      <c r="T56" s="768" t="str">
        <f ca="1">IF($B56="","",IF(AND($N$13=TRUE,OR($AT56="Remains",$AT56="#2",$AT56="Removed")),"NA",VLOOKUP($H56,INDIRECT('9.6 Table'!$P$338),T$11+N$9,FALSE)))</f>
        <v/>
      </c>
      <c r="U56" s="767"/>
      <c r="V56" s="768" t="str">
        <f ca="1">IF($B56="","",IF(AND($N$13=TRUE,OR($AT56="Remains",$AT56="#2",$AT56="Removed")),"NA",VLOOKUP($H56,INDIRECT('9.6 Table'!$P$338),V$11+N$9,FALSE)))</f>
        <v/>
      </c>
      <c r="W56" s="767"/>
      <c r="X56" s="768" t="str">
        <f ca="1">IF($B56="","",IF(AND($N$13=TRUE,OR($AT56="Remains",$AT56="#2",$AT56="Removed")),"NA",VLOOKUP($H56,INDIRECT('9.6 Table'!$P$338),X$11+N$9,FALSE)))</f>
        <v/>
      </c>
      <c r="Y56" s="767"/>
      <c r="Z56" s="768" t="str">
        <f ca="1">IF($B56="","",IF(AND($N$13=TRUE,OR($AT56="Remains",$AT56="#2",$AT56="Removed")),"NA",VLOOKUP($H56,INDIRECT('9.6 Table'!$P$338),Z$11+N$9,FALSE)))</f>
        <v/>
      </c>
      <c r="AA56" s="767"/>
      <c r="AB56" s="768" t="str">
        <f ca="1">IF($B56="","",IF(AND($N$13=TRUE,OR($AT56="Remains",$AT56="#2",$AT56="Removed")),"NA",VLOOKUP($H56,INDIRECT('9.6 Table'!$P$338),AB$11+N$9,FALSE)))</f>
        <v/>
      </c>
      <c r="AC56" s="767"/>
      <c r="AD56" s="768" t="str">
        <f ca="1">IF($B56="","",IF(AND($N$13=TRUE,OR($AT56="Remains",$AT56="#2",$AT56="Removed")),"NA",VLOOKUP($H56,INDIRECT('9.6 Table'!$P$338),AD$11+N$9,FALSE)))</f>
        <v/>
      </c>
      <c r="AE56" s="767"/>
      <c r="AF56" s="768" t="str">
        <f ca="1">IF($B56="","",IF(AND($N$13=TRUE,OR($AT56="Remains",$AT56="#2",$AT56="Removed")),"NA",VLOOKUP($H56,INDIRECT('9.6 Table'!$P$338),AF$11+N$9,FALSE)))</f>
        <v/>
      </c>
      <c r="AG56" s="767"/>
      <c r="AH56" s="768" t="str">
        <f ca="1">IF($B56="","",IF(AND($N$13=TRUE,OR($AT56="Remains",$AT56="#2",$AT56="Removed")),"NA",VLOOKUP($H56,INDIRECT('9.6 Table'!$P$338),AH$11+N$9,FALSE)))</f>
        <v/>
      </c>
      <c r="AI56" s="767"/>
      <c r="AJ56" s="768" t="str">
        <f ca="1">IF($B56="","",IF(AND($N$13=TRUE,OR($AT56="Remains",$AT56="#2",$AT56="Removed")),"NA",VLOOKUP($H56,INDIRECT('9.6 Table'!$P$338),AJ$11+N$9,FALSE)))</f>
        <v/>
      </c>
      <c r="AK56" s="767"/>
      <c r="AL56" s="768" t="str">
        <f ca="1">IF($B56="","",IF(AND($N$13=TRUE,OR($AT56="Remains",$AT56="#2",$AT56="Removed")),"NA",VLOOKUP($H56,INDIRECT('9.6 Table'!$P$338),AL$11+N$9,FALSE)))</f>
        <v/>
      </c>
      <c r="AM56" s="767"/>
      <c r="AN56" s="768" t="str">
        <f ca="1">IF($B56="","",IF(AND($N$13=TRUE,OR($AT56="Remains",$AT56="#2",$AT56="Removed")),"NA",VLOOKUP($H56,INDIRECT('9.6 Table'!$P$338),AN$11+N$9,FALSE)))</f>
        <v/>
      </c>
      <c r="AO56" s="764"/>
      <c r="AP56" s="770"/>
      <c r="AQ56" s="921" t="str">
        <f t="shared" si="3"/>
        <v/>
      </c>
      <c r="AT56" s="730" t="str">
        <f t="shared" si="4"/>
        <v>New</v>
      </c>
      <c r="AX56" s="737" t="str">
        <f ca="1">VLOOKUP(H56,'SpxSp (step-a)'!H$22:AB$71,21,FALSE)</f>
        <v/>
      </c>
      <c r="AY56" s="736">
        <f>IFERROR(IF(OR(AP56="",AP56=0),0,HLOOKUP(AX56,'9.6.3 Table'!$D$4:$H$9,1+AP56,FALSE)),0)</f>
        <v>0</v>
      </c>
      <c r="AZ56" s="482">
        <f t="shared" si="5"/>
        <v>0</v>
      </c>
      <c r="BA56" s="327"/>
      <c r="BB56" s="43" t="str">
        <f t="shared" si="6"/>
        <v/>
      </c>
      <c r="BC56" s="43" t="str">
        <f t="shared" si="7"/>
        <v/>
      </c>
      <c r="BH56" s="326">
        <f t="shared" si="8"/>
        <v>0</v>
      </c>
      <c r="BI56" s="326">
        <f t="shared" si="9"/>
        <v>0</v>
      </c>
      <c r="BJ56" s="627">
        <f t="shared" si="10"/>
        <v>0</v>
      </c>
      <c r="BK56" s="627">
        <f t="shared" si="11"/>
        <v>0</v>
      </c>
      <c r="BL56" s="627">
        <f t="shared" si="12"/>
        <v>0</v>
      </c>
      <c r="BM56" s="627">
        <f t="shared" si="13"/>
        <v>0</v>
      </c>
      <c r="BN56" s="627">
        <f t="shared" si="14"/>
        <v>0</v>
      </c>
      <c r="BO56" s="627">
        <f t="shared" si="15"/>
        <v>0</v>
      </c>
      <c r="BP56" s="627">
        <f t="shared" si="16"/>
        <v>0</v>
      </c>
      <c r="BQ56" s="627">
        <f t="shared" si="17"/>
        <v>0</v>
      </c>
      <c r="BR56" s="627">
        <f t="shared" si="18"/>
        <v>0</v>
      </c>
      <c r="BS56" s="627">
        <f t="shared" si="19"/>
        <v>0</v>
      </c>
      <c r="BT56" s="627">
        <f t="shared" si="20"/>
        <v>0</v>
      </c>
      <c r="BU56" s="627">
        <f t="shared" si="21"/>
        <v>0</v>
      </c>
      <c r="BV56" s="627">
        <f t="shared" si="22"/>
        <v>0</v>
      </c>
      <c r="BW56" s="627"/>
      <c r="BX56" s="627">
        <f t="shared" si="23"/>
        <v>0</v>
      </c>
      <c r="BZ56" s="737">
        <v>31</v>
      </c>
      <c r="CA56" s="737" t="str">
        <f t="shared" si="25"/>
        <v>AE</v>
      </c>
      <c r="CB56" s="730">
        <f>ROW()</f>
        <v>56</v>
      </c>
    </row>
    <row r="57" spans="1:80" s="43" customFormat="1" ht="12.75" customHeight="1" x14ac:dyDescent="0.2">
      <c r="A57" s="5">
        <v>32</v>
      </c>
      <c r="B57" s="1670"/>
      <c r="C57" s="1671"/>
      <c r="D57" s="1671"/>
      <c r="E57" s="1671"/>
      <c r="F57" s="1671"/>
      <c r="G57" s="784"/>
      <c r="H57" s="784" t="str">
        <f t="shared" si="0"/>
        <v/>
      </c>
      <c r="I57" s="785"/>
      <c r="J57" s="643"/>
      <c r="K57" s="786" t="str">
        <f t="shared" si="1"/>
        <v xml:space="preserve"> </v>
      </c>
      <c r="L57" s="906" t="str">
        <f t="shared" si="24"/>
        <v/>
      </c>
      <c r="M57" s="794"/>
      <c r="N57" s="913"/>
      <c r="O57" s="121"/>
      <c r="P57" s="919" t="str">
        <f ca="1">IF($B57="","",IF(AND($N$13=TRUE,OR($AT57="Remains",$AT57="#2",$AT57="Removed")),"NA",VLOOKUP($H57,INDIRECT('9.6 Table'!$P$338),P$11+N$9,FALSE)))</f>
        <v/>
      </c>
      <c r="Q57" s="767"/>
      <c r="R57" s="768" t="str">
        <f ca="1">IF($B57="","",IF(AND($N$13=TRUE,OR($AT57="Remains",$AT57="#2",$AT57="Removed")),"NA",VLOOKUP($H57,INDIRECT('9.6 Table'!$P$338),R$11+N$9,FALSE)))</f>
        <v/>
      </c>
      <c r="S57" s="767"/>
      <c r="T57" s="768" t="str">
        <f ca="1">IF($B57="","",IF(AND($N$13=TRUE,OR($AT57="Remains",$AT57="#2",$AT57="Removed")),"NA",VLOOKUP($H57,INDIRECT('9.6 Table'!$P$338),T$11+N$9,FALSE)))</f>
        <v/>
      </c>
      <c r="U57" s="767"/>
      <c r="V57" s="768" t="str">
        <f ca="1">IF($B57="","",IF(AND($N$13=TRUE,OR($AT57="Remains",$AT57="#2",$AT57="Removed")),"NA",VLOOKUP($H57,INDIRECT('9.6 Table'!$P$338),V$11+N$9,FALSE)))</f>
        <v/>
      </c>
      <c r="W57" s="767"/>
      <c r="X57" s="768" t="str">
        <f ca="1">IF($B57="","",IF(AND($N$13=TRUE,OR($AT57="Remains",$AT57="#2",$AT57="Removed")),"NA",VLOOKUP($H57,INDIRECT('9.6 Table'!$P$338),X$11+N$9,FALSE)))</f>
        <v/>
      </c>
      <c r="Y57" s="767"/>
      <c r="Z57" s="768" t="str">
        <f ca="1">IF($B57="","",IF(AND($N$13=TRUE,OR($AT57="Remains",$AT57="#2",$AT57="Removed")),"NA",VLOOKUP($H57,INDIRECT('9.6 Table'!$P$338),Z$11+N$9,FALSE)))</f>
        <v/>
      </c>
      <c r="AA57" s="767"/>
      <c r="AB57" s="768" t="str">
        <f ca="1">IF($B57="","",IF(AND($N$13=TRUE,OR($AT57="Remains",$AT57="#2",$AT57="Removed")),"NA",VLOOKUP($H57,INDIRECT('9.6 Table'!$P$338),AB$11+N$9,FALSE)))</f>
        <v/>
      </c>
      <c r="AC57" s="767"/>
      <c r="AD57" s="768" t="str">
        <f ca="1">IF($B57="","",IF(AND($N$13=TRUE,OR($AT57="Remains",$AT57="#2",$AT57="Removed")),"NA",VLOOKUP($H57,INDIRECT('9.6 Table'!$P$338),AD$11+N$9,FALSE)))</f>
        <v/>
      </c>
      <c r="AE57" s="767"/>
      <c r="AF57" s="768" t="str">
        <f ca="1">IF($B57="","",IF(AND($N$13=TRUE,OR($AT57="Remains",$AT57="#2",$AT57="Removed")),"NA",VLOOKUP($H57,INDIRECT('9.6 Table'!$P$338),AF$11+N$9,FALSE)))</f>
        <v/>
      </c>
      <c r="AG57" s="767"/>
      <c r="AH57" s="768" t="str">
        <f ca="1">IF($B57="","",IF(AND($N$13=TRUE,OR($AT57="Remains",$AT57="#2",$AT57="Removed")),"NA",VLOOKUP($H57,INDIRECT('9.6 Table'!$P$338),AH$11+N$9,FALSE)))</f>
        <v/>
      </c>
      <c r="AI57" s="767"/>
      <c r="AJ57" s="768" t="str">
        <f ca="1">IF($B57="","",IF(AND($N$13=TRUE,OR($AT57="Remains",$AT57="#2",$AT57="Removed")),"NA",VLOOKUP($H57,INDIRECT('9.6 Table'!$P$338),AJ$11+N$9,FALSE)))</f>
        <v/>
      </c>
      <c r="AK57" s="767"/>
      <c r="AL57" s="768" t="str">
        <f ca="1">IF($B57="","",IF(AND($N$13=TRUE,OR($AT57="Remains",$AT57="#2",$AT57="Removed")),"NA",VLOOKUP($H57,INDIRECT('9.6 Table'!$P$338),AL$11+N$9,FALSE)))</f>
        <v/>
      </c>
      <c r="AM57" s="767"/>
      <c r="AN57" s="768" t="str">
        <f ca="1">IF($B57="","",IF(AND($N$13=TRUE,OR($AT57="Remains",$AT57="#2",$AT57="Removed")),"NA",VLOOKUP($H57,INDIRECT('9.6 Table'!$P$338),AN$11+N$9,FALSE)))</f>
        <v/>
      </c>
      <c r="AO57" s="764"/>
      <c r="AP57" s="770"/>
      <c r="AQ57" s="921" t="str">
        <f t="shared" si="3"/>
        <v/>
      </c>
      <c r="AT57" s="730" t="str">
        <f t="shared" si="4"/>
        <v>New</v>
      </c>
      <c r="AX57" s="737" t="str">
        <f ca="1">VLOOKUP(H57,'SpxSp (step-a)'!H$22:AB$71,21,FALSE)</f>
        <v/>
      </c>
      <c r="AY57" s="736">
        <f>IFERROR(IF(OR(AP57="",AP57=0),0,HLOOKUP(AX57,'9.6.3 Table'!$D$4:$H$9,1+AP57,FALSE)),0)</f>
        <v>0</v>
      </c>
      <c r="AZ57" s="482">
        <f t="shared" si="5"/>
        <v>0</v>
      </c>
      <c r="BA57" s="327"/>
      <c r="BB57" s="43" t="str">
        <f t="shared" si="6"/>
        <v/>
      </c>
      <c r="BC57" s="43" t="str">
        <f t="shared" si="7"/>
        <v/>
      </c>
      <c r="BH57" s="326">
        <f t="shared" si="8"/>
        <v>0</v>
      </c>
      <c r="BI57" s="326">
        <f t="shared" si="9"/>
        <v>0</v>
      </c>
      <c r="BJ57" s="627">
        <f t="shared" si="10"/>
        <v>0</v>
      </c>
      <c r="BK57" s="627">
        <f t="shared" si="11"/>
        <v>0</v>
      </c>
      <c r="BL57" s="627">
        <f t="shared" si="12"/>
        <v>0</v>
      </c>
      <c r="BM57" s="627">
        <f t="shared" si="13"/>
        <v>0</v>
      </c>
      <c r="BN57" s="627">
        <f t="shared" si="14"/>
        <v>0</v>
      </c>
      <c r="BO57" s="627">
        <f t="shared" si="15"/>
        <v>0</v>
      </c>
      <c r="BP57" s="627">
        <f t="shared" si="16"/>
        <v>0</v>
      </c>
      <c r="BQ57" s="627">
        <f t="shared" si="17"/>
        <v>0</v>
      </c>
      <c r="BR57" s="627">
        <f t="shared" si="18"/>
        <v>0</v>
      </c>
      <c r="BS57" s="627">
        <f t="shared" si="19"/>
        <v>0</v>
      </c>
      <c r="BT57" s="627">
        <f t="shared" si="20"/>
        <v>0</v>
      </c>
      <c r="BU57" s="627">
        <f t="shared" si="21"/>
        <v>0</v>
      </c>
      <c r="BV57" s="627">
        <f t="shared" si="22"/>
        <v>0</v>
      </c>
      <c r="BW57" s="627"/>
      <c r="BX57" s="627">
        <f t="shared" si="23"/>
        <v>0</v>
      </c>
      <c r="BZ57" s="737">
        <v>32</v>
      </c>
      <c r="CA57" s="737" t="str">
        <f t="shared" si="25"/>
        <v>AF</v>
      </c>
      <c r="CB57" s="730">
        <f>ROW()</f>
        <v>57</v>
      </c>
    </row>
    <row r="58" spans="1:80" s="43" customFormat="1" ht="12.75" customHeight="1" x14ac:dyDescent="0.2">
      <c r="A58" s="5">
        <v>33</v>
      </c>
      <c r="B58" s="1670"/>
      <c r="C58" s="1671"/>
      <c r="D58" s="1671"/>
      <c r="E58" s="1671"/>
      <c r="F58" s="1671"/>
      <c r="G58" s="784"/>
      <c r="H58" s="784" t="str">
        <f t="shared" ref="H58:H75" si="26">IFERROR(VLOOKUP(B58,_Interior_Final_Table,2,FALSE),"")</f>
        <v/>
      </c>
      <c r="I58" s="785"/>
      <c r="J58" s="643"/>
      <c r="K58" s="786" t="str">
        <f t="shared" ref="K58:K75" si="27">IFERROR(IF(B58&lt;&gt;"",VLOOKUP(I58,_FixtureList2,2,FALSE)," "),"")</f>
        <v xml:space="preserve"> </v>
      </c>
      <c r="L58" s="906" t="str">
        <f t="shared" si="24"/>
        <v/>
      </c>
      <c r="M58" s="794"/>
      <c r="N58" s="913"/>
      <c r="O58" s="121"/>
      <c r="P58" s="919" t="str">
        <f ca="1">IF($B58="","",IF(AND($N$13=TRUE,OR($AT58="Remains",$AT58="#2",$AT58="Removed")),"NA",VLOOKUP($H58,INDIRECT('9.6 Table'!$P$338),P$11+N$9,FALSE)))</f>
        <v/>
      </c>
      <c r="Q58" s="767"/>
      <c r="R58" s="768" t="str">
        <f ca="1">IF($B58="","",IF(AND($N$13=TRUE,OR($AT58="Remains",$AT58="#2",$AT58="Removed")),"NA",VLOOKUP($H58,INDIRECT('9.6 Table'!$P$338),R$11+N$9,FALSE)))</f>
        <v/>
      </c>
      <c r="S58" s="767"/>
      <c r="T58" s="768" t="str">
        <f ca="1">IF($B58="","",IF(AND($N$13=TRUE,OR($AT58="Remains",$AT58="#2",$AT58="Removed")),"NA",VLOOKUP($H58,INDIRECT('9.6 Table'!$P$338),T$11+N$9,FALSE)))</f>
        <v/>
      </c>
      <c r="U58" s="767"/>
      <c r="V58" s="768" t="str">
        <f ca="1">IF($B58="","",IF(AND($N$13=TRUE,OR($AT58="Remains",$AT58="#2",$AT58="Removed")),"NA",VLOOKUP($H58,INDIRECT('9.6 Table'!$P$338),V$11+N$9,FALSE)))</f>
        <v/>
      </c>
      <c r="W58" s="767"/>
      <c r="X58" s="768" t="str">
        <f ca="1">IF($B58="","",IF(AND($N$13=TRUE,OR($AT58="Remains",$AT58="#2",$AT58="Removed")),"NA",VLOOKUP($H58,INDIRECT('9.6 Table'!$P$338),X$11+N$9,FALSE)))</f>
        <v/>
      </c>
      <c r="Y58" s="767"/>
      <c r="Z58" s="768" t="str">
        <f ca="1">IF($B58="","",IF(AND($N$13=TRUE,OR($AT58="Remains",$AT58="#2",$AT58="Removed")),"NA",VLOOKUP($H58,INDIRECT('9.6 Table'!$P$338),Z$11+N$9,FALSE)))</f>
        <v/>
      </c>
      <c r="AA58" s="767"/>
      <c r="AB58" s="768" t="str">
        <f ca="1">IF($B58="","",IF(AND($N$13=TRUE,OR($AT58="Remains",$AT58="#2",$AT58="Removed")),"NA",VLOOKUP($H58,INDIRECT('9.6 Table'!$P$338),AB$11+N$9,FALSE)))</f>
        <v/>
      </c>
      <c r="AC58" s="767"/>
      <c r="AD58" s="768" t="str">
        <f ca="1">IF($B58="","",IF(AND($N$13=TRUE,OR($AT58="Remains",$AT58="#2",$AT58="Removed")),"NA",VLOOKUP($H58,INDIRECT('9.6 Table'!$P$338),AD$11+N$9,FALSE)))</f>
        <v/>
      </c>
      <c r="AE58" s="767"/>
      <c r="AF58" s="768" t="str">
        <f ca="1">IF($B58="","",IF(AND($N$13=TRUE,OR($AT58="Remains",$AT58="#2",$AT58="Removed")),"NA",VLOOKUP($H58,INDIRECT('9.6 Table'!$P$338),AF$11+N$9,FALSE)))</f>
        <v/>
      </c>
      <c r="AG58" s="767"/>
      <c r="AH58" s="768" t="str">
        <f ca="1">IF($B58="","",IF(AND($N$13=TRUE,OR($AT58="Remains",$AT58="#2",$AT58="Removed")),"NA",VLOOKUP($H58,INDIRECT('9.6 Table'!$P$338),AH$11+N$9,FALSE)))</f>
        <v/>
      </c>
      <c r="AI58" s="767"/>
      <c r="AJ58" s="768" t="str">
        <f ca="1">IF($B58="","",IF(AND($N$13=TRUE,OR($AT58="Remains",$AT58="#2",$AT58="Removed")),"NA",VLOOKUP($H58,INDIRECT('9.6 Table'!$P$338),AJ$11+N$9,FALSE)))</f>
        <v/>
      </c>
      <c r="AK58" s="767"/>
      <c r="AL58" s="768" t="str">
        <f ca="1">IF($B58="","",IF(AND($N$13=TRUE,OR($AT58="Remains",$AT58="#2",$AT58="Removed")),"NA",VLOOKUP($H58,INDIRECT('9.6 Table'!$P$338),AL$11+N$9,FALSE)))</f>
        <v/>
      </c>
      <c r="AM58" s="767"/>
      <c r="AN58" s="768" t="str">
        <f ca="1">IF($B58="","",IF(AND($N$13=TRUE,OR($AT58="Remains",$AT58="#2",$AT58="Removed")),"NA",VLOOKUP($H58,INDIRECT('9.6 Table'!$P$338),AN$11+N$9,FALSE)))</f>
        <v/>
      </c>
      <c r="AO58" s="764"/>
      <c r="AP58" s="770"/>
      <c r="AQ58" s="921" t="str">
        <f t="shared" ref="AQ58:AQ75" si="28">IF(B58="","",IF(BX58=$BX$23,"Compliant","Incomplete"))</f>
        <v/>
      </c>
      <c r="AT58" s="730" t="str">
        <f t="shared" ref="AT58:AT75" si="29">IFERROR(IF(N58="Existing Remains","Remains",IF(N58="Existing Removed","Removed","New")),"None")</f>
        <v>New</v>
      </c>
      <c r="AX58" s="737" t="str">
        <f ca="1">VLOOKUP(H58,'SpxSp (step-a)'!H$22:AB$71,21,FALSE)</f>
        <v/>
      </c>
      <c r="AY58" s="736">
        <f>IFERROR(IF(OR(AP58="",AP58=0),0,HLOOKUP(AX58,'9.6.3 Table'!$D$4:$H$9,1+AP58,FALSE)),0)</f>
        <v>0</v>
      </c>
      <c r="AZ58" s="482">
        <f t="shared" ref="AZ58:AZ75" si="30">IFERROR(IF(L58&lt;&gt;" ",AY58*L58," "),0)</f>
        <v>0</v>
      </c>
      <c r="BA58" s="327"/>
      <c r="BB58" s="43" t="str">
        <f t="shared" ref="BB58:BB75" si="31">IF(B58="","",IFERROR(I58,""))</f>
        <v/>
      </c>
      <c r="BC58" s="43" t="str">
        <f t="shared" ref="BC58:BC75" si="32">IF(B58="","",CONCATENATE("(",J58,") ",BB58," @ ",K58," watts each (",N58,")",CHAR(10)))</f>
        <v/>
      </c>
      <c r="BH58" s="326">
        <f t="shared" ref="BH58:BH75" si="33">IF(B58&lt;&gt;"",1,0)</f>
        <v>0</v>
      </c>
      <c r="BI58" s="326">
        <f t="shared" ref="BI58:BI75" si="34">IF(AP58&lt;&gt;"",1,0)</f>
        <v>0</v>
      </c>
      <c r="BJ58" s="627">
        <f t="shared" ref="BJ58:BJ75" si="35">IF($B58="",0,IF(P58="NA",1,IF(Q58&lt;&gt;"",1,0)))</f>
        <v>0</v>
      </c>
      <c r="BK58" s="627">
        <f t="shared" ref="BK58:BK75" si="36">IF($B58="",0,IF(R58="NA",1,IF(S58&lt;&gt;"",1,0)))</f>
        <v>0</v>
      </c>
      <c r="BL58" s="627">
        <f t="shared" ref="BL58:BL75" si="37">IF($B58="",0,IF(T58="NA",1,IF(U58&lt;&gt;"",1,0)))</f>
        <v>0</v>
      </c>
      <c r="BM58" s="627">
        <f t="shared" ref="BM58:BM75" si="38">IF($B58="",0,IF(V58="NA",1,IF(W58&lt;&gt;"",1,0)))</f>
        <v>0</v>
      </c>
      <c r="BN58" s="627">
        <f t="shared" ref="BN58:BN75" si="39">IF($B58="",0,IF(X58="NA",1,IF(Y58&lt;&gt;"",1,0)))</f>
        <v>0</v>
      </c>
      <c r="BO58" s="627">
        <f t="shared" ref="BO58:BO75" si="40">IF($B58="",0,IF(Z58="NA",1,IF(AA58&lt;&gt;"",1,0)))</f>
        <v>0</v>
      </c>
      <c r="BP58" s="627">
        <f t="shared" ref="BP58:BP75" si="41">IF($B58="",0,IF(AB58="NA",1,IF(AC58&lt;&gt;"",1,0)))</f>
        <v>0</v>
      </c>
      <c r="BQ58" s="627">
        <f t="shared" ref="BQ58:BQ75" si="42">IF($B58="",0,IF(AD58="NA",1,IF(AE58&lt;&gt;"",1,0)))</f>
        <v>0</v>
      </c>
      <c r="BR58" s="627">
        <f t="shared" ref="BR58:BR75" si="43">IF($B58="",0,IF(AF58="NA",1,IF(AG58&lt;&gt;"",1,0)))</f>
        <v>0</v>
      </c>
      <c r="BS58" s="627">
        <f t="shared" ref="BS58:BS75" si="44">IF($B58="",0,IF(AH58="NA",1,IF(AI58&lt;&gt;"",1,0)))</f>
        <v>0</v>
      </c>
      <c r="BT58" s="627">
        <f t="shared" ref="BT58:BT75" si="45">IF($B58="",0,IF(AJ58="NA",1,IF(AK58&lt;&gt;"",1,0)))</f>
        <v>0</v>
      </c>
      <c r="BU58" s="627">
        <f t="shared" ref="BU58:BU75" si="46">IF($B58="",0,IF(AL58="NA",1,IF(AM58&lt;&gt;"",1,0)))</f>
        <v>0</v>
      </c>
      <c r="BV58" s="627">
        <f t="shared" ref="BV58:BV75" si="47">IF($B58="",0,IF(AN58="NA",1,IF(AO58&lt;&gt;"",1,0)))</f>
        <v>0</v>
      </c>
      <c r="BW58" s="627"/>
      <c r="BX58" s="627">
        <f t="shared" si="23"/>
        <v>0</v>
      </c>
      <c r="BZ58" s="737">
        <v>33</v>
      </c>
      <c r="CA58" s="737" t="str">
        <f t="shared" si="25"/>
        <v>AG</v>
      </c>
      <c r="CB58" s="730">
        <f>ROW()</f>
        <v>58</v>
      </c>
    </row>
    <row r="59" spans="1:80" s="43" customFormat="1" ht="12.75" customHeight="1" x14ac:dyDescent="0.2">
      <c r="A59" s="5">
        <v>34</v>
      </c>
      <c r="B59" s="1670"/>
      <c r="C59" s="1671"/>
      <c r="D59" s="1671"/>
      <c r="E59" s="1671"/>
      <c r="F59" s="1671"/>
      <c r="G59" s="784"/>
      <c r="H59" s="784" t="str">
        <f t="shared" si="26"/>
        <v/>
      </c>
      <c r="I59" s="785"/>
      <c r="J59" s="643"/>
      <c r="K59" s="786" t="str">
        <f t="shared" si="27"/>
        <v xml:space="preserve"> </v>
      </c>
      <c r="L59" s="906" t="str">
        <f t="shared" si="24"/>
        <v/>
      </c>
      <c r="M59" s="794"/>
      <c r="N59" s="913"/>
      <c r="O59" s="121"/>
      <c r="P59" s="919" t="str">
        <f ca="1">IF($B59="","",IF(AND($N$13=TRUE,OR($AT59="Remains",$AT59="#2",$AT59="Removed")),"NA",VLOOKUP($H59,INDIRECT('9.6 Table'!$P$338),P$11+N$9,FALSE)))</f>
        <v/>
      </c>
      <c r="Q59" s="767"/>
      <c r="R59" s="768" t="str">
        <f ca="1">IF($B59="","",IF(AND($N$13=TRUE,OR($AT59="Remains",$AT59="#2",$AT59="Removed")),"NA",VLOOKUP($H59,INDIRECT('9.6 Table'!$P$338),R$11+N$9,FALSE)))</f>
        <v/>
      </c>
      <c r="S59" s="767"/>
      <c r="T59" s="768" t="str">
        <f ca="1">IF($B59="","",IF(AND($N$13=TRUE,OR($AT59="Remains",$AT59="#2",$AT59="Removed")),"NA",VLOOKUP($H59,INDIRECT('9.6 Table'!$P$338),T$11+N$9,FALSE)))</f>
        <v/>
      </c>
      <c r="U59" s="767"/>
      <c r="V59" s="768" t="str">
        <f ca="1">IF($B59="","",IF(AND($N$13=TRUE,OR($AT59="Remains",$AT59="#2",$AT59="Removed")),"NA",VLOOKUP($H59,INDIRECT('9.6 Table'!$P$338),V$11+N$9,FALSE)))</f>
        <v/>
      </c>
      <c r="W59" s="767"/>
      <c r="X59" s="768" t="str">
        <f ca="1">IF($B59="","",IF(AND($N$13=TRUE,OR($AT59="Remains",$AT59="#2",$AT59="Removed")),"NA",VLOOKUP($H59,INDIRECT('9.6 Table'!$P$338),X$11+N$9,FALSE)))</f>
        <v/>
      </c>
      <c r="Y59" s="767"/>
      <c r="Z59" s="768" t="str">
        <f ca="1">IF($B59="","",IF(AND($N$13=TRUE,OR($AT59="Remains",$AT59="#2",$AT59="Removed")),"NA",VLOOKUP($H59,INDIRECT('9.6 Table'!$P$338),Z$11+N$9,FALSE)))</f>
        <v/>
      </c>
      <c r="AA59" s="767"/>
      <c r="AB59" s="768" t="str">
        <f ca="1">IF($B59="","",IF(AND($N$13=TRUE,OR($AT59="Remains",$AT59="#2",$AT59="Removed")),"NA",VLOOKUP($H59,INDIRECT('9.6 Table'!$P$338),AB$11+N$9,FALSE)))</f>
        <v/>
      </c>
      <c r="AC59" s="767"/>
      <c r="AD59" s="768" t="str">
        <f ca="1">IF($B59="","",IF(AND($N$13=TRUE,OR($AT59="Remains",$AT59="#2",$AT59="Removed")),"NA",VLOOKUP($H59,INDIRECT('9.6 Table'!$P$338),AD$11+N$9,FALSE)))</f>
        <v/>
      </c>
      <c r="AE59" s="767"/>
      <c r="AF59" s="768" t="str">
        <f ca="1">IF($B59="","",IF(AND($N$13=TRUE,OR($AT59="Remains",$AT59="#2",$AT59="Removed")),"NA",VLOOKUP($H59,INDIRECT('9.6 Table'!$P$338),AF$11+N$9,FALSE)))</f>
        <v/>
      </c>
      <c r="AG59" s="767"/>
      <c r="AH59" s="768" t="str">
        <f ca="1">IF($B59="","",IF(AND($N$13=TRUE,OR($AT59="Remains",$AT59="#2",$AT59="Removed")),"NA",VLOOKUP($H59,INDIRECT('9.6 Table'!$P$338),AH$11+N$9,FALSE)))</f>
        <v/>
      </c>
      <c r="AI59" s="767"/>
      <c r="AJ59" s="768" t="str">
        <f ca="1">IF($B59="","",IF(AND($N$13=TRUE,OR($AT59="Remains",$AT59="#2",$AT59="Removed")),"NA",VLOOKUP($H59,INDIRECT('9.6 Table'!$P$338),AJ$11+N$9,FALSE)))</f>
        <v/>
      </c>
      <c r="AK59" s="767"/>
      <c r="AL59" s="768" t="str">
        <f ca="1">IF($B59="","",IF(AND($N$13=TRUE,OR($AT59="Remains",$AT59="#2",$AT59="Removed")),"NA",VLOOKUP($H59,INDIRECT('9.6 Table'!$P$338),AL$11+N$9,FALSE)))</f>
        <v/>
      </c>
      <c r="AM59" s="767"/>
      <c r="AN59" s="768" t="str">
        <f ca="1">IF($B59="","",IF(AND($N$13=TRUE,OR($AT59="Remains",$AT59="#2",$AT59="Removed")),"NA",VLOOKUP($H59,INDIRECT('9.6 Table'!$P$338),AN$11+N$9,FALSE)))</f>
        <v/>
      </c>
      <c r="AO59" s="764"/>
      <c r="AP59" s="770"/>
      <c r="AQ59" s="921" t="str">
        <f t="shared" si="28"/>
        <v/>
      </c>
      <c r="AT59" s="730" t="str">
        <f t="shared" si="29"/>
        <v>New</v>
      </c>
      <c r="AX59" s="737" t="str">
        <f ca="1">VLOOKUP(H59,'SpxSp (step-a)'!H$22:AB$71,21,FALSE)</f>
        <v/>
      </c>
      <c r="AY59" s="736">
        <f>IFERROR(IF(OR(AP59="",AP59=0),0,HLOOKUP(AX59,'9.6.3 Table'!$D$4:$H$9,1+AP59,FALSE)),0)</f>
        <v>0</v>
      </c>
      <c r="AZ59" s="482">
        <f t="shared" si="30"/>
        <v>0</v>
      </c>
      <c r="BA59" s="327"/>
      <c r="BB59" s="43" t="str">
        <f t="shared" si="31"/>
        <v/>
      </c>
      <c r="BC59" s="43" t="str">
        <f t="shared" si="32"/>
        <v/>
      </c>
      <c r="BH59" s="326">
        <f t="shared" si="33"/>
        <v>0</v>
      </c>
      <c r="BI59" s="326">
        <f t="shared" si="34"/>
        <v>0</v>
      </c>
      <c r="BJ59" s="627">
        <f t="shared" si="35"/>
        <v>0</v>
      </c>
      <c r="BK59" s="627">
        <f t="shared" si="36"/>
        <v>0</v>
      </c>
      <c r="BL59" s="627">
        <f t="shared" si="37"/>
        <v>0</v>
      </c>
      <c r="BM59" s="627">
        <f t="shared" si="38"/>
        <v>0</v>
      </c>
      <c r="BN59" s="627">
        <f t="shared" si="39"/>
        <v>0</v>
      </c>
      <c r="BO59" s="627">
        <f t="shared" si="40"/>
        <v>0</v>
      </c>
      <c r="BP59" s="627">
        <f t="shared" si="41"/>
        <v>0</v>
      </c>
      <c r="BQ59" s="627">
        <f t="shared" si="42"/>
        <v>0</v>
      </c>
      <c r="BR59" s="627">
        <f t="shared" si="43"/>
        <v>0</v>
      </c>
      <c r="BS59" s="627">
        <f t="shared" si="44"/>
        <v>0</v>
      </c>
      <c r="BT59" s="627">
        <f t="shared" si="45"/>
        <v>0</v>
      </c>
      <c r="BU59" s="627">
        <f t="shared" si="46"/>
        <v>0</v>
      </c>
      <c r="BV59" s="627">
        <f t="shared" si="47"/>
        <v>0</v>
      </c>
      <c r="BW59" s="627"/>
      <c r="BX59" s="627">
        <f t="shared" si="23"/>
        <v>0</v>
      </c>
      <c r="BZ59" s="737">
        <v>34</v>
      </c>
      <c r="CA59" s="737" t="str">
        <f t="shared" si="25"/>
        <v>AH</v>
      </c>
      <c r="CB59" s="730">
        <f>ROW()</f>
        <v>59</v>
      </c>
    </row>
    <row r="60" spans="1:80" s="43" customFormat="1" ht="12.75" customHeight="1" x14ac:dyDescent="0.2">
      <c r="A60" s="5">
        <v>35</v>
      </c>
      <c r="B60" s="1670"/>
      <c r="C60" s="1671"/>
      <c r="D60" s="1671"/>
      <c r="E60" s="1671"/>
      <c r="F60" s="1671"/>
      <c r="G60" s="784"/>
      <c r="H60" s="784" t="str">
        <f t="shared" si="26"/>
        <v/>
      </c>
      <c r="I60" s="785"/>
      <c r="J60" s="643"/>
      <c r="K60" s="786" t="str">
        <f t="shared" si="27"/>
        <v xml:space="preserve"> </v>
      </c>
      <c r="L60" s="906" t="str">
        <f t="shared" si="24"/>
        <v/>
      </c>
      <c r="M60" s="794"/>
      <c r="N60" s="913"/>
      <c r="O60" s="121"/>
      <c r="P60" s="919" t="str">
        <f ca="1">IF($B60="","",IF(AND($N$13=TRUE,OR($AT60="Remains",$AT60="#2",$AT60="Removed")),"NA",VLOOKUP($H60,INDIRECT('9.6 Table'!$P$338),P$11+N$9,FALSE)))</f>
        <v/>
      </c>
      <c r="Q60" s="767"/>
      <c r="R60" s="768" t="str">
        <f ca="1">IF($B60="","",IF(AND($N$13=TRUE,OR($AT60="Remains",$AT60="#2",$AT60="Removed")),"NA",VLOOKUP($H60,INDIRECT('9.6 Table'!$P$338),R$11+N$9,FALSE)))</f>
        <v/>
      </c>
      <c r="S60" s="767"/>
      <c r="T60" s="768" t="str">
        <f ca="1">IF($B60="","",IF(AND($N$13=TRUE,OR($AT60="Remains",$AT60="#2",$AT60="Removed")),"NA",VLOOKUP($H60,INDIRECT('9.6 Table'!$P$338),T$11+N$9,FALSE)))</f>
        <v/>
      </c>
      <c r="U60" s="767"/>
      <c r="V60" s="768" t="str">
        <f ca="1">IF($B60="","",IF(AND($N$13=TRUE,OR($AT60="Remains",$AT60="#2",$AT60="Removed")),"NA",VLOOKUP($H60,INDIRECT('9.6 Table'!$P$338),V$11+N$9,FALSE)))</f>
        <v/>
      </c>
      <c r="W60" s="767"/>
      <c r="X60" s="768" t="str">
        <f ca="1">IF($B60="","",IF(AND($N$13=TRUE,OR($AT60="Remains",$AT60="#2",$AT60="Removed")),"NA",VLOOKUP($H60,INDIRECT('9.6 Table'!$P$338),X$11+N$9,FALSE)))</f>
        <v/>
      </c>
      <c r="Y60" s="767"/>
      <c r="Z60" s="768" t="str">
        <f ca="1">IF($B60="","",IF(AND($N$13=TRUE,OR($AT60="Remains",$AT60="#2",$AT60="Removed")),"NA",VLOOKUP($H60,INDIRECT('9.6 Table'!$P$338),Z$11+N$9,FALSE)))</f>
        <v/>
      </c>
      <c r="AA60" s="767"/>
      <c r="AB60" s="768" t="str">
        <f ca="1">IF($B60="","",IF(AND($N$13=TRUE,OR($AT60="Remains",$AT60="#2",$AT60="Removed")),"NA",VLOOKUP($H60,INDIRECT('9.6 Table'!$P$338),AB$11+N$9,FALSE)))</f>
        <v/>
      </c>
      <c r="AC60" s="767"/>
      <c r="AD60" s="768" t="str">
        <f ca="1">IF($B60="","",IF(AND($N$13=TRUE,OR($AT60="Remains",$AT60="#2",$AT60="Removed")),"NA",VLOOKUP($H60,INDIRECT('9.6 Table'!$P$338),AD$11+N$9,FALSE)))</f>
        <v/>
      </c>
      <c r="AE60" s="767"/>
      <c r="AF60" s="768" t="str">
        <f ca="1">IF($B60="","",IF(AND($N$13=TRUE,OR($AT60="Remains",$AT60="#2",$AT60="Removed")),"NA",VLOOKUP($H60,INDIRECT('9.6 Table'!$P$338),AF$11+N$9,FALSE)))</f>
        <v/>
      </c>
      <c r="AG60" s="767"/>
      <c r="AH60" s="768" t="str">
        <f ca="1">IF($B60="","",IF(AND($N$13=TRUE,OR($AT60="Remains",$AT60="#2",$AT60="Removed")),"NA",VLOOKUP($H60,INDIRECT('9.6 Table'!$P$338),AH$11+N$9,FALSE)))</f>
        <v/>
      </c>
      <c r="AI60" s="767"/>
      <c r="AJ60" s="768" t="str">
        <f ca="1">IF($B60="","",IF(AND($N$13=TRUE,OR($AT60="Remains",$AT60="#2",$AT60="Removed")),"NA",VLOOKUP($H60,INDIRECT('9.6 Table'!$P$338),AJ$11+N$9,FALSE)))</f>
        <v/>
      </c>
      <c r="AK60" s="767"/>
      <c r="AL60" s="768" t="str">
        <f ca="1">IF($B60="","",IF(AND($N$13=TRUE,OR($AT60="Remains",$AT60="#2",$AT60="Removed")),"NA",VLOOKUP($H60,INDIRECT('9.6 Table'!$P$338),AL$11+N$9,FALSE)))</f>
        <v/>
      </c>
      <c r="AM60" s="767"/>
      <c r="AN60" s="768" t="str">
        <f ca="1">IF($B60="","",IF(AND($N$13=TRUE,OR($AT60="Remains",$AT60="#2",$AT60="Removed")),"NA",VLOOKUP($H60,INDIRECT('9.6 Table'!$P$338),AN$11+N$9,FALSE)))</f>
        <v/>
      </c>
      <c r="AO60" s="764"/>
      <c r="AP60" s="770"/>
      <c r="AQ60" s="921" t="str">
        <f t="shared" si="28"/>
        <v/>
      </c>
      <c r="AT60" s="730" t="str">
        <f t="shared" si="29"/>
        <v>New</v>
      </c>
      <c r="AX60" s="737" t="str">
        <f ca="1">VLOOKUP(H60,'SpxSp (step-a)'!H$22:AB$71,21,FALSE)</f>
        <v/>
      </c>
      <c r="AY60" s="736">
        <f>IFERROR(IF(OR(AP60="",AP60=0),0,HLOOKUP(AX60,'9.6.3 Table'!$D$4:$H$9,1+AP60,FALSE)),0)</f>
        <v>0</v>
      </c>
      <c r="AZ60" s="482">
        <f t="shared" si="30"/>
        <v>0</v>
      </c>
      <c r="BA60" s="327"/>
      <c r="BB60" s="43" t="str">
        <f t="shared" si="31"/>
        <v/>
      </c>
      <c r="BC60" s="43" t="str">
        <f t="shared" si="32"/>
        <v/>
      </c>
      <c r="BH60" s="326">
        <f t="shared" si="33"/>
        <v>0</v>
      </c>
      <c r="BI60" s="326">
        <f t="shared" si="34"/>
        <v>0</v>
      </c>
      <c r="BJ60" s="627">
        <f t="shared" si="35"/>
        <v>0</v>
      </c>
      <c r="BK60" s="627">
        <f t="shared" si="36"/>
        <v>0</v>
      </c>
      <c r="BL60" s="627">
        <f t="shared" si="37"/>
        <v>0</v>
      </c>
      <c r="BM60" s="627">
        <f t="shared" si="38"/>
        <v>0</v>
      </c>
      <c r="BN60" s="627">
        <f t="shared" si="39"/>
        <v>0</v>
      </c>
      <c r="BO60" s="627">
        <f t="shared" si="40"/>
        <v>0</v>
      </c>
      <c r="BP60" s="627">
        <f t="shared" si="41"/>
        <v>0</v>
      </c>
      <c r="BQ60" s="627">
        <f t="shared" si="42"/>
        <v>0</v>
      </c>
      <c r="BR60" s="627">
        <f t="shared" si="43"/>
        <v>0</v>
      </c>
      <c r="BS60" s="627">
        <f t="shared" si="44"/>
        <v>0</v>
      </c>
      <c r="BT60" s="627">
        <f t="shared" si="45"/>
        <v>0</v>
      </c>
      <c r="BU60" s="627">
        <f t="shared" si="46"/>
        <v>0</v>
      </c>
      <c r="BV60" s="627">
        <f t="shared" si="47"/>
        <v>0</v>
      </c>
      <c r="BW60" s="627"/>
      <c r="BX60" s="627">
        <f t="shared" si="23"/>
        <v>0</v>
      </c>
      <c r="BZ60" s="737">
        <v>35</v>
      </c>
      <c r="CA60" s="737" t="str">
        <f t="shared" si="25"/>
        <v>AI</v>
      </c>
      <c r="CB60" s="730">
        <f>ROW()</f>
        <v>60</v>
      </c>
    </row>
    <row r="61" spans="1:80" s="43" customFormat="1" ht="12.75" customHeight="1" x14ac:dyDescent="0.2">
      <c r="A61" s="5">
        <v>36</v>
      </c>
      <c r="B61" s="1670"/>
      <c r="C61" s="1671"/>
      <c r="D61" s="1671"/>
      <c r="E61" s="1671"/>
      <c r="F61" s="1671"/>
      <c r="G61" s="784"/>
      <c r="H61" s="784" t="str">
        <f t="shared" si="26"/>
        <v/>
      </c>
      <c r="I61" s="785"/>
      <c r="J61" s="643"/>
      <c r="K61" s="786" t="str">
        <f t="shared" si="27"/>
        <v xml:space="preserve"> </v>
      </c>
      <c r="L61" s="906" t="str">
        <f t="shared" si="24"/>
        <v/>
      </c>
      <c r="M61" s="794"/>
      <c r="N61" s="913"/>
      <c r="O61" s="121"/>
      <c r="P61" s="919" t="str">
        <f ca="1">IF($B61="","",IF(AND($N$13=TRUE,OR($AT61="Remains",$AT61="#2",$AT61="Removed")),"NA",VLOOKUP($H61,INDIRECT('9.6 Table'!$P$338),P$11+N$9,FALSE)))</f>
        <v/>
      </c>
      <c r="Q61" s="767"/>
      <c r="R61" s="768" t="str">
        <f ca="1">IF($B61="","",IF(AND($N$13=TRUE,OR($AT61="Remains",$AT61="#2",$AT61="Removed")),"NA",VLOOKUP($H61,INDIRECT('9.6 Table'!$P$338),R$11+N$9,FALSE)))</f>
        <v/>
      </c>
      <c r="S61" s="767"/>
      <c r="T61" s="768" t="str">
        <f ca="1">IF($B61="","",IF(AND($N$13=TRUE,OR($AT61="Remains",$AT61="#2",$AT61="Removed")),"NA",VLOOKUP($H61,INDIRECT('9.6 Table'!$P$338),T$11+N$9,FALSE)))</f>
        <v/>
      </c>
      <c r="U61" s="767"/>
      <c r="V61" s="768" t="str">
        <f ca="1">IF($B61="","",IF(AND($N$13=TRUE,OR($AT61="Remains",$AT61="#2",$AT61="Removed")),"NA",VLOOKUP($H61,INDIRECT('9.6 Table'!$P$338),V$11+N$9,FALSE)))</f>
        <v/>
      </c>
      <c r="W61" s="767"/>
      <c r="X61" s="768" t="str">
        <f ca="1">IF($B61="","",IF(AND($N$13=TRUE,OR($AT61="Remains",$AT61="#2",$AT61="Removed")),"NA",VLOOKUP($H61,INDIRECT('9.6 Table'!$P$338),X$11+N$9,FALSE)))</f>
        <v/>
      </c>
      <c r="Y61" s="767"/>
      <c r="Z61" s="768" t="str">
        <f ca="1">IF($B61="","",IF(AND($N$13=TRUE,OR($AT61="Remains",$AT61="#2",$AT61="Removed")),"NA",VLOOKUP($H61,INDIRECT('9.6 Table'!$P$338),Z$11+N$9,FALSE)))</f>
        <v/>
      </c>
      <c r="AA61" s="767"/>
      <c r="AB61" s="768" t="str">
        <f ca="1">IF($B61="","",IF(AND($N$13=TRUE,OR($AT61="Remains",$AT61="#2",$AT61="Removed")),"NA",VLOOKUP($H61,INDIRECT('9.6 Table'!$P$338),AB$11+N$9,FALSE)))</f>
        <v/>
      </c>
      <c r="AC61" s="767"/>
      <c r="AD61" s="768" t="str">
        <f ca="1">IF($B61="","",IF(AND($N$13=TRUE,OR($AT61="Remains",$AT61="#2",$AT61="Removed")),"NA",VLOOKUP($H61,INDIRECT('9.6 Table'!$P$338),AD$11+N$9,FALSE)))</f>
        <v/>
      </c>
      <c r="AE61" s="767"/>
      <c r="AF61" s="768" t="str">
        <f ca="1">IF($B61="","",IF(AND($N$13=TRUE,OR($AT61="Remains",$AT61="#2",$AT61="Removed")),"NA",VLOOKUP($H61,INDIRECT('9.6 Table'!$P$338),AF$11+N$9,FALSE)))</f>
        <v/>
      </c>
      <c r="AG61" s="767"/>
      <c r="AH61" s="768" t="str">
        <f ca="1">IF($B61="","",IF(AND($N$13=TRUE,OR($AT61="Remains",$AT61="#2",$AT61="Removed")),"NA",VLOOKUP($H61,INDIRECT('9.6 Table'!$P$338),AH$11+N$9,FALSE)))</f>
        <v/>
      </c>
      <c r="AI61" s="767"/>
      <c r="AJ61" s="768" t="str">
        <f ca="1">IF($B61="","",IF(AND($N$13=TRUE,OR($AT61="Remains",$AT61="#2",$AT61="Removed")),"NA",VLOOKUP($H61,INDIRECT('9.6 Table'!$P$338),AJ$11+N$9,FALSE)))</f>
        <v/>
      </c>
      <c r="AK61" s="767"/>
      <c r="AL61" s="768" t="str">
        <f ca="1">IF($B61="","",IF(AND($N$13=TRUE,OR($AT61="Remains",$AT61="#2",$AT61="Removed")),"NA",VLOOKUP($H61,INDIRECT('9.6 Table'!$P$338),AL$11+N$9,FALSE)))</f>
        <v/>
      </c>
      <c r="AM61" s="767"/>
      <c r="AN61" s="768" t="str">
        <f ca="1">IF($B61="","",IF(AND($N$13=TRUE,OR($AT61="Remains",$AT61="#2",$AT61="Removed")),"NA",VLOOKUP($H61,INDIRECT('9.6 Table'!$P$338),AN$11+N$9,FALSE)))</f>
        <v/>
      </c>
      <c r="AO61" s="764"/>
      <c r="AP61" s="770"/>
      <c r="AQ61" s="921" t="str">
        <f t="shared" si="28"/>
        <v/>
      </c>
      <c r="AT61" s="730" t="str">
        <f t="shared" si="29"/>
        <v>New</v>
      </c>
      <c r="AX61" s="737" t="str">
        <f ca="1">VLOOKUP(H61,'SpxSp (step-a)'!H$22:AB$71,21,FALSE)</f>
        <v/>
      </c>
      <c r="AY61" s="736">
        <f>IFERROR(IF(OR(AP61="",AP61=0),0,HLOOKUP(AX61,'9.6.3 Table'!$D$4:$H$9,1+AP61,FALSE)),0)</f>
        <v>0</v>
      </c>
      <c r="AZ61" s="482">
        <f t="shared" si="30"/>
        <v>0</v>
      </c>
      <c r="BA61" s="327"/>
      <c r="BB61" s="43" t="str">
        <f t="shared" si="31"/>
        <v/>
      </c>
      <c r="BC61" s="43" t="str">
        <f t="shared" si="32"/>
        <v/>
      </c>
      <c r="BH61" s="326">
        <f t="shared" si="33"/>
        <v>0</v>
      </c>
      <c r="BI61" s="326">
        <f t="shared" si="34"/>
        <v>0</v>
      </c>
      <c r="BJ61" s="627">
        <f t="shared" si="35"/>
        <v>0</v>
      </c>
      <c r="BK61" s="627">
        <f t="shared" si="36"/>
        <v>0</v>
      </c>
      <c r="BL61" s="627">
        <f t="shared" si="37"/>
        <v>0</v>
      </c>
      <c r="BM61" s="627">
        <f t="shared" si="38"/>
        <v>0</v>
      </c>
      <c r="BN61" s="627">
        <f t="shared" si="39"/>
        <v>0</v>
      </c>
      <c r="BO61" s="627">
        <f t="shared" si="40"/>
        <v>0</v>
      </c>
      <c r="BP61" s="627">
        <f t="shared" si="41"/>
        <v>0</v>
      </c>
      <c r="BQ61" s="627">
        <f t="shared" si="42"/>
        <v>0</v>
      </c>
      <c r="BR61" s="627">
        <f t="shared" si="43"/>
        <v>0</v>
      </c>
      <c r="BS61" s="627">
        <f t="shared" si="44"/>
        <v>0</v>
      </c>
      <c r="BT61" s="627">
        <f t="shared" si="45"/>
        <v>0</v>
      </c>
      <c r="BU61" s="627">
        <f t="shared" si="46"/>
        <v>0</v>
      </c>
      <c r="BV61" s="627">
        <f t="shared" si="47"/>
        <v>0</v>
      </c>
      <c r="BW61" s="627"/>
      <c r="BX61" s="627">
        <f t="shared" si="23"/>
        <v>0</v>
      </c>
      <c r="BZ61" s="737">
        <v>36</v>
      </c>
      <c r="CA61" s="737" t="str">
        <f t="shared" si="25"/>
        <v>AJ</v>
      </c>
      <c r="CB61" s="730">
        <f>ROW()</f>
        <v>61</v>
      </c>
    </row>
    <row r="62" spans="1:80" s="43" customFormat="1" ht="12.75" customHeight="1" x14ac:dyDescent="0.2">
      <c r="A62" s="5">
        <v>37</v>
      </c>
      <c r="B62" s="1670"/>
      <c r="C62" s="1671"/>
      <c r="D62" s="1671"/>
      <c r="E62" s="1671"/>
      <c r="F62" s="1671"/>
      <c r="G62" s="784"/>
      <c r="H62" s="784" t="str">
        <f t="shared" si="26"/>
        <v/>
      </c>
      <c r="I62" s="785"/>
      <c r="J62" s="643"/>
      <c r="K62" s="786" t="str">
        <f t="shared" si="27"/>
        <v xml:space="preserve"> </v>
      </c>
      <c r="L62" s="906" t="str">
        <f t="shared" si="24"/>
        <v/>
      </c>
      <c r="M62" s="794"/>
      <c r="N62" s="913"/>
      <c r="O62" s="121"/>
      <c r="P62" s="919" t="str">
        <f ca="1">IF($B62="","",IF(AND($N$13=TRUE,OR($AT62="Remains",$AT62="#2",$AT62="Removed")),"NA",VLOOKUP($H62,INDIRECT('9.6 Table'!$P$338),P$11+N$9,FALSE)))</f>
        <v/>
      </c>
      <c r="Q62" s="767"/>
      <c r="R62" s="768" t="str">
        <f ca="1">IF($B62="","",IF(AND($N$13=TRUE,OR($AT62="Remains",$AT62="#2",$AT62="Removed")),"NA",VLOOKUP($H62,INDIRECT('9.6 Table'!$P$338),R$11+N$9,FALSE)))</f>
        <v/>
      </c>
      <c r="S62" s="767"/>
      <c r="T62" s="768" t="str">
        <f ca="1">IF($B62="","",IF(AND($N$13=TRUE,OR($AT62="Remains",$AT62="#2",$AT62="Removed")),"NA",VLOOKUP($H62,INDIRECT('9.6 Table'!$P$338),T$11+N$9,FALSE)))</f>
        <v/>
      </c>
      <c r="U62" s="767"/>
      <c r="V62" s="768" t="str">
        <f ca="1">IF($B62="","",IF(AND($N$13=TRUE,OR($AT62="Remains",$AT62="#2",$AT62="Removed")),"NA",VLOOKUP($H62,INDIRECT('9.6 Table'!$P$338),V$11+N$9,FALSE)))</f>
        <v/>
      </c>
      <c r="W62" s="767"/>
      <c r="X62" s="768" t="str">
        <f ca="1">IF($B62="","",IF(AND($N$13=TRUE,OR($AT62="Remains",$AT62="#2",$AT62="Removed")),"NA",VLOOKUP($H62,INDIRECT('9.6 Table'!$P$338),X$11+N$9,FALSE)))</f>
        <v/>
      </c>
      <c r="Y62" s="767"/>
      <c r="Z62" s="768" t="str">
        <f ca="1">IF($B62="","",IF(AND($N$13=TRUE,OR($AT62="Remains",$AT62="#2",$AT62="Removed")),"NA",VLOOKUP($H62,INDIRECT('9.6 Table'!$P$338),Z$11+N$9,FALSE)))</f>
        <v/>
      </c>
      <c r="AA62" s="767"/>
      <c r="AB62" s="768" t="str">
        <f ca="1">IF($B62="","",IF(AND($N$13=TRUE,OR($AT62="Remains",$AT62="#2",$AT62="Removed")),"NA",VLOOKUP($H62,INDIRECT('9.6 Table'!$P$338),AB$11+N$9,FALSE)))</f>
        <v/>
      </c>
      <c r="AC62" s="767"/>
      <c r="AD62" s="768" t="str">
        <f ca="1">IF($B62="","",IF(AND($N$13=TRUE,OR($AT62="Remains",$AT62="#2",$AT62="Removed")),"NA",VLOOKUP($H62,INDIRECT('9.6 Table'!$P$338),AD$11+N$9,FALSE)))</f>
        <v/>
      </c>
      <c r="AE62" s="767"/>
      <c r="AF62" s="768" t="str">
        <f ca="1">IF($B62="","",IF(AND($N$13=TRUE,OR($AT62="Remains",$AT62="#2",$AT62="Removed")),"NA",VLOOKUP($H62,INDIRECT('9.6 Table'!$P$338),AF$11+N$9,FALSE)))</f>
        <v/>
      </c>
      <c r="AG62" s="767"/>
      <c r="AH62" s="768" t="str">
        <f ca="1">IF($B62="","",IF(AND($N$13=TRUE,OR($AT62="Remains",$AT62="#2",$AT62="Removed")),"NA",VLOOKUP($H62,INDIRECT('9.6 Table'!$P$338),AH$11+N$9,FALSE)))</f>
        <v/>
      </c>
      <c r="AI62" s="767"/>
      <c r="AJ62" s="768" t="str">
        <f ca="1">IF($B62="","",IF(AND($N$13=TRUE,OR($AT62="Remains",$AT62="#2",$AT62="Removed")),"NA",VLOOKUP($H62,INDIRECT('9.6 Table'!$P$338),AJ$11+N$9,FALSE)))</f>
        <v/>
      </c>
      <c r="AK62" s="767"/>
      <c r="AL62" s="768" t="str">
        <f ca="1">IF($B62="","",IF(AND($N$13=TRUE,OR($AT62="Remains",$AT62="#2",$AT62="Removed")),"NA",VLOOKUP($H62,INDIRECT('9.6 Table'!$P$338),AL$11+N$9,FALSE)))</f>
        <v/>
      </c>
      <c r="AM62" s="767"/>
      <c r="AN62" s="768" t="str">
        <f ca="1">IF($B62="","",IF(AND($N$13=TRUE,OR($AT62="Remains",$AT62="#2",$AT62="Removed")),"NA",VLOOKUP($H62,INDIRECT('9.6 Table'!$P$338),AN$11+N$9,FALSE)))</f>
        <v/>
      </c>
      <c r="AO62" s="764"/>
      <c r="AP62" s="770"/>
      <c r="AQ62" s="921" t="str">
        <f t="shared" si="28"/>
        <v/>
      </c>
      <c r="AT62" s="730" t="str">
        <f t="shared" si="29"/>
        <v>New</v>
      </c>
      <c r="AX62" s="737" t="str">
        <f ca="1">VLOOKUP(H62,'SpxSp (step-a)'!H$22:AB$71,21,FALSE)</f>
        <v/>
      </c>
      <c r="AY62" s="736">
        <f>IFERROR(IF(OR(AP62="",AP62=0),0,HLOOKUP(AX62,'9.6.3 Table'!$D$4:$H$9,1+AP62,FALSE)),0)</f>
        <v>0</v>
      </c>
      <c r="AZ62" s="482">
        <f t="shared" si="30"/>
        <v>0</v>
      </c>
      <c r="BA62" s="327"/>
      <c r="BB62" s="43" t="str">
        <f t="shared" si="31"/>
        <v/>
      </c>
      <c r="BC62" s="43" t="str">
        <f t="shared" si="32"/>
        <v/>
      </c>
      <c r="BH62" s="326">
        <f t="shared" si="33"/>
        <v>0</v>
      </c>
      <c r="BI62" s="326">
        <f t="shared" si="34"/>
        <v>0</v>
      </c>
      <c r="BJ62" s="627">
        <f t="shared" si="35"/>
        <v>0</v>
      </c>
      <c r="BK62" s="627">
        <f t="shared" si="36"/>
        <v>0</v>
      </c>
      <c r="BL62" s="627">
        <f t="shared" si="37"/>
        <v>0</v>
      </c>
      <c r="BM62" s="627">
        <f t="shared" si="38"/>
        <v>0</v>
      </c>
      <c r="BN62" s="627">
        <f t="shared" si="39"/>
        <v>0</v>
      </c>
      <c r="BO62" s="627">
        <f t="shared" si="40"/>
        <v>0</v>
      </c>
      <c r="BP62" s="627">
        <f t="shared" si="41"/>
        <v>0</v>
      </c>
      <c r="BQ62" s="627">
        <f t="shared" si="42"/>
        <v>0</v>
      </c>
      <c r="BR62" s="627">
        <f t="shared" si="43"/>
        <v>0</v>
      </c>
      <c r="BS62" s="627">
        <f t="shared" si="44"/>
        <v>0</v>
      </c>
      <c r="BT62" s="627">
        <f t="shared" si="45"/>
        <v>0</v>
      </c>
      <c r="BU62" s="627">
        <f t="shared" si="46"/>
        <v>0</v>
      </c>
      <c r="BV62" s="627">
        <f t="shared" si="47"/>
        <v>0</v>
      </c>
      <c r="BW62" s="627"/>
      <c r="BX62" s="627">
        <f t="shared" si="23"/>
        <v>0</v>
      </c>
      <c r="BZ62" s="737">
        <v>37</v>
      </c>
      <c r="CA62" s="737" t="str">
        <f t="shared" si="25"/>
        <v>AK</v>
      </c>
      <c r="CB62" s="730">
        <f>ROW()</f>
        <v>62</v>
      </c>
    </row>
    <row r="63" spans="1:80" s="43" customFormat="1" ht="12.75" customHeight="1" x14ac:dyDescent="0.2">
      <c r="A63" s="5">
        <v>38</v>
      </c>
      <c r="B63" s="1670"/>
      <c r="C63" s="1671"/>
      <c r="D63" s="1671"/>
      <c r="E63" s="1671"/>
      <c r="F63" s="1671"/>
      <c r="G63" s="784"/>
      <c r="H63" s="784" t="str">
        <f t="shared" si="26"/>
        <v/>
      </c>
      <c r="I63" s="785"/>
      <c r="J63" s="643"/>
      <c r="K63" s="786" t="str">
        <f t="shared" si="27"/>
        <v xml:space="preserve"> </v>
      </c>
      <c r="L63" s="906" t="str">
        <f t="shared" si="24"/>
        <v/>
      </c>
      <c r="M63" s="794"/>
      <c r="N63" s="913"/>
      <c r="O63" s="121"/>
      <c r="P63" s="919" t="str">
        <f ca="1">IF($B63="","",IF(AND($N$13=TRUE,OR($AT63="Remains",$AT63="#2",$AT63="Removed")),"NA",VLOOKUP($H63,INDIRECT('9.6 Table'!$P$338),P$11+N$9,FALSE)))</f>
        <v/>
      </c>
      <c r="Q63" s="767"/>
      <c r="R63" s="768" t="str">
        <f ca="1">IF($B63="","",IF(AND($N$13=TRUE,OR($AT63="Remains",$AT63="#2",$AT63="Removed")),"NA",VLOOKUP($H63,INDIRECT('9.6 Table'!$P$338),R$11+N$9,FALSE)))</f>
        <v/>
      </c>
      <c r="S63" s="767"/>
      <c r="T63" s="768" t="str">
        <f ca="1">IF($B63="","",IF(AND($N$13=TRUE,OR($AT63="Remains",$AT63="#2",$AT63="Removed")),"NA",VLOOKUP($H63,INDIRECT('9.6 Table'!$P$338),T$11+N$9,FALSE)))</f>
        <v/>
      </c>
      <c r="U63" s="767"/>
      <c r="V63" s="768" t="str">
        <f ca="1">IF($B63="","",IF(AND($N$13=TRUE,OR($AT63="Remains",$AT63="#2",$AT63="Removed")),"NA",VLOOKUP($H63,INDIRECT('9.6 Table'!$P$338),V$11+N$9,FALSE)))</f>
        <v/>
      </c>
      <c r="W63" s="767"/>
      <c r="X63" s="768" t="str">
        <f ca="1">IF($B63="","",IF(AND($N$13=TRUE,OR($AT63="Remains",$AT63="#2",$AT63="Removed")),"NA",VLOOKUP($H63,INDIRECT('9.6 Table'!$P$338),X$11+N$9,FALSE)))</f>
        <v/>
      </c>
      <c r="Y63" s="767"/>
      <c r="Z63" s="768" t="str">
        <f ca="1">IF($B63="","",IF(AND($N$13=TRUE,OR($AT63="Remains",$AT63="#2",$AT63="Removed")),"NA",VLOOKUP($H63,INDIRECT('9.6 Table'!$P$338),Z$11+N$9,FALSE)))</f>
        <v/>
      </c>
      <c r="AA63" s="767"/>
      <c r="AB63" s="768" t="str">
        <f ca="1">IF($B63="","",IF(AND($N$13=TRUE,OR($AT63="Remains",$AT63="#2",$AT63="Removed")),"NA",VLOOKUP($H63,INDIRECT('9.6 Table'!$P$338),AB$11+N$9,FALSE)))</f>
        <v/>
      </c>
      <c r="AC63" s="767"/>
      <c r="AD63" s="768" t="str">
        <f ca="1">IF($B63="","",IF(AND($N$13=TRUE,OR($AT63="Remains",$AT63="#2",$AT63="Removed")),"NA",VLOOKUP($H63,INDIRECT('9.6 Table'!$P$338),AD$11+N$9,FALSE)))</f>
        <v/>
      </c>
      <c r="AE63" s="767"/>
      <c r="AF63" s="768" t="str">
        <f ca="1">IF($B63="","",IF(AND($N$13=TRUE,OR($AT63="Remains",$AT63="#2",$AT63="Removed")),"NA",VLOOKUP($H63,INDIRECT('9.6 Table'!$P$338),AF$11+N$9,FALSE)))</f>
        <v/>
      </c>
      <c r="AG63" s="767"/>
      <c r="AH63" s="768" t="str">
        <f ca="1">IF($B63="","",IF(AND($N$13=TRUE,OR($AT63="Remains",$AT63="#2",$AT63="Removed")),"NA",VLOOKUP($H63,INDIRECT('9.6 Table'!$P$338),AH$11+N$9,FALSE)))</f>
        <v/>
      </c>
      <c r="AI63" s="767"/>
      <c r="AJ63" s="768" t="str">
        <f ca="1">IF($B63="","",IF(AND($N$13=TRUE,OR($AT63="Remains",$AT63="#2",$AT63="Removed")),"NA",VLOOKUP($H63,INDIRECT('9.6 Table'!$P$338),AJ$11+N$9,FALSE)))</f>
        <v/>
      </c>
      <c r="AK63" s="767"/>
      <c r="AL63" s="768" t="str">
        <f ca="1">IF($B63="","",IF(AND($N$13=TRUE,OR($AT63="Remains",$AT63="#2",$AT63="Removed")),"NA",VLOOKUP($H63,INDIRECT('9.6 Table'!$P$338),AL$11+N$9,FALSE)))</f>
        <v/>
      </c>
      <c r="AM63" s="767"/>
      <c r="AN63" s="768" t="str">
        <f ca="1">IF($B63="","",IF(AND($N$13=TRUE,OR($AT63="Remains",$AT63="#2",$AT63="Removed")),"NA",VLOOKUP($H63,INDIRECT('9.6 Table'!$P$338),AN$11+N$9,FALSE)))</f>
        <v/>
      </c>
      <c r="AO63" s="764"/>
      <c r="AP63" s="770"/>
      <c r="AQ63" s="921" t="str">
        <f t="shared" si="28"/>
        <v/>
      </c>
      <c r="AT63" s="730" t="str">
        <f t="shared" si="29"/>
        <v>New</v>
      </c>
      <c r="AX63" s="737" t="str">
        <f ca="1">VLOOKUP(H63,'SpxSp (step-a)'!H$22:AB$71,21,FALSE)</f>
        <v/>
      </c>
      <c r="AY63" s="736">
        <f>IFERROR(IF(OR(AP63="",AP63=0),0,HLOOKUP(AX63,'9.6.3 Table'!$D$4:$H$9,1+AP63,FALSE)),0)</f>
        <v>0</v>
      </c>
      <c r="AZ63" s="482">
        <f t="shared" si="30"/>
        <v>0</v>
      </c>
      <c r="BA63" s="327"/>
      <c r="BB63" s="43" t="str">
        <f t="shared" si="31"/>
        <v/>
      </c>
      <c r="BC63" s="43" t="str">
        <f t="shared" si="32"/>
        <v/>
      </c>
      <c r="BH63" s="326">
        <f t="shared" si="33"/>
        <v>0</v>
      </c>
      <c r="BI63" s="326">
        <f t="shared" si="34"/>
        <v>0</v>
      </c>
      <c r="BJ63" s="627">
        <f t="shared" si="35"/>
        <v>0</v>
      </c>
      <c r="BK63" s="627">
        <f t="shared" si="36"/>
        <v>0</v>
      </c>
      <c r="BL63" s="627">
        <f t="shared" si="37"/>
        <v>0</v>
      </c>
      <c r="BM63" s="627">
        <f t="shared" si="38"/>
        <v>0</v>
      </c>
      <c r="BN63" s="627">
        <f t="shared" si="39"/>
        <v>0</v>
      </c>
      <c r="BO63" s="627">
        <f t="shared" si="40"/>
        <v>0</v>
      </c>
      <c r="BP63" s="627">
        <f t="shared" si="41"/>
        <v>0</v>
      </c>
      <c r="BQ63" s="627">
        <f t="shared" si="42"/>
        <v>0</v>
      </c>
      <c r="BR63" s="627">
        <f t="shared" si="43"/>
        <v>0</v>
      </c>
      <c r="BS63" s="627">
        <f t="shared" si="44"/>
        <v>0</v>
      </c>
      <c r="BT63" s="627">
        <f t="shared" si="45"/>
        <v>0</v>
      </c>
      <c r="BU63" s="627">
        <f t="shared" si="46"/>
        <v>0</v>
      </c>
      <c r="BV63" s="627">
        <f t="shared" si="47"/>
        <v>0</v>
      </c>
      <c r="BW63" s="627"/>
      <c r="BX63" s="627">
        <f t="shared" si="23"/>
        <v>0</v>
      </c>
      <c r="BZ63" s="737">
        <v>38</v>
      </c>
      <c r="CA63" s="737" t="str">
        <f t="shared" si="25"/>
        <v>Al</v>
      </c>
      <c r="CB63" s="730">
        <f>ROW()</f>
        <v>63</v>
      </c>
    </row>
    <row r="64" spans="1:80" s="43" customFormat="1" ht="12.75" customHeight="1" x14ac:dyDescent="0.2">
      <c r="A64" s="5">
        <v>39</v>
      </c>
      <c r="B64" s="1670"/>
      <c r="C64" s="1671"/>
      <c r="D64" s="1671"/>
      <c r="E64" s="1671"/>
      <c r="F64" s="1671"/>
      <c r="G64" s="784"/>
      <c r="H64" s="784" t="str">
        <f t="shared" si="26"/>
        <v/>
      </c>
      <c r="I64" s="785"/>
      <c r="J64" s="643"/>
      <c r="K64" s="786" t="str">
        <f t="shared" si="27"/>
        <v xml:space="preserve"> </v>
      </c>
      <c r="L64" s="906" t="str">
        <f t="shared" si="24"/>
        <v/>
      </c>
      <c r="M64" s="794"/>
      <c r="N64" s="913"/>
      <c r="O64" s="121"/>
      <c r="P64" s="919" t="str">
        <f ca="1">IF($B64="","",IF(AND($N$13=TRUE,OR($AT64="Remains",$AT64="#2",$AT64="Removed")),"NA",VLOOKUP($H64,INDIRECT('9.6 Table'!$P$338),P$11+N$9,FALSE)))</f>
        <v/>
      </c>
      <c r="Q64" s="767"/>
      <c r="R64" s="768" t="str">
        <f ca="1">IF($B64="","",IF(AND($N$13=TRUE,OR($AT64="Remains",$AT64="#2",$AT64="Removed")),"NA",VLOOKUP($H64,INDIRECT('9.6 Table'!$P$338),R$11+N$9,FALSE)))</f>
        <v/>
      </c>
      <c r="S64" s="767"/>
      <c r="T64" s="768" t="str">
        <f ca="1">IF($B64="","",IF(AND($N$13=TRUE,OR($AT64="Remains",$AT64="#2",$AT64="Removed")),"NA",VLOOKUP($H64,INDIRECT('9.6 Table'!$P$338),T$11+N$9,FALSE)))</f>
        <v/>
      </c>
      <c r="U64" s="767"/>
      <c r="V64" s="768" t="str">
        <f ca="1">IF($B64="","",IF(AND($N$13=TRUE,OR($AT64="Remains",$AT64="#2",$AT64="Removed")),"NA",VLOOKUP($H64,INDIRECT('9.6 Table'!$P$338),V$11+N$9,FALSE)))</f>
        <v/>
      </c>
      <c r="W64" s="767"/>
      <c r="X64" s="768" t="str">
        <f ca="1">IF($B64="","",IF(AND($N$13=TRUE,OR($AT64="Remains",$AT64="#2",$AT64="Removed")),"NA",VLOOKUP($H64,INDIRECT('9.6 Table'!$P$338),X$11+N$9,FALSE)))</f>
        <v/>
      </c>
      <c r="Y64" s="767"/>
      <c r="Z64" s="768" t="str">
        <f ca="1">IF($B64="","",IF(AND($N$13=TRUE,OR($AT64="Remains",$AT64="#2",$AT64="Removed")),"NA",VLOOKUP($H64,INDIRECT('9.6 Table'!$P$338),Z$11+N$9,FALSE)))</f>
        <v/>
      </c>
      <c r="AA64" s="767"/>
      <c r="AB64" s="768" t="str">
        <f ca="1">IF($B64="","",IF(AND($N$13=TRUE,OR($AT64="Remains",$AT64="#2",$AT64="Removed")),"NA",VLOOKUP($H64,INDIRECT('9.6 Table'!$P$338),AB$11+N$9,FALSE)))</f>
        <v/>
      </c>
      <c r="AC64" s="767"/>
      <c r="AD64" s="768" t="str">
        <f ca="1">IF($B64="","",IF(AND($N$13=TRUE,OR($AT64="Remains",$AT64="#2",$AT64="Removed")),"NA",VLOOKUP($H64,INDIRECT('9.6 Table'!$P$338),AD$11+N$9,FALSE)))</f>
        <v/>
      </c>
      <c r="AE64" s="767"/>
      <c r="AF64" s="768" t="str">
        <f ca="1">IF($B64="","",IF(AND($N$13=TRUE,OR($AT64="Remains",$AT64="#2",$AT64="Removed")),"NA",VLOOKUP($H64,INDIRECT('9.6 Table'!$P$338),AF$11+N$9,FALSE)))</f>
        <v/>
      </c>
      <c r="AG64" s="767"/>
      <c r="AH64" s="768" t="str">
        <f ca="1">IF($B64="","",IF(AND($N$13=TRUE,OR($AT64="Remains",$AT64="#2",$AT64="Removed")),"NA",VLOOKUP($H64,INDIRECT('9.6 Table'!$P$338),AH$11+N$9,FALSE)))</f>
        <v/>
      </c>
      <c r="AI64" s="767"/>
      <c r="AJ64" s="768" t="str">
        <f ca="1">IF($B64="","",IF(AND($N$13=TRUE,OR($AT64="Remains",$AT64="#2",$AT64="Removed")),"NA",VLOOKUP($H64,INDIRECT('9.6 Table'!$P$338),AJ$11+N$9,FALSE)))</f>
        <v/>
      </c>
      <c r="AK64" s="767"/>
      <c r="AL64" s="768" t="str">
        <f ca="1">IF($B64="","",IF(AND($N$13=TRUE,OR($AT64="Remains",$AT64="#2",$AT64="Removed")),"NA",VLOOKUP($H64,INDIRECT('9.6 Table'!$P$338),AL$11+N$9,FALSE)))</f>
        <v/>
      </c>
      <c r="AM64" s="767"/>
      <c r="AN64" s="768" t="str">
        <f ca="1">IF($B64="","",IF(AND($N$13=TRUE,OR($AT64="Remains",$AT64="#2",$AT64="Removed")),"NA",VLOOKUP($H64,INDIRECT('9.6 Table'!$P$338),AN$11+N$9,FALSE)))</f>
        <v/>
      </c>
      <c r="AO64" s="764"/>
      <c r="AP64" s="770"/>
      <c r="AQ64" s="921" t="str">
        <f t="shared" si="28"/>
        <v/>
      </c>
      <c r="AT64" s="730" t="str">
        <f t="shared" si="29"/>
        <v>New</v>
      </c>
      <c r="AX64" s="737" t="str">
        <f ca="1">VLOOKUP(H64,'SpxSp (step-a)'!H$22:AB$71,21,FALSE)</f>
        <v/>
      </c>
      <c r="AY64" s="736">
        <f>IFERROR(IF(OR(AP64="",AP64=0),0,HLOOKUP(AX64,'9.6.3 Table'!$D$4:$H$9,1+AP64,FALSE)),0)</f>
        <v>0</v>
      </c>
      <c r="AZ64" s="482">
        <f t="shared" si="30"/>
        <v>0</v>
      </c>
      <c r="BA64" s="327"/>
      <c r="BB64" s="43" t="str">
        <f t="shared" si="31"/>
        <v/>
      </c>
      <c r="BC64" s="43" t="str">
        <f t="shared" si="32"/>
        <v/>
      </c>
      <c r="BH64" s="326">
        <f t="shared" si="33"/>
        <v>0</v>
      </c>
      <c r="BI64" s="326">
        <f t="shared" si="34"/>
        <v>0</v>
      </c>
      <c r="BJ64" s="627">
        <f t="shared" si="35"/>
        <v>0</v>
      </c>
      <c r="BK64" s="627">
        <f t="shared" si="36"/>
        <v>0</v>
      </c>
      <c r="BL64" s="627">
        <f t="shared" si="37"/>
        <v>0</v>
      </c>
      <c r="BM64" s="627">
        <f t="shared" si="38"/>
        <v>0</v>
      </c>
      <c r="BN64" s="627">
        <f t="shared" si="39"/>
        <v>0</v>
      </c>
      <c r="BO64" s="627">
        <f t="shared" si="40"/>
        <v>0</v>
      </c>
      <c r="BP64" s="627">
        <f t="shared" si="41"/>
        <v>0</v>
      </c>
      <c r="BQ64" s="627">
        <f t="shared" si="42"/>
        <v>0</v>
      </c>
      <c r="BR64" s="627">
        <f t="shared" si="43"/>
        <v>0</v>
      </c>
      <c r="BS64" s="627">
        <f t="shared" si="44"/>
        <v>0</v>
      </c>
      <c r="BT64" s="627">
        <f t="shared" si="45"/>
        <v>0</v>
      </c>
      <c r="BU64" s="627">
        <f t="shared" si="46"/>
        <v>0</v>
      </c>
      <c r="BV64" s="627">
        <f t="shared" si="47"/>
        <v>0</v>
      </c>
      <c r="BW64" s="627"/>
      <c r="BX64" s="627">
        <f t="shared" si="23"/>
        <v>0</v>
      </c>
      <c r="BZ64" s="737">
        <v>39</v>
      </c>
      <c r="CA64" s="737" t="str">
        <f t="shared" si="25"/>
        <v>AM</v>
      </c>
      <c r="CB64" s="730">
        <f>ROW()</f>
        <v>64</v>
      </c>
    </row>
    <row r="65" spans="1:80" s="43" customFormat="1" ht="12.75" customHeight="1" x14ac:dyDescent="0.2">
      <c r="A65" s="5">
        <v>40</v>
      </c>
      <c r="B65" s="1670"/>
      <c r="C65" s="1671"/>
      <c r="D65" s="1671"/>
      <c r="E65" s="1671"/>
      <c r="F65" s="1671"/>
      <c r="G65" s="784"/>
      <c r="H65" s="784" t="str">
        <f t="shared" si="26"/>
        <v/>
      </c>
      <c r="I65" s="785"/>
      <c r="J65" s="643"/>
      <c r="K65" s="786" t="str">
        <f t="shared" si="27"/>
        <v xml:space="preserve"> </v>
      </c>
      <c r="L65" s="906" t="str">
        <f t="shared" si="24"/>
        <v/>
      </c>
      <c r="M65" s="794"/>
      <c r="N65" s="913"/>
      <c r="O65" s="121"/>
      <c r="P65" s="919" t="str">
        <f ca="1">IF($B65="","",IF(AND($N$13=TRUE,OR($AT65="Remains",$AT65="#2",$AT65="Removed")),"NA",VLOOKUP($H65,INDIRECT('9.6 Table'!$P$338),P$11+N$9,FALSE)))</f>
        <v/>
      </c>
      <c r="Q65" s="767"/>
      <c r="R65" s="768" t="str">
        <f ca="1">IF($B65="","",IF(AND($N$13=TRUE,OR($AT65="Remains",$AT65="#2",$AT65="Removed")),"NA",VLOOKUP($H65,INDIRECT('9.6 Table'!$P$338),R$11+N$9,FALSE)))</f>
        <v/>
      </c>
      <c r="S65" s="767"/>
      <c r="T65" s="768" t="str">
        <f ca="1">IF($B65="","",IF(AND($N$13=TRUE,OR($AT65="Remains",$AT65="#2",$AT65="Removed")),"NA",VLOOKUP($H65,INDIRECT('9.6 Table'!$P$338),T$11+N$9,FALSE)))</f>
        <v/>
      </c>
      <c r="U65" s="767"/>
      <c r="V65" s="768" t="str">
        <f ca="1">IF($B65="","",IF(AND($N$13=TRUE,OR($AT65="Remains",$AT65="#2",$AT65="Removed")),"NA",VLOOKUP($H65,INDIRECT('9.6 Table'!$P$338),V$11+N$9,FALSE)))</f>
        <v/>
      </c>
      <c r="W65" s="767"/>
      <c r="X65" s="768" t="str">
        <f ca="1">IF($B65="","",IF(AND($N$13=TRUE,OR($AT65="Remains",$AT65="#2",$AT65="Removed")),"NA",VLOOKUP($H65,INDIRECT('9.6 Table'!$P$338),X$11+N$9,FALSE)))</f>
        <v/>
      </c>
      <c r="Y65" s="767"/>
      <c r="Z65" s="768" t="str">
        <f ca="1">IF($B65="","",IF(AND($N$13=TRUE,OR($AT65="Remains",$AT65="#2",$AT65="Removed")),"NA",VLOOKUP($H65,INDIRECT('9.6 Table'!$P$338),Z$11+N$9,FALSE)))</f>
        <v/>
      </c>
      <c r="AA65" s="767"/>
      <c r="AB65" s="768" t="str">
        <f ca="1">IF($B65="","",IF(AND($N$13=TRUE,OR($AT65="Remains",$AT65="#2",$AT65="Removed")),"NA",VLOOKUP($H65,INDIRECT('9.6 Table'!$P$338),AB$11+N$9,FALSE)))</f>
        <v/>
      </c>
      <c r="AC65" s="767"/>
      <c r="AD65" s="768" t="str">
        <f ca="1">IF($B65="","",IF(AND($N$13=TRUE,OR($AT65="Remains",$AT65="#2",$AT65="Removed")),"NA",VLOOKUP($H65,INDIRECT('9.6 Table'!$P$338),AD$11+N$9,FALSE)))</f>
        <v/>
      </c>
      <c r="AE65" s="767"/>
      <c r="AF65" s="768" t="str">
        <f ca="1">IF($B65="","",IF(AND($N$13=TRUE,OR($AT65="Remains",$AT65="#2",$AT65="Removed")),"NA",VLOOKUP($H65,INDIRECT('9.6 Table'!$P$338),AF$11+N$9,FALSE)))</f>
        <v/>
      </c>
      <c r="AG65" s="767"/>
      <c r="AH65" s="768" t="str">
        <f ca="1">IF($B65="","",IF(AND($N$13=TRUE,OR($AT65="Remains",$AT65="#2",$AT65="Removed")),"NA",VLOOKUP($H65,INDIRECT('9.6 Table'!$P$338),AH$11+N$9,FALSE)))</f>
        <v/>
      </c>
      <c r="AI65" s="767"/>
      <c r="AJ65" s="768" t="str">
        <f ca="1">IF($B65="","",IF(AND($N$13=TRUE,OR($AT65="Remains",$AT65="#2",$AT65="Removed")),"NA",VLOOKUP($H65,INDIRECT('9.6 Table'!$P$338),AJ$11+N$9,FALSE)))</f>
        <v/>
      </c>
      <c r="AK65" s="767"/>
      <c r="AL65" s="768" t="str">
        <f ca="1">IF($B65="","",IF(AND($N$13=TRUE,OR($AT65="Remains",$AT65="#2",$AT65="Removed")),"NA",VLOOKUP($H65,INDIRECT('9.6 Table'!$P$338),AL$11+N$9,FALSE)))</f>
        <v/>
      </c>
      <c r="AM65" s="767"/>
      <c r="AN65" s="768" t="str">
        <f ca="1">IF($B65="","",IF(AND($N$13=TRUE,OR($AT65="Remains",$AT65="#2",$AT65="Removed")),"NA",VLOOKUP($H65,INDIRECT('9.6 Table'!$P$338),AN$11+N$9,FALSE)))</f>
        <v/>
      </c>
      <c r="AO65" s="764"/>
      <c r="AP65" s="770"/>
      <c r="AQ65" s="921" t="str">
        <f t="shared" si="28"/>
        <v/>
      </c>
      <c r="AT65" s="730" t="str">
        <f t="shared" si="29"/>
        <v>New</v>
      </c>
      <c r="AX65" s="737" t="str">
        <f ca="1">VLOOKUP(H65,'SpxSp (step-a)'!H$22:AB$71,21,FALSE)</f>
        <v/>
      </c>
      <c r="AY65" s="736">
        <f>IFERROR(IF(OR(AP65="",AP65=0),0,HLOOKUP(AX65,'9.6.3 Table'!$D$4:$H$9,1+AP65,FALSE)),0)</f>
        <v>0</v>
      </c>
      <c r="AZ65" s="482">
        <f t="shared" si="30"/>
        <v>0</v>
      </c>
      <c r="BA65" s="327"/>
      <c r="BB65" s="43" t="str">
        <f t="shared" si="31"/>
        <v/>
      </c>
      <c r="BC65" s="43" t="str">
        <f t="shared" si="32"/>
        <v/>
      </c>
      <c r="BH65" s="326">
        <f t="shared" si="33"/>
        <v>0</v>
      </c>
      <c r="BI65" s="326">
        <f t="shared" si="34"/>
        <v>0</v>
      </c>
      <c r="BJ65" s="627">
        <f t="shared" si="35"/>
        <v>0</v>
      </c>
      <c r="BK65" s="627">
        <f t="shared" si="36"/>
        <v>0</v>
      </c>
      <c r="BL65" s="627">
        <f t="shared" si="37"/>
        <v>0</v>
      </c>
      <c r="BM65" s="627">
        <f t="shared" si="38"/>
        <v>0</v>
      </c>
      <c r="BN65" s="627">
        <f t="shared" si="39"/>
        <v>0</v>
      </c>
      <c r="BO65" s="627">
        <f t="shared" si="40"/>
        <v>0</v>
      </c>
      <c r="BP65" s="627">
        <f t="shared" si="41"/>
        <v>0</v>
      </c>
      <c r="BQ65" s="627">
        <f t="shared" si="42"/>
        <v>0</v>
      </c>
      <c r="BR65" s="627">
        <f t="shared" si="43"/>
        <v>0</v>
      </c>
      <c r="BS65" s="627">
        <f t="shared" si="44"/>
        <v>0</v>
      </c>
      <c r="BT65" s="627">
        <f t="shared" si="45"/>
        <v>0</v>
      </c>
      <c r="BU65" s="627">
        <f t="shared" si="46"/>
        <v>0</v>
      </c>
      <c r="BV65" s="627">
        <f t="shared" si="47"/>
        <v>0</v>
      </c>
      <c r="BW65" s="627"/>
      <c r="BX65" s="627">
        <f t="shared" si="23"/>
        <v>0</v>
      </c>
      <c r="BZ65" s="737">
        <v>40</v>
      </c>
      <c r="CA65" s="737" t="str">
        <f t="shared" si="25"/>
        <v>AN</v>
      </c>
      <c r="CB65" s="730">
        <f>ROW()</f>
        <v>65</v>
      </c>
    </row>
    <row r="66" spans="1:80" s="43" customFormat="1" ht="12.75" customHeight="1" x14ac:dyDescent="0.2">
      <c r="A66" s="5">
        <v>41</v>
      </c>
      <c r="B66" s="1670"/>
      <c r="C66" s="1671"/>
      <c r="D66" s="1671"/>
      <c r="E66" s="1671"/>
      <c r="F66" s="1671"/>
      <c r="G66" s="784"/>
      <c r="H66" s="784" t="str">
        <f t="shared" si="26"/>
        <v/>
      </c>
      <c r="I66" s="785"/>
      <c r="J66" s="643"/>
      <c r="K66" s="786" t="str">
        <f t="shared" si="27"/>
        <v xml:space="preserve"> </v>
      </c>
      <c r="L66" s="906" t="str">
        <f t="shared" si="24"/>
        <v/>
      </c>
      <c r="M66" s="794"/>
      <c r="N66" s="913"/>
      <c r="O66" s="121"/>
      <c r="P66" s="919" t="str">
        <f ca="1">IF($B66="","",IF(AND($N$13=TRUE,OR($AT66="Remains",$AT66="#2",$AT66="Removed")),"NA",VLOOKUP($H66,INDIRECT('9.6 Table'!$P$338),P$11+N$9,FALSE)))</f>
        <v/>
      </c>
      <c r="Q66" s="767"/>
      <c r="R66" s="768" t="str">
        <f ca="1">IF($B66="","",IF(AND($N$13=TRUE,OR($AT66="Remains",$AT66="#2",$AT66="Removed")),"NA",VLOOKUP($H66,INDIRECT('9.6 Table'!$P$338),R$11+N$9,FALSE)))</f>
        <v/>
      </c>
      <c r="S66" s="767"/>
      <c r="T66" s="768" t="str">
        <f ca="1">IF($B66="","",IF(AND($N$13=TRUE,OR($AT66="Remains",$AT66="#2",$AT66="Removed")),"NA",VLOOKUP($H66,INDIRECT('9.6 Table'!$P$338),T$11+N$9,FALSE)))</f>
        <v/>
      </c>
      <c r="U66" s="767"/>
      <c r="V66" s="768" t="str">
        <f ca="1">IF($B66="","",IF(AND($N$13=TRUE,OR($AT66="Remains",$AT66="#2",$AT66="Removed")),"NA",VLOOKUP($H66,INDIRECT('9.6 Table'!$P$338),V$11+N$9,FALSE)))</f>
        <v/>
      </c>
      <c r="W66" s="767"/>
      <c r="X66" s="768" t="str">
        <f ca="1">IF($B66="","",IF(AND($N$13=TRUE,OR($AT66="Remains",$AT66="#2",$AT66="Removed")),"NA",VLOOKUP($H66,INDIRECT('9.6 Table'!$P$338),X$11+N$9,FALSE)))</f>
        <v/>
      </c>
      <c r="Y66" s="767"/>
      <c r="Z66" s="768" t="str">
        <f ca="1">IF($B66="","",IF(AND($N$13=TRUE,OR($AT66="Remains",$AT66="#2",$AT66="Removed")),"NA",VLOOKUP($H66,INDIRECT('9.6 Table'!$P$338),Z$11+N$9,FALSE)))</f>
        <v/>
      </c>
      <c r="AA66" s="767"/>
      <c r="AB66" s="768" t="str">
        <f ca="1">IF($B66="","",IF(AND($N$13=TRUE,OR($AT66="Remains",$AT66="#2",$AT66="Removed")),"NA",VLOOKUP($H66,INDIRECT('9.6 Table'!$P$338),AB$11+N$9,FALSE)))</f>
        <v/>
      </c>
      <c r="AC66" s="767"/>
      <c r="AD66" s="768" t="str">
        <f ca="1">IF($B66="","",IF(AND($N$13=TRUE,OR($AT66="Remains",$AT66="#2",$AT66="Removed")),"NA",VLOOKUP($H66,INDIRECT('9.6 Table'!$P$338),AD$11+N$9,FALSE)))</f>
        <v/>
      </c>
      <c r="AE66" s="767"/>
      <c r="AF66" s="768" t="str">
        <f ca="1">IF($B66="","",IF(AND($N$13=TRUE,OR($AT66="Remains",$AT66="#2",$AT66="Removed")),"NA",VLOOKUP($H66,INDIRECT('9.6 Table'!$P$338),AF$11+N$9,FALSE)))</f>
        <v/>
      </c>
      <c r="AG66" s="767"/>
      <c r="AH66" s="768" t="str">
        <f ca="1">IF($B66="","",IF(AND($N$13=TRUE,OR($AT66="Remains",$AT66="#2",$AT66="Removed")),"NA",VLOOKUP($H66,INDIRECT('9.6 Table'!$P$338),AH$11+N$9,FALSE)))</f>
        <v/>
      </c>
      <c r="AI66" s="767"/>
      <c r="AJ66" s="768" t="str">
        <f ca="1">IF($B66="","",IF(AND($N$13=TRUE,OR($AT66="Remains",$AT66="#2",$AT66="Removed")),"NA",VLOOKUP($H66,INDIRECT('9.6 Table'!$P$338),AJ$11+N$9,FALSE)))</f>
        <v/>
      </c>
      <c r="AK66" s="767"/>
      <c r="AL66" s="768" t="str">
        <f ca="1">IF($B66="","",IF(AND($N$13=TRUE,OR($AT66="Remains",$AT66="#2",$AT66="Removed")),"NA",VLOOKUP($H66,INDIRECT('9.6 Table'!$P$338),AL$11+N$9,FALSE)))</f>
        <v/>
      </c>
      <c r="AM66" s="767"/>
      <c r="AN66" s="768" t="str">
        <f ca="1">IF($B66="","",IF(AND($N$13=TRUE,OR($AT66="Remains",$AT66="#2",$AT66="Removed")),"NA",VLOOKUP($H66,INDIRECT('9.6 Table'!$P$338),AN$11+N$9,FALSE)))</f>
        <v/>
      </c>
      <c r="AO66" s="764"/>
      <c r="AP66" s="770"/>
      <c r="AQ66" s="921" t="str">
        <f t="shared" si="28"/>
        <v/>
      </c>
      <c r="AT66" s="730" t="str">
        <f t="shared" si="29"/>
        <v>New</v>
      </c>
      <c r="AX66" s="737" t="str">
        <f ca="1">VLOOKUP(H66,'SpxSp (step-a)'!H$22:AB$71,21,FALSE)</f>
        <v/>
      </c>
      <c r="AY66" s="736">
        <f>IFERROR(IF(OR(AP66="",AP66=0),0,HLOOKUP(AX66,'9.6.3 Table'!$D$4:$H$9,1+AP66,FALSE)),0)</f>
        <v>0</v>
      </c>
      <c r="AZ66" s="482">
        <f t="shared" si="30"/>
        <v>0</v>
      </c>
      <c r="BA66" s="327"/>
      <c r="BB66" s="43" t="str">
        <f t="shared" si="31"/>
        <v/>
      </c>
      <c r="BC66" s="43" t="str">
        <f t="shared" si="32"/>
        <v/>
      </c>
      <c r="BH66" s="326">
        <f t="shared" si="33"/>
        <v>0</v>
      </c>
      <c r="BI66" s="326">
        <f t="shared" si="34"/>
        <v>0</v>
      </c>
      <c r="BJ66" s="627">
        <f t="shared" si="35"/>
        <v>0</v>
      </c>
      <c r="BK66" s="627">
        <f t="shared" si="36"/>
        <v>0</v>
      </c>
      <c r="BL66" s="627">
        <f t="shared" si="37"/>
        <v>0</v>
      </c>
      <c r="BM66" s="627">
        <f t="shared" si="38"/>
        <v>0</v>
      </c>
      <c r="BN66" s="627">
        <f t="shared" si="39"/>
        <v>0</v>
      </c>
      <c r="BO66" s="627">
        <f t="shared" si="40"/>
        <v>0</v>
      </c>
      <c r="BP66" s="627">
        <f t="shared" si="41"/>
        <v>0</v>
      </c>
      <c r="BQ66" s="627">
        <f t="shared" si="42"/>
        <v>0</v>
      </c>
      <c r="BR66" s="627">
        <f t="shared" si="43"/>
        <v>0</v>
      </c>
      <c r="BS66" s="627">
        <f t="shared" si="44"/>
        <v>0</v>
      </c>
      <c r="BT66" s="627">
        <f t="shared" si="45"/>
        <v>0</v>
      </c>
      <c r="BU66" s="627">
        <f t="shared" si="46"/>
        <v>0</v>
      </c>
      <c r="BV66" s="627">
        <f t="shared" si="47"/>
        <v>0</v>
      </c>
      <c r="BW66" s="627"/>
      <c r="BX66" s="627">
        <f t="shared" si="23"/>
        <v>0</v>
      </c>
      <c r="BZ66" s="737">
        <v>41</v>
      </c>
      <c r="CA66" s="737" t="str">
        <f t="shared" si="25"/>
        <v>AO</v>
      </c>
      <c r="CB66" s="730">
        <f>ROW()</f>
        <v>66</v>
      </c>
    </row>
    <row r="67" spans="1:80" s="43" customFormat="1" ht="12.75" customHeight="1" x14ac:dyDescent="0.2">
      <c r="A67" s="5">
        <v>42</v>
      </c>
      <c r="B67" s="1670"/>
      <c r="C67" s="1671"/>
      <c r="D67" s="1671"/>
      <c r="E67" s="1671"/>
      <c r="F67" s="1671"/>
      <c r="G67" s="784"/>
      <c r="H67" s="784" t="str">
        <f t="shared" si="26"/>
        <v/>
      </c>
      <c r="I67" s="785"/>
      <c r="J67" s="643"/>
      <c r="K67" s="786" t="str">
        <f t="shared" si="27"/>
        <v xml:space="preserve"> </v>
      </c>
      <c r="L67" s="906" t="str">
        <f t="shared" si="24"/>
        <v/>
      </c>
      <c r="M67" s="794"/>
      <c r="N67" s="913"/>
      <c r="O67" s="121"/>
      <c r="P67" s="919" t="str">
        <f ca="1">IF($B67="","",IF(AND($N$13=TRUE,OR($AT67="Remains",$AT67="#2",$AT67="Removed")),"NA",VLOOKUP($H67,INDIRECT('9.6 Table'!$P$338),P$11+N$9,FALSE)))</f>
        <v/>
      </c>
      <c r="Q67" s="767"/>
      <c r="R67" s="768" t="str">
        <f ca="1">IF($B67="","",IF(AND($N$13=TRUE,OR($AT67="Remains",$AT67="#2",$AT67="Removed")),"NA",VLOOKUP($H67,INDIRECT('9.6 Table'!$P$338),R$11+N$9,FALSE)))</f>
        <v/>
      </c>
      <c r="S67" s="767"/>
      <c r="T67" s="768" t="str">
        <f ca="1">IF($B67="","",IF(AND($N$13=TRUE,OR($AT67="Remains",$AT67="#2",$AT67="Removed")),"NA",VLOOKUP($H67,INDIRECT('9.6 Table'!$P$338),T$11+N$9,FALSE)))</f>
        <v/>
      </c>
      <c r="U67" s="767"/>
      <c r="V67" s="768" t="str">
        <f ca="1">IF($B67="","",IF(AND($N$13=TRUE,OR($AT67="Remains",$AT67="#2",$AT67="Removed")),"NA",VLOOKUP($H67,INDIRECT('9.6 Table'!$P$338),V$11+N$9,FALSE)))</f>
        <v/>
      </c>
      <c r="W67" s="767"/>
      <c r="X67" s="768" t="str">
        <f ca="1">IF($B67="","",IF(AND($N$13=TRUE,OR($AT67="Remains",$AT67="#2",$AT67="Removed")),"NA",VLOOKUP($H67,INDIRECT('9.6 Table'!$P$338),X$11+N$9,FALSE)))</f>
        <v/>
      </c>
      <c r="Y67" s="767"/>
      <c r="Z67" s="768" t="str">
        <f ca="1">IF($B67="","",IF(AND($N$13=TRUE,OR($AT67="Remains",$AT67="#2",$AT67="Removed")),"NA",VLOOKUP($H67,INDIRECT('9.6 Table'!$P$338),Z$11+N$9,FALSE)))</f>
        <v/>
      </c>
      <c r="AA67" s="767"/>
      <c r="AB67" s="768" t="str">
        <f ca="1">IF($B67="","",IF(AND($N$13=TRUE,OR($AT67="Remains",$AT67="#2",$AT67="Removed")),"NA",VLOOKUP($H67,INDIRECT('9.6 Table'!$P$338),AB$11+N$9,FALSE)))</f>
        <v/>
      </c>
      <c r="AC67" s="767"/>
      <c r="AD67" s="768" t="str">
        <f ca="1">IF($B67="","",IF(AND($N$13=TRUE,OR($AT67="Remains",$AT67="#2",$AT67="Removed")),"NA",VLOOKUP($H67,INDIRECT('9.6 Table'!$P$338),AD$11+N$9,FALSE)))</f>
        <v/>
      </c>
      <c r="AE67" s="767"/>
      <c r="AF67" s="768" t="str">
        <f ca="1">IF($B67="","",IF(AND($N$13=TRUE,OR($AT67="Remains",$AT67="#2",$AT67="Removed")),"NA",VLOOKUP($H67,INDIRECT('9.6 Table'!$P$338),AF$11+N$9,FALSE)))</f>
        <v/>
      </c>
      <c r="AG67" s="767"/>
      <c r="AH67" s="768" t="str">
        <f ca="1">IF($B67="","",IF(AND($N$13=TRUE,OR($AT67="Remains",$AT67="#2",$AT67="Removed")),"NA",VLOOKUP($H67,INDIRECT('9.6 Table'!$P$338),AH$11+N$9,FALSE)))</f>
        <v/>
      </c>
      <c r="AI67" s="767"/>
      <c r="AJ67" s="768" t="str">
        <f ca="1">IF($B67="","",IF(AND($N$13=TRUE,OR($AT67="Remains",$AT67="#2",$AT67="Removed")),"NA",VLOOKUP($H67,INDIRECT('9.6 Table'!$P$338),AJ$11+N$9,FALSE)))</f>
        <v/>
      </c>
      <c r="AK67" s="767"/>
      <c r="AL67" s="768" t="str">
        <f ca="1">IF($B67="","",IF(AND($N$13=TRUE,OR($AT67="Remains",$AT67="#2",$AT67="Removed")),"NA",VLOOKUP($H67,INDIRECT('9.6 Table'!$P$338),AL$11+N$9,FALSE)))</f>
        <v/>
      </c>
      <c r="AM67" s="767"/>
      <c r="AN67" s="768" t="str">
        <f ca="1">IF($B67="","",IF(AND($N$13=TRUE,OR($AT67="Remains",$AT67="#2",$AT67="Removed")),"NA",VLOOKUP($H67,INDIRECT('9.6 Table'!$P$338),AN$11+N$9,FALSE)))</f>
        <v/>
      </c>
      <c r="AO67" s="764"/>
      <c r="AP67" s="770"/>
      <c r="AQ67" s="921" t="str">
        <f t="shared" si="28"/>
        <v/>
      </c>
      <c r="AT67" s="730" t="str">
        <f t="shared" si="29"/>
        <v>New</v>
      </c>
      <c r="AX67" s="737" t="str">
        <f ca="1">VLOOKUP(H67,'SpxSp (step-a)'!H$22:AB$71,21,FALSE)</f>
        <v/>
      </c>
      <c r="AY67" s="736">
        <f>IFERROR(IF(OR(AP67="",AP67=0),0,HLOOKUP(AX67,'9.6.3 Table'!$D$4:$H$9,1+AP67,FALSE)),0)</f>
        <v>0</v>
      </c>
      <c r="AZ67" s="482">
        <f t="shared" si="30"/>
        <v>0</v>
      </c>
      <c r="BA67" s="327"/>
      <c r="BB67" s="43" t="str">
        <f t="shared" si="31"/>
        <v/>
      </c>
      <c r="BC67" s="43" t="str">
        <f t="shared" si="32"/>
        <v/>
      </c>
      <c r="BH67" s="326">
        <f t="shared" si="33"/>
        <v>0</v>
      </c>
      <c r="BI67" s="326">
        <f t="shared" si="34"/>
        <v>0</v>
      </c>
      <c r="BJ67" s="627">
        <f t="shared" si="35"/>
        <v>0</v>
      </c>
      <c r="BK67" s="627">
        <f t="shared" si="36"/>
        <v>0</v>
      </c>
      <c r="BL67" s="627">
        <f t="shared" si="37"/>
        <v>0</v>
      </c>
      <c r="BM67" s="627">
        <f t="shared" si="38"/>
        <v>0</v>
      </c>
      <c r="BN67" s="627">
        <f t="shared" si="39"/>
        <v>0</v>
      </c>
      <c r="BO67" s="627">
        <f t="shared" si="40"/>
        <v>0</v>
      </c>
      <c r="BP67" s="627">
        <f t="shared" si="41"/>
        <v>0</v>
      </c>
      <c r="BQ67" s="627">
        <f t="shared" si="42"/>
        <v>0</v>
      </c>
      <c r="BR67" s="627">
        <f t="shared" si="43"/>
        <v>0</v>
      </c>
      <c r="BS67" s="627">
        <f t="shared" si="44"/>
        <v>0</v>
      </c>
      <c r="BT67" s="627">
        <f t="shared" si="45"/>
        <v>0</v>
      </c>
      <c r="BU67" s="627">
        <f t="shared" si="46"/>
        <v>0</v>
      </c>
      <c r="BV67" s="627">
        <f t="shared" si="47"/>
        <v>0</v>
      </c>
      <c r="BW67" s="627"/>
      <c r="BX67" s="627">
        <f t="shared" si="23"/>
        <v>0</v>
      </c>
      <c r="BZ67" s="737">
        <v>42</v>
      </c>
      <c r="CA67" s="737" t="str">
        <f t="shared" si="25"/>
        <v>AP</v>
      </c>
      <c r="CB67" s="730">
        <f>ROW()</f>
        <v>67</v>
      </c>
    </row>
    <row r="68" spans="1:80" s="43" customFormat="1" ht="12.75" customHeight="1" x14ac:dyDescent="0.2">
      <c r="A68" s="5">
        <v>43</v>
      </c>
      <c r="B68" s="1670"/>
      <c r="C68" s="1671"/>
      <c r="D68" s="1671"/>
      <c r="E68" s="1671"/>
      <c r="F68" s="1671"/>
      <c r="G68" s="784"/>
      <c r="H68" s="784" t="str">
        <f t="shared" si="26"/>
        <v/>
      </c>
      <c r="I68" s="785"/>
      <c r="J68" s="643"/>
      <c r="K68" s="786" t="str">
        <f t="shared" si="27"/>
        <v xml:space="preserve"> </v>
      </c>
      <c r="L68" s="906" t="str">
        <f t="shared" si="24"/>
        <v/>
      </c>
      <c r="M68" s="794"/>
      <c r="N68" s="913"/>
      <c r="O68" s="121"/>
      <c r="P68" s="919" t="str">
        <f ca="1">IF($B68="","",IF(AND($N$13=TRUE,OR($AT68="Remains",$AT68="#2",$AT68="Removed")),"NA",VLOOKUP($H68,INDIRECT('9.6 Table'!$P$338),P$11+N$9,FALSE)))</f>
        <v/>
      </c>
      <c r="Q68" s="767"/>
      <c r="R68" s="768" t="str">
        <f ca="1">IF($B68="","",IF(AND($N$13=TRUE,OR($AT68="Remains",$AT68="#2",$AT68="Removed")),"NA",VLOOKUP($H68,INDIRECT('9.6 Table'!$P$338),R$11+N$9,FALSE)))</f>
        <v/>
      </c>
      <c r="S68" s="767"/>
      <c r="T68" s="768" t="str">
        <f ca="1">IF($B68="","",IF(AND($N$13=TRUE,OR($AT68="Remains",$AT68="#2",$AT68="Removed")),"NA",VLOOKUP($H68,INDIRECT('9.6 Table'!$P$338),T$11+N$9,FALSE)))</f>
        <v/>
      </c>
      <c r="U68" s="767"/>
      <c r="V68" s="768" t="str">
        <f ca="1">IF($B68="","",IF(AND($N$13=TRUE,OR($AT68="Remains",$AT68="#2",$AT68="Removed")),"NA",VLOOKUP($H68,INDIRECT('9.6 Table'!$P$338),V$11+N$9,FALSE)))</f>
        <v/>
      </c>
      <c r="W68" s="767"/>
      <c r="X68" s="768" t="str">
        <f ca="1">IF($B68="","",IF(AND($N$13=TRUE,OR($AT68="Remains",$AT68="#2",$AT68="Removed")),"NA",VLOOKUP($H68,INDIRECT('9.6 Table'!$P$338),X$11+N$9,FALSE)))</f>
        <v/>
      </c>
      <c r="Y68" s="767"/>
      <c r="Z68" s="768" t="str">
        <f ca="1">IF($B68="","",IF(AND($N$13=TRUE,OR($AT68="Remains",$AT68="#2",$AT68="Removed")),"NA",VLOOKUP($H68,INDIRECT('9.6 Table'!$P$338),Z$11+N$9,FALSE)))</f>
        <v/>
      </c>
      <c r="AA68" s="767"/>
      <c r="AB68" s="768" t="str">
        <f ca="1">IF($B68="","",IF(AND($N$13=TRUE,OR($AT68="Remains",$AT68="#2",$AT68="Removed")),"NA",VLOOKUP($H68,INDIRECT('9.6 Table'!$P$338),AB$11+N$9,FALSE)))</f>
        <v/>
      </c>
      <c r="AC68" s="767"/>
      <c r="AD68" s="768" t="str">
        <f ca="1">IF($B68="","",IF(AND($N$13=TRUE,OR($AT68="Remains",$AT68="#2",$AT68="Removed")),"NA",VLOOKUP($H68,INDIRECT('9.6 Table'!$P$338),AD$11+N$9,FALSE)))</f>
        <v/>
      </c>
      <c r="AE68" s="767"/>
      <c r="AF68" s="768" t="str">
        <f ca="1">IF($B68="","",IF(AND($N$13=TRUE,OR($AT68="Remains",$AT68="#2",$AT68="Removed")),"NA",VLOOKUP($H68,INDIRECT('9.6 Table'!$P$338),AF$11+N$9,FALSE)))</f>
        <v/>
      </c>
      <c r="AG68" s="767"/>
      <c r="AH68" s="768" t="str">
        <f ca="1">IF($B68="","",IF(AND($N$13=TRUE,OR($AT68="Remains",$AT68="#2",$AT68="Removed")),"NA",VLOOKUP($H68,INDIRECT('9.6 Table'!$P$338),AH$11+N$9,FALSE)))</f>
        <v/>
      </c>
      <c r="AI68" s="767"/>
      <c r="AJ68" s="768" t="str">
        <f ca="1">IF($B68="","",IF(AND($N$13=TRUE,OR($AT68="Remains",$AT68="#2",$AT68="Removed")),"NA",VLOOKUP($H68,INDIRECT('9.6 Table'!$P$338),AJ$11+N$9,FALSE)))</f>
        <v/>
      </c>
      <c r="AK68" s="767"/>
      <c r="AL68" s="768" t="str">
        <f ca="1">IF($B68="","",IF(AND($N$13=TRUE,OR($AT68="Remains",$AT68="#2",$AT68="Removed")),"NA",VLOOKUP($H68,INDIRECT('9.6 Table'!$P$338),AL$11+N$9,FALSE)))</f>
        <v/>
      </c>
      <c r="AM68" s="767"/>
      <c r="AN68" s="768" t="str">
        <f ca="1">IF($B68="","",IF(AND($N$13=TRUE,OR($AT68="Remains",$AT68="#2",$AT68="Removed")),"NA",VLOOKUP($H68,INDIRECT('9.6 Table'!$P$338),AN$11+N$9,FALSE)))</f>
        <v/>
      </c>
      <c r="AO68" s="764"/>
      <c r="AP68" s="770"/>
      <c r="AQ68" s="921" t="str">
        <f t="shared" si="28"/>
        <v/>
      </c>
      <c r="AT68" s="730" t="str">
        <f t="shared" si="29"/>
        <v>New</v>
      </c>
      <c r="AX68" s="737" t="str">
        <f ca="1">VLOOKUP(H68,'SpxSp (step-a)'!H$22:AB$71,21,FALSE)</f>
        <v/>
      </c>
      <c r="AY68" s="736">
        <f>IFERROR(IF(OR(AP68="",AP68=0),0,HLOOKUP(AX68,'9.6.3 Table'!$D$4:$H$9,1+AP68,FALSE)),0)</f>
        <v>0</v>
      </c>
      <c r="AZ68" s="482">
        <f t="shared" si="30"/>
        <v>0</v>
      </c>
      <c r="BA68" s="327"/>
      <c r="BB68" s="43" t="str">
        <f t="shared" si="31"/>
        <v/>
      </c>
      <c r="BC68" s="43" t="str">
        <f t="shared" si="32"/>
        <v/>
      </c>
      <c r="BH68" s="326">
        <f t="shared" si="33"/>
        <v>0</v>
      </c>
      <c r="BI68" s="326">
        <f t="shared" si="34"/>
        <v>0</v>
      </c>
      <c r="BJ68" s="627">
        <f t="shared" si="35"/>
        <v>0</v>
      </c>
      <c r="BK68" s="627">
        <f t="shared" si="36"/>
        <v>0</v>
      </c>
      <c r="BL68" s="627">
        <f t="shared" si="37"/>
        <v>0</v>
      </c>
      <c r="BM68" s="627">
        <f t="shared" si="38"/>
        <v>0</v>
      </c>
      <c r="BN68" s="627">
        <f t="shared" si="39"/>
        <v>0</v>
      </c>
      <c r="BO68" s="627">
        <f t="shared" si="40"/>
        <v>0</v>
      </c>
      <c r="BP68" s="627">
        <f t="shared" si="41"/>
        <v>0</v>
      </c>
      <c r="BQ68" s="627">
        <f t="shared" si="42"/>
        <v>0</v>
      </c>
      <c r="BR68" s="627">
        <f t="shared" si="43"/>
        <v>0</v>
      </c>
      <c r="BS68" s="627">
        <f t="shared" si="44"/>
        <v>0</v>
      </c>
      <c r="BT68" s="627">
        <f t="shared" si="45"/>
        <v>0</v>
      </c>
      <c r="BU68" s="627">
        <f t="shared" si="46"/>
        <v>0</v>
      </c>
      <c r="BV68" s="627">
        <f t="shared" si="47"/>
        <v>0</v>
      </c>
      <c r="BW68" s="627"/>
      <c r="BX68" s="627">
        <f t="shared" si="23"/>
        <v>0</v>
      </c>
      <c r="BZ68" s="737">
        <v>43</v>
      </c>
      <c r="CA68" s="737" t="str">
        <f t="shared" si="25"/>
        <v>AQ</v>
      </c>
      <c r="CB68" s="730">
        <f>ROW()</f>
        <v>68</v>
      </c>
    </row>
    <row r="69" spans="1:80" s="43" customFormat="1" ht="12.75" customHeight="1" x14ac:dyDescent="0.2">
      <c r="A69" s="5">
        <v>44</v>
      </c>
      <c r="B69" s="1670"/>
      <c r="C69" s="1671"/>
      <c r="D69" s="1671"/>
      <c r="E69" s="1671"/>
      <c r="F69" s="1671"/>
      <c r="G69" s="784"/>
      <c r="H69" s="784" t="str">
        <f t="shared" si="26"/>
        <v/>
      </c>
      <c r="I69" s="785"/>
      <c r="J69" s="643"/>
      <c r="K69" s="786" t="str">
        <f t="shared" si="27"/>
        <v xml:space="preserve"> </v>
      </c>
      <c r="L69" s="906" t="str">
        <f t="shared" si="24"/>
        <v/>
      </c>
      <c r="M69" s="794"/>
      <c r="N69" s="913"/>
      <c r="O69" s="121"/>
      <c r="P69" s="919" t="str">
        <f ca="1">IF($B69="","",IF(AND($N$13=TRUE,OR($AT69="Remains",$AT69="#2",$AT69="Removed")),"NA",VLOOKUP($H69,INDIRECT('9.6 Table'!$P$338),P$11+N$9,FALSE)))</f>
        <v/>
      </c>
      <c r="Q69" s="767"/>
      <c r="R69" s="768" t="str">
        <f ca="1">IF($B69="","",IF(AND($N$13=TRUE,OR($AT69="Remains",$AT69="#2",$AT69="Removed")),"NA",VLOOKUP($H69,INDIRECT('9.6 Table'!$P$338),R$11+N$9,FALSE)))</f>
        <v/>
      </c>
      <c r="S69" s="767"/>
      <c r="T69" s="768" t="str">
        <f ca="1">IF($B69="","",IF(AND($N$13=TRUE,OR($AT69="Remains",$AT69="#2",$AT69="Removed")),"NA",VLOOKUP($H69,INDIRECT('9.6 Table'!$P$338),T$11+N$9,FALSE)))</f>
        <v/>
      </c>
      <c r="U69" s="767"/>
      <c r="V69" s="768" t="str">
        <f ca="1">IF($B69="","",IF(AND($N$13=TRUE,OR($AT69="Remains",$AT69="#2",$AT69="Removed")),"NA",VLOOKUP($H69,INDIRECT('9.6 Table'!$P$338),V$11+N$9,FALSE)))</f>
        <v/>
      </c>
      <c r="W69" s="767"/>
      <c r="X69" s="768" t="str">
        <f ca="1">IF($B69="","",IF(AND($N$13=TRUE,OR($AT69="Remains",$AT69="#2",$AT69="Removed")),"NA",VLOOKUP($H69,INDIRECT('9.6 Table'!$P$338),X$11+N$9,FALSE)))</f>
        <v/>
      </c>
      <c r="Y69" s="767"/>
      <c r="Z69" s="768" t="str">
        <f ca="1">IF($B69="","",IF(AND($N$13=TRUE,OR($AT69="Remains",$AT69="#2",$AT69="Removed")),"NA",VLOOKUP($H69,INDIRECT('9.6 Table'!$P$338),Z$11+N$9,FALSE)))</f>
        <v/>
      </c>
      <c r="AA69" s="767"/>
      <c r="AB69" s="768" t="str">
        <f ca="1">IF($B69="","",IF(AND($N$13=TRUE,OR($AT69="Remains",$AT69="#2",$AT69="Removed")),"NA",VLOOKUP($H69,INDIRECT('9.6 Table'!$P$338),AB$11+N$9,FALSE)))</f>
        <v/>
      </c>
      <c r="AC69" s="767"/>
      <c r="AD69" s="768" t="str">
        <f ca="1">IF($B69="","",IF(AND($N$13=TRUE,OR($AT69="Remains",$AT69="#2",$AT69="Removed")),"NA",VLOOKUP($H69,INDIRECT('9.6 Table'!$P$338),AD$11+N$9,FALSE)))</f>
        <v/>
      </c>
      <c r="AE69" s="767"/>
      <c r="AF69" s="768" t="str">
        <f ca="1">IF($B69="","",IF(AND($N$13=TRUE,OR($AT69="Remains",$AT69="#2",$AT69="Removed")),"NA",VLOOKUP($H69,INDIRECT('9.6 Table'!$P$338),AF$11+N$9,FALSE)))</f>
        <v/>
      </c>
      <c r="AG69" s="767"/>
      <c r="AH69" s="768" t="str">
        <f ca="1">IF($B69="","",IF(AND($N$13=TRUE,OR($AT69="Remains",$AT69="#2",$AT69="Removed")),"NA",VLOOKUP($H69,INDIRECT('9.6 Table'!$P$338),AH$11+N$9,FALSE)))</f>
        <v/>
      </c>
      <c r="AI69" s="767"/>
      <c r="AJ69" s="768" t="str">
        <f ca="1">IF($B69="","",IF(AND($N$13=TRUE,OR($AT69="Remains",$AT69="#2",$AT69="Removed")),"NA",VLOOKUP($H69,INDIRECT('9.6 Table'!$P$338),AJ$11+N$9,FALSE)))</f>
        <v/>
      </c>
      <c r="AK69" s="767"/>
      <c r="AL69" s="768" t="str">
        <f ca="1">IF($B69="","",IF(AND($N$13=TRUE,OR($AT69="Remains",$AT69="#2",$AT69="Removed")),"NA",VLOOKUP($H69,INDIRECT('9.6 Table'!$P$338),AL$11+N$9,FALSE)))</f>
        <v/>
      </c>
      <c r="AM69" s="767"/>
      <c r="AN69" s="768" t="str">
        <f ca="1">IF($B69="","",IF(AND($N$13=TRUE,OR($AT69="Remains",$AT69="#2",$AT69="Removed")),"NA",VLOOKUP($H69,INDIRECT('9.6 Table'!$P$338),AN$11+N$9,FALSE)))</f>
        <v/>
      </c>
      <c r="AO69" s="764"/>
      <c r="AP69" s="770"/>
      <c r="AQ69" s="921" t="str">
        <f t="shared" si="28"/>
        <v/>
      </c>
      <c r="AT69" s="730" t="str">
        <f t="shared" si="29"/>
        <v>New</v>
      </c>
      <c r="AX69" s="737" t="str">
        <f ca="1">VLOOKUP(H69,'SpxSp (step-a)'!H$22:AB$71,21,FALSE)</f>
        <v/>
      </c>
      <c r="AY69" s="736">
        <f>IFERROR(IF(OR(AP69="",AP69=0),0,HLOOKUP(AX69,'9.6.3 Table'!$D$4:$H$9,1+AP69,FALSE)),0)</f>
        <v>0</v>
      </c>
      <c r="AZ69" s="482">
        <f t="shared" si="30"/>
        <v>0</v>
      </c>
      <c r="BA69" s="327"/>
      <c r="BB69" s="43" t="str">
        <f t="shared" si="31"/>
        <v/>
      </c>
      <c r="BC69" s="43" t="str">
        <f t="shared" si="32"/>
        <v/>
      </c>
      <c r="BH69" s="326">
        <f t="shared" si="33"/>
        <v>0</v>
      </c>
      <c r="BI69" s="326">
        <f t="shared" si="34"/>
        <v>0</v>
      </c>
      <c r="BJ69" s="627">
        <f t="shared" si="35"/>
        <v>0</v>
      </c>
      <c r="BK69" s="627">
        <f t="shared" si="36"/>
        <v>0</v>
      </c>
      <c r="BL69" s="627">
        <f t="shared" si="37"/>
        <v>0</v>
      </c>
      <c r="BM69" s="627">
        <f t="shared" si="38"/>
        <v>0</v>
      </c>
      <c r="BN69" s="627">
        <f t="shared" si="39"/>
        <v>0</v>
      </c>
      <c r="BO69" s="627">
        <f t="shared" si="40"/>
        <v>0</v>
      </c>
      <c r="BP69" s="627">
        <f t="shared" si="41"/>
        <v>0</v>
      </c>
      <c r="BQ69" s="627">
        <f t="shared" si="42"/>
        <v>0</v>
      </c>
      <c r="BR69" s="627">
        <f t="shared" si="43"/>
        <v>0</v>
      </c>
      <c r="BS69" s="627">
        <f t="shared" si="44"/>
        <v>0</v>
      </c>
      <c r="BT69" s="627">
        <f t="shared" si="45"/>
        <v>0</v>
      </c>
      <c r="BU69" s="627">
        <f t="shared" si="46"/>
        <v>0</v>
      </c>
      <c r="BV69" s="627">
        <f t="shared" si="47"/>
        <v>0</v>
      </c>
      <c r="BW69" s="627"/>
      <c r="BX69" s="627">
        <f t="shared" si="23"/>
        <v>0</v>
      </c>
      <c r="BZ69" s="737">
        <v>44</v>
      </c>
      <c r="CA69" s="737" t="str">
        <f t="shared" si="25"/>
        <v>AR</v>
      </c>
      <c r="CB69" s="730">
        <f>ROW()</f>
        <v>69</v>
      </c>
    </row>
    <row r="70" spans="1:80" s="43" customFormat="1" ht="12.75" customHeight="1" x14ac:dyDescent="0.2">
      <c r="A70" s="5">
        <v>45</v>
      </c>
      <c r="B70" s="1670"/>
      <c r="C70" s="1671"/>
      <c r="D70" s="1671"/>
      <c r="E70" s="1671"/>
      <c r="F70" s="1671"/>
      <c r="G70" s="784"/>
      <c r="H70" s="784" t="str">
        <f t="shared" si="26"/>
        <v/>
      </c>
      <c r="I70" s="785"/>
      <c r="J70" s="643"/>
      <c r="K70" s="786" t="str">
        <f t="shared" si="27"/>
        <v xml:space="preserve"> </v>
      </c>
      <c r="L70" s="906" t="str">
        <f t="shared" si="24"/>
        <v/>
      </c>
      <c r="M70" s="794"/>
      <c r="N70" s="913"/>
      <c r="O70" s="121"/>
      <c r="P70" s="919" t="str">
        <f ca="1">IF($B70="","",IF(AND($N$13=TRUE,OR($AT70="Remains",$AT70="#2",$AT70="Removed")),"NA",VLOOKUP($H70,INDIRECT('9.6 Table'!$P$338),P$11+N$9,FALSE)))</f>
        <v/>
      </c>
      <c r="Q70" s="767"/>
      <c r="R70" s="768" t="str">
        <f ca="1">IF($B70="","",IF(AND($N$13=TRUE,OR($AT70="Remains",$AT70="#2",$AT70="Removed")),"NA",VLOOKUP($H70,INDIRECT('9.6 Table'!$P$338),R$11+N$9,FALSE)))</f>
        <v/>
      </c>
      <c r="S70" s="767"/>
      <c r="T70" s="768" t="str">
        <f ca="1">IF($B70="","",IF(AND($N$13=TRUE,OR($AT70="Remains",$AT70="#2",$AT70="Removed")),"NA",VLOOKUP($H70,INDIRECT('9.6 Table'!$P$338),T$11+N$9,FALSE)))</f>
        <v/>
      </c>
      <c r="U70" s="767"/>
      <c r="V70" s="768" t="str">
        <f ca="1">IF($B70="","",IF(AND($N$13=TRUE,OR($AT70="Remains",$AT70="#2",$AT70="Removed")),"NA",VLOOKUP($H70,INDIRECT('9.6 Table'!$P$338),V$11+N$9,FALSE)))</f>
        <v/>
      </c>
      <c r="W70" s="767"/>
      <c r="X70" s="768" t="str">
        <f ca="1">IF($B70="","",IF(AND($N$13=TRUE,OR($AT70="Remains",$AT70="#2",$AT70="Removed")),"NA",VLOOKUP($H70,INDIRECT('9.6 Table'!$P$338),X$11+N$9,FALSE)))</f>
        <v/>
      </c>
      <c r="Y70" s="767"/>
      <c r="Z70" s="768" t="str">
        <f ca="1">IF($B70="","",IF(AND($N$13=TRUE,OR($AT70="Remains",$AT70="#2",$AT70="Removed")),"NA",VLOOKUP($H70,INDIRECT('9.6 Table'!$P$338),Z$11+N$9,FALSE)))</f>
        <v/>
      </c>
      <c r="AA70" s="767"/>
      <c r="AB70" s="768" t="str">
        <f ca="1">IF($B70="","",IF(AND($N$13=TRUE,OR($AT70="Remains",$AT70="#2",$AT70="Removed")),"NA",VLOOKUP($H70,INDIRECT('9.6 Table'!$P$338),AB$11+N$9,FALSE)))</f>
        <v/>
      </c>
      <c r="AC70" s="767"/>
      <c r="AD70" s="768" t="str">
        <f ca="1">IF($B70="","",IF(AND($N$13=TRUE,OR($AT70="Remains",$AT70="#2",$AT70="Removed")),"NA",VLOOKUP($H70,INDIRECT('9.6 Table'!$P$338),AD$11+N$9,FALSE)))</f>
        <v/>
      </c>
      <c r="AE70" s="767"/>
      <c r="AF70" s="768" t="str">
        <f ca="1">IF($B70="","",IF(AND($N$13=TRUE,OR($AT70="Remains",$AT70="#2",$AT70="Removed")),"NA",VLOOKUP($H70,INDIRECT('9.6 Table'!$P$338),AF$11+N$9,FALSE)))</f>
        <v/>
      </c>
      <c r="AG70" s="767"/>
      <c r="AH70" s="768" t="str">
        <f ca="1">IF($B70="","",IF(AND($N$13=TRUE,OR($AT70="Remains",$AT70="#2",$AT70="Removed")),"NA",VLOOKUP($H70,INDIRECT('9.6 Table'!$P$338),AH$11+N$9,FALSE)))</f>
        <v/>
      </c>
      <c r="AI70" s="767"/>
      <c r="AJ70" s="768" t="str">
        <f ca="1">IF($B70="","",IF(AND($N$13=TRUE,OR($AT70="Remains",$AT70="#2",$AT70="Removed")),"NA",VLOOKUP($H70,INDIRECT('9.6 Table'!$P$338),AJ$11+N$9,FALSE)))</f>
        <v/>
      </c>
      <c r="AK70" s="767"/>
      <c r="AL70" s="768" t="str">
        <f ca="1">IF($B70="","",IF(AND($N$13=TRUE,OR($AT70="Remains",$AT70="#2",$AT70="Removed")),"NA",VLOOKUP($H70,INDIRECT('9.6 Table'!$P$338),AL$11+N$9,FALSE)))</f>
        <v/>
      </c>
      <c r="AM70" s="767"/>
      <c r="AN70" s="768" t="str">
        <f ca="1">IF($B70="","",IF(AND($N$13=TRUE,OR($AT70="Remains",$AT70="#2",$AT70="Removed")),"NA",VLOOKUP($H70,INDIRECT('9.6 Table'!$P$338),AN$11+N$9,FALSE)))</f>
        <v/>
      </c>
      <c r="AO70" s="764"/>
      <c r="AP70" s="770"/>
      <c r="AQ70" s="921" t="str">
        <f t="shared" si="28"/>
        <v/>
      </c>
      <c r="AT70" s="730" t="str">
        <f t="shared" si="29"/>
        <v>New</v>
      </c>
      <c r="AX70" s="737" t="str">
        <f ca="1">VLOOKUP(H70,'SpxSp (step-a)'!H$22:AB$71,21,FALSE)</f>
        <v/>
      </c>
      <c r="AY70" s="736">
        <f>IFERROR(IF(OR(AP70="",AP70=0),0,HLOOKUP(AX70,'9.6.3 Table'!$D$4:$H$9,1+AP70,FALSE)),0)</f>
        <v>0</v>
      </c>
      <c r="AZ70" s="482">
        <f t="shared" si="30"/>
        <v>0</v>
      </c>
      <c r="BA70" s="327"/>
      <c r="BB70" s="43" t="str">
        <f t="shared" si="31"/>
        <v/>
      </c>
      <c r="BC70" s="43" t="str">
        <f t="shared" si="32"/>
        <v/>
      </c>
      <c r="BH70" s="326">
        <f t="shared" si="33"/>
        <v>0</v>
      </c>
      <c r="BI70" s="326">
        <f t="shared" si="34"/>
        <v>0</v>
      </c>
      <c r="BJ70" s="627">
        <f t="shared" si="35"/>
        <v>0</v>
      </c>
      <c r="BK70" s="627">
        <f t="shared" si="36"/>
        <v>0</v>
      </c>
      <c r="BL70" s="627">
        <f t="shared" si="37"/>
        <v>0</v>
      </c>
      <c r="BM70" s="627">
        <f t="shared" si="38"/>
        <v>0</v>
      </c>
      <c r="BN70" s="627">
        <f t="shared" si="39"/>
        <v>0</v>
      </c>
      <c r="BO70" s="627">
        <f t="shared" si="40"/>
        <v>0</v>
      </c>
      <c r="BP70" s="627">
        <f t="shared" si="41"/>
        <v>0</v>
      </c>
      <c r="BQ70" s="627">
        <f t="shared" si="42"/>
        <v>0</v>
      </c>
      <c r="BR70" s="627">
        <f t="shared" si="43"/>
        <v>0</v>
      </c>
      <c r="BS70" s="627">
        <f t="shared" si="44"/>
        <v>0</v>
      </c>
      <c r="BT70" s="627">
        <f t="shared" si="45"/>
        <v>0</v>
      </c>
      <c r="BU70" s="627">
        <f t="shared" si="46"/>
        <v>0</v>
      </c>
      <c r="BV70" s="627">
        <f t="shared" si="47"/>
        <v>0</v>
      </c>
      <c r="BW70" s="627"/>
      <c r="BX70" s="627">
        <f t="shared" si="23"/>
        <v>0</v>
      </c>
      <c r="BZ70" s="737">
        <v>45</v>
      </c>
      <c r="CA70" s="737" t="str">
        <f t="shared" si="25"/>
        <v>AS</v>
      </c>
      <c r="CB70" s="730">
        <f>ROW()</f>
        <v>70</v>
      </c>
    </row>
    <row r="71" spans="1:80" s="43" customFormat="1" ht="12.75" customHeight="1" x14ac:dyDescent="0.2">
      <c r="A71" s="5">
        <v>46</v>
      </c>
      <c r="B71" s="1670"/>
      <c r="C71" s="1671"/>
      <c r="D71" s="1671"/>
      <c r="E71" s="1671"/>
      <c r="F71" s="1671"/>
      <c r="G71" s="784"/>
      <c r="H71" s="784" t="str">
        <f t="shared" si="26"/>
        <v/>
      </c>
      <c r="I71" s="785"/>
      <c r="J71" s="643"/>
      <c r="K71" s="786" t="str">
        <f t="shared" si="27"/>
        <v xml:space="preserve"> </v>
      </c>
      <c r="L71" s="906" t="str">
        <f t="shared" si="24"/>
        <v/>
      </c>
      <c r="M71" s="794"/>
      <c r="N71" s="913"/>
      <c r="O71" s="121"/>
      <c r="P71" s="919" t="str">
        <f ca="1">IF($B71="","",IF(AND($N$13=TRUE,OR($AT71="Remains",$AT71="#2",$AT71="Removed")),"NA",VLOOKUP($H71,INDIRECT('9.6 Table'!$P$338),P$11+N$9,FALSE)))</f>
        <v/>
      </c>
      <c r="Q71" s="767"/>
      <c r="R71" s="768" t="str">
        <f ca="1">IF($B71="","",IF(AND($N$13=TRUE,OR($AT71="Remains",$AT71="#2",$AT71="Removed")),"NA",VLOOKUP($H71,INDIRECT('9.6 Table'!$P$338),R$11+N$9,FALSE)))</f>
        <v/>
      </c>
      <c r="S71" s="767"/>
      <c r="T71" s="768" t="str">
        <f ca="1">IF($B71="","",IF(AND($N$13=TRUE,OR($AT71="Remains",$AT71="#2",$AT71="Removed")),"NA",VLOOKUP($H71,INDIRECT('9.6 Table'!$P$338),T$11+N$9,FALSE)))</f>
        <v/>
      </c>
      <c r="U71" s="767"/>
      <c r="V71" s="768" t="str">
        <f ca="1">IF($B71="","",IF(AND($N$13=TRUE,OR($AT71="Remains",$AT71="#2",$AT71="Removed")),"NA",VLOOKUP($H71,INDIRECT('9.6 Table'!$P$338),V$11+N$9,FALSE)))</f>
        <v/>
      </c>
      <c r="W71" s="767"/>
      <c r="X71" s="768" t="str">
        <f ca="1">IF($B71="","",IF(AND($N$13=TRUE,OR($AT71="Remains",$AT71="#2",$AT71="Removed")),"NA",VLOOKUP($H71,INDIRECT('9.6 Table'!$P$338),X$11+N$9,FALSE)))</f>
        <v/>
      </c>
      <c r="Y71" s="767"/>
      <c r="Z71" s="768" t="str">
        <f ca="1">IF($B71="","",IF(AND($N$13=TRUE,OR($AT71="Remains",$AT71="#2",$AT71="Removed")),"NA",VLOOKUP($H71,INDIRECT('9.6 Table'!$P$338),Z$11+N$9,FALSE)))</f>
        <v/>
      </c>
      <c r="AA71" s="767"/>
      <c r="AB71" s="768" t="str">
        <f ca="1">IF($B71="","",IF(AND($N$13=TRUE,OR($AT71="Remains",$AT71="#2",$AT71="Removed")),"NA",VLOOKUP($H71,INDIRECT('9.6 Table'!$P$338),AB$11+N$9,FALSE)))</f>
        <v/>
      </c>
      <c r="AC71" s="767"/>
      <c r="AD71" s="768" t="str">
        <f ca="1">IF($B71="","",IF(AND($N$13=TRUE,OR($AT71="Remains",$AT71="#2",$AT71="Removed")),"NA",VLOOKUP($H71,INDIRECT('9.6 Table'!$P$338),AD$11+N$9,FALSE)))</f>
        <v/>
      </c>
      <c r="AE71" s="767"/>
      <c r="AF71" s="768" t="str">
        <f ca="1">IF($B71="","",IF(AND($N$13=TRUE,OR($AT71="Remains",$AT71="#2",$AT71="Removed")),"NA",VLOOKUP($H71,INDIRECT('9.6 Table'!$P$338),AF$11+N$9,FALSE)))</f>
        <v/>
      </c>
      <c r="AG71" s="767"/>
      <c r="AH71" s="768" t="str">
        <f ca="1">IF($B71="","",IF(AND($N$13=TRUE,OR($AT71="Remains",$AT71="#2",$AT71="Removed")),"NA",VLOOKUP($H71,INDIRECT('9.6 Table'!$P$338),AH$11+N$9,FALSE)))</f>
        <v/>
      </c>
      <c r="AI71" s="767"/>
      <c r="AJ71" s="768" t="str">
        <f ca="1">IF($B71="","",IF(AND($N$13=TRUE,OR($AT71="Remains",$AT71="#2",$AT71="Removed")),"NA",VLOOKUP($H71,INDIRECT('9.6 Table'!$P$338),AJ$11+N$9,FALSE)))</f>
        <v/>
      </c>
      <c r="AK71" s="767"/>
      <c r="AL71" s="768" t="str">
        <f ca="1">IF($B71="","",IF(AND($N$13=TRUE,OR($AT71="Remains",$AT71="#2",$AT71="Removed")),"NA",VLOOKUP($H71,INDIRECT('9.6 Table'!$P$338),AL$11+N$9,FALSE)))</f>
        <v/>
      </c>
      <c r="AM71" s="767"/>
      <c r="AN71" s="768" t="str">
        <f ca="1">IF($B71="","",IF(AND($N$13=TRUE,OR($AT71="Remains",$AT71="#2",$AT71="Removed")),"NA",VLOOKUP($H71,INDIRECT('9.6 Table'!$P$338),AN$11+N$9,FALSE)))</f>
        <v/>
      </c>
      <c r="AO71" s="764"/>
      <c r="AP71" s="770"/>
      <c r="AQ71" s="921" t="str">
        <f t="shared" si="28"/>
        <v/>
      </c>
      <c r="AT71" s="730" t="str">
        <f t="shared" si="29"/>
        <v>New</v>
      </c>
      <c r="AX71" s="737" t="str">
        <f ca="1">VLOOKUP(H71,'SpxSp (step-a)'!H$22:AB$71,21,FALSE)</f>
        <v/>
      </c>
      <c r="AY71" s="736">
        <f>IFERROR(IF(OR(AP71="",AP71=0),0,HLOOKUP(AX71,'9.6.3 Table'!$D$4:$H$9,1+AP71,FALSE)),0)</f>
        <v>0</v>
      </c>
      <c r="AZ71" s="482">
        <f t="shared" si="30"/>
        <v>0</v>
      </c>
      <c r="BA71" s="327"/>
      <c r="BB71" s="43" t="str">
        <f t="shared" si="31"/>
        <v/>
      </c>
      <c r="BC71" s="43" t="str">
        <f t="shared" si="32"/>
        <v/>
      </c>
      <c r="BH71" s="326">
        <f t="shared" si="33"/>
        <v>0</v>
      </c>
      <c r="BI71" s="326">
        <f t="shared" si="34"/>
        <v>0</v>
      </c>
      <c r="BJ71" s="627">
        <f t="shared" si="35"/>
        <v>0</v>
      </c>
      <c r="BK71" s="627">
        <f t="shared" si="36"/>
        <v>0</v>
      </c>
      <c r="BL71" s="627">
        <f t="shared" si="37"/>
        <v>0</v>
      </c>
      <c r="BM71" s="627">
        <f t="shared" si="38"/>
        <v>0</v>
      </c>
      <c r="BN71" s="627">
        <f t="shared" si="39"/>
        <v>0</v>
      </c>
      <c r="BO71" s="627">
        <f t="shared" si="40"/>
        <v>0</v>
      </c>
      <c r="BP71" s="627">
        <f t="shared" si="41"/>
        <v>0</v>
      </c>
      <c r="BQ71" s="627">
        <f t="shared" si="42"/>
        <v>0</v>
      </c>
      <c r="BR71" s="627">
        <f t="shared" si="43"/>
        <v>0</v>
      </c>
      <c r="BS71" s="627">
        <f t="shared" si="44"/>
        <v>0</v>
      </c>
      <c r="BT71" s="627">
        <f t="shared" si="45"/>
        <v>0</v>
      </c>
      <c r="BU71" s="627">
        <f t="shared" si="46"/>
        <v>0</v>
      </c>
      <c r="BV71" s="627">
        <f t="shared" si="47"/>
        <v>0</v>
      </c>
      <c r="BW71" s="627"/>
      <c r="BX71" s="627">
        <f t="shared" si="23"/>
        <v>0</v>
      </c>
      <c r="BZ71" s="737">
        <v>46</v>
      </c>
      <c r="CA71" s="737" t="str">
        <f t="shared" si="25"/>
        <v>AT</v>
      </c>
      <c r="CB71" s="730">
        <f>ROW()</f>
        <v>71</v>
      </c>
    </row>
    <row r="72" spans="1:80" s="43" customFormat="1" ht="12.75" customHeight="1" x14ac:dyDescent="0.2">
      <c r="A72" s="5">
        <v>47</v>
      </c>
      <c r="B72" s="1670"/>
      <c r="C72" s="1671"/>
      <c r="D72" s="1671"/>
      <c r="E72" s="1671"/>
      <c r="F72" s="1671"/>
      <c r="G72" s="784"/>
      <c r="H72" s="784" t="str">
        <f t="shared" si="26"/>
        <v/>
      </c>
      <c r="I72" s="785"/>
      <c r="J72" s="643"/>
      <c r="K72" s="786" t="str">
        <f t="shared" si="27"/>
        <v xml:space="preserve"> </v>
      </c>
      <c r="L72" s="906" t="str">
        <f t="shared" si="24"/>
        <v/>
      </c>
      <c r="M72" s="794"/>
      <c r="N72" s="913"/>
      <c r="O72" s="121"/>
      <c r="P72" s="919" t="str">
        <f ca="1">IF($B72="","",IF(AND($N$13=TRUE,OR($AT72="Remains",$AT72="#2",$AT72="Removed")),"NA",VLOOKUP($H72,INDIRECT('9.6 Table'!$P$338),P$11+N$9,FALSE)))</f>
        <v/>
      </c>
      <c r="Q72" s="767"/>
      <c r="R72" s="768" t="str">
        <f ca="1">IF($B72="","",IF(AND($N$13=TRUE,OR($AT72="Remains",$AT72="#2",$AT72="Removed")),"NA",VLOOKUP($H72,INDIRECT('9.6 Table'!$P$338),R$11+N$9,FALSE)))</f>
        <v/>
      </c>
      <c r="S72" s="767"/>
      <c r="T72" s="768" t="str">
        <f ca="1">IF($B72="","",IF(AND($N$13=TRUE,OR($AT72="Remains",$AT72="#2",$AT72="Removed")),"NA",VLOOKUP($H72,INDIRECT('9.6 Table'!$P$338),T$11+N$9,FALSE)))</f>
        <v/>
      </c>
      <c r="U72" s="767"/>
      <c r="V72" s="768" t="str">
        <f ca="1">IF($B72="","",IF(AND($N$13=TRUE,OR($AT72="Remains",$AT72="#2",$AT72="Removed")),"NA",VLOOKUP($H72,INDIRECT('9.6 Table'!$P$338),V$11+N$9,FALSE)))</f>
        <v/>
      </c>
      <c r="W72" s="767"/>
      <c r="X72" s="768" t="str">
        <f ca="1">IF($B72="","",IF(AND($N$13=TRUE,OR($AT72="Remains",$AT72="#2",$AT72="Removed")),"NA",VLOOKUP($H72,INDIRECT('9.6 Table'!$P$338),X$11+N$9,FALSE)))</f>
        <v/>
      </c>
      <c r="Y72" s="767"/>
      <c r="Z72" s="768" t="str">
        <f ca="1">IF($B72="","",IF(AND($N$13=TRUE,OR($AT72="Remains",$AT72="#2",$AT72="Removed")),"NA",VLOOKUP($H72,INDIRECT('9.6 Table'!$P$338),Z$11+N$9,FALSE)))</f>
        <v/>
      </c>
      <c r="AA72" s="767"/>
      <c r="AB72" s="768" t="str">
        <f ca="1">IF($B72="","",IF(AND($N$13=TRUE,OR($AT72="Remains",$AT72="#2",$AT72="Removed")),"NA",VLOOKUP($H72,INDIRECT('9.6 Table'!$P$338),AB$11+N$9,FALSE)))</f>
        <v/>
      </c>
      <c r="AC72" s="767"/>
      <c r="AD72" s="768" t="str">
        <f ca="1">IF($B72="","",IF(AND($N$13=TRUE,OR($AT72="Remains",$AT72="#2",$AT72="Removed")),"NA",VLOOKUP($H72,INDIRECT('9.6 Table'!$P$338),AD$11+N$9,FALSE)))</f>
        <v/>
      </c>
      <c r="AE72" s="767"/>
      <c r="AF72" s="768" t="str">
        <f ca="1">IF($B72="","",IF(AND($N$13=TRUE,OR($AT72="Remains",$AT72="#2",$AT72="Removed")),"NA",VLOOKUP($H72,INDIRECT('9.6 Table'!$P$338),AF$11+N$9,FALSE)))</f>
        <v/>
      </c>
      <c r="AG72" s="767"/>
      <c r="AH72" s="768" t="str">
        <f ca="1">IF($B72="","",IF(AND($N$13=TRUE,OR($AT72="Remains",$AT72="#2",$AT72="Removed")),"NA",VLOOKUP($H72,INDIRECT('9.6 Table'!$P$338),AH$11+N$9,FALSE)))</f>
        <v/>
      </c>
      <c r="AI72" s="767"/>
      <c r="AJ72" s="768" t="str">
        <f ca="1">IF($B72="","",IF(AND($N$13=TRUE,OR($AT72="Remains",$AT72="#2",$AT72="Removed")),"NA",VLOOKUP($H72,INDIRECT('9.6 Table'!$P$338),AJ$11+N$9,FALSE)))</f>
        <v/>
      </c>
      <c r="AK72" s="767"/>
      <c r="AL72" s="768" t="str">
        <f ca="1">IF($B72="","",IF(AND($N$13=TRUE,OR($AT72="Remains",$AT72="#2",$AT72="Removed")),"NA",VLOOKUP($H72,INDIRECT('9.6 Table'!$P$338),AL$11+N$9,FALSE)))</f>
        <v/>
      </c>
      <c r="AM72" s="767"/>
      <c r="AN72" s="768" t="str">
        <f ca="1">IF($B72="","",IF(AND($N$13=TRUE,OR($AT72="Remains",$AT72="#2",$AT72="Removed")),"NA",VLOOKUP($H72,INDIRECT('9.6 Table'!$P$338),AN$11+N$9,FALSE)))</f>
        <v/>
      </c>
      <c r="AO72" s="764"/>
      <c r="AP72" s="770"/>
      <c r="AQ72" s="921" t="str">
        <f t="shared" si="28"/>
        <v/>
      </c>
      <c r="AT72" s="730" t="str">
        <f t="shared" si="29"/>
        <v>New</v>
      </c>
      <c r="AX72" s="737" t="str">
        <f ca="1">VLOOKUP(H72,'SpxSp (step-a)'!H$22:AB$71,21,FALSE)</f>
        <v/>
      </c>
      <c r="AY72" s="736">
        <f>IFERROR(IF(OR(AP72="",AP72=0),0,HLOOKUP(AX72,'9.6.3 Table'!$D$4:$H$9,1+AP72,FALSE)),0)</f>
        <v>0</v>
      </c>
      <c r="AZ72" s="482">
        <f t="shared" si="30"/>
        <v>0</v>
      </c>
      <c r="BA72" s="327"/>
      <c r="BB72" s="43" t="str">
        <f t="shared" si="31"/>
        <v/>
      </c>
      <c r="BC72" s="43" t="str">
        <f t="shared" si="32"/>
        <v/>
      </c>
      <c r="BH72" s="326">
        <f t="shared" si="33"/>
        <v>0</v>
      </c>
      <c r="BI72" s="326">
        <f t="shared" si="34"/>
        <v>0</v>
      </c>
      <c r="BJ72" s="627">
        <f t="shared" si="35"/>
        <v>0</v>
      </c>
      <c r="BK72" s="627">
        <f t="shared" si="36"/>
        <v>0</v>
      </c>
      <c r="BL72" s="627">
        <f t="shared" si="37"/>
        <v>0</v>
      </c>
      <c r="BM72" s="627">
        <f t="shared" si="38"/>
        <v>0</v>
      </c>
      <c r="BN72" s="627">
        <f t="shared" si="39"/>
        <v>0</v>
      </c>
      <c r="BO72" s="627">
        <f t="shared" si="40"/>
        <v>0</v>
      </c>
      <c r="BP72" s="627">
        <f t="shared" si="41"/>
        <v>0</v>
      </c>
      <c r="BQ72" s="627">
        <f t="shared" si="42"/>
        <v>0</v>
      </c>
      <c r="BR72" s="627">
        <f t="shared" si="43"/>
        <v>0</v>
      </c>
      <c r="BS72" s="627">
        <f t="shared" si="44"/>
        <v>0</v>
      </c>
      <c r="BT72" s="627">
        <f t="shared" si="45"/>
        <v>0</v>
      </c>
      <c r="BU72" s="627">
        <f t="shared" si="46"/>
        <v>0</v>
      </c>
      <c r="BV72" s="627">
        <f t="shared" si="47"/>
        <v>0</v>
      </c>
      <c r="BW72" s="627"/>
      <c r="BX72" s="627">
        <f t="shared" si="23"/>
        <v>0</v>
      </c>
      <c r="BZ72" s="737">
        <v>47</v>
      </c>
      <c r="CA72" s="737" t="str">
        <f t="shared" si="25"/>
        <v>AU</v>
      </c>
      <c r="CB72" s="730">
        <f>ROW()</f>
        <v>72</v>
      </c>
    </row>
    <row r="73" spans="1:80" s="43" customFormat="1" ht="12.75" customHeight="1" x14ac:dyDescent="0.2">
      <c r="A73" s="5">
        <v>48</v>
      </c>
      <c r="B73" s="1670"/>
      <c r="C73" s="1671"/>
      <c r="D73" s="1671"/>
      <c r="E73" s="1671"/>
      <c r="F73" s="1671"/>
      <c r="G73" s="784"/>
      <c r="H73" s="784" t="str">
        <f t="shared" si="26"/>
        <v/>
      </c>
      <c r="I73" s="785"/>
      <c r="J73" s="643"/>
      <c r="K73" s="786" t="str">
        <f t="shared" si="27"/>
        <v xml:space="preserve"> </v>
      </c>
      <c r="L73" s="906" t="str">
        <f t="shared" si="24"/>
        <v/>
      </c>
      <c r="M73" s="794"/>
      <c r="N73" s="913"/>
      <c r="O73" s="121"/>
      <c r="P73" s="919" t="str">
        <f ca="1">IF($B73="","",IF(AND($N$13=TRUE,OR($AT73="Remains",$AT73="#2",$AT73="Removed")),"NA",VLOOKUP($H73,INDIRECT('9.6 Table'!$P$338),P$11+N$9,FALSE)))</f>
        <v/>
      </c>
      <c r="Q73" s="767"/>
      <c r="R73" s="768" t="str">
        <f ca="1">IF($B73="","",IF(AND($N$13=TRUE,OR($AT73="Remains",$AT73="#2",$AT73="Removed")),"NA",VLOOKUP($H73,INDIRECT('9.6 Table'!$P$338),R$11+N$9,FALSE)))</f>
        <v/>
      </c>
      <c r="S73" s="767"/>
      <c r="T73" s="768" t="str">
        <f ca="1">IF($B73="","",IF(AND($N$13=TRUE,OR($AT73="Remains",$AT73="#2",$AT73="Removed")),"NA",VLOOKUP($H73,INDIRECT('9.6 Table'!$P$338),T$11+N$9,FALSE)))</f>
        <v/>
      </c>
      <c r="U73" s="767"/>
      <c r="V73" s="768" t="str">
        <f ca="1">IF($B73="","",IF(AND($N$13=TRUE,OR($AT73="Remains",$AT73="#2",$AT73="Removed")),"NA",VLOOKUP($H73,INDIRECT('9.6 Table'!$P$338),V$11+N$9,FALSE)))</f>
        <v/>
      </c>
      <c r="W73" s="767"/>
      <c r="X73" s="768" t="str">
        <f ca="1">IF($B73="","",IF(AND($N$13=TRUE,OR($AT73="Remains",$AT73="#2",$AT73="Removed")),"NA",VLOOKUP($H73,INDIRECT('9.6 Table'!$P$338),X$11+N$9,FALSE)))</f>
        <v/>
      </c>
      <c r="Y73" s="767"/>
      <c r="Z73" s="768" t="str">
        <f ca="1">IF($B73="","",IF(AND($N$13=TRUE,OR($AT73="Remains",$AT73="#2",$AT73="Removed")),"NA",VLOOKUP($H73,INDIRECT('9.6 Table'!$P$338),Z$11+N$9,FALSE)))</f>
        <v/>
      </c>
      <c r="AA73" s="767"/>
      <c r="AB73" s="768" t="str">
        <f ca="1">IF($B73="","",IF(AND($N$13=TRUE,OR($AT73="Remains",$AT73="#2",$AT73="Removed")),"NA",VLOOKUP($H73,INDIRECT('9.6 Table'!$P$338),AB$11+N$9,FALSE)))</f>
        <v/>
      </c>
      <c r="AC73" s="767"/>
      <c r="AD73" s="768" t="str">
        <f ca="1">IF($B73="","",IF(AND($N$13=TRUE,OR($AT73="Remains",$AT73="#2",$AT73="Removed")),"NA",VLOOKUP($H73,INDIRECT('9.6 Table'!$P$338),AD$11+N$9,FALSE)))</f>
        <v/>
      </c>
      <c r="AE73" s="767"/>
      <c r="AF73" s="768" t="str">
        <f ca="1">IF($B73="","",IF(AND($N$13=TRUE,OR($AT73="Remains",$AT73="#2",$AT73="Removed")),"NA",VLOOKUP($H73,INDIRECT('9.6 Table'!$P$338),AF$11+N$9,FALSE)))</f>
        <v/>
      </c>
      <c r="AG73" s="767"/>
      <c r="AH73" s="768" t="str">
        <f ca="1">IF($B73="","",IF(AND($N$13=TRUE,OR($AT73="Remains",$AT73="#2",$AT73="Removed")),"NA",VLOOKUP($H73,INDIRECT('9.6 Table'!$P$338),AH$11+N$9,FALSE)))</f>
        <v/>
      </c>
      <c r="AI73" s="767"/>
      <c r="AJ73" s="768" t="str">
        <f ca="1">IF($B73="","",IF(AND($N$13=TRUE,OR($AT73="Remains",$AT73="#2",$AT73="Removed")),"NA",VLOOKUP($H73,INDIRECT('9.6 Table'!$P$338),AJ$11+N$9,FALSE)))</f>
        <v/>
      </c>
      <c r="AK73" s="767"/>
      <c r="AL73" s="768" t="str">
        <f ca="1">IF($B73="","",IF(AND($N$13=TRUE,OR($AT73="Remains",$AT73="#2",$AT73="Removed")),"NA",VLOOKUP($H73,INDIRECT('9.6 Table'!$P$338),AL$11+N$9,FALSE)))</f>
        <v/>
      </c>
      <c r="AM73" s="767"/>
      <c r="AN73" s="768" t="str">
        <f ca="1">IF($B73="","",IF(AND($N$13=TRUE,OR($AT73="Remains",$AT73="#2",$AT73="Removed")),"NA",VLOOKUP($H73,INDIRECT('9.6 Table'!$P$338),AN$11+N$9,FALSE)))</f>
        <v/>
      </c>
      <c r="AO73" s="764"/>
      <c r="AP73" s="770"/>
      <c r="AQ73" s="921" t="str">
        <f t="shared" si="28"/>
        <v/>
      </c>
      <c r="AT73" s="730" t="str">
        <f t="shared" si="29"/>
        <v>New</v>
      </c>
      <c r="AX73" s="737" t="str">
        <f ca="1">VLOOKUP(H73,'SpxSp (step-a)'!H$22:AB$71,21,FALSE)</f>
        <v/>
      </c>
      <c r="AY73" s="736">
        <f>IFERROR(IF(OR(AP73="",AP73=0),0,HLOOKUP(AX73,'9.6.3 Table'!$D$4:$H$9,1+AP73,FALSE)),0)</f>
        <v>0</v>
      </c>
      <c r="AZ73" s="482">
        <f t="shared" si="30"/>
        <v>0</v>
      </c>
      <c r="BA73" s="327"/>
      <c r="BB73" s="43" t="str">
        <f t="shared" si="31"/>
        <v/>
      </c>
      <c r="BC73" s="43" t="str">
        <f t="shared" si="32"/>
        <v/>
      </c>
      <c r="BH73" s="326">
        <f t="shared" si="33"/>
        <v>0</v>
      </c>
      <c r="BI73" s="326">
        <f t="shared" si="34"/>
        <v>0</v>
      </c>
      <c r="BJ73" s="627">
        <f t="shared" si="35"/>
        <v>0</v>
      </c>
      <c r="BK73" s="627">
        <f t="shared" si="36"/>
        <v>0</v>
      </c>
      <c r="BL73" s="627">
        <f t="shared" si="37"/>
        <v>0</v>
      </c>
      <c r="BM73" s="627">
        <f t="shared" si="38"/>
        <v>0</v>
      </c>
      <c r="BN73" s="627">
        <f t="shared" si="39"/>
        <v>0</v>
      </c>
      <c r="BO73" s="627">
        <f t="shared" si="40"/>
        <v>0</v>
      </c>
      <c r="BP73" s="627">
        <f t="shared" si="41"/>
        <v>0</v>
      </c>
      <c r="BQ73" s="627">
        <f t="shared" si="42"/>
        <v>0</v>
      </c>
      <c r="BR73" s="627">
        <f t="shared" si="43"/>
        <v>0</v>
      </c>
      <c r="BS73" s="627">
        <f t="shared" si="44"/>
        <v>0</v>
      </c>
      <c r="BT73" s="627">
        <f t="shared" si="45"/>
        <v>0</v>
      </c>
      <c r="BU73" s="627">
        <f t="shared" si="46"/>
        <v>0</v>
      </c>
      <c r="BV73" s="627">
        <f t="shared" si="47"/>
        <v>0</v>
      </c>
      <c r="BW73" s="627"/>
      <c r="BX73" s="627">
        <f t="shared" si="23"/>
        <v>0</v>
      </c>
      <c r="BZ73" s="737">
        <v>48</v>
      </c>
      <c r="CA73" s="737" t="str">
        <f t="shared" si="25"/>
        <v>AV</v>
      </c>
      <c r="CB73" s="730">
        <f>ROW()</f>
        <v>73</v>
      </c>
    </row>
    <row r="74" spans="1:80" s="43" customFormat="1" ht="12.75" customHeight="1" x14ac:dyDescent="0.2">
      <c r="A74" s="5">
        <v>49</v>
      </c>
      <c r="B74" s="1670"/>
      <c r="C74" s="1671"/>
      <c r="D74" s="1671"/>
      <c r="E74" s="1671"/>
      <c r="F74" s="1671"/>
      <c r="G74" s="784"/>
      <c r="H74" s="784" t="str">
        <f t="shared" si="26"/>
        <v/>
      </c>
      <c r="I74" s="785"/>
      <c r="J74" s="643"/>
      <c r="K74" s="786" t="str">
        <f t="shared" si="27"/>
        <v xml:space="preserve"> </v>
      </c>
      <c r="L74" s="906" t="str">
        <f t="shared" si="24"/>
        <v/>
      </c>
      <c r="M74" s="794"/>
      <c r="N74" s="913"/>
      <c r="O74" s="121"/>
      <c r="P74" s="919" t="str">
        <f ca="1">IF($B74="","",IF(AND($N$13=TRUE,OR($AT74="Remains",$AT74="#2",$AT74="Removed")),"NA",VLOOKUP($H74,INDIRECT('9.6 Table'!$P$338),P$11+N$9,FALSE)))</f>
        <v/>
      </c>
      <c r="Q74" s="767"/>
      <c r="R74" s="768" t="str">
        <f ca="1">IF($B74="","",IF(AND($N$13=TRUE,OR($AT74="Remains",$AT74="#2",$AT74="Removed")),"NA",VLOOKUP($H74,INDIRECT('9.6 Table'!$P$338),R$11+N$9,FALSE)))</f>
        <v/>
      </c>
      <c r="S74" s="767"/>
      <c r="T74" s="768" t="str">
        <f ca="1">IF($B74="","",IF(AND($N$13=TRUE,OR($AT74="Remains",$AT74="#2",$AT74="Removed")),"NA",VLOOKUP($H74,INDIRECT('9.6 Table'!$P$338),T$11+N$9,FALSE)))</f>
        <v/>
      </c>
      <c r="U74" s="767"/>
      <c r="V74" s="768" t="str">
        <f ca="1">IF($B74="","",IF(AND($N$13=TRUE,OR($AT74="Remains",$AT74="#2",$AT74="Removed")),"NA",VLOOKUP($H74,INDIRECT('9.6 Table'!$P$338),V$11+N$9,FALSE)))</f>
        <v/>
      </c>
      <c r="W74" s="767"/>
      <c r="X74" s="768" t="str">
        <f ca="1">IF($B74="","",IF(AND($N$13=TRUE,OR($AT74="Remains",$AT74="#2",$AT74="Removed")),"NA",VLOOKUP($H74,INDIRECT('9.6 Table'!$P$338),X$11+N$9,FALSE)))</f>
        <v/>
      </c>
      <c r="Y74" s="767"/>
      <c r="Z74" s="768" t="str">
        <f ca="1">IF($B74="","",IF(AND($N$13=TRUE,OR($AT74="Remains",$AT74="#2",$AT74="Removed")),"NA",VLOOKUP($H74,INDIRECT('9.6 Table'!$P$338),Z$11+N$9,FALSE)))</f>
        <v/>
      </c>
      <c r="AA74" s="767"/>
      <c r="AB74" s="768" t="str">
        <f ca="1">IF($B74="","",IF(AND($N$13=TRUE,OR($AT74="Remains",$AT74="#2",$AT74="Removed")),"NA",VLOOKUP($H74,INDIRECT('9.6 Table'!$P$338),AB$11+N$9,FALSE)))</f>
        <v/>
      </c>
      <c r="AC74" s="767"/>
      <c r="AD74" s="768" t="str">
        <f ca="1">IF($B74="","",IF(AND($N$13=TRUE,OR($AT74="Remains",$AT74="#2",$AT74="Removed")),"NA",VLOOKUP($H74,INDIRECT('9.6 Table'!$P$338),AD$11+N$9,FALSE)))</f>
        <v/>
      </c>
      <c r="AE74" s="767"/>
      <c r="AF74" s="768" t="str">
        <f ca="1">IF($B74="","",IF(AND($N$13=TRUE,OR($AT74="Remains",$AT74="#2",$AT74="Removed")),"NA",VLOOKUP($H74,INDIRECT('9.6 Table'!$P$338),AF$11+N$9,FALSE)))</f>
        <v/>
      </c>
      <c r="AG74" s="767"/>
      <c r="AH74" s="768" t="str">
        <f ca="1">IF($B74="","",IF(AND($N$13=TRUE,OR($AT74="Remains",$AT74="#2",$AT74="Removed")),"NA",VLOOKUP($H74,INDIRECT('9.6 Table'!$P$338),AH$11+N$9,FALSE)))</f>
        <v/>
      </c>
      <c r="AI74" s="767"/>
      <c r="AJ74" s="768" t="str">
        <f ca="1">IF($B74="","",IF(AND($N$13=TRUE,OR($AT74="Remains",$AT74="#2",$AT74="Removed")),"NA",VLOOKUP($H74,INDIRECT('9.6 Table'!$P$338),AJ$11+N$9,FALSE)))</f>
        <v/>
      </c>
      <c r="AK74" s="767"/>
      <c r="AL74" s="768" t="str">
        <f ca="1">IF($B74="","",IF(AND($N$13=TRUE,OR($AT74="Remains",$AT74="#2",$AT74="Removed")),"NA",VLOOKUP($H74,INDIRECT('9.6 Table'!$P$338),AL$11+N$9,FALSE)))</f>
        <v/>
      </c>
      <c r="AM74" s="767"/>
      <c r="AN74" s="768" t="str">
        <f ca="1">IF($B74="","",IF(AND($N$13=TRUE,OR($AT74="Remains",$AT74="#2",$AT74="Removed")),"NA",VLOOKUP($H74,INDIRECT('9.6 Table'!$P$338),AN$11+N$9,FALSE)))</f>
        <v/>
      </c>
      <c r="AO74" s="764"/>
      <c r="AP74" s="770"/>
      <c r="AQ74" s="921" t="str">
        <f t="shared" si="28"/>
        <v/>
      </c>
      <c r="AT74" s="730" t="str">
        <f t="shared" si="29"/>
        <v>New</v>
      </c>
      <c r="AX74" s="737" t="str">
        <f ca="1">VLOOKUP(H74,'SpxSp (step-a)'!H$22:AB$71,21,FALSE)</f>
        <v/>
      </c>
      <c r="AY74" s="736">
        <f>IFERROR(IF(OR(AP74="",AP74=0),0,HLOOKUP(AX74,'9.6.3 Table'!$D$4:$H$9,1+AP74,FALSE)),0)</f>
        <v>0</v>
      </c>
      <c r="AZ74" s="482">
        <f t="shared" si="30"/>
        <v>0</v>
      </c>
      <c r="BA74" s="327"/>
      <c r="BB74" s="43" t="str">
        <f t="shared" si="31"/>
        <v/>
      </c>
      <c r="BC74" s="43" t="str">
        <f t="shared" si="32"/>
        <v/>
      </c>
      <c r="BH74" s="326">
        <f t="shared" si="33"/>
        <v>0</v>
      </c>
      <c r="BI74" s="326">
        <f t="shared" si="34"/>
        <v>0</v>
      </c>
      <c r="BJ74" s="627">
        <f t="shared" si="35"/>
        <v>0</v>
      </c>
      <c r="BK74" s="627">
        <f t="shared" si="36"/>
        <v>0</v>
      </c>
      <c r="BL74" s="627">
        <f t="shared" si="37"/>
        <v>0</v>
      </c>
      <c r="BM74" s="627">
        <f t="shared" si="38"/>
        <v>0</v>
      </c>
      <c r="BN74" s="627">
        <f t="shared" si="39"/>
        <v>0</v>
      </c>
      <c r="BO74" s="627">
        <f t="shared" si="40"/>
        <v>0</v>
      </c>
      <c r="BP74" s="627">
        <f t="shared" si="41"/>
        <v>0</v>
      </c>
      <c r="BQ74" s="627">
        <f t="shared" si="42"/>
        <v>0</v>
      </c>
      <c r="BR74" s="627">
        <f t="shared" si="43"/>
        <v>0</v>
      </c>
      <c r="BS74" s="627">
        <f t="shared" si="44"/>
        <v>0</v>
      </c>
      <c r="BT74" s="627">
        <f t="shared" si="45"/>
        <v>0</v>
      </c>
      <c r="BU74" s="627">
        <f t="shared" si="46"/>
        <v>0</v>
      </c>
      <c r="BV74" s="627">
        <f t="shared" si="47"/>
        <v>0</v>
      </c>
      <c r="BW74" s="627"/>
      <c r="BX74" s="627">
        <f t="shared" si="23"/>
        <v>0</v>
      </c>
      <c r="BZ74" s="737">
        <v>49</v>
      </c>
      <c r="CA74" s="737" t="str">
        <f t="shared" si="25"/>
        <v>AW</v>
      </c>
      <c r="CB74" s="730">
        <f>ROW()</f>
        <v>74</v>
      </c>
    </row>
    <row r="75" spans="1:80" s="43" customFormat="1" ht="13.15" customHeight="1" thickBot="1" x14ac:dyDescent="0.25">
      <c r="A75" s="5">
        <v>50</v>
      </c>
      <c r="B75" s="1668"/>
      <c r="C75" s="1669"/>
      <c r="D75" s="1669"/>
      <c r="E75" s="1669"/>
      <c r="F75" s="1669"/>
      <c r="G75" s="907"/>
      <c r="H75" s="907" t="str">
        <f t="shared" si="26"/>
        <v/>
      </c>
      <c r="I75" s="735"/>
      <c r="J75" s="304"/>
      <c r="K75" s="761" t="str">
        <f t="shared" si="27"/>
        <v xml:space="preserve"> </v>
      </c>
      <c r="L75" s="908" t="str">
        <f t="shared" si="24"/>
        <v/>
      </c>
      <c r="M75" s="794"/>
      <c r="N75" s="914"/>
      <c r="O75" s="121"/>
      <c r="P75" s="1064" t="str">
        <f ca="1">IF($B75="","",IF(AND($N$13=TRUE,OR($AT75="Remains",$AT75="#2",$AT75="Removed")),"NA",VLOOKUP($H75,INDIRECT('9.6 Table'!$P$338),P$11+N$9,FALSE)))</f>
        <v/>
      </c>
      <c r="Q75" s="922"/>
      <c r="R75" s="1065" t="str">
        <f ca="1">IF($B75="","",IF(AND($N$13=TRUE,OR($AT75="Remains",$AT75="#2",$AT75="Removed")),"NA",VLOOKUP($H75,INDIRECT('9.6 Table'!$P$338),R$11+N$9,FALSE)))</f>
        <v/>
      </c>
      <c r="S75" s="922"/>
      <c r="T75" s="1065" t="str">
        <f ca="1">IF($B75="","",IF(AND($N$13=TRUE,OR($AT75="Remains",$AT75="#2",$AT75="Removed")),"NA",VLOOKUP($H75,INDIRECT('9.6 Table'!$P$338),T$11+N$9,FALSE)))</f>
        <v/>
      </c>
      <c r="U75" s="922"/>
      <c r="V75" s="1065" t="str">
        <f ca="1">IF($B75="","",IF(AND($N$13=TRUE,OR($AT75="Remains",$AT75="#2",$AT75="Removed")),"NA",VLOOKUP($H75,INDIRECT('9.6 Table'!$P$338),V$11+N$9,FALSE)))</f>
        <v/>
      </c>
      <c r="W75" s="922"/>
      <c r="X75" s="1065" t="str">
        <f ca="1">IF($B75="","",IF(AND($N$13=TRUE,OR($AT75="Remains",$AT75="#2",$AT75="Removed")),"NA",VLOOKUP($H75,INDIRECT('9.6 Table'!$P$338),X$11+N$9,FALSE)))</f>
        <v/>
      </c>
      <c r="Y75" s="922"/>
      <c r="Z75" s="1065" t="str">
        <f ca="1">IF($B75="","",IF(AND($N$13=TRUE,OR($AT75="Remains",$AT75="#2",$AT75="Removed")),"NA",VLOOKUP($H75,INDIRECT('9.6 Table'!$P$338),Z$11+N$9,FALSE)))</f>
        <v/>
      </c>
      <c r="AA75" s="922"/>
      <c r="AB75" s="1065" t="str">
        <f ca="1">IF($B75="","",IF(AND($N$13=TRUE,OR($AT75="Remains",$AT75="#2",$AT75="Removed")),"NA",VLOOKUP($H75,INDIRECT('9.6 Table'!$P$338),AB$11+N$9,FALSE)))</f>
        <v/>
      </c>
      <c r="AC75" s="922"/>
      <c r="AD75" s="1065" t="str">
        <f ca="1">IF($B75="","",IF(AND($N$13=TRUE,OR($AT75="Remains",$AT75="#2",$AT75="Removed")),"NA",VLOOKUP($H75,INDIRECT('9.6 Table'!$P$338),AD$11+N$9,FALSE)))</f>
        <v/>
      </c>
      <c r="AE75" s="922"/>
      <c r="AF75" s="1065" t="str">
        <f ca="1">IF($B75="","",IF(AND($N$13=TRUE,OR($AT75="Remains",$AT75="#2",$AT75="Removed")),"NA",VLOOKUP($H75,INDIRECT('9.6 Table'!$P$338),AF$11+N$9,FALSE)))</f>
        <v/>
      </c>
      <c r="AG75" s="922"/>
      <c r="AH75" s="1065" t="str">
        <f ca="1">IF($B75="","",IF(AND($N$13=TRUE,OR($AT75="Remains",$AT75="#2",$AT75="Removed")),"NA",VLOOKUP($H75,INDIRECT('9.6 Table'!$P$338),AH$11+N$9,FALSE)))</f>
        <v/>
      </c>
      <c r="AI75" s="922"/>
      <c r="AJ75" s="1065" t="str">
        <f ca="1">IF($B75="","",IF(AND($N$13=TRUE,OR($AT75="Remains",$AT75="#2",$AT75="Removed")),"NA",VLOOKUP($H75,INDIRECT('9.6 Table'!$P$338),AJ$11+N$9,FALSE)))</f>
        <v/>
      </c>
      <c r="AK75" s="922"/>
      <c r="AL75" s="1065" t="str">
        <f ca="1">IF($B75="","",IF(AND($N$13=TRUE,OR($AT75="Remains",$AT75="#2",$AT75="Removed")),"NA",VLOOKUP($H75,INDIRECT('9.6 Table'!$P$338),AL$11+N$9,FALSE)))</f>
        <v/>
      </c>
      <c r="AM75" s="922"/>
      <c r="AN75" s="1065" t="str">
        <f ca="1">IF($B75="","",IF(AND($N$13=TRUE,OR($AT75="Remains",$AT75="#2",$AT75="Removed")),"NA",VLOOKUP($H75,INDIRECT('9.6 Table'!$P$338),AN$11+N$9,FALSE)))</f>
        <v/>
      </c>
      <c r="AO75" s="923"/>
      <c r="AP75" s="924"/>
      <c r="AQ75" s="925" t="str">
        <f t="shared" si="28"/>
        <v/>
      </c>
      <c r="AT75" s="730" t="str">
        <f t="shared" si="29"/>
        <v>New</v>
      </c>
      <c r="AX75" s="737" t="str">
        <f ca="1">VLOOKUP(H75,'SpxSp (step-a)'!H$22:AB$71,21,FALSE)</f>
        <v/>
      </c>
      <c r="AY75" s="736">
        <f>IFERROR(IF(OR(AP75="",AP75=0),0,HLOOKUP(AX75,'9.6.3 Table'!$D$4:$H$9,1+AP75,FALSE)),0)</f>
        <v>0</v>
      </c>
      <c r="AZ75" s="482">
        <f t="shared" si="30"/>
        <v>0</v>
      </c>
      <c r="BA75" s="327"/>
      <c r="BB75" s="43" t="str">
        <f t="shared" si="31"/>
        <v/>
      </c>
      <c r="BC75" s="43" t="str">
        <f t="shared" si="32"/>
        <v/>
      </c>
      <c r="BH75" s="326">
        <f t="shared" si="33"/>
        <v>0</v>
      </c>
      <c r="BI75" s="326">
        <f t="shared" si="34"/>
        <v>0</v>
      </c>
      <c r="BJ75" s="627">
        <f t="shared" si="35"/>
        <v>0</v>
      </c>
      <c r="BK75" s="627">
        <f t="shared" si="36"/>
        <v>0</v>
      </c>
      <c r="BL75" s="627">
        <f t="shared" si="37"/>
        <v>0</v>
      </c>
      <c r="BM75" s="627">
        <f t="shared" si="38"/>
        <v>0</v>
      </c>
      <c r="BN75" s="627">
        <f t="shared" si="39"/>
        <v>0</v>
      </c>
      <c r="BO75" s="627">
        <f t="shared" si="40"/>
        <v>0</v>
      </c>
      <c r="BP75" s="627">
        <f t="shared" si="41"/>
        <v>0</v>
      </c>
      <c r="BQ75" s="627">
        <f t="shared" si="42"/>
        <v>0</v>
      </c>
      <c r="BR75" s="627">
        <f t="shared" si="43"/>
        <v>0</v>
      </c>
      <c r="BS75" s="627">
        <f t="shared" si="44"/>
        <v>0</v>
      </c>
      <c r="BT75" s="627">
        <f t="shared" si="45"/>
        <v>0</v>
      </c>
      <c r="BU75" s="627">
        <f t="shared" si="46"/>
        <v>0</v>
      </c>
      <c r="BV75" s="627">
        <f t="shared" si="47"/>
        <v>0</v>
      </c>
      <c r="BW75" s="627"/>
      <c r="BX75" s="627">
        <f t="shared" si="23"/>
        <v>0</v>
      </c>
      <c r="BZ75" s="737">
        <v>50</v>
      </c>
      <c r="CA75" s="737" t="str">
        <f t="shared" si="25"/>
        <v>AX</v>
      </c>
      <c r="CB75" s="730">
        <f>ROW()</f>
        <v>75</v>
      </c>
    </row>
    <row r="76" spans="1:80" s="43" customFormat="1" ht="11" thickBot="1" x14ac:dyDescent="0.3">
      <c r="P76" s="327"/>
      <c r="R76" s="327"/>
      <c r="T76" s="327"/>
      <c r="V76" s="327"/>
      <c r="X76" s="327"/>
      <c r="Z76" s="327"/>
      <c r="AB76" s="327"/>
      <c r="AD76" s="327"/>
      <c r="AF76" s="327"/>
      <c r="AH76" s="246">
        <f ca="1">COUNTIF(AH26:AH75,"NA")</f>
        <v>0</v>
      </c>
      <c r="AJ76" s="246">
        <f ca="1">COUNTIF(AJ26:AJ75,"NA")</f>
        <v>0</v>
      </c>
      <c r="AL76" s="246">
        <f ca="1">COUNTIF(AL26:AL75,"NA")</f>
        <v>0</v>
      </c>
      <c r="AN76" s="246">
        <f ca="1">COUNTIF(AN26:AN75,"NA")</f>
        <v>0</v>
      </c>
      <c r="AP76" s="699"/>
      <c r="AY76" s="197"/>
      <c r="AZ76" s="741">
        <f>ROUND(SUM(AZ26:AZ75),0)</f>
        <v>0</v>
      </c>
      <c r="BA76" s="739"/>
      <c r="BH76" s="603">
        <f>SUM(BH26:BH75)</f>
        <v>0</v>
      </c>
      <c r="BI76" s="603">
        <f>IF(SUM(BI26:BI75)&gt;=BH76,BH76,SUM(BI26:BI75))</f>
        <v>0</v>
      </c>
      <c r="BJ76" s="603">
        <f>IF(SUM(BJ26:BJ75)&gt;=$BH76,$BH76,SUM(BJ26:BJ75))</f>
        <v>0</v>
      </c>
      <c r="BK76" s="603">
        <f t="shared" ref="BK76:BW76" si="48">IF(SUM(BK26:BK75)&gt;=$BH76,$BH76,SUM(BK26:BK75))</f>
        <v>0</v>
      </c>
      <c r="BL76" s="603">
        <f t="shared" si="48"/>
        <v>0</v>
      </c>
      <c r="BM76" s="603">
        <f t="shared" si="48"/>
        <v>0</v>
      </c>
      <c r="BN76" s="603">
        <f t="shared" si="48"/>
        <v>0</v>
      </c>
      <c r="BO76" s="603">
        <f t="shared" si="48"/>
        <v>0</v>
      </c>
      <c r="BP76" s="603">
        <f t="shared" si="48"/>
        <v>0</v>
      </c>
      <c r="BQ76" s="603">
        <f t="shared" si="48"/>
        <v>0</v>
      </c>
      <c r="BR76" s="603">
        <f t="shared" si="48"/>
        <v>0</v>
      </c>
      <c r="BS76" s="603">
        <f t="shared" si="48"/>
        <v>0</v>
      </c>
      <c r="BT76" s="603">
        <f t="shared" si="48"/>
        <v>0</v>
      </c>
      <c r="BU76" s="603">
        <f t="shared" si="48"/>
        <v>0</v>
      </c>
      <c r="BV76" s="603">
        <f t="shared" si="48"/>
        <v>0</v>
      </c>
      <c r="BW76" s="603">
        <f t="shared" si="48"/>
        <v>0</v>
      </c>
      <c r="BZ76" s="737">
        <v>51</v>
      </c>
      <c r="CA76" s="737" t="str">
        <f t="shared" si="25"/>
        <v>AY</v>
      </c>
    </row>
    <row r="77" spans="1:80" s="42" customFormat="1" x14ac:dyDescent="0.25">
      <c r="B77" s="121"/>
      <c r="C77" s="469"/>
      <c r="D77" s="122"/>
      <c r="E77" s="122"/>
      <c r="F77" s="121"/>
      <c r="G77" s="121"/>
      <c r="H77" s="121"/>
      <c r="I77" s="121"/>
      <c r="J77" s="121"/>
      <c r="K77" s="63"/>
      <c r="L77" s="63"/>
      <c r="M77" s="63"/>
      <c r="N77" s="63"/>
      <c r="O77" s="63"/>
      <c r="P77" s="63"/>
      <c r="Q77" s="115">
        <f>IF(P13="Incomplete",1,0)</f>
        <v>0</v>
      </c>
      <c r="R77" s="115"/>
      <c r="S77" s="115">
        <f>IF(R13="Incomplete",1,0)</f>
        <v>0</v>
      </c>
      <c r="T77" s="115"/>
      <c r="U77" s="115">
        <f>IF(T13="Incomplete",1,0)</f>
        <v>0</v>
      </c>
      <c r="V77" s="115"/>
      <c r="W77" s="115">
        <f>IF(V13="Incomplete",1,0)</f>
        <v>0</v>
      </c>
      <c r="X77" s="115"/>
      <c r="Y77" s="115">
        <f>IF(X13="Incomplete",1,0)</f>
        <v>0</v>
      </c>
      <c r="Z77" s="115"/>
      <c r="AA77" s="115">
        <f>IF(Z13="Incomplete",1,0)</f>
        <v>0</v>
      </c>
      <c r="AB77" s="115"/>
      <c r="AC77" s="115">
        <f>IF(AB13="Incomplete",1,0)</f>
        <v>0</v>
      </c>
      <c r="AD77" s="115"/>
      <c r="AE77" s="115">
        <f ca="1">IF(AD13="Incomplete",1,0)</f>
        <v>0</v>
      </c>
      <c r="AF77" s="115"/>
      <c r="AG77" s="115">
        <f ca="1">IF(AF13="Incomplete",1,0)</f>
        <v>0</v>
      </c>
      <c r="AH77" s="115"/>
      <c r="AI77" s="115">
        <f>IF(AH13="Incomplete",1,0)</f>
        <v>0</v>
      </c>
      <c r="AJ77" s="115"/>
      <c r="AK77" s="115">
        <f>IF(AJ13="Incomplete",1,0)</f>
        <v>0</v>
      </c>
      <c r="AL77" s="115"/>
      <c r="AM77" s="115">
        <f>IF(AL13="Incomplete",1,0)</f>
        <v>0</v>
      </c>
      <c r="AN77" s="115"/>
      <c r="AO77" s="115">
        <f>IF(AN13="Incomplete",1,0)</f>
        <v>0</v>
      </c>
      <c r="AP77" s="115"/>
      <c r="AQ77" s="115">
        <f ca="1">IF(AQ13="Incomplete",1,0)</f>
        <v>0</v>
      </c>
      <c r="AR77" s="63"/>
      <c r="AS77" s="63"/>
      <c r="AT77" s="63"/>
      <c r="AU77" s="63"/>
      <c r="AV77" s="63"/>
      <c r="AW77" s="63"/>
      <c r="AX77" s="63"/>
      <c r="AY77" s="63"/>
      <c r="AZ77" s="63"/>
      <c r="BA77" s="63"/>
      <c r="BJ77" s="43" t="s">
        <v>861</v>
      </c>
      <c r="BZ77" s="737">
        <v>52</v>
      </c>
      <c r="CA77" s="737" t="str">
        <f t="shared" si="25"/>
        <v>AZ</v>
      </c>
    </row>
    <row r="78" spans="1:80" s="42" customFormat="1" x14ac:dyDescent="0.25">
      <c r="B78" s="121"/>
      <c r="C78" s="469"/>
      <c r="D78" s="121"/>
      <c r="E78" s="121"/>
      <c r="F78" s="469"/>
      <c r="G78" s="121"/>
      <c r="H78" s="469"/>
      <c r="I78" s="121"/>
      <c r="J78" s="469"/>
      <c r="K78" s="121"/>
      <c r="L78" s="469"/>
      <c r="M78" s="469"/>
      <c r="N78" s="121"/>
      <c r="O78" s="121"/>
      <c r="P78" s="121"/>
      <c r="Q78" s="469"/>
      <c r="R78" s="121"/>
      <c r="S78" s="469"/>
      <c r="T78" s="121"/>
      <c r="U78" s="469"/>
      <c r="V78" s="121"/>
      <c r="W78" s="469"/>
      <c r="X78" s="121"/>
      <c r="Y78" s="469"/>
      <c r="Z78" s="121"/>
      <c r="AA78" s="469"/>
      <c r="AB78" s="121"/>
      <c r="AC78" s="469"/>
      <c r="AD78" s="121"/>
      <c r="AE78" s="469"/>
      <c r="AF78" s="121"/>
      <c r="AG78" s="469"/>
      <c r="AH78" s="121"/>
      <c r="AI78" s="469"/>
      <c r="AJ78" s="469"/>
      <c r="AK78" s="469"/>
      <c r="AL78" s="469"/>
      <c r="AM78" s="469"/>
      <c r="AN78" s="469"/>
      <c r="AO78" s="469"/>
      <c r="AP78" s="469"/>
      <c r="AQ78" s="121"/>
      <c r="AR78" s="121"/>
      <c r="AS78" s="469"/>
      <c r="AT78" s="121"/>
      <c r="AU78" s="469"/>
      <c r="AV78" s="121"/>
      <c r="AW78" s="469"/>
      <c r="AX78" s="121"/>
      <c r="AY78" s="121"/>
      <c r="AZ78" s="469"/>
      <c r="BA78" s="469"/>
      <c r="BJ78" s="43"/>
      <c r="BZ78" s="737">
        <v>53</v>
      </c>
      <c r="CA78" s="737" t="str">
        <f>CONCATENATE("B",CA26)</f>
        <v>BA</v>
      </c>
    </row>
    <row r="79" spans="1:80" s="42" customFormat="1" x14ac:dyDescent="0.25">
      <c r="B79" s="121"/>
      <c r="C79" s="469"/>
      <c r="D79" s="122"/>
      <c r="E79" s="122"/>
      <c r="F79" s="121"/>
      <c r="G79" s="121"/>
      <c r="H79" s="121"/>
      <c r="I79" s="121"/>
      <c r="J79" s="121"/>
      <c r="K79" s="121"/>
      <c r="L79" s="63"/>
      <c r="M79" s="63"/>
      <c r="N79" s="63"/>
      <c r="O79" s="63"/>
      <c r="P79" s="63"/>
      <c r="Q79" s="63"/>
      <c r="R79" s="115"/>
      <c r="S79" s="115"/>
      <c r="T79" s="115"/>
      <c r="U79" s="115"/>
      <c r="V79" s="134"/>
      <c r="W79" s="115"/>
      <c r="X79" s="115"/>
      <c r="Y79" s="115"/>
      <c r="Z79" s="115"/>
      <c r="AA79" s="115"/>
      <c r="AB79" s="115"/>
      <c r="AC79" s="115"/>
      <c r="AD79" s="115"/>
      <c r="AE79" s="115"/>
      <c r="AF79" s="115"/>
      <c r="AG79" s="115"/>
      <c r="AH79" s="115"/>
      <c r="AI79" s="115"/>
      <c r="AJ79" s="115"/>
      <c r="AK79" s="115"/>
      <c r="AL79" s="115"/>
      <c r="AM79" s="115"/>
      <c r="AN79" s="115"/>
      <c r="AO79" s="115"/>
      <c r="AP79" s="115"/>
      <c r="AQ79" s="115"/>
      <c r="AS79" s="63"/>
      <c r="AT79" s="63"/>
      <c r="AU79" s="63"/>
      <c r="BW79" s="95"/>
      <c r="BZ79" s="737">
        <v>54</v>
      </c>
      <c r="CA79" s="737" t="str">
        <f t="shared" ref="CA79:CA103" si="49">CONCATENATE("B",CA27)</f>
        <v>BB</v>
      </c>
    </row>
    <row r="80" spans="1:80" s="42" customFormat="1" x14ac:dyDescent="0.25">
      <c r="B80" s="121"/>
      <c r="C80" s="469"/>
      <c r="D80" s="122"/>
      <c r="E80" s="122"/>
      <c r="F80" s="121"/>
      <c r="G80" s="121"/>
      <c r="H80" s="121"/>
      <c r="I80" s="121"/>
      <c r="J80" s="121"/>
      <c r="K80" s="121"/>
      <c r="L80" s="63"/>
      <c r="M80" s="63"/>
      <c r="P80" s="63"/>
      <c r="Q80" s="63"/>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S80" s="63"/>
      <c r="AT80" s="63"/>
      <c r="AU80" s="63"/>
      <c r="BZ80" s="737">
        <v>55</v>
      </c>
      <c r="CA80" s="737" t="str">
        <f t="shared" si="49"/>
        <v>BC</v>
      </c>
    </row>
    <row r="81" spans="78:79" x14ac:dyDescent="0.25">
      <c r="BZ81" s="737">
        <v>56</v>
      </c>
      <c r="CA81" s="737" t="str">
        <f t="shared" si="49"/>
        <v>BD</v>
      </c>
    </row>
    <row r="82" spans="78:79" x14ac:dyDescent="0.25">
      <c r="BZ82" s="737">
        <v>57</v>
      </c>
      <c r="CA82" s="737" t="str">
        <f t="shared" si="49"/>
        <v>BE</v>
      </c>
    </row>
    <row r="83" spans="78:79" x14ac:dyDescent="0.25">
      <c r="BZ83" s="737">
        <v>58</v>
      </c>
      <c r="CA83" s="737" t="str">
        <f t="shared" si="49"/>
        <v>BF</v>
      </c>
    </row>
    <row r="84" spans="78:79" x14ac:dyDescent="0.25">
      <c r="BZ84" s="737">
        <v>59</v>
      </c>
      <c r="CA84" s="737" t="str">
        <f t="shared" si="49"/>
        <v>BG</v>
      </c>
    </row>
    <row r="85" spans="78:79" x14ac:dyDescent="0.25">
      <c r="BZ85" s="737">
        <v>60</v>
      </c>
      <c r="CA85" s="737" t="str">
        <f t="shared" si="49"/>
        <v>BH</v>
      </c>
    </row>
    <row r="86" spans="78:79" x14ac:dyDescent="0.25">
      <c r="BZ86" s="737">
        <v>61</v>
      </c>
      <c r="CA86" s="737" t="str">
        <f t="shared" si="49"/>
        <v>BI</v>
      </c>
    </row>
    <row r="87" spans="78:79" x14ac:dyDescent="0.25">
      <c r="BZ87" s="737">
        <v>62</v>
      </c>
      <c r="CA87" s="737" t="str">
        <f t="shared" si="49"/>
        <v>BJ</v>
      </c>
    </row>
    <row r="88" spans="78:79" x14ac:dyDescent="0.25">
      <c r="BZ88" s="737">
        <v>63</v>
      </c>
      <c r="CA88" s="737" t="str">
        <f t="shared" si="49"/>
        <v>BK</v>
      </c>
    </row>
    <row r="89" spans="78:79" x14ac:dyDescent="0.25">
      <c r="BZ89" s="737">
        <v>64</v>
      </c>
      <c r="CA89" s="737" t="str">
        <f t="shared" si="49"/>
        <v>Bl</v>
      </c>
    </row>
    <row r="90" spans="78:79" x14ac:dyDescent="0.25">
      <c r="BZ90" s="737">
        <v>65</v>
      </c>
      <c r="CA90" s="737" t="str">
        <f t="shared" si="49"/>
        <v>BM</v>
      </c>
    </row>
    <row r="91" spans="78:79" x14ac:dyDescent="0.25">
      <c r="BZ91" s="737">
        <v>66</v>
      </c>
      <c r="CA91" s="737" t="str">
        <f t="shared" si="49"/>
        <v>BN</v>
      </c>
    </row>
    <row r="92" spans="78:79" x14ac:dyDescent="0.25">
      <c r="BZ92" s="737">
        <v>67</v>
      </c>
      <c r="CA92" s="737" t="str">
        <f t="shared" si="49"/>
        <v>BO</v>
      </c>
    </row>
    <row r="93" spans="78:79" x14ac:dyDescent="0.25">
      <c r="BZ93" s="737">
        <v>68</v>
      </c>
      <c r="CA93" s="737" t="str">
        <f t="shared" si="49"/>
        <v>BP</v>
      </c>
    </row>
    <row r="94" spans="78:79" x14ac:dyDescent="0.25">
      <c r="BZ94" s="737">
        <v>69</v>
      </c>
      <c r="CA94" s="737" t="str">
        <f t="shared" si="49"/>
        <v>BQ</v>
      </c>
    </row>
    <row r="95" spans="78:79" x14ac:dyDescent="0.25">
      <c r="BZ95" s="737">
        <v>70</v>
      </c>
      <c r="CA95" s="737" t="str">
        <f t="shared" si="49"/>
        <v>BR</v>
      </c>
    </row>
    <row r="96" spans="78:79" x14ac:dyDescent="0.25">
      <c r="BZ96" s="737">
        <v>71</v>
      </c>
      <c r="CA96" s="737" t="str">
        <f t="shared" si="49"/>
        <v>BS</v>
      </c>
    </row>
    <row r="97" spans="78:79" x14ac:dyDescent="0.25">
      <c r="BZ97" s="737">
        <v>72</v>
      </c>
      <c r="CA97" s="737" t="str">
        <f t="shared" si="49"/>
        <v>BT</v>
      </c>
    </row>
    <row r="98" spans="78:79" x14ac:dyDescent="0.25">
      <c r="BZ98" s="737">
        <v>73</v>
      </c>
      <c r="CA98" s="737" t="str">
        <f t="shared" si="49"/>
        <v>BU</v>
      </c>
    </row>
    <row r="99" spans="78:79" x14ac:dyDescent="0.25">
      <c r="BZ99" s="737">
        <v>74</v>
      </c>
      <c r="CA99" s="737" t="str">
        <f t="shared" si="49"/>
        <v>BV</v>
      </c>
    </row>
    <row r="100" spans="78:79" x14ac:dyDescent="0.25">
      <c r="BZ100" s="737">
        <v>75</v>
      </c>
      <c r="CA100" s="737" t="str">
        <f t="shared" si="49"/>
        <v>BW</v>
      </c>
    </row>
    <row r="101" spans="78:79" x14ac:dyDescent="0.25">
      <c r="BZ101" s="737">
        <v>76</v>
      </c>
      <c r="CA101" s="737" t="str">
        <f t="shared" si="49"/>
        <v>BX</v>
      </c>
    </row>
    <row r="102" spans="78:79" x14ac:dyDescent="0.25">
      <c r="BZ102" s="737">
        <v>77</v>
      </c>
      <c r="CA102" s="737" t="str">
        <f t="shared" si="49"/>
        <v>BY</v>
      </c>
    </row>
    <row r="103" spans="78:79" x14ac:dyDescent="0.25">
      <c r="BZ103" s="737">
        <v>78</v>
      </c>
      <c r="CA103" s="737" t="str">
        <f t="shared" si="49"/>
        <v>BZ</v>
      </c>
    </row>
  </sheetData>
  <sheetProtection sheet="1" objects="1" scenarios="1" selectLockedCells="1"/>
  <mergeCells count="112">
    <mergeCell ref="D1:F1"/>
    <mergeCell ref="D5:F5"/>
    <mergeCell ref="B13:C13"/>
    <mergeCell ref="B53:F53"/>
    <mergeCell ref="B54:F54"/>
    <mergeCell ref="B55:F55"/>
    <mergeCell ref="B56:F56"/>
    <mergeCell ref="B57:F57"/>
    <mergeCell ref="B15:F15"/>
    <mergeCell ref="B50:F50"/>
    <mergeCell ref="B51:F51"/>
    <mergeCell ref="B52:F52"/>
    <mergeCell ref="B38:F38"/>
    <mergeCell ref="B39:F39"/>
    <mergeCell ref="B40:F40"/>
    <mergeCell ref="B41:F41"/>
    <mergeCell ref="B42:F42"/>
    <mergeCell ref="B35:F35"/>
    <mergeCell ref="B36:F36"/>
    <mergeCell ref="B37:F37"/>
    <mergeCell ref="B32:F32"/>
    <mergeCell ref="B33:F33"/>
    <mergeCell ref="B34:F34"/>
    <mergeCell ref="B44:F44"/>
    <mergeCell ref="R13:S13"/>
    <mergeCell ref="T13:U13"/>
    <mergeCell ref="V13:W13"/>
    <mergeCell ref="X13:Y13"/>
    <mergeCell ref="Z13:AA13"/>
    <mergeCell ref="P25:AQ25"/>
    <mergeCell ref="AP15:AP24"/>
    <mergeCell ref="J21:J24"/>
    <mergeCell ref="AD13:AE13"/>
    <mergeCell ref="AF13:AG13"/>
    <mergeCell ref="AB13:AC13"/>
    <mergeCell ref="V15:W22"/>
    <mergeCell ref="P15:Q22"/>
    <mergeCell ref="R19:U22"/>
    <mergeCell ref="AH15:AI22"/>
    <mergeCell ref="AJ15:AK22"/>
    <mergeCell ref="AL15:AM22"/>
    <mergeCell ref="AN15:AO22"/>
    <mergeCell ref="AD19:AG22"/>
    <mergeCell ref="G25:L25"/>
    <mergeCell ref="B45:F45"/>
    <mergeCell ref="B43:F43"/>
    <mergeCell ref="B49:F49"/>
    <mergeCell ref="B26:F26"/>
    <mergeCell ref="B27:F27"/>
    <mergeCell ref="B28:F28"/>
    <mergeCell ref="B29:F29"/>
    <mergeCell ref="B30:F30"/>
    <mergeCell ref="B31:F31"/>
    <mergeCell ref="B75:F75"/>
    <mergeCell ref="B46:F46"/>
    <mergeCell ref="B47:F47"/>
    <mergeCell ref="B48:F48"/>
    <mergeCell ref="B63:F63"/>
    <mergeCell ref="B64:F64"/>
    <mergeCell ref="B65:F65"/>
    <mergeCell ref="B66:F66"/>
    <mergeCell ref="B67:F67"/>
    <mergeCell ref="B58:F58"/>
    <mergeCell ref="B59:F59"/>
    <mergeCell ref="B68:F68"/>
    <mergeCell ref="B69:F69"/>
    <mergeCell ref="B70:F70"/>
    <mergeCell ref="B71:F71"/>
    <mergeCell ref="B72:F72"/>
    <mergeCell ref="B73:F73"/>
    <mergeCell ref="B74:F74"/>
    <mergeCell ref="B62:F62"/>
    <mergeCell ref="B60:F60"/>
    <mergeCell ref="B61:F61"/>
    <mergeCell ref="AO1:AO9"/>
    <mergeCell ref="BH17:BH21"/>
    <mergeCell ref="AX22:AX24"/>
    <mergeCell ref="I1:R1"/>
    <mergeCell ref="I3:R3"/>
    <mergeCell ref="I5:R5"/>
    <mergeCell ref="K22:K24"/>
    <mergeCell ref="I21:I24"/>
    <mergeCell ref="N19:N24"/>
    <mergeCell ref="AQ21:AQ24"/>
    <mergeCell ref="AL13:AM13"/>
    <mergeCell ref="AJ13:AK13"/>
    <mergeCell ref="AN13:AO13"/>
    <mergeCell ref="R15:S18"/>
    <mergeCell ref="T15:U18"/>
    <mergeCell ref="AD15:AE18"/>
    <mergeCell ref="AF15:AG18"/>
    <mergeCell ref="AH13:AI13"/>
    <mergeCell ref="AB15:AC22"/>
    <mergeCell ref="Z15:AA22"/>
    <mergeCell ref="X15:Y22"/>
    <mergeCell ref="AY22:AY24"/>
    <mergeCell ref="AZ22:AZ24"/>
    <mergeCell ref="P13:Q13"/>
    <mergeCell ref="BX15:BX21"/>
    <mergeCell ref="BM15:BM21"/>
    <mergeCell ref="BL15:BL21"/>
    <mergeCell ref="BK15:BK21"/>
    <mergeCell ref="BJ15:BJ21"/>
    <mergeCell ref="BN15:BN21"/>
    <mergeCell ref="BO15:BO21"/>
    <mergeCell ref="BP15:BP21"/>
    <mergeCell ref="BQ15:BQ21"/>
    <mergeCell ref="BR15:BR21"/>
    <mergeCell ref="BS15:BS21"/>
    <mergeCell ref="BT15:BT21"/>
    <mergeCell ref="BU15:BU21"/>
    <mergeCell ref="BV15:BV21"/>
  </mergeCells>
  <conditionalFormatting sqref="G26:G75">
    <cfRule type="expression" dxfId="302" priority="106">
      <formula>$B26&lt;&gt;""</formula>
    </cfRule>
  </conditionalFormatting>
  <conditionalFormatting sqref="I26:I75">
    <cfRule type="expression" dxfId="301" priority="99">
      <formula>AND($B26&lt;&gt;"",$I26&lt;&gt;"")</formula>
    </cfRule>
    <cfRule type="expression" dxfId="300" priority="100">
      <formula>AND($B26&lt;&gt;"",$I26="")</formula>
    </cfRule>
  </conditionalFormatting>
  <conditionalFormatting sqref="I13:L13">
    <cfRule type="expression" dxfId="299" priority="2804">
      <formula>$L$13&gt;$L$9</formula>
    </cfRule>
  </conditionalFormatting>
  <conditionalFormatting sqref="J26:J75">
    <cfRule type="expression" dxfId="298" priority="97">
      <formula>AND($B26&lt;&gt;"",J26&lt;&gt;"")</formula>
    </cfRule>
    <cfRule type="expression" dxfId="297" priority="98">
      <formula>AND($B26&lt;&gt;"",J26="")</formula>
    </cfRule>
  </conditionalFormatting>
  <conditionalFormatting sqref="N26:N75">
    <cfRule type="expression" dxfId="295" priority="2">
      <formula>AND($N$13=TRUE,$B26&lt;&gt;"",$N26="")</formula>
    </cfRule>
    <cfRule type="expression" dxfId="294" priority="3">
      <formula>AND($N$13=TRUE,$B26&lt;&gt;"",$N26&lt;&gt;"")</formula>
    </cfRule>
    <cfRule type="expression" dxfId="293" priority="2806">
      <formula>$N$13=FALSE</formula>
    </cfRule>
  </conditionalFormatting>
  <conditionalFormatting sqref="P13:AO13">
    <cfRule type="cellIs" dxfId="292" priority="4" operator="equal">
      <formula>"Complete"</formula>
    </cfRule>
  </conditionalFormatting>
  <conditionalFormatting sqref="P13:AP13">
    <cfRule type="cellIs" dxfId="291" priority="5" operator="equal">
      <formula>"Incomplete"</formula>
    </cfRule>
  </conditionalFormatting>
  <conditionalFormatting sqref="Q26:Q75 S26:S75 U26:U75 W26:W75 Y26:Y75 AA26:AA75 AC26:AC75 AE26:AE75 AG26:AG75 AI26:AI75 AK26:AK75 AM26:AM75 AO26:AO75">
    <cfRule type="expression" dxfId="290" priority="83">
      <formula>AND($B26&lt;&gt;"",Q26&lt;&gt;"")</formula>
    </cfRule>
    <cfRule type="expression" dxfId="289" priority="76" stopIfTrue="1">
      <formula>AND($B26&lt;&gt;"",P26="NA")</formula>
    </cfRule>
    <cfRule type="expression" dxfId="288" priority="84">
      <formula>AND($B26&lt;&gt;"",Q26="")</formula>
    </cfRule>
  </conditionalFormatting>
  <conditionalFormatting sqref="R15 T15 R19">
    <cfRule type="expression" dxfId="287" priority="159">
      <formula>Compliance_Version_Year=2016</formula>
    </cfRule>
  </conditionalFormatting>
  <conditionalFormatting sqref="R19">
    <cfRule type="expression" dxfId="286" priority="157">
      <formula>Compliance_Version_Year=2010</formula>
    </cfRule>
    <cfRule type="expression" dxfId="285" priority="158">
      <formula>Compliance_Version_Year=2016</formula>
    </cfRule>
  </conditionalFormatting>
  <conditionalFormatting sqref="AD15 AF15">
    <cfRule type="expression" dxfId="284" priority="32">
      <formula>Compliance_Version_Year=2016</formula>
    </cfRule>
  </conditionalFormatting>
  <conditionalFormatting sqref="AD19">
    <cfRule type="expression" dxfId="283" priority="135">
      <formula>Compliance_Version_Year=2010</formula>
    </cfRule>
    <cfRule type="expression" dxfId="282" priority="136">
      <formula>Compliance_Version_Year=2016</formula>
    </cfRule>
    <cfRule type="expression" dxfId="281" priority="137">
      <formula>Compliance_Version_Year=2016</formula>
    </cfRule>
  </conditionalFormatting>
  <conditionalFormatting sqref="AP26:AP75">
    <cfRule type="expression" dxfId="280" priority="114">
      <formula>$B26&lt;&gt;""</formula>
    </cfRule>
  </conditionalFormatting>
  <conditionalFormatting sqref="AP76">
    <cfRule type="cellIs" dxfId="279" priority="174" operator="equal">
      <formula>"Incomplete"</formula>
    </cfRule>
  </conditionalFormatting>
  <conditionalFormatting sqref="AQ13">
    <cfRule type="cellIs" dxfId="278" priority="118" operator="equal">
      <formula>"Compliant"</formula>
    </cfRule>
    <cfRule type="cellIs" dxfId="277" priority="119" operator="equal">
      <formula>"Not Compliant"</formula>
    </cfRule>
  </conditionalFormatting>
  <conditionalFormatting sqref="AQ26:AQ75">
    <cfRule type="cellIs" dxfId="276" priority="101" operator="equal">
      <formula>"Compliant"</formula>
    </cfRule>
    <cfRule type="cellIs" dxfId="275" priority="102" operator="equal">
      <formula>"Incomplete"</formula>
    </cfRule>
  </conditionalFormatting>
  <dataValidations count="10">
    <dataValidation type="list" allowBlank="1" showInputMessage="1" showErrorMessage="1" sqref="Y26:Y75 AA26:AA75 AC26:AC75 AE26:AE75 AG26:AG75 AI26:AI75 AK26:AK75 AM26:AM75 Q26:Q75 W26:W75 AO26:AO75" xr:uid="{00000000-0002-0000-0800-000000000000}">
      <formula1>"Yes,N/A"</formula1>
    </dataValidation>
    <dataValidation type="list" allowBlank="1" showInputMessage="1" showErrorMessage="1" sqref="AU79:AU80 BA15:BA20 AZ15:AZ16 AZ18:AZ21" xr:uid="{00000000-0002-0000-0800-000001000000}">
      <formula1>YesNoNA</formula1>
    </dataValidation>
    <dataValidation type="list" allowBlank="1" showInputMessage="1" showErrorMessage="1" sqref="I26:I75" xr:uid="{00000000-0002-0000-0800-000002000000}">
      <formula1>_FixtureList</formula1>
    </dataValidation>
    <dataValidation type="list" allowBlank="1" showInputMessage="1" showErrorMessage="1" sqref="B26:F75" xr:uid="{00000000-0002-0000-0800-000003000000}">
      <formula1>_SpaceList</formula1>
    </dataValidation>
    <dataValidation type="list" allowBlank="1" showInputMessage="1" showErrorMessage="1" sqref="N27:N75" xr:uid="{00000000-0002-0000-0800-000004000000}">
      <formula1>"New, Existing Remains, Existing Removed"</formula1>
    </dataValidation>
    <dataValidation type="list" allowBlank="1" showInputMessage="1" showErrorMessage="1" sqref="N26" xr:uid="{00000000-0002-0000-0800-000005000000}">
      <formula1>"New, Existing Remains, Existing Removed,"</formula1>
    </dataValidation>
    <dataValidation type="list" allowBlank="1" showInputMessage="1" showErrorMessage="1" sqref="S26:S75" xr:uid="{00000000-0002-0000-0800-000006000000}">
      <formula1>"Yes,N/A,9.4.1.1c"</formula1>
    </dataValidation>
    <dataValidation type="list" allowBlank="1" showInputMessage="1" showErrorMessage="1" sqref="U26:U75" xr:uid="{00000000-0002-0000-0800-000007000000}">
      <formula1>"Yes,N/A,9.4.1.1b"</formula1>
    </dataValidation>
    <dataValidation type="list" allowBlank="1" showInputMessage="1" sqref="AP27:AP75" xr:uid="{00000000-0002-0000-0800-000008000000}">
      <formula1>"1,2,3,4,5,"</formula1>
    </dataValidation>
    <dataValidation type="list" allowBlank="1" showInputMessage="1" showErrorMessage="1" errorTitle="Nonmandatory Control Type" error="Control must be one 1, 2, 3, 4 or 5 as listed above!" sqref="AP26" xr:uid="{00000000-0002-0000-0800-000009000000}">
      <formula1>"1,2,3,4,5,"</formula1>
    </dataValidation>
  </dataValidations>
  <pageMargins left="0.7" right="0.7" top="0.75" bottom="0.75" header="0.3" footer="0.3"/>
  <pageSetup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 id="{1E387F3E-270E-482C-821A-0CB64EDFBFE7}">
            <xm:f>AND('Main Compliance Page'!$J$19="Yes",'Main Compliance Page'!$J$25="Yes")</xm:f>
            <x14:dxf>
              <font>
                <color theme="0"/>
              </font>
              <fill>
                <patternFill>
                  <bgColor theme="0"/>
                </patternFill>
              </fill>
              <border>
                <left/>
                <right/>
                <top/>
                <bottom/>
                <vertical/>
                <horizontal/>
              </border>
            </x14:dxf>
          </x14:cfRule>
          <xm:sqref>K9:L9 L13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tabColor theme="8" tint="-0.249977111117893"/>
  </sheetPr>
  <dimension ref="A1:AI94"/>
  <sheetViews>
    <sheetView showGridLines="0" workbookViewId="0">
      <selection activeCell="B18" sqref="B18:E18"/>
    </sheetView>
  </sheetViews>
  <sheetFormatPr defaultRowHeight="12.5" x14ac:dyDescent="0.25"/>
  <cols>
    <col min="1" max="1" width="2.54296875" customWidth="1"/>
    <col min="2" max="5" width="11.54296875" customWidth="1"/>
    <col min="6" max="6" width="2.54296875" customWidth="1"/>
    <col min="9" max="10" width="10.54296875" customWidth="1"/>
    <col min="11" max="13" width="12.7265625" customWidth="1"/>
    <col min="14" max="15" width="6.7265625" customWidth="1"/>
    <col min="16" max="17" width="10.7265625" customWidth="1"/>
    <col min="18" max="18" width="29.7265625" bestFit="1" customWidth="1"/>
    <col min="19" max="19" width="10.7265625" customWidth="1"/>
    <col min="20" max="26" width="9.1796875" hidden="1" customWidth="1"/>
    <col min="27" max="35" width="9" hidden="1" customWidth="1"/>
  </cols>
  <sheetData>
    <row r="1" spans="2:35" ht="17.149999999999999" customHeight="1" x14ac:dyDescent="0.3">
      <c r="D1" s="1498" t="s">
        <v>0</v>
      </c>
      <c r="E1" s="1498"/>
      <c r="G1" s="1472" t="str">
        <f>'Main Compliance Page'!K1</f>
        <v>ASHRAE/IES 90.1-2019 Lighting Compliance Documentation (v4.0)</v>
      </c>
      <c r="H1" s="1472"/>
      <c r="I1" s="1472"/>
      <c r="J1" s="1472"/>
      <c r="K1" s="1472"/>
      <c r="L1" s="1472"/>
      <c r="M1" s="1472"/>
      <c r="N1" s="1472"/>
      <c r="O1" s="1472"/>
      <c r="P1" s="1472"/>
      <c r="Q1" s="1472"/>
      <c r="R1" s="117"/>
      <c r="S1" s="117"/>
    </row>
    <row r="2" spans="2:35" ht="5.15" customHeight="1" x14ac:dyDescent="0.3">
      <c r="D2" s="1019"/>
      <c r="E2" s="1019"/>
      <c r="G2" s="1020"/>
      <c r="H2" s="1020"/>
      <c r="I2" s="1020"/>
      <c r="J2" s="1020"/>
      <c r="K2" s="1020"/>
      <c r="L2" s="1020"/>
      <c r="M2" s="1020"/>
      <c r="N2" s="1020"/>
      <c r="O2" s="1020"/>
      <c r="P2" s="1020"/>
      <c r="Q2" s="1020"/>
      <c r="R2" s="117"/>
      <c r="S2" s="117"/>
    </row>
    <row r="3" spans="2:35" ht="17.149999999999999" customHeight="1" x14ac:dyDescent="0.3">
      <c r="G3" s="1472" t="s">
        <v>141</v>
      </c>
      <c r="H3" s="1472"/>
      <c r="I3" s="1472"/>
      <c r="J3" s="1472"/>
      <c r="K3" s="1472"/>
      <c r="L3" s="1472"/>
      <c r="M3" s="1472"/>
      <c r="N3" s="1472"/>
      <c r="O3" s="1472"/>
      <c r="P3" s="1472"/>
      <c r="Q3" s="1472"/>
      <c r="R3" s="117"/>
      <c r="S3" s="117"/>
    </row>
    <row r="4" spans="2:35" ht="5.15" customHeight="1" x14ac:dyDescent="0.3">
      <c r="G4" s="1020"/>
      <c r="H4" s="1020"/>
      <c r="I4" s="1020"/>
      <c r="J4" s="1020"/>
      <c r="K4" s="1020"/>
      <c r="L4" s="1020"/>
      <c r="M4" s="1020"/>
      <c r="N4" s="1020"/>
      <c r="O4" s="1020"/>
      <c r="P4" s="1020"/>
      <c r="Q4" s="1020"/>
      <c r="R4" s="117"/>
      <c r="S4" s="117"/>
    </row>
    <row r="5" spans="2:35" ht="15" customHeight="1" x14ac:dyDescent="0.3">
      <c r="D5" s="1635"/>
      <c r="E5" s="1635"/>
      <c r="G5" s="1472" t="s">
        <v>1206</v>
      </c>
      <c r="H5" s="1472"/>
      <c r="I5" s="1472"/>
      <c r="J5" s="1472"/>
      <c r="K5" s="1472"/>
      <c r="L5" s="1472"/>
      <c r="M5" s="1472"/>
      <c r="N5" s="1472"/>
      <c r="O5" s="1472"/>
      <c r="P5" s="1472"/>
      <c r="Q5" s="1472"/>
      <c r="R5" s="117"/>
      <c r="S5" s="117"/>
    </row>
    <row r="6" spans="2:35" ht="5.15" customHeight="1" x14ac:dyDescent="0.3">
      <c r="D6" s="1021"/>
      <c r="E6" s="1021"/>
      <c r="G6" s="1020"/>
      <c r="H6" s="1020"/>
      <c r="I6" s="1020"/>
      <c r="J6" s="1020"/>
      <c r="K6" s="1020"/>
      <c r="L6" s="1020"/>
      <c r="M6" s="1020"/>
      <c r="N6" s="1020"/>
      <c r="O6" s="1020"/>
      <c r="P6" s="1020"/>
      <c r="Q6" s="1020"/>
      <c r="R6" s="117"/>
      <c r="S6" s="117"/>
    </row>
    <row r="7" spans="2:35" ht="15" customHeight="1" x14ac:dyDescent="0.25">
      <c r="S7" s="178"/>
    </row>
    <row r="8" spans="2:35" ht="5.15" customHeight="1" x14ac:dyDescent="0.25">
      <c r="S8" s="178"/>
    </row>
    <row r="9" spans="2:35" ht="15" customHeight="1" x14ac:dyDescent="0.25">
      <c r="S9" s="178"/>
    </row>
    <row r="10" spans="2:35" ht="5.15" customHeight="1" x14ac:dyDescent="0.25">
      <c r="S10" s="178"/>
    </row>
    <row r="11" spans="2:35" ht="15" customHeight="1" x14ac:dyDescent="0.25">
      <c r="S11" s="178"/>
    </row>
    <row r="12" spans="2:35" ht="5.15" customHeight="1" x14ac:dyDescent="0.25"/>
    <row r="13" spans="2:35" ht="15" customHeight="1" thickBot="1" x14ac:dyDescent="0.35">
      <c r="B13" s="1690" t="str">
        <f>'SpxSp (step-a)'!B13:C13</f>
        <v>90.1-2019</v>
      </c>
      <c r="C13" s="1690"/>
      <c r="M13" s="5" t="s">
        <v>131</v>
      </c>
      <c r="N13" s="1719" t="s">
        <v>177</v>
      </c>
      <c r="O13" s="1719"/>
      <c r="P13" s="1719" t="s">
        <v>178</v>
      </c>
      <c r="Q13" s="1719"/>
    </row>
    <row r="14" spans="2:35" ht="17.149999999999999" customHeight="1" thickBot="1" x14ac:dyDescent="0.35">
      <c r="G14" s="62" t="s">
        <v>179</v>
      </c>
      <c r="L14" s="247" t="s">
        <v>124</v>
      </c>
      <c r="M14" s="248">
        <f>ROUND(SUM(M18:M67),0)</f>
        <v>0</v>
      </c>
      <c r="N14" s="1710" t="str">
        <f>IF(W69=0,"Compliant","Not Compliant")</f>
        <v>Compliant</v>
      </c>
      <c r="O14" s="1710"/>
      <c r="P14" s="1710" t="str">
        <f>IF(U69=0,"Compliant","Not Compliant")</f>
        <v>Compliant</v>
      </c>
      <c r="Q14" s="1711"/>
      <c r="AG14" s="730" t="s">
        <v>1059</v>
      </c>
      <c r="AH14" s="42" t="s">
        <v>1060</v>
      </c>
      <c r="AI14" s="531" t="s">
        <v>1100</v>
      </c>
    </row>
    <row r="15" spans="2:35" ht="5.15" customHeight="1" thickBot="1" x14ac:dyDescent="0.3">
      <c r="AG15" s="48"/>
      <c r="AH15" s="48"/>
      <c r="AI15" s="48"/>
    </row>
    <row r="16" spans="2:35" ht="39.5" thickBot="1" x14ac:dyDescent="0.3">
      <c r="B16" s="1701" t="s">
        <v>180</v>
      </c>
      <c r="C16" s="1702"/>
      <c r="D16" s="1702"/>
      <c r="E16" s="1702"/>
      <c r="F16" s="1703"/>
      <c r="G16" s="1718" t="s">
        <v>181</v>
      </c>
      <c r="H16" s="1703"/>
      <c r="I16" s="1714"/>
      <c r="J16" s="1715"/>
      <c r="K16" s="1070" t="s">
        <v>182</v>
      </c>
      <c r="L16" s="1070" t="s">
        <v>183</v>
      </c>
      <c r="M16" s="1070" t="s">
        <v>131</v>
      </c>
      <c r="N16" s="1712" t="s">
        <v>177</v>
      </c>
      <c r="O16" s="1712"/>
      <c r="P16" s="1718" t="s">
        <v>184</v>
      </c>
      <c r="Q16" s="1720"/>
      <c r="R16" s="1239" t="s">
        <v>638</v>
      </c>
      <c r="S16" s="128"/>
      <c r="T16" s="128"/>
      <c r="U16" s="121" t="s">
        <v>185</v>
      </c>
      <c r="V16" s="1068"/>
      <c r="W16" s="1068"/>
      <c r="X16" s="1068"/>
      <c r="Y16" s="48"/>
      <c r="Z16" s="48"/>
      <c r="AA16" s="48"/>
      <c r="AB16" s="48"/>
      <c r="AC16" s="1037" t="str">
        <f>VLOOKUP(COLUMN(),AG18:AH94,2,FALSE)</f>
        <v>AC</v>
      </c>
      <c r="AG16" s="48"/>
      <c r="AH16" s="48"/>
      <c r="AI16" s="48"/>
    </row>
    <row r="17" spans="1:35" s="14" customFormat="1" ht="0.65" customHeight="1" thickBot="1" x14ac:dyDescent="0.35">
      <c r="B17" s="1060"/>
      <c r="C17" s="839"/>
      <c r="D17" s="839"/>
      <c r="E17" s="839"/>
      <c r="F17" s="839"/>
      <c r="G17" s="1721"/>
      <c r="H17" s="1721"/>
      <c r="I17" s="1721"/>
      <c r="J17" s="1721"/>
      <c r="K17" s="1721"/>
      <c r="L17" s="1721"/>
      <c r="M17" s="1721"/>
      <c r="N17" s="1721"/>
      <c r="O17" s="1721"/>
      <c r="P17" s="1721"/>
      <c r="Q17" s="1722"/>
      <c r="R17" s="123" t="str">
        <f>IF(B17="","",IF(X17="ERROR",CONCATENATE(VLOOKUP(B17,'SpxSp (step-a)'!AZ$22:BC$71,3,FALSE)," total decorative watts for this space"),""))</f>
        <v/>
      </c>
      <c r="S17" s="128"/>
      <c r="T17" s="128"/>
      <c r="U17" s="121"/>
      <c r="V17" s="1069"/>
      <c r="W17" s="1069"/>
      <c r="X17" s="1069"/>
      <c r="Y17" s="1059"/>
      <c r="Z17" s="1059"/>
      <c r="AA17" s="1059"/>
      <c r="AB17" s="1059"/>
      <c r="AG17" s="737">
        <v>1</v>
      </c>
      <c r="AH17" s="737" t="s">
        <v>1039</v>
      </c>
      <c r="AI17" s="730">
        <f>ROW()</f>
        <v>17</v>
      </c>
    </row>
    <row r="18" spans="1:35" x14ac:dyDescent="0.25">
      <c r="A18" s="5">
        <v>1</v>
      </c>
      <c r="B18" s="1670"/>
      <c r="C18" s="1671"/>
      <c r="D18" s="1671"/>
      <c r="E18" s="1671"/>
      <c r="F18" s="1058"/>
      <c r="G18" s="1697" t="str">
        <f>IF(B18="","",VLOOKUP(B18,'SpxSp (step-a)'!B$22:V$71,16,FALSE))</f>
        <v/>
      </c>
      <c r="H18" s="1698"/>
      <c r="I18" s="1716"/>
      <c r="J18" s="1717"/>
      <c r="K18" s="1066"/>
      <c r="L18" s="799" t="str">
        <f t="shared" ref="L18:L49" si="0">IF(OR(B18="",S18=0),"",IF(I18&lt;&gt;"",VLOOKUP(I18,_Luminaire_Schedule,9,FALSE)," "))</f>
        <v/>
      </c>
      <c r="M18" s="941" t="str">
        <f>IFERROR(IF(OR(B18="",S18=0),"",K18*L18),0)</f>
        <v/>
      </c>
      <c r="N18" s="1706" t="str">
        <f>IF(B18="","",IF(X18="ERROR","Fail",IF(M18=0,"",IF(M18&gt;G18,"Fail","Pass"))))</f>
        <v/>
      </c>
      <c r="O18" s="1707"/>
      <c r="P18" s="1693"/>
      <c r="Q18" s="1696"/>
      <c r="R18" s="1240" t="str">
        <f>IF(B18="","",IF(X18="ERROR",CONCATENATE(VLOOKUP(B18,'SpxSp (step-a)'!AZ$22:BC$71,3,FALSE)," total decorative watts for this space"),IF(S18=0,"Specify GENERAL lighting first","")))</f>
        <v/>
      </c>
      <c r="S18" s="123" t="str">
        <f>IFERROR(VLOOKUP(B18,'SpxSp (step-a)'!B$22:O$71,13,FALSE),"")</f>
        <v/>
      </c>
      <c r="T18" s="236">
        <f t="shared" ref="T18:T49" si="1">IFERROR(K18*L18,0)</f>
        <v>0</v>
      </c>
      <c r="U18" s="121">
        <f t="shared" ref="U18:U49" si="2">IF(B18="",0,IF(OR(P18="",P18="No"),1,0))</f>
        <v>0</v>
      </c>
      <c r="V18" s="43"/>
      <c r="W18" s="730">
        <f>IF(OR(N18="Fail",N18="ERROR"),1,0)</f>
        <v>0</v>
      </c>
      <c r="X18" s="730" t="e">
        <f>VLOOKUP(B18,'SpxSp (step-a)'!AZ$22:BC$71,4,FALSE)</f>
        <v>#N/A</v>
      </c>
      <c r="Y18" s="43">
        <f t="shared" ref="Y18:Y49" si="3">COUNTIF(B$18:F$67,B18)</f>
        <v>0</v>
      </c>
      <c r="Z18" s="43"/>
      <c r="AA18" s="43"/>
      <c r="AB18" s="1102" t="str">
        <f t="shared" ref="AB18:AB30" si="4">IF(B18="","",IFERROR(I18,""))</f>
        <v/>
      </c>
      <c r="AC18" s="700" t="str">
        <f>IF(B18="","",CONCATENATE("(",K18,") ",AB18," @ ",L18," watts each (Decorative)",CHAR(10)))</f>
        <v/>
      </c>
      <c r="AG18" s="737">
        <v>2</v>
      </c>
      <c r="AH18" s="737" t="s">
        <v>1040</v>
      </c>
      <c r="AI18" s="730">
        <f>ROW()</f>
        <v>18</v>
      </c>
    </row>
    <row r="19" spans="1:35" x14ac:dyDescent="0.25">
      <c r="A19" s="5">
        <v>2</v>
      </c>
      <c r="B19" s="1670"/>
      <c r="C19" s="1671"/>
      <c r="D19" s="1671"/>
      <c r="E19" s="1671"/>
      <c r="F19" s="1058"/>
      <c r="G19" s="1697" t="str">
        <f>IF(B19="","",VLOOKUP(B19,'SpxSp (step-a)'!B$22:V$71,16,FALSE))</f>
        <v/>
      </c>
      <c r="H19" s="1698"/>
      <c r="I19" s="1693"/>
      <c r="J19" s="1708"/>
      <c r="K19" s="1066"/>
      <c r="L19" s="799" t="str">
        <f t="shared" si="0"/>
        <v/>
      </c>
      <c r="M19" s="941" t="str">
        <f t="shared" ref="M19:M67" si="5">IFERROR(IF(B19="","",K19*L19),0)</f>
        <v/>
      </c>
      <c r="N19" s="1706" t="str">
        <f t="shared" ref="N19:N22" si="6">IF(B19="","",IF(X19="ERROR","Fail",IF(M19=0,"",IF(M19&gt;G19,"Fail","Pass"))))</f>
        <v/>
      </c>
      <c r="O19" s="1707"/>
      <c r="P19" s="1693"/>
      <c r="Q19" s="1696"/>
      <c r="R19" s="1238" t="str">
        <f>IF(B19="","",IF(X19="ERROR",CONCATENATE(VLOOKUP(B19,'SpxSp (step-a)'!AZ$22:BC$71,3,FALSE)," total decorative watts for this space"),IF(S19=0,"Specify GENERAL lighting first","")))</f>
        <v/>
      </c>
      <c r="S19" s="123" t="str">
        <f>IFERROR(VLOOKUP(B19,'SpxSp (step-a)'!B$22:O$71,13,FALSE),"")</f>
        <v/>
      </c>
      <c r="T19" s="236">
        <f t="shared" si="1"/>
        <v>0</v>
      </c>
      <c r="U19" s="121">
        <f t="shared" si="2"/>
        <v>0</v>
      </c>
      <c r="V19" s="43"/>
      <c r="W19" s="730">
        <f t="shared" ref="W19:W67" si="7">IF(OR(N19="Fail",N19="ERROR"),1,0)</f>
        <v>0</v>
      </c>
      <c r="X19" s="730" t="e">
        <f>VLOOKUP(B19,'SpxSp (step-a)'!AZ$22:BC$71,4,FALSE)</f>
        <v>#N/A</v>
      </c>
      <c r="Y19" s="43">
        <f t="shared" si="3"/>
        <v>0</v>
      </c>
      <c r="Z19" s="43"/>
      <c r="AA19" s="43"/>
      <c r="AB19" s="1102" t="str">
        <f t="shared" si="4"/>
        <v/>
      </c>
      <c r="AC19" s="700" t="str">
        <f t="shared" ref="AC19:AC31" si="8">IF(B19="","",CONCATENATE("(",K19,") ",AB19," @ ",L19," watts each (Decorative)",CHAR(10)))</f>
        <v/>
      </c>
      <c r="AG19" s="737">
        <v>3</v>
      </c>
      <c r="AH19" s="737" t="s">
        <v>1041</v>
      </c>
      <c r="AI19" s="730">
        <f>ROW()</f>
        <v>19</v>
      </c>
    </row>
    <row r="20" spans="1:35" x14ac:dyDescent="0.25">
      <c r="A20" s="5">
        <v>3</v>
      </c>
      <c r="B20" s="1670"/>
      <c r="C20" s="1671"/>
      <c r="D20" s="1671"/>
      <c r="E20" s="1671"/>
      <c r="F20" s="1058"/>
      <c r="G20" s="1697" t="str">
        <f>IF(B20="","",VLOOKUP(B20,'SpxSp (step-a)'!B$22:V$71,16,FALSE))</f>
        <v/>
      </c>
      <c r="H20" s="1698"/>
      <c r="I20" s="1693"/>
      <c r="J20" s="1708"/>
      <c r="K20" s="1066"/>
      <c r="L20" s="799" t="str">
        <f t="shared" si="0"/>
        <v/>
      </c>
      <c r="M20" s="941" t="str">
        <f t="shared" si="5"/>
        <v/>
      </c>
      <c r="N20" s="1706" t="str">
        <f t="shared" si="6"/>
        <v/>
      </c>
      <c r="O20" s="1707"/>
      <c r="P20" s="1693"/>
      <c r="Q20" s="1696"/>
      <c r="R20" s="1238" t="str">
        <f>IF(B20="","",IF(X20="ERROR",CONCATENATE(VLOOKUP(B20,'SpxSp (step-a)'!AZ$22:BC$71,3,FALSE)," total decorative watts for this space"),IF(S20=0,"Specify GENERAL lighting first","")))</f>
        <v/>
      </c>
      <c r="S20" s="123" t="str">
        <f>IFERROR(VLOOKUP(B20,'SpxSp (step-a)'!B$22:O$71,13,FALSE),"")</f>
        <v/>
      </c>
      <c r="T20" s="236">
        <f t="shared" si="1"/>
        <v>0</v>
      </c>
      <c r="U20" s="121">
        <f t="shared" si="2"/>
        <v>0</v>
      </c>
      <c r="V20" s="43"/>
      <c r="W20" s="730">
        <f t="shared" si="7"/>
        <v>0</v>
      </c>
      <c r="X20" s="730" t="e">
        <f>VLOOKUP(B20,'SpxSp (step-a)'!AZ$22:BC$71,4,FALSE)</f>
        <v>#N/A</v>
      </c>
      <c r="Y20" s="43">
        <f t="shared" si="3"/>
        <v>0</v>
      </c>
      <c r="Z20" s="43"/>
      <c r="AA20" s="43"/>
      <c r="AB20" s="1102" t="str">
        <f t="shared" si="4"/>
        <v/>
      </c>
      <c r="AC20" s="700" t="str">
        <f t="shared" si="8"/>
        <v/>
      </c>
      <c r="AG20" s="737">
        <v>4</v>
      </c>
      <c r="AH20" s="737" t="s">
        <v>1042</v>
      </c>
      <c r="AI20" s="730">
        <f>ROW()</f>
        <v>20</v>
      </c>
    </row>
    <row r="21" spans="1:35" x14ac:dyDescent="0.25">
      <c r="A21" s="5">
        <v>4</v>
      </c>
      <c r="B21" s="1670"/>
      <c r="C21" s="1671"/>
      <c r="D21" s="1671"/>
      <c r="E21" s="1671"/>
      <c r="F21" s="1058"/>
      <c r="G21" s="1697" t="str">
        <f>IF(B21="","",VLOOKUP(B21,'SpxSp (step-a)'!B$22:V$71,16,FALSE))</f>
        <v/>
      </c>
      <c r="H21" s="1698"/>
      <c r="I21" s="1693"/>
      <c r="J21" s="1708"/>
      <c r="K21" s="1066"/>
      <c r="L21" s="799" t="str">
        <f t="shared" si="0"/>
        <v/>
      </c>
      <c r="M21" s="941" t="str">
        <f t="shared" si="5"/>
        <v/>
      </c>
      <c r="N21" s="1706" t="str">
        <f t="shared" si="6"/>
        <v/>
      </c>
      <c r="O21" s="1707"/>
      <c r="P21" s="1693"/>
      <c r="Q21" s="1696"/>
      <c r="R21" s="1238" t="str">
        <f>IF(B21="","",IF(X21="ERROR",CONCATENATE(VLOOKUP(B21,'SpxSp (step-a)'!AZ$22:BC$71,3,FALSE)," total decorative watts for this space"),IF(S21=0,"Specify GENERAL lighting first","")))</f>
        <v/>
      </c>
      <c r="S21" s="123" t="str">
        <f>IFERROR(VLOOKUP(B21,'SpxSp (step-a)'!B$22:O$71,13,FALSE),"")</f>
        <v/>
      </c>
      <c r="T21" s="236">
        <f t="shared" si="1"/>
        <v>0</v>
      </c>
      <c r="U21" s="121">
        <f t="shared" si="2"/>
        <v>0</v>
      </c>
      <c r="V21" s="43"/>
      <c r="W21" s="730">
        <f t="shared" si="7"/>
        <v>0</v>
      </c>
      <c r="X21" s="730" t="e">
        <f>VLOOKUP(B21,'SpxSp (step-a)'!AZ$22:BC$71,4,FALSE)</f>
        <v>#N/A</v>
      </c>
      <c r="Y21" s="43">
        <f t="shared" si="3"/>
        <v>0</v>
      </c>
      <c r="Z21" s="43"/>
      <c r="AA21" s="43"/>
      <c r="AB21" s="1102" t="str">
        <f t="shared" si="4"/>
        <v/>
      </c>
      <c r="AC21" s="700" t="str">
        <f t="shared" si="8"/>
        <v/>
      </c>
      <c r="AG21" s="737">
        <v>5</v>
      </c>
      <c r="AH21" s="737" t="s">
        <v>1043</v>
      </c>
      <c r="AI21" s="730">
        <f>ROW()</f>
        <v>21</v>
      </c>
    </row>
    <row r="22" spans="1:35" x14ac:dyDescent="0.25">
      <c r="A22" s="5">
        <v>5</v>
      </c>
      <c r="B22" s="1670"/>
      <c r="C22" s="1671"/>
      <c r="D22" s="1671"/>
      <c r="E22" s="1671"/>
      <c r="F22" s="1058"/>
      <c r="G22" s="1697" t="str">
        <f>IF(B22="","",VLOOKUP(B22,'SpxSp (step-a)'!B$22:V$71,16,FALSE))</f>
        <v/>
      </c>
      <c r="H22" s="1698"/>
      <c r="I22" s="1693"/>
      <c r="J22" s="1708"/>
      <c r="K22" s="1066"/>
      <c r="L22" s="799" t="str">
        <f t="shared" si="0"/>
        <v/>
      </c>
      <c r="M22" s="941" t="str">
        <f t="shared" si="5"/>
        <v/>
      </c>
      <c r="N22" s="1706" t="str">
        <f t="shared" si="6"/>
        <v/>
      </c>
      <c r="O22" s="1707"/>
      <c r="P22" s="1693"/>
      <c r="Q22" s="1696"/>
      <c r="R22" s="1238" t="str">
        <f>IF(B22="","",IF(X22="ERROR",CONCATENATE(VLOOKUP(B22,'SpxSp (step-a)'!AZ$22:BC$71,3,FALSE)," total decorative watts for this space"),IF(S22=0,"Specify GENERAL lighting first","")))</f>
        <v/>
      </c>
      <c r="S22" s="123" t="str">
        <f>IFERROR(VLOOKUP(B22,'SpxSp (step-a)'!B$22:O$71,13,FALSE),"")</f>
        <v/>
      </c>
      <c r="T22" s="236">
        <f t="shared" si="1"/>
        <v>0</v>
      </c>
      <c r="U22" s="121">
        <f t="shared" si="2"/>
        <v>0</v>
      </c>
      <c r="V22" s="43"/>
      <c r="W22" s="730">
        <f t="shared" si="7"/>
        <v>0</v>
      </c>
      <c r="X22" s="730" t="e">
        <f>VLOOKUP(B22,'SpxSp (step-a)'!AZ$22:BC$71,4,FALSE)</f>
        <v>#N/A</v>
      </c>
      <c r="Y22" s="43">
        <f t="shared" si="3"/>
        <v>0</v>
      </c>
      <c r="Z22" s="43"/>
      <c r="AA22" s="43"/>
      <c r="AB22" s="1102" t="str">
        <f t="shared" si="4"/>
        <v/>
      </c>
      <c r="AC22" s="700" t="str">
        <f t="shared" si="8"/>
        <v/>
      </c>
      <c r="AG22" s="737">
        <v>6</v>
      </c>
      <c r="AH22" s="737" t="s">
        <v>1044</v>
      </c>
      <c r="AI22" s="730">
        <f>ROW()</f>
        <v>22</v>
      </c>
    </row>
    <row r="23" spans="1:35" x14ac:dyDescent="0.25">
      <c r="A23" s="5">
        <v>6</v>
      </c>
      <c r="B23" s="1670"/>
      <c r="C23" s="1671"/>
      <c r="D23" s="1671"/>
      <c r="E23" s="1671"/>
      <c r="F23" s="1058"/>
      <c r="G23" s="1697" t="str">
        <f>IF(B23="","",VLOOKUP(B23,'SpxSp (step-a)'!B$22:V$71,16,FALSE))</f>
        <v/>
      </c>
      <c r="H23" s="1698"/>
      <c r="I23" s="1693"/>
      <c r="J23" s="1694"/>
      <c r="K23" s="1067"/>
      <c r="L23" s="799" t="str">
        <f t="shared" si="0"/>
        <v/>
      </c>
      <c r="M23" s="941" t="str">
        <f t="shared" si="5"/>
        <v/>
      </c>
      <c r="N23" s="1695" t="str">
        <f t="shared" ref="N23:N67" si="9">IF(B23="","",IF(X23="ERROR","ERROR",IF(M23=0,"",IF(M23&gt;G23,"Over Allowed","Complies"))))</f>
        <v/>
      </c>
      <c r="O23" s="1695"/>
      <c r="P23" s="1693"/>
      <c r="Q23" s="1696"/>
      <c r="R23" s="1238" t="str">
        <f>IF(B23="","",IF(X23="ERROR",CONCATENATE(VLOOKUP(B23,'SpxSp (step-a)'!AZ$22:BC$71,3,FALSE)," total decorative watts for this space"),IF(S23=0,"Specify GENERAL lighting first","")))</f>
        <v/>
      </c>
      <c r="S23" s="123" t="str">
        <f>IFERROR(VLOOKUP(B23,'SpxSp (step-a)'!B$22:O$71,13,FALSE),"")</f>
        <v/>
      </c>
      <c r="T23" s="236">
        <f t="shared" si="1"/>
        <v>0</v>
      </c>
      <c r="U23" s="121">
        <f t="shared" si="2"/>
        <v>0</v>
      </c>
      <c r="V23" s="43"/>
      <c r="W23" s="730">
        <f t="shared" si="7"/>
        <v>0</v>
      </c>
      <c r="X23" s="730" t="e">
        <f>VLOOKUP(B23,'SpxSp (step-a)'!AZ$22:BC$71,4,FALSE)</f>
        <v>#N/A</v>
      </c>
      <c r="Y23" s="43">
        <f t="shared" si="3"/>
        <v>0</v>
      </c>
      <c r="Z23" s="43"/>
      <c r="AA23" s="43"/>
      <c r="AB23" s="1102" t="str">
        <f t="shared" si="4"/>
        <v/>
      </c>
      <c r="AC23" s="700" t="str">
        <f t="shared" si="8"/>
        <v/>
      </c>
      <c r="AG23" s="737">
        <v>7</v>
      </c>
      <c r="AH23" s="737" t="s">
        <v>1045</v>
      </c>
      <c r="AI23" s="730">
        <f>ROW()</f>
        <v>23</v>
      </c>
    </row>
    <row r="24" spans="1:35" x14ac:dyDescent="0.25">
      <c r="A24" s="5">
        <v>7</v>
      </c>
      <c r="B24" s="1670"/>
      <c r="C24" s="1671"/>
      <c r="D24" s="1671"/>
      <c r="E24" s="1671"/>
      <c r="F24" s="1058"/>
      <c r="G24" s="1697" t="str">
        <f>IF(B24="","",VLOOKUP(B24,'SpxSp (step-a)'!B$22:V$71,16,FALSE))</f>
        <v/>
      </c>
      <c r="H24" s="1698"/>
      <c r="I24" s="1693"/>
      <c r="J24" s="1694"/>
      <c r="K24" s="1067"/>
      <c r="L24" s="799" t="str">
        <f t="shared" si="0"/>
        <v/>
      </c>
      <c r="M24" s="941" t="str">
        <f t="shared" si="5"/>
        <v/>
      </c>
      <c r="N24" s="1695" t="str">
        <f t="shared" si="9"/>
        <v/>
      </c>
      <c r="O24" s="1695"/>
      <c r="P24" s="1693"/>
      <c r="Q24" s="1696"/>
      <c r="R24" s="1238" t="str">
        <f>IF(B24="","",IF(X24="ERROR",CONCATENATE(VLOOKUP(B24,'SpxSp (step-a)'!AZ$22:BC$71,3,FALSE)," total decorative watts for this space"),IF(S24=0,"Specify GENERAL lighting first","")))</f>
        <v/>
      </c>
      <c r="S24" s="123" t="str">
        <f>IFERROR(VLOOKUP(B24,'SpxSp (step-a)'!B$22:O$71,13,FALSE),"")</f>
        <v/>
      </c>
      <c r="T24" s="236">
        <f t="shared" si="1"/>
        <v>0</v>
      </c>
      <c r="U24" s="121">
        <f t="shared" si="2"/>
        <v>0</v>
      </c>
      <c r="V24" s="43"/>
      <c r="W24" s="730">
        <f t="shared" si="7"/>
        <v>0</v>
      </c>
      <c r="X24" s="730" t="e">
        <f>VLOOKUP(B24,'SpxSp (step-a)'!AZ$22:BC$71,4,FALSE)</f>
        <v>#N/A</v>
      </c>
      <c r="Y24" s="43">
        <f t="shared" si="3"/>
        <v>0</v>
      </c>
      <c r="Z24" s="43"/>
      <c r="AA24" s="43"/>
      <c r="AB24" s="1102" t="str">
        <f t="shared" si="4"/>
        <v/>
      </c>
      <c r="AC24" s="700" t="str">
        <f t="shared" si="8"/>
        <v/>
      </c>
      <c r="AG24" s="737">
        <v>8</v>
      </c>
      <c r="AH24" s="737" t="s">
        <v>1046</v>
      </c>
      <c r="AI24" s="730">
        <f>ROW()</f>
        <v>24</v>
      </c>
    </row>
    <row r="25" spans="1:35" x14ac:dyDescent="0.25">
      <c r="A25" s="5">
        <v>8</v>
      </c>
      <c r="B25" s="1670"/>
      <c r="C25" s="1671"/>
      <c r="D25" s="1671"/>
      <c r="E25" s="1671"/>
      <c r="F25" s="1058"/>
      <c r="G25" s="1697" t="str">
        <f>IF(B25="","",VLOOKUP(B25,'SpxSp (step-a)'!B$22:V$71,16,FALSE))</f>
        <v/>
      </c>
      <c r="H25" s="1698"/>
      <c r="I25" s="1693"/>
      <c r="J25" s="1694"/>
      <c r="K25" s="1067"/>
      <c r="L25" s="799" t="str">
        <f t="shared" si="0"/>
        <v/>
      </c>
      <c r="M25" s="941" t="str">
        <f t="shared" si="5"/>
        <v/>
      </c>
      <c r="N25" s="1695" t="str">
        <f t="shared" si="9"/>
        <v/>
      </c>
      <c r="O25" s="1695"/>
      <c r="P25" s="1693"/>
      <c r="Q25" s="1696"/>
      <c r="R25" s="1238" t="str">
        <f>IF(B25="","",IF(X25="ERROR",CONCATENATE(VLOOKUP(B25,'SpxSp (step-a)'!AZ$22:BC$71,3,FALSE)," total decorative watts for this space"),IF(S25=0,"Specify GENERAL lighting first","")))</f>
        <v/>
      </c>
      <c r="S25" s="123" t="str">
        <f>IFERROR(VLOOKUP(B25,'SpxSp (step-a)'!B$22:O$71,13,FALSE),"")</f>
        <v/>
      </c>
      <c r="T25" s="236">
        <f t="shared" si="1"/>
        <v>0</v>
      </c>
      <c r="U25" s="121">
        <f t="shared" si="2"/>
        <v>0</v>
      </c>
      <c r="V25" s="43"/>
      <c r="W25" s="730">
        <f t="shared" si="7"/>
        <v>0</v>
      </c>
      <c r="X25" s="730" t="e">
        <f>VLOOKUP(B25,'SpxSp (step-a)'!AZ$22:BC$71,4,FALSE)</f>
        <v>#N/A</v>
      </c>
      <c r="Y25" s="43">
        <f t="shared" si="3"/>
        <v>0</v>
      </c>
      <c r="Z25" s="43"/>
      <c r="AA25" s="43"/>
      <c r="AB25" s="1102" t="str">
        <f t="shared" si="4"/>
        <v/>
      </c>
      <c r="AC25" s="700" t="str">
        <f t="shared" si="8"/>
        <v/>
      </c>
      <c r="AG25" s="737">
        <v>9</v>
      </c>
      <c r="AH25" s="737" t="s">
        <v>1047</v>
      </c>
      <c r="AI25" s="730">
        <f>ROW()</f>
        <v>25</v>
      </c>
    </row>
    <row r="26" spans="1:35" x14ac:dyDescent="0.25">
      <c r="A26" s="5">
        <v>9</v>
      </c>
      <c r="B26" s="1670"/>
      <c r="C26" s="1671"/>
      <c r="D26" s="1671"/>
      <c r="E26" s="1671"/>
      <c r="F26" s="1058"/>
      <c r="G26" s="1697" t="str">
        <f>IF(B26="","",VLOOKUP(B26,'SpxSp (step-a)'!B$22:V$71,16,FALSE))</f>
        <v/>
      </c>
      <c r="H26" s="1698"/>
      <c r="I26" s="1693"/>
      <c r="J26" s="1694"/>
      <c r="K26" s="1067"/>
      <c r="L26" s="799" t="str">
        <f t="shared" si="0"/>
        <v/>
      </c>
      <c r="M26" s="941" t="str">
        <f t="shared" si="5"/>
        <v/>
      </c>
      <c r="N26" s="1695" t="str">
        <f t="shared" si="9"/>
        <v/>
      </c>
      <c r="O26" s="1695"/>
      <c r="P26" s="1693"/>
      <c r="Q26" s="1696"/>
      <c r="R26" s="1238" t="str">
        <f>IF(B26="","",IF(X26="ERROR",CONCATENATE(VLOOKUP(B26,'SpxSp (step-a)'!AZ$22:BC$71,3,FALSE)," total decorative watts for this space"),IF(S26=0,"Specify GENERAL lighting first","")))</f>
        <v/>
      </c>
      <c r="S26" s="123" t="str">
        <f>IFERROR(VLOOKUP(B26,'SpxSp (step-a)'!B$22:O$71,13,FALSE),"")</f>
        <v/>
      </c>
      <c r="T26" s="236">
        <f t="shared" si="1"/>
        <v>0</v>
      </c>
      <c r="U26" s="121">
        <f t="shared" si="2"/>
        <v>0</v>
      </c>
      <c r="V26" s="43"/>
      <c r="W26" s="730">
        <f t="shared" si="7"/>
        <v>0</v>
      </c>
      <c r="X26" s="730" t="e">
        <f>VLOOKUP(B26,'SpxSp (step-a)'!AZ$22:BC$71,4,FALSE)</f>
        <v>#N/A</v>
      </c>
      <c r="Y26" s="43">
        <f t="shared" si="3"/>
        <v>0</v>
      </c>
      <c r="Z26" s="43"/>
      <c r="AA26" s="43"/>
      <c r="AB26" s="1102" t="str">
        <f t="shared" si="4"/>
        <v/>
      </c>
      <c r="AC26" s="700" t="str">
        <f t="shared" si="8"/>
        <v/>
      </c>
      <c r="AG26" s="737">
        <v>10</v>
      </c>
      <c r="AH26" s="737" t="s">
        <v>1048</v>
      </c>
      <c r="AI26" s="730">
        <f>ROW()</f>
        <v>26</v>
      </c>
    </row>
    <row r="27" spans="1:35" x14ac:dyDescent="0.25">
      <c r="A27" s="5">
        <v>10</v>
      </c>
      <c r="B27" s="1670"/>
      <c r="C27" s="1671"/>
      <c r="D27" s="1671"/>
      <c r="E27" s="1671"/>
      <c r="F27" s="1058"/>
      <c r="G27" s="1697" t="str">
        <f>IF(B27="","",VLOOKUP(B27,'SpxSp (step-a)'!B$22:V$71,16,FALSE))</f>
        <v/>
      </c>
      <c r="H27" s="1698"/>
      <c r="I27" s="1693"/>
      <c r="J27" s="1694"/>
      <c r="K27" s="1067"/>
      <c r="L27" s="799" t="str">
        <f t="shared" si="0"/>
        <v/>
      </c>
      <c r="M27" s="941" t="str">
        <f t="shared" si="5"/>
        <v/>
      </c>
      <c r="N27" s="1695" t="str">
        <f t="shared" si="9"/>
        <v/>
      </c>
      <c r="O27" s="1695"/>
      <c r="P27" s="1693"/>
      <c r="Q27" s="1696"/>
      <c r="R27" s="1238" t="str">
        <f>IF(B27="","",IF(X27="ERROR",CONCATENATE(VLOOKUP(B27,'SpxSp (step-a)'!AZ$22:BC$71,3,FALSE)," total decorative watts for this space"),IF(S27=0,"Specify GENERAL lighting first","")))</f>
        <v/>
      </c>
      <c r="S27" s="123" t="str">
        <f>IFERROR(VLOOKUP(B27,'SpxSp (step-a)'!B$22:O$71,13,FALSE),"")</f>
        <v/>
      </c>
      <c r="T27" s="236">
        <f t="shared" si="1"/>
        <v>0</v>
      </c>
      <c r="U27" s="121">
        <f t="shared" si="2"/>
        <v>0</v>
      </c>
      <c r="V27" s="43"/>
      <c r="W27" s="730">
        <f t="shared" si="7"/>
        <v>0</v>
      </c>
      <c r="X27" s="730" t="e">
        <f>VLOOKUP(B27,'SpxSp (step-a)'!AZ$22:BC$71,4,FALSE)</f>
        <v>#N/A</v>
      </c>
      <c r="Y27" s="43">
        <f t="shared" si="3"/>
        <v>0</v>
      </c>
      <c r="Z27" s="43"/>
      <c r="AA27" s="43"/>
      <c r="AB27" s="1102" t="str">
        <f t="shared" si="4"/>
        <v/>
      </c>
      <c r="AC27" s="700" t="str">
        <f t="shared" si="8"/>
        <v/>
      </c>
      <c r="AG27" s="737">
        <v>11</v>
      </c>
      <c r="AH27" s="737" t="s">
        <v>1049</v>
      </c>
      <c r="AI27" s="730">
        <f>ROW()</f>
        <v>27</v>
      </c>
    </row>
    <row r="28" spans="1:35" x14ac:dyDescent="0.25">
      <c r="A28" s="5">
        <v>11</v>
      </c>
      <c r="B28" s="1670"/>
      <c r="C28" s="1671"/>
      <c r="D28" s="1671"/>
      <c r="E28" s="1671"/>
      <c r="F28" s="1058"/>
      <c r="G28" s="1697" t="str">
        <f>IF(B28="","",VLOOKUP(B28,'SpxSp (step-a)'!B$22:V$71,16,FALSE))</f>
        <v/>
      </c>
      <c r="H28" s="1698"/>
      <c r="I28" s="1693"/>
      <c r="J28" s="1694"/>
      <c r="K28" s="1067"/>
      <c r="L28" s="799" t="str">
        <f t="shared" si="0"/>
        <v/>
      </c>
      <c r="M28" s="941" t="str">
        <f t="shared" si="5"/>
        <v/>
      </c>
      <c r="N28" s="1695" t="str">
        <f t="shared" si="9"/>
        <v/>
      </c>
      <c r="O28" s="1695"/>
      <c r="P28" s="1693"/>
      <c r="Q28" s="1696"/>
      <c r="R28" s="1238" t="str">
        <f>IF(B28="","",IF(X28="ERROR",CONCATENATE(VLOOKUP(B28,'SpxSp (step-a)'!AZ$22:BC$71,3,FALSE)," total decorative watts for this space"),IF(S28=0,"Specify GENERAL lighting first","")))</f>
        <v/>
      </c>
      <c r="S28" s="123" t="str">
        <f>IFERROR(VLOOKUP(B28,'SpxSp (step-a)'!B$22:O$71,13,FALSE),"")</f>
        <v/>
      </c>
      <c r="T28" s="236">
        <f t="shared" si="1"/>
        <v>0</v>
      </c>
      <c r="U28" s="121">
        <f t="shared" si="2"/>
        <v>0</v>
      </c>
      <c r="V28" s="43"/>
      <c r="W28" s="730">
        <f t="shared" si="7"/>
        <v>0</v>
      </c>
      <c r="X28" s="730" t="e">
        <f>VLOOKUP(B28,'SpxSp (step-a)'!AZ$22:BC$71,4,FALSE)</f>
        <v>#N/A</v>
      </c>
      <c r="Y28" s="43">
        <f t="shared" si="3"/>
        <v>0</v>
      </c>
      <c r="Z28" s="43"/>
      <c r="AA28" s="43"/>
      <c r="AB28" s="1102" t="str">
        <f t="shared" si="4"/>
        <v/>
      </c>
      <c r="AC28" s="700" t="str">
        <f t="shared" si="8"/>
        <v/>
      </c>
      <c r="AG28" s="737">
        <v>12</v>
      </c>
      <c r="AH28" s="737" t="s">
        <v>1050</v>
      </c>
      <c r="AI28" s="730">
        <f>ROW()</f>
        <v>28</v>
      </c>
    </row>
    <row r="29" spans="1:35" x14ac:dyDescent="0.25">
      <c r="A29" s="5">
        <v>12</v>
      </c>
      <c r="B29" s="1670"/>
      <c r="C29" s="1671"/>
      <c r="D29" s="1671"/>
      <c r="E29" s="1671"/>
      <c r="F29" s="1058"/>
      <c r="G29" s="1697" t="str">
        <f>IF(B29="","",VLOOKUP(B29,'SpxSp (step-a)'!B$22:V$71,16,FALSE))</f>
        <v/>
      </c>
      <c r="H29" s="1698"/>
      <c r="I29" s="1693"/>
      <c r="J29" s="1694"/>
      <c r="K29" s="1067"/>
      <c r="L29" s="799" t="str">
        <f t="shared" si="0"/>
        <v/>
      </c>
      <c r="M29" s="941" t="str">
        <f t="shared" si="5"/>
        <v/>
      </c>
      <c r="N29" s="1695" t="str">
        <f t="shared" si="9"/>
        <v/>
      </c>
      <c r="O29" s="1695"/>
      <c r="P29" s="1693"/>
      <c r="Q29" s="1696"/>
      <c r="R29" s="1238" t="str">
        <f>IF(B29="","",IF(X29="ERROR",CONCATENATE(VLOOKUP(B29,'SpxSp (step-a)'!AZ$22:BC$71,3,FALSE)," total decorative watts for this space"),IF(S29=0,"Specify GENERAL lighting first","")))</f>
        <v/>
      </c>
      <c r="S29" s="123" t="str">
        <f>IFERROR(VLOOKUP(B29,'SpxSp (step-a)'!B$22:O$71,13,FALSE),"")</f>
        <v/>
      </c>
      <c r="T29" s="236">
        <f t="shared" si="1"/>
        <v>0</v>
      </c>
      <c r="U29" s="121">
        <f t="shared" si="2"/>
        <v>0</v>
      </c>
      <c r="V29" s="43"/>
      <c r="W29" s="730">
        <f t="shared" si="7"/>
        <v>0</v>
      </c>
      <c r="X29" s="730" t="e">
        <f>VLOOKUP(B29,'SpxSp (step-a)'!AZ$22:BC$71,4,FALSE)</f>
        <v>#N/A</v>
      </c>
      <c r="Y29" s="43">
        <f t="shared" si="3"/>
        <v>0</v>
      </c>
      <c r="Z29" s="43"/>
      <c r="AA29" s="43"/>
      <c r="AB29" s="1102" t="str">
        <f t="shared" si="4"/>
        <v/>
      </c>
      <c r="AC29" s="700" t="str">
        <f t="shared" si="8"/>
        <v/>
      </c>
      <c r="AG29" s="737">
        <v>13</v>
      </c>
      <c r="AH29" s="737" t="s">
        <v>1051</v>
      </c>
      <c r="AI29" s="730">
        <f>ROW()</f>
        <v>29</v>
      </c>
    </row>
    <row r="30" spans="1:35" x14ac:dyDescent="0.25">
      <c r="A30" s="5">
        <v>13</v>
      </c>
      <c r="B30" s="1670"/>
      <c r="C30" s="1671"/>
      <c r="D30" s="1671"/>
      <c r="E30" s="1671"/>
      <c r="F30" s="1058"/>
      <c r="G30" s="1697" t="str">
        <f>IF(B30="","",VLOOKUP(B30,'SpxSp (step-a)'!B$22:V$71,16,FALSE))</f>
        <v/>
      </c>
      <c r="H30" s="1698"/>
      <c r="I30" s="1693"/>
      <c r="J30" s="1694"/>
      <c r="K30" s="1067"/>
      <c r="L30" s="799" t="str">
        <f t="shared" si="0"/>
        <v/>
      </c>
      <c r="M30" s="941" t="str">
        <f t="shared" si="5"/>
        <v/>
      </c>
      <c r="N30" s="1695" t="str">
        <f t="shared" si="9"/>
        <v/>
      </c>
      <c r="O30" s="1695"/>
      <c r="P30" s="1693"/>
      <c r="Q30" s="1696"/>
      <c r="R30" s="1238" t="str">
        <f>IF(B30="","",IF(X30="ERROR",CONCATENATE(VLOOKUP(B30,'SpxSp (step-a)'!AZ$22:BC$71,3,FALSE)," total decorative watts for this space"),IF(S30=0,"Specify GENERAL lighting first","")))</f>
        <v/>
      </c>
      <c r="S30" s="123" t="str">
        <f>IFERROR(VLOOKUP(B30,'SpxSp (step-a)'!B$22:O$71,13,FALSE),"")</f>
        <v/>
      </c>
      <c r="T30" s="236">
        <f t="shared" si="1"/>
        <v>0</v>
      </c>
      <c r="U30" s="121">
        <f t="shared" si="2"/>
        <v>0</v>
      </c>
      <c r="V30" s="43"/>
      <c r="W30" s="730">
        <f t="shared" si="7"/>
        <v>0</v>
      </c>
      <c r="X30" s="730" t="e">
        <f>VLOOKUP(B30,'SpxSp (step-a)'!AZ$22:BC$71,4,FALSE)</f>
        <v>#N/A</v>
      </c>
      <c r="Y30" s="43">
        <f t="shared" si="3"/>
        <v>0</v>
      </c>
      <c r="Z30" s="43"/>
      <c r="AA30" s="43"/>
      <c r="AB30" s="1102" t="str">
        <f t="shared" si="4"/>
        <v/>
      </c>
      <c r="AC30" s="700" t="str">
        <f t="shared" si="8"/>
        <v/>
      </c>
      <c r="AG30" s="737">
        <v>14</v>
      </c>
      <c r="AH30" s="737" t="s">
        <v>1052</v>
      </c>
      <c r="AI30" s="730">
        <f>ROW()</f>
        <v>30</v>
      </c>
    </row>
    <row r="31" spans="1:35" x14ac:dyDescent="0.25">
      <c r="A31" s="5">
        <v>14</v>
      </c>
      <c r="B31" s="1670"/>
      <c r="C31" s="1671"/>
      <c r="D31" s="1671"/>
      <c r="E31" s="1671"/>
      <c r="F31" s="1058"/>
      <c r="G31" s="1697" t="str">
        <f>IF(B31="","",VLOOKUP(B31,'SpxSp (step-a)'!B$22:V$71,16,FALSE))</f>
        <v/>
      </c>
      <c r="H31" s="1698"/>
      <c r="I31" s="1693"/>
      <c r="J31" s="1694"/>
      <c r="K31" s="1067"/>
      <c r="L31" s="799" t="str">
        <f t="shared" si="0"/>
        <v/>
      </c>
      <c r="M31" s="941" t="str">
        <f t="shared" si="5"/>
        <v/>
      </c>
      <c r="N31" s="1695" t="str">
        <f t="shared" si="9"/>
        <v/>
      </c>
      <c r="O31" s="1695"/>
      <c r="P31" s="1693"/>
      <c r="Q31" s="1696"/>
      <c r="R31" s="1238" t="str">
        <f>IF(B31="","",IF(X31="ERROR",CONCATENATE(VLOOKUP(B31,'SpxSp (step-a)'!AZ$22:BC$71,3,FALSE)," total decorative watts for this space"),IF(S31=0,"Specify GENERAL lighting first","")))</f>
        <v/>
      </c>
      <c r="S31" s="123" t="str">
        <f>IFERROR(VLOOKUP(B31,'SpxSp (step-a)'!B$22:O$71,13,FALSE),"")</f>
        <v/>
      </c>
      <c r="T31" s="236">
        <f t="shared" si="1"/>
        <v>0</v>
      </c>
      <c r="U31" s="121">
        <f t="shared" si="2"/>
        <v>0</v>
      </c>
      <c r="V31" s="43"/>
      <c r="W31" s="730">
        <f t="shared" si="7"/>
        <v>0</v>
      </c>
      <c r="X31" s="730" t="e">
        <f>VLOOKUP(B31,'SpxSp (step-a)'!AZ$22:BC$71,4,FALSE)</f>
        <v>#N/A</v>
      </c>
      <c r="Y31" s="43">
        <f t="shared" si="3"/>
        <v>0</v>
      </c>
      <c r="Z31" s="43"/>
      <c r="AA31" s="43"/>
      <c r="AB31" s="1102" t="str">
        <f>IF(B31="","",IFERROR(I31,""))</f>
        <v/>
      </c>
      <c r="AC31" s="700" t="str">
        <f t="shared" si="8"/>
        <v/>
      </c>
      <c r="AG31" s="737">
        <v>15</v>
      </c>
      <c r="AH31" s="737" t="s">
        <v>908</v>
      </c>
      <c r="AI31" s="730">
        <f>ROW()</f>
        <v>31</v>
      </c>
    </row>
    <row r="32" spans="1:35" x14ac:dyDescent="0.25">
      <c r="A32" s="5">
        <v>15</v>
      </c>
      <c r="B32" s="1670"/>
      <c r="C32" s="1671"/>
      <c r="D32" s="1671"/>
      <c r="E32" s="1671"/>
      <c r="F32" s="1058"/>
      <c r="G32" s="1697" t="str">
        <f>IF(B32="","",VLOOKUP(B32,'SpxSp (step-a)'!B$22:V$71,16,FALSE))</f>
        <v/>
      </c>
      <c r="H32" s="1698"/>
      <c r="I32" s="1693"/>
      <c r="J32" s="1694"/>
      <c r="K32" s="1067"/>
      <c r="L32" s="799" t="str">
        <f t="shared" si="0"/>
        <v/>
      </c>
      <c r="M32" s="941" t="str">
        <f t="shared" si="5"/>
        <v/>
      </c>
      <c r="N32" s="1695" t="str">
        <f t="shared" si="9"/>
        <v/>
      </c>
      <c r="O32" s="1695"/>
      <c r="P32" s="1693"/>
      <c r="Q32" s="1696"/>
      <c r="R32" s="1238" t="str">
        <f>IF(B32="","",IF(X32="ERROR",CONCATENATE(VLOOKUP(B32,'SpxSp (step-a)'!AZ$22:BC$71,3,FALSE)," total decorative watts for this space"),IF(S32=0,"Specify GENERAL lighting first","")))</f>
        <v/>
      </c>
      <c r="S32" s="123" t="str">
        <f>IFERROR(VLOOKUP(B32,'SpxSp (step-a)'!B$22:O$71,13,FALSE),"")</f>
        <v/>
      </c>
      <c r="T32" s="236">
        <f t="shared" si="1"/>
        <v>0</v>
      </c>
      <c r="U32" s="121">
        <f t="shared" si="2"/>
        <v>0</v>
      </c>
      <c r="V32" s="43"/>
      <c r="W32" s="730">
        <f t="shared" si="7"/>
        <v>0</v>
      </c>
      <c r="X32" s="730" t="e">
        <f>VLOOKUP(B32,'SpxSp (step-a)'!AZ$22:BC$71,4,FALSE)</f>
        <v>#N/A</v>
      </c>
      <c r="Y32" s="43">
        <f t="shared" si="3"/>
        <v>0</v>
      </c>
      <c r="Z32" s="43"/>
      <c r="AA32" s="43"/>
      <c r="AB32" s="1102" t="str">
        <f t="shared" ref="AB32:AB67" si="10">IF(B32="","",IFERROR(I32,""))</f>
        <v/>
      </c>
      <c r="AC32" s="700" t="str">
        <f t="shared" ref="AC32:AC67" si="11">IF(B32="","",CONCATENATE("(",K32,") ",AB32," @ ",L32," watts each (Decorative)",CHAR(10)))</f>
        <v/>
      </c>
      <c r="AG32" s="737">
        <v>16</v>
      </c>
      <c r="AH32" s="737" t="s">
        <v>1053</v>
      </c>
      <c r="AI32" s="730">
        <f>ROW()</f>
        <v>32</v>
      </c>
    </row>
    <row r="33" spans="1:35" x14ac:dyDescent="0.25">
      <c r="A33" s="5">
        <v>16</v>
      </c>
      <c r="B33" s="1670"/>
      <c r="C33" s="1671"/>
      <c r="D33" s="1671"/>
      <c r="E33" s="1671"/>
      <c r="F33" s="1058"/>
      <c r="G33" s="1697" t="str">
        <f>IF(B33="","",VLOOKUP(B33,'SpxSp (step-a)'!B$22:V$71,16,FALSE))</f>
        <v/>
      </c>
      <c r="H33" s="1698"/>
      <c r="I33" s="1693"/>
      <c r="J33" s="1694"/>
      <c r="K33" s="1067"/>
      <c r="L33" s="799" t="str">
        <f t="shared" si="0"/>
        <v/>
      </c>
      <c r="M33" s="941" t="str">
        <f t="shared" si="5"/>
        <v/>
      </c>
      <c r="N33" s="1695" t="str">
        <f t="shared" si="9"/>
        <v/>
      </c>
      <c r="O33" s="1695"/>
      <c r="P33" s="1693"/>
      <c r="Q33" s="1696"/>
      <c r="R33" s="1238" t="str">
        <f>IF(B33="","",IF(X33="ERROR",CONCATENATE(VLOOKUP(B33,'SpxSp (step-a)'!AZ$22:BC$71,3,FALSE)," total decorative watts for this space"),IF(S33=0,"Specify GENERAL lighting first","")))</f>
        <v/>
      </c>
      <c r="S33" s="123" t="str">
        <f>IFERROR(VLOOKUP(B33,'SpxSp (step-a)'!B$22:O$71,13,FALSE),"")</f>
        <v/>
      </c>
      <c r="T33" s="236">
        <f t="shared" si="1"/>
        <v>0</v>
      </c>
      <c r="U33" s="121">
        <f t="shared" si="2"/>
        <v>0</v>
      </c>
      <c r="V33" s="43"/>
      <c r="W33" s="730">
        <f t="shared" si="7"/>
        <v>0</v>
      </c>
      <c r="X33" s="730" t="e">
        <f>VLOOKUP(B33,'SpxSp (step-a)'!AZ$22:BC$71,4,FALSE)</f>
        <v>#N/A</v>
      </c>
      <c r="Y33" s="43">
        <f t="shared" si="3"/>
        <v>0</v>
      </c>
      <c r="Z33" s="43"/>
      <c r="AA33" s="43"/>
      <c r="AB33" s="1102" t="str">
        <f t="shared" si="10"/>
        <v/>
      </c>
      <c r="AC33" s="700" t="str">
        <f t="shared" si="11"/>
        <v/>
      </c>
      <c r="AG33" s="737">
        <v>17</v>
      </c>
      <c r="AH33" s="737" t="s">
        <v>909</v>
      </c>
      <c r="AI33" s="730">
        <f>ROW()</f>
        <v>33</v>
      </c>
    </row>
    <row r="34" spans="1:35" x14ac:dyDescent="0.25">
      <c r="A34" s="5">
        <v>17</v>
      </c>
      <c r="B34" s="1670"/>
      <c r="C34" s="1671"/>
      <c r="D34" s="1671"/>
      <c r="E34" s="1671"/>
      <c r="F34" s="1058"/>
      <c r="G34" s="1697" t="str">
        <f>IF(B34="","",VLOOKUP(B34,'SpxSp (step-a)'!B$22:V$71,16,FALSE))</f>
        <v/>
      </c>
      <c r="H34" s="1698"/>
      <c r="I34" s="1693"/>
      <c r="J34" s="1694"/>
      <c r="K34" s="1067"/>
      <c r="L34" s="799" t="str">
        <f t="shared" si="0"/>
        <v/>
      </c>
      <c r="M34" s="941" t="str">
        <f t="shared" si="5"/>
        <v/>
      </c>
      <c r="N34" s="1695" t="str">
        <f t="shared" si="9"/>
        <v/>
      </c>
      <c r="O34" s="1695"/>
      <c r="P34" s="1693"/>
      <c r="Q34" s="1696"/>
      <c r="R34" s="1238" t="str">
        <f>IF(B34="","",IF(X34="ERROR",CONCATENATE(VLOOKUP(B34,'SpxSp (step-a)'!AZ$22:BC$71,3,FALSE)," total decorative watts for this space"),IF(S34=0,"Specify GENERAL lighting first","")))</f>
        <v/>
      </c>
      <c r="S34" s="123" t="str">
        <f>IFERROR(VLOOKUP(B34,'SpxSp (step-a)'!B$22:O$71,13,FALSE),"")</f>
        <v/>
      </c>
      <c r="T34" s="236">
        <f t="shared" si="1"/>
        <v>0</v>
      </c>
      <c r="U34" s="121">
        <f t="shared" si="2"/>
        <v>0</v>
      </c>
      <c r="V34" s="43"/>
      <c r="W34" s="730">
        <f t="shared" si="7"/>
        <v>0</v>
      </c>
      <c r="X34" s="730" t="e">
        <f>VLOOKUP(B34,'SpxSp (step-a)'!AZ$22:BC$71,4,FALSE)</f>
        <v>#N/A</v>
      </c>
      <c r="Y34" s="43">
        <f t="shared" si="3"/>
        <v>0</v>
      </c>
      <c r="Z34" s="43"/>
      <c r="AA34" s="43"/>
      <c r="AB34" s="1102" t="str">
        <f t="shared" si="10"/>
        <v/>
      </c>
      <c r="AC34" s="700" t="str">
        <f t="shared" si="11"/>
        <v/>
      </c>
      <c r="AG34" s="737">
        <v>18</v>
      </c>
      <c r="AH34" s="737" t="s">
        <v>1054</v>
      </c>
      <c r="AI34" s="730">
        <f>ROW()</f>
        <v>34</v>
      </c>
    </row>
    <row r="35" spans="1:35" x14ac:dyDescent="0.25">
      <c r="A35" s="5">
        <v>18</v>
      </c>
      <c r="B35" s="1670"/>
      <c r="C35" s="1671"/>
      <c r="D35" s="1671"/>
      <c r="E35" s="1671"/>
      <c r="F35" s="1058"/>
      <c r="G35" s="1697" t="str">
        <f>IF(B35="","",VLOOKUP(B35,'SpxSp (step-a)'!B$22:V$71,16,FALSE))</f>
        <v/>
      </c>
      <c r="H35" s="1698"/>
      <c r="I35" s="1693"/>
      <c r="J35" s="1694"/>
      <c r="K35" s="1067"/>
      <c r="L35" s="799" t="str">
        <f t="shared" si="0"/>
        <v/>
      </c>
      <c r="M35" s="941" t="str">
        <f t="shared" si="5"/>
        <v/>
      </c>
      <c r="N35" s="1695" t="str">
        <f t="shared" si="9"/>
        <v/>
      </c>
      <c r="O35" s="1695"/>
      <c r="P35" s="1693"/>
      <c r="Q35" s="1696"/>
      <c r="R35" s="1238" t="str">
        <f>IF(B35="","",IF(X35="ERROR",CONCATENATE(VLOOKUP(B35,'SpxSp (step-a)'!AZ$22:BC$71,3,FALSE)," total decorative watts for this space"),IF(S35=0,"Specify GENERAL lighting first","")))</f>
        <v/>
      </c>
      <c r="S35" s="123" t="str">
        <f>IFERROR(VLOOKUP(B35,'SpxSp (step-a)'!B$22:O$71,13,FALSE),"")</f>
        <v/>
      </c>
      <c r="T35" s="236">
        <f t="shared" si="1"/>
        <v>0</v>
      </c>
      <c r="U35" s="121">
        <f t="shared" si="2"/>
        <v>0</v>
      </c>
      <c r="V35" s="43"/>
      <c r="W35" s="730">
        <f t="shared" si="7"/>
        <v>0</v>
      </c>
      <c r="X35" s="730" t="e">
        <f>VLOOKUP(B35,'SpxSp (step-a)'!AZ$22:BC$71,4,FALSE)</f>
        <v>#N/A</v>
      </c>
      <c r="Y35" s="43">
        <f t="shared" si="3"/>
        <v>0</v>
      </c>
      <c r="Z35" s="43"/>
      <c r="AA35" s="43"/>
      <c r="AB35" s="1102" t="str">
        <f t="shared" si="10"/>
        <v/>
      </c>
      <c r="AC35" s="700" t="str">
        <f t="shared" si="11"/>
        <v/>
      </c>
      <c r="AG35" s="737">
        <v>19</v>
      </c>
      <c r="AH35" s="737" t="s">
        <v>910</v>
      </c>
      <c r="AI35" s="730">
        <f>ROW()</f>
        <v>35</v>
      </c>
    </row>
    <row r="36" spans="1:35" x14ac:dyDescent="0.25">
      <c r="A36" s="5">
        <v>19</v>
      </c>
      <c r="B36" s="1670"/>
      <c r="C36" s="1671"/>
      <c r="D36" s="1671"/>
      <c r="E36" s="1671"/>
      <c r="F36" s="1058"/>
      <c r="G36" s="1697" t="str">
        <f>IF(B36="","",VLOOKUP(B36,'SpxSp (step-a)'!B$22:V$71,16,FALSE))</f>
        <v/>
      </c>
      <c r="H36" s="1698"/>
      <c r="I36" s="1693"/>
      <c r="J36" s="1694"/>
      <c r="K36" s="1067"/>
      <c r="L36" s="799" t="str">
        <f t="shared" si="0"/>
        <v/>
      </c>
      <c r="M36" s="941" t="str">
        <f t="shared" si="5"/>
        <v/>
      </c>
      <c r="N36" s="1695" t="str">
        <f t="shared" si="9"/>
        <v/>
      </c>
      <c r="O36" s="1695"/>
      <c r="P36" s="1693"/>
      <c r="Q36" s="1696"/>
      <c r="R36" s="1238" t="str">
        <f>IF(B36="","",IF(X36="ERROR",CONCATENATE(VLOOKUP(B36,'SpxSp (step-a)'!AZ$22:BC$71,3,FALSE)," total decorative watts for this space"),IF(S36=0,"Specify GENERAL lighting first","")))</f>
        <v/>
      </c>
      <c r="S36" s="123" t="str">
        <f>IFERROR(VLOOKUP(B36,'SpxSp (step-a)'!B$22:O$71,13,FALSE),"")</f>
        <v/>
      </c>
      <c r="T36" s="236">
        <f t="shared" si="1"/>
        <v>0</v>
      </c>
      <c r="U36" s="121">
        <f t="shared" si="2"/>
        <v>0</v>
      </c>
      <c r="V36" s="43"/>
      <c r="W36" s="730">
        <f t="shared" si="7"/>
        <v>0</v>
      </c>
      <c r="X36" s="730" t="e">
        <f>VLOOKUP(B36,'SpxSp (step-a)'!AZ$22:BC$71,4,FALSE)</f>
        <v>#N/A</v>
      </c>
      <c r="Y36" s="43">
        <f t="shared" si="3"/>
        <v>0</v>
      </c>
      <c r="Z36" s="43"/>
      <c r="AA36" s="43"/>
      <c r="AB36" s="1102" t="str">
        <f t="shared" si="10"/>
        <v/>
      </c>
      <c r="AC36" s="700" t="str">
        <f t="shared" si="11"/>
        <v/>
      </c>
      <c r="AG36" s="737">
        <v>20</v>
      </c>
      <c r="AH36" s="737" t="s">
        <v>1055</v>
      </c>
      <c r="AI36" s="730">
        <f>ROW()</f>
        <v>36</v>
      </c>
    </row>
    <row r="37" spans="1:35" x14ac:dyDescent="0.25">
      <c r="A37" s="5">
        <v>20</v>
      </c>
      <c r="B37" s="1670"/>
      <c r="C37" s="1671"/>
      <c r="D37" s="1671"/>
      <c r="E37" s="1671"/>
      <c r="F37" s="1058"/>
      <c r="G37" s="1697" t="str">
        <f>IF(B37="","",VLOOKUP(B37,'SpxSp (step-a)'!B$22:V$71,16,FALSE))</f>
        <v/>
      </c>
      <c r="H37" s="1698"/>
      <c r="I37" s="1693"/>
      <c r="J37" s="1694"/>
      <c r="K37" s="1067"/>
      <c r="L37" s="799" t="str">
        <f t="shared" si="0"/>
        <v/>
      </c>
      <c r="M37" s="941" t="str">
        <f t="shared" si="5"/>
        <v/>
      </c>
      <c r="N37" s="1695" t="str">
        <f t="shared" si="9"/>
        <v/>
      </c>
      <c r="O37" s="1695"/>
      <c r="P37" s="1693"/>
      <c r="Q37" s="1696"/>
      <c r="R37" s="1238" t="str">
        <f>IF(B37="","",IF(X37="ERROR",CONCATENATE(VLOOKUP(B37,'SpxSp (step-a)'!AZ$22:BC$71,3,FALSE)," total decorative watts for this space"),IF(S37=0,"Specify GENERAL lighting first","")))</f>
        <v/>
      </c>
      <c r="S37" s="123" t="str">
        <f>IFERROR(VLOOKUP(B37,'SpxSp (step-a)'!B$22:O$71,13,FALSE),"")</f>
        <v/>
      </c>
      <c r="T37" s="236">
        <f t="shared" si="1"/>
        <v>0</v>
      </c>
      <c r="U37" s="121">
        <f t="shared" si="2"/>
        <v>0</v>
      </c>
      <c r="V37" s="43"/>
      <c r="W37" s="730">
        <f t="shared" si="7"/>
        <v>0</v>
      </c>
      <c r="X37" s="730" t="e">
        <f>VLOOKUP(B37,'SpxSp (step-a)'!AZ$22:BC$71,4,FALSE)</f>
        <v>#N/A</v>
      </c>
      <c r="Y37" s="43">
        <f t="shared" si="3"/>
        <v>0</v>
      </c>
      <c r="Z37" s="43"/>
      <c r="AA37" s="43"/>
      <c r="AB37" s="1102" t="str">
        <f t="shared" si="10"/>
        <v/>
      </c>
      <c r="AC37" s="700" t="str">
        <f t="shared" si="11"/>
        <v/>
      </c>
      <c r="AG37" s="737">
        <v>21</v>
      </c>
      <c r="AH37" s="737" t="s">
        <v>911</v>
      </c>
      <c r="AI37" s="730">
        <f>ROW()</f>
        <v>37</v>
      </c>
    </row>
    <row r="38" spans="1:35" x14ac:dyDescent="0.25">
      <c r="A38" s="5">
        <v>21</v>
      </c>
      <c r="B38" s="1670"/>
      <c r="C38" s="1671"/>
      <c r="D38" s="1671"/>
      <c r="E38" s="1671"/>
      <c r="F38" s="1058"/>
      <c r="G38" s="1697" t="str">
        <f>IF(B38="","",VLOOKUP(B38,'SpxSp (step-a)'!B$22:V$71,16,FALSE))</f>
        <v/>
      </c>
      <c r="H38" s="1698"/>
      <c r="I38" s="1693"/>
      <c r="J38" s="1694"/>
      <c r="K38" s="1067"/>
      <c r="L38" s="799" t="str">
        <f t="shared" si="0"/>
        <v/>
      </c>
      <c r="M38" s="941" t="str">
        <f t="shared" si="5"/>
        <v/>
      </c>
      <c r="N38" s="1695" t="str">
        <f t="shared" si="9"/>
        <v/>
      </c>
      <c r="O38" s="1695"/>
      <c r="P38" s="1693"/>
      <c r="Q38" s="1696"/>
      <c r="R38" s="1238" t="str">
        <f>IF(B38="","",IF(X38="ERROR",CONCATENATE(VLOOKUP(B38,'SpxSp (step-a)'!AZ$22:BC$71,3,FALSE)," total decorative watts for this space"),IF(S38=0,"Specify GENERAL lighting first","")))</f>
        <v/>
      </c>
      <c r="S38" s="123" t="str">
        <f>IFERROR(VLOOKUP(B38,'SpxSp (step-a)'!B$22:O$71,13,FALSE),"")</f>
        <v/>
      </c>
      <c r="T38" s="236">
        <f t="shared" si="1"/>
        <v>0</v>
      </c>
      <c r="U38" s="121">
        <f t="shared" si="2"/>
        <v>0</v>
      </c>
      <c r="V38" s="43"/>
      <c r="W38" s="730">
        <f t="shared" si="7"/>
        <v>0</v>
      </c>
      <c r="X38" s="730" t="e">
        <f>VLOOKUP(B38,'SpxSp (step-a)'!AZ$22:BC$71,4,FALSE)</f>
        <v>#N/A</v>
      </c>
      <c r="Y38" s="43">
        <f t="shared" si="3"/>
        <v>0</v>
      </c>
      <c r="Z38" s="43"/>
      <c r="AA38" s="43"/>
      <c r="AB38" s="1102" t="str">
        <f t="shared" si="10"/>
        <v/>
      </c>
      <c r="AC38" s="700" t="str">
        <f t="shared" si="11"/>
        <v/>
      </c>
      <c r="AG38" s="737">
        <v>22</v>
      </c>
      <c r="AH38" s="737" t="s">
        <v>1056</v>
      </c>
      <c r="AI38" s="730">
        <f>ROW()</f>
        <v>38</v>
      </c>
    </row>
    <row r="39" spans="1:35" x14ac:dyDescent="0.25">
      <c r="A39" s="5">
        <v>22</v>
      </c>
      <c r="B39" s="1670"/>
      <c r="C39" s="1671"/>
      <c r="D39" s="1671"/>
      <c r="E39" s="1671"/>
      <c r="F39" s="1058"/>
      <c r="G39" s="1697" t="str">
        <f>IF(B39="","",VLOOKUP(B39,'SpxSp (step-a)'!B$22:V$71,16,FALSE))</f>
        <v/>
      </c>
      <c r="H39" s="1698"/>
      <c r="I39" s="1693"/>
      <c r="J39" s="1694"/>
      <c r="K39" s="1067"/>
      <c r="L39" s="799" t="str">
        <f t="shared" si="0"/>
        <v/>
      </c>
      <c r="M39" s="941" t="str">
        <f t="shared" si="5"/>
        <v/>
      </c>
      <c r="N39" s="1695" t="str">
        <f t="shared" si="9"/>
        <v/>
      </c>
      <c r="O39" s="1695"/>
      <c r="P39" s="1693"/>
      <c r="Q39" s="1696"/>
      <c r="R39" s="1238" t="str">
        <f>IF(B39="","",IF(X39="ERROR",CONCATENATE(VLOOKUP(B39,'SpxSp (step-a)'!AZ$22:BC$71,3,FALSE)," total decorative watts for this space"),IF(S39=0,"Specify GENERAL lighting first","")))</f>
        <v/>
      </c>
      <c r="S39" s="123" t="str">
        <f>IFERROR(VLOOKUP(B39,'SpxSp (step-a)'!B$22:O$71,13,FALSE),"")</f>
        <v/>
      </c>
      <c r="T39" s="236">
        <f t="shared" si="1"/>
        <v>0</v>
      </c>
      <c r="U39" s="121">
        <f t="shared" si="2"/>
        <v>0</v>
      </c>
      <c r="V39" s="43"/>
      <c r="W39" s="730">
        <f t="shared" si="7"/>
        <v>0</v>
      </c>
      <c r="X39" s="730" t="e">
        <f>VLOOKUP(B39,'SpxSp (step-a)'!AZ$22:BC$71,4,FALSE)</f>
        <v>#N/A</v>
      </c>
      <c r="Y39" s="43">
        <f t="shared" si="3"/>
        <v>0</v>
      </c>
      <c r="Z39" s="43"/>
      <c r="AA39" s="43"/>
      <c r="AB39" s="1102" t="str">
        <f t="shared" si="10"/>
        <v/>
      </c>
      <c r="AC39" s="700" t="str">
        <f t="shared" si="11"/>
        <v/>
      </c>
      <c r="AG39" s="737">
        <v>23</v>
      </c>
      <c r="AH39" s="737" t="s">
        <v>912</v>
      </c>
      <c r="AI39" s="730">
        <f>ROW()</f>
        <v>39</v>
      </c>
    </row>
    <row r="40" spans="1:35" x14ac:dyDescent="0.25">
      <c r="A40" s="5">
        <v>23</v>
      </c>
      <c r="B40" s="1670"/>
      <c r="C40" s="1671"/>
      <c r="D40" s="1671"/>
      <c r="E40" s="1671"/>
      <c r="F40" s="1058"/>
      <c r="G40" s="1697" t="str">
        <f>IF(B40="","",VLOOKUP(B40,'SpxSp (step-a)'!B$22:V$71,16,FALSE))</f>
        <v/>
      </c>
      <c r="H40" s="1698"/>
      <c r="I40" s="1693"/>
      <c r="J40" s="1694"/>
      <c r="K40" s="1067"/>
      <c r="L40" s="799" t="str">
        <f t="shared" si="0"/>
        <v/>
      </c>
      <c r="M40" s="941" t="str">
        <f t="shared" si="5"/>
        <v/>
      </c>
      <c r="N40" s="1695" t="str">
        <f t="shared" si="9"/>
        <v/>
      </c>
      <c r="O40" s="1695"/>
      <c r="P40" s="1693"/>
      <c r="Q40" s="1696"/>
      <c r="R40" s="1238" t="str">
        <f>IF(B40="","",IF(X40="ERROR",CONCATENATE(VLOOKUP(B40,'SpxSp (step-a)'!AZ$22:BC$71,3,FALSE)," total decorative watts for this space"),IF(S40=0,"Specify GENERAL lighting first","")))</f>
        <v/>
      </c>
      <c r="S40" s="123" t="str">
        <f>IFERROR(VLOOKUP(B40,'SpxSp (step-a)'!B$22:O$71,13,FALSE),"")</f>
        <v/>
      </c>
      <c r="T40" s="236">
        <f t="shared" si="1"/>
        <v>0</v>
      </c>
      <c r="U40" s="121">
        <f t="shared" si="2"/>
        <v>0</v>
      </c>
      <c r="V40" s="43"/>
      <c r="W40" s="730">
        <f t="shared" si="7"/>
        <v>0</v>
      </c>
      <c r="X40" s="730" t="e">
        <f>VLOOKUP(B40,'SpxSp (step-a)'!AZ$22:BC$71,4,FALSE)</f>
        <v>#N/A</v>
      </c>
      <c r="Y40" s="43">
        <f t="shared" si="3"/>
        <v>0</v>
      </c>
      <c r="Z40" s="43"/>
      <c r="AA40" s="43"/>
      <c r="AB40" s="1102" t="str">
        <f t="shared" si="10"/>
        <v/>
      </c>
      <c r="AC40" s="700" t="str">
        <f t="shared" si="11"/>
        <v/>
      </c>
      <c r="AG40" s="737">
        <v>24</v>
      </c>
      <c r="AH40" s="737" t="s">
        <v>1057</v>
      </c>
      <c r="AI40" s="730">
        <f>ROW()</f>
        <v>40</v>
      </c>
    </row>
    <row r="41" spans="1:35" x14ac:dyDescent="0.25">
      <c r="A41" s="5">
        <v>24</v>
      </c>
      <c r="B41" s="1670"/>
      <c r="C41" s="1671"/>
      <c r="D41" s="1671"/>
      <c r="E41" s="1671"/>
      <c r="F41" s="1058"/>
      <c r="G41" s="1697" t="str">
        <f>IF(B41="","",VLOOKUP(B41,'SpxSp (step-a)'!B$22:V$71,16,FALSE))</f>
        <v/>
      </c>
      <c r="H41" s="1698"/>
      <c r="I41" s="1693"/>
      <c r="J41" s="1694"/>
      <c r="K41" s="1067"/>
      <c r="L41" s="799" t="str">
        <f t="shared" si="0"/>
        <v/>
      </c>
      <c r="M41" s="941" t="str">
        <f t="shared" si="5"/>
        <v/>
      </c>
      <c r="N41" s="1695" t="str">
        <f t="shared" si="9"/>
        <v/>
      </c>
      <c r="O41" s="1695"/>
      <c r="P41" s="1693"/>
      <c r="Q41" s="1696"/>
      <c r="R41" s="1238" t="str">
        <f>IF(B41="","",IF(X41="ERROR",CONCATENATE(VLOOKUP(B41,'SpxSp (step-a)'!AZ$22:BC$71,3,FALSE)," total decorative watts for this space"),IF(S41=0,"Specify GENERAL lighting first","")))</f>
        <v/>
      </c>
      <c r="S41" s="123" t="str">
        <f>IFERROR(VLOOKUP(B41,'SpxSp (step-a)'!B$22:O$71,13,FALSE),"")</f>
        <v/>
      </c>
      <c r="T41" s="236">
        <f t="shared" si="1"/>
        <v>0</v>
      </c>
      <c r="U41" s="121">
        <f t="shared" si="2"/>
        <v>0</v>
      </c>
      <c r="V41" s="43"/>
      <c r="W41" s="730">
        <f t="shared" si="7"/>
        <v>0</v>
      </c>
      <c r="X41" s="730" t="e">
        <f>VLOOKUP(B41,'SpxSp (step-a)'!AZ$22:BC$71,4,FALSE)</f>
        <v>#N/A</v>
      </c>
      <c r="Y41" s="43">
        <f t="shared" si="3"/>
        <v>0</v>
      </c>
      <c r="Z41" s="43"/>
      <c r="AA41" s="43"/>
      <c r="AB41" s="1102" t="str">
        <f t="shared" si="10"/>
        <v/>
      </c>
      <c r="AC41" s="700" t="str">
        <f t="shared" si="11"/>
        <v/>
      </c>
      <c r="AG41" s="737">
        <v>25</v>
      </c>
      <c r="AH41" s="737" t="s">
        <v>913</v>
      </c>
      <c r="AI41" s="730">
        <f>ROW()</f>
        <v>41</v>
      </c>
    </row>
    <row r="42" spans="1:35" x14ac:dyDescent="0.25">
      <c r="A42" s="5">
        <v>25</v>
      </c>
      <c r="B42" s="1670"/>
      <c r="C42" s="1671"/>
      <c r="D42" s="1671"/>
      <c r="E42" s="1671"/>
      <c r="F42" s="1058"/>
      <c r="G42" s="1697" t="str">
        <f>IF(B42="","",VLOOKUP(B42,'SpxSp (step-a)'!B$22:V$71,16,FALSE))</f>
        <v/>
      </c>
      <c r="H42" s="1698"/>
      <c r="I42" s="1693"/>
      <c r="J42" s="1694"/>
      <c r="K42" s="1067"/>
      <c r="L42" s="799" t="str">
        <f t="shared" si="0"/>
        <v/>
      </c>
      <c r="M42" s="941" t="str">
        <f t="shared" si="5"/>
        <v/>
      </c>
      <c r="N42" s="1695" t="str">
        <f t="shared" si="9"/>
        <v/>
      </c>
      <c r="O42" s="1695"/>
      <c r="P42" s="1693"/>
      <c r="Q42" s="1696"/>
      <c r="R42" s="1238" t="str">
        <f>IF(B42="","",IF(X42="ERROR",CONCATENATE(VLOOKUP(B42,'SpxSp (step-a)'!AZ$22:BC$71,3,FALSE)," total decorative watts for this space"),IF(S42=0,"Specify GENERAL lighting first","")))</f>
        <v/>
      </c>
      <c r="S42" s="123" t="str">
        <f>IFERROR(VLOOKUP(B42,'SpxSp (step-a)'!B$22:O$71,13,FALSE),"")</f>
        <v/>
      </c>
      <c r="T42" s="236">
        <f t="shared" si="1"/>
        <v>0</v>
      </c>
      <c r="U42" s="121">
        <f t="shared" si="2"/>
        <v>0</v>
      </c>
      <c r="V42" s="43"/>
      <c r="W42" s="730">
        <f t="shared" si="7"/>
        <v>0</v>
      </c>
      <c r="X42" s="730" t="e">
        <f>VLOOKUP(B42,'SpxSp (step-a)'!AZ$22:BC$71,4,FALSE)</f>
        <v>#N/A</v>
      </c>
      <c r="Y42" s="43">
        <f t="shared" si="3"/>
        <v>0</v>
      </c>
      <c r="Z42" s="43"/>
      <c r="AA42" s="43"/>
      <c r="AB42" s="1102" t="str">
        <f t="shared" si="10"/>
        <v/>
      </c>
      <c r="AC42" s="700" t="str">
        <f t="shared" si="11"/>
        <v/>
      </c>
      <c r="AG42" s="737">
        <v>26</v>
      </c>
      <c r="AH42" s="737" t="s">
        <v>1058</v>
      </c>
      <c r="AI42" s="730">
        <f>ROW()</f>
        <v>42</v>
      </c>
    </row>
    <row r="43" spans="1:35" x14ac:dyDescent="0.25">
      <c r="A43" s="5">
        <v>26</v>
      </c>
      <c r="B43" s="1670"/>
      <c r="C43" s="1671"/>
      <c r="D43" s="1671"/>
      <c r="E43" s="1671"/>
      <c r="F43" s="1058"/>
      <c r="G43" s="1697" t="str">
        <f>IF(B43="","",VLOOKUP(B43,'SpxSp (step-a)'!B$22:V$71,16,FALSE))</f>
        <v/>
      </c>
      <c r="H43" s="1698"/>
      <c r="I43" s="1693"/>
      <c r="J43" s="1694"/>
      <c r="K43" s="1067"/>
      <c r="L43" s="799" t="str">
        <f t="shared" si="0"/>
        <v/>
      </c>
      <c r="M43" s="941" t="str">
        <f t="shared" si="5"/>
        <v/>
      </c>
      <c r="N43" s="1695" t="str">
        <f t="shared" si="9"/>
        <v/>
      </c>
      <c r="O43" s="1695"/>
      <c r="P43" s="1693"/>
      <c r="Q43" s="1696"/>
      <c r="R43" s="1238" t="str">
        <f>IF(B43="","",IF(X43="ERROR",CONCATENATE(VLOOKUP(B43,'SpxSp (step-a)'!AZ$22:BC$71,3,FALSE)," total decorative watts for this space"),IF(S43=0,"Specify GENERAL lighting first","")))</f>
        <v/>
      </c>
      <c r="S43" s="123" t="str">
        <f>IFERROR(VLOOKUP(B43,'SpxSp (step-a)'!B$22:O$71,13,FALSE),"")</f>
        <v/>
      </c>
      <c r="T43" s="236">
        <f t="shared" si="1"/>
        <v>0</v>
      </c>
      <c r="U43" s="121">
        <f t="shared" si="2"/>
        <v>0</v>
      </c>
      <c r="V43" s="43"/>
      <c r="W43" s="730">
        <f t="shared" si="7"/>
        <v>0</v>
      </c>
      <c r="X43" s="730" t="e">
        <f>VLOOKUP(B43,'SpxSp (step-a)'!AZ$22:BC$71,4,FALSE)</f>
        <v>#N/A</v>
      </c>
      <c r="Y43" s="43">
        <f t="shared" si="3"/>
        <v>0</v>
      </c>
      <c r="Z43" s="43"/>
      <c r="AA43" s="43"/>
      <c r="AB43" s="1102" t="str">
        <f t="shared" si="10"/>
        <v/>
      </c>
      <c r="AC43" s="700" t="str">
        <f t="shared" si="11"/>
        <v/>
      </c>
      <c r="AG43" s="737">
        <v>27</v>
      </c>
      <c r="AH43" s="737" t="str">
        <f>CONCATENATE("A",AH17)</f>
        <v>AA</v>
      </c>
      <c r="AI43" s="730">
        <f>ROW()</f>
        <v>43</v>
      </c>
    </row>
    <row r="44" spans="1:35" x14ac:dyDescent="0.25">
      <c r="A44" s="5">
        <v>27</v>
      </c>
      <c r="B44" s="1670"/>
      <c r="C44" s="1671"/>
      <c r="D44" s="1671"/>
      <c r="E44" s="1671"/>
      <c r="F44" s="1058"/>
      <c r="G44" s="1697" t="str">
        <f>IF(B44="","",VLOOKUP(B44,'SpxSp (step-a)'!B$22:V$71,16,FALSE))</f>
        <v/>
      </c>
      <c r="H44" s="1698"/>
      <c r="I44" s="1693"/>
      <c r="J44" s="1694"/>
      <c r="K44" s="1067"/>
      <c r="L44" s="799" t="str">
        <f t="shared" si="0"/>
        <v/>
      </c>
      <c r="M44" s="941" t="str">
        <f t="shared" si="5"/>
        <v/>
      </c>
      <c r="N44" s="1695" t="str">
        <f t="shared" si="9"/>
        <v/>
      </c>
      <c r="O44" s="1695"/>
      <c r="P44" s="1693"/>
      <c r="Q44" s="1696"/>
      <c r="R44" s="1238" t="str">
        <f>IF(B44="","",IF(X44="ERROR",CONCATENATE(VLOOKUP(B44,'SpxSp (step-a)'!AZ$22:BC$71,3,FALSE)," total decorative watts for this space"),IF(S44=0,"Specify GENERAL lighting first","")))</f>
        <v/>
      </c>
      <c r="S44" s="123" t="str">
        <f>IFERROR(VLOOKUP(B44,'SpxSp (step-a)'!B$22:O$71,13,FALSE),"")</f>
        <v/>
      </c>
      <c r="T44" s="236">
        <f t="shared" si="1"/>
        <v>0</v>
      </c>
      <c r="U44" s="121">
        <f t="shared" si="2"/>
        <v>0</v>
      </c>
      <c r="V44" s="43"/>
      <c r="W44" s="730">
        <f t="shared" si="7"/>
        <v>0</v>
      </c>
      <c r="X44" s="730" t="e">
        <f>VLOOKUP(B44,'SpxSp (step-a)'!AZ$22:BC$71,4,FALSE)</f>
        <v>#N/A</v>
      </c>
      <c r="Y44" s="43">
        <f t="shared" si="3"/>
        <v>0</v>
      </c>
      <c r="Z44" s="43"/>
      <c r="AA44" s="43"/>
      <c r="AB44" s="1102" t="str">
        <f t="shared" si="10"/>
        <v/>
      </c>
      <c r="AC44" s="700" t="str">
        <f t="shared" si="11"/>
        <v/>
      </c>
      <c r="AG44" s="737">
        <v>28</v>
      </c>
      <c r="AH44" s="737" t="str">
        <f t="shared" ref="AH44:AH68" si="12">CONCATENATE("A",AH18)</f>
        <v>AB</v>
      </c>
      <c r="AI44" s="730">
        <f>ROW()</f>
        <v>44</v>
      </c>
    </row>
    <row r="45" spans="1:35" x14ac:dyDescent="0.25">
      <c r="A45" s="5">
        <v>28</v>
      </c>
      <c r="B45" s="1670"/>
      <c r="C45" s="1671"/>
      <c r="D45" s="1671"/>
      <c r="E45" s="1671"/>
      <c r="F45" s="1058"/>
      <c r="G45" s="1697" t="str">
        <f>IF(B45="","",VLOOKUP(B45,'SpxSp (step-a)'!B$22:V$71,16,FALSE))</f>
        <v/>
      </c>
      <c r="H45" s="1698"/>
      <c r="I45" s="1693"/>
      <c r="J45" s="1694"/>
      <c r="K45" s="1067"/>
      <c r="L45" s="799" t="str">
        <f t="shared" si="0"/>
        <v/>
      </c>
      <c r="M45" s="941" t="str">
        <f t="shared" si="5"/>
        <v/>
      </c>
      <c r="N45" s="1695" t="str">
        <f t="shared" si="9"/>
        <v/>
      </c>
      <c r="O45" s="1695"/>
      <c r="P45" s="1693"/>
      <c r="Q45" s="1696"/>
      <c r="R45" s="1238" t="str">
        <f>IF(B45="","",IF(X45="ERROR",CONCATENATE(VLOOKUP(B45,'SpxSp (step-a)'!AZ$22:BC$71,3,FALSE)," total decorative watts for this space"),IF(S45=0,"Specify GENERAL lighting first","")))</f>
        <v/>
      </c>
      <c r="S45" s="123" t="str">
        <f>IFERROR(VLOOKUP(B45,'SpxSp (step-a)'!B$22:O$71,13,FALSE),"")</f>
        <v/>
      </c>
      <c r="T45" s="236">
        <f t="shared" si="1"/>
        <v>0</v>
      </c>
      <c r="U45" s="121">
        <f t="shared" si="2"/>
        <v>0</v>
      </c>
      <c r="V45" s="43"/>
      <c r="W45" s="730">
        <f t="shared" si="7"/>
        <v>0</v>
      </c>
      <c r="X45" s="730" t="e">
        <f>VLOOKUP(B45,'SpxSp (step-a)'!AZ$22:BC$71,4,FALSE)</f>
        <v>#N/A</v>
      </c>
      <c r="Y45" s="43">
        <f t="shared" si="3"/>
        <v>0</v>
      </c>
      <c r="Z45" s="43"/>
      <c r="AA45" s="43"/>
      <c r="AB45" s="1102" t="str">
        <f t="shared" si="10"/>
        <v/>
      </c>
      <c r="AC45" s="700" t="str">
        <f t="shared" si="11"/>
        <v/>
      </c>
      <c r="AG45" s="737">
        <v>29</v>
      </c>
      <c r="AH45" s="737" t="str">
        <f t="shared" si="12"/>
        <v>AC</v>
      </c>
      <c r="AI45" s="730">
        <f>ROW()</f>
        <v>45</v>
      </c>
    </row>
    <row r="46" spans="1:35" x14ac:dyDescent="0.25">
      <c r="A46" s="5">
        <v>29</v>
      </c>
      <c r="B46" s="1670"/>
      <c r="C46" s="1671"/>
      <c r="D46" s="1671"/>
      <c r="E46" s="1671"/>
      <c r="F46" s="1058"/>
      <c r="G46" s="1697" t="str">
        <f>IF(B46="","",VLOOKUP(B46,'SpxSp (step-a)'!B$22:V$71,16,FALSE))</f>
        <v/>
      </c>
      <c r="H46" s="1698"/>
      <c r="I46" s="1693"/>
      <c r="J46" s="1694"/>
      <c r="K46" s="1067"/>
      <c r="L46" s="799" t="str">
        <f t="shared" si="0"/>
        <v/>
      </c>
      <c r="M46" s="941" t="str">
        <f t="shared" si="5"/>
        <v/>
      </c>
      <c r="N46" s="1695" t="str">
        <f t="shared" si="9"/>
        <v/>
      </c>
      <c r="O46" s="1695"/>
      <c r="P46" s="1693"/>
      <c r="Q46" s="1696"/>
      <c r="R46" s="1238" t="str">
        <f>IF(B46="","",IF(X46="ERROR",CONCATENATE(VLOOKUP(B46,'SpxSp (step-a)'!AZ$22:BC$71,3,FALSE)," total decorative watts for this space"),IF(S46=0,"Specify GENERAL lighting first","")))</f>
        <v/>
      </c>
      <c r="S46" s="123" t="str">
        <f>IFERROR(VLOOKUP(B46,'SpxSp (step-a)'!B$22:O$71,13,FALSE),"")</f>
        <v/>
      </c>
      <c r="T46" s="236">
        <f t="shared" si="1"/>
        <v>0</v>
      </c>
      <c r="U46" s="121">
        <f t="shared" si="2"/>
        <v>0</v>
      </c>
      <c r="V46" s="43"/>
      <c r="W46" s="730">
        <f t="shared" si="7"/>
        <v>0</v>
      </c>
      <c r="X46" s="730" t="e">
        <f>VLOOKUP(B46,'SpxSp (step-a)'!AZ$22:BC$71,4,FALSE)</f>
        <v>#N/A</v>
      </c>
      <c r="Y46" s="43">
        <f t="shared" si="3"/>
        <v>0</v>
      </c>
      <c r="Z46" s="43"/>
      <c r="AA46" s="43"/>
      <c r="AB46" s="1102" t="str">
        <f t="shared" si="10"/>
        <v/>
      </c>
      <c r="AC46" s="700" t="str">
        <f t="shared" si="11"/>
        <v/>
      </c>
      <c r="AG46" s="737">
        <v>30</v>
      </c>
      <c r="AH46" s="737" t="str">
        <f t="shared" si="12"/>
        <v>AD</v>
      </c>
      <c r="AI46" s="730">
        <f>ROW()</f>
        <v>46</v>
      </c>
    </row>
    <row r="47" spans="1:35" x14ac:dyDescent="0.25">
      <c r="A47" s="5">
        <v>30</v>
      </c>
      <c r="B47" s="1670"/>
      <c r="C47" s="1671"/>
      <c r="D47" s="1671"/>
      <c r="E47" s="1671"/>
      <c r="F47" s="1058"/>
      <c r="G47" s="1697" t="str">
        <f>IF(B47="","",VLOOKUP(B47,'SpxSp (step-a)'!B$22:V$71,16,FALSE))</f>
        <v/>
      </c>
      <c r="H47" s="1698"/>
      <c r="I47" s="1693"/>
      <c r="J47" s="1694"/>
      <c r="K47" s="1067"/>
      <c r="L47" s="799" t="str">
        <f t="shared" si="0"/>
        <v/>
      </c>
      <c r="M47" s="941" t="str">
        <f t="shared" si="5"/>
        <v/>
      </c>
      <c r="N47" s="1695" t="str">
        <f t="shared" si="9"/>
        <v/>
      </c>
      <c r="O47" s="1695"/>
      <c r="P47" s="1693"/>
      <c r="Q47" s="1696"/>
      <c r="R47" s="1238" t="str">
        <f>IF(B47="","",IF(X47="ERROR",CONCATENATE(VLOOKUP(B47,'SpxSp (step-a)'!AZ$22:BC$71,3,FALSE)," total decorative watts for this space"),IF(S47=0,"Specify GENERAL lighting first","")))</f>
        <v/>
      </c>
      <c r="S47" s="123" t="str">
        <f>IFERROR(VLOOKUP(B47,'SpxSp (step-a)'!B$22:O$71,13,FALSE),"")</f>
        <v/>
      </c>
      <c r="T47" s="236">
        <f t="shared" si="1"/>
        <v>0</v>
      </c>
      <c r="U47" s="121">
        <f t="shared" si="2"/>
        <v>0</v>
      </c>
      <c r="V47" s="43"/>
      <c r="W47" s="730">
        <f t="shared" si="7"/>
        <v>0</v>
      </c>
      <c r="X47" s="730" t="e">
        <f>VLOOKUP(B47,'SpxSp (step-a)'!AZ$22:BC$71,4,FALSE)</f>
        <v>#N/A</v>
      </c>
      <c r="Y47" s="43">
        <f t="shared" si="3"/>
        <v>0</v>
      </c>
      <c r="Z47" s="43"/>
      <c r="AA47" s="43"/>
      <c r="AB47" s="1102" t="str">
        <f t="shared" si="10"/>
        <v/>
      </c>
      <c r="AC47" s="700" t="str">
        <f t="shared" si="11"/>
        <v/>
      </c>
      <c r="AG47" s="737">
        <v>31</v>
      </c>
      <c r="AH47" s="737" t="str">
        <f t="shared" si="12"/>
        <v>AE</v>
      </c>
      <c r="AI47" s="730">
        <f>ROW()</f>
        <v>47</v>
      </c>
    </row>
    <row r="48" spans="1:35" x14ac:dyDescent="0.25">
      <c r="A48" s="5">
        <v>31</v>
      </c>
      <c r="B48" s="1670"/>
      <c r="C48" s="1671"/>
      <c r="D48" s="1671"/>
      <c r="E48" s="1671"/>
      <c r="F48" s="1058"/>
      <c r="G48" s="1697" t="str">
        <f>IF(B48="","",VLOOKUP(B48,'SpxSp (step-a)'!B$22:V$71,16,FALSE))</f>
        <v/>
      </c>
      <c r="H48" s="1698"/>
      <c r="I48" s="1693"/>
      <c r="J48" s="1694"/>
      <c r="K48" s="1067"/>
      <c r="L48" s="799" t="str">
        <f t="shared" si="0"/>
        <v/>
      </c>
      <c r="M48" s="941" t="str">
        <f t="shared" si="5"/>
        <v/>
      </c>
      <c r="N48" s="1695" t="str">
        <f t="shared" si="9"/>
        <v/>
      </c>
      <c r="O48" s="1695"/>
      <c r="P48" s="1693"/>
      <c r="Q48" s="1696"/>
      <c r="R48" s="1238" t="str">
        <f>IF(B48="","",IF(X48="ERROR",CONCATENATE(VLOOKUP(B48,'SpxSp (step-a)'!AZ$22:BC$71,3,FALSE)," total decorative watts for this space"),IF(S48=0,"Specify GENERAL lighting first","")))</f>
        <v/>
      </c>
      <c r="S48" s="123" t="str">
        <f>IFERROR(VLOOKUP(B48,'SpxSp (step-a)'!B$22:O$71,13,FALSE),"")</f>
        <v/>
      </c>
      <c r="T48" s="236">
        <f t="shared" si="1"/>
        <v>0</v>
      </c>
      <c r="U48" s="121">
        <f t="shared" si="2"/>
        <v>0</v>
      </c>
      <c r="V48" s="43"/>
      <c r="W48" s="730">
        <f t="shared" si="7"/>
        <v>0</v>
      </c>
      <c r="X48" s="730" t="e">
        <f>VLOOKUP(B48,'SpxSp (step-a)'!AZ$22:BC$71,4,FALSE)</f>
        <v>#N/A</v>
      </c>
      <c r="Y48" s="43">
        <f t="shared" si="3"/>
        <v>0</v>
      </c>
      <c r="Z48" s="43"/>
      <c r="AA48" s="43"/>
      <c r="AB48" s="1102" t="str">
        <f t="shared" si="10"/>
        <v/>
      </c>
      <c r="AC48" s="700" t="str">
        <f t="shared" si="11"/>
        <v/>
      </c>
      <c r="AG48" s="737">
        <v>32</v>
      </c>
      <c r="AH48" s="737" t="str">
        <f t="shared" si="12"/>
        <v>AF</v>
      </c>
      <c r="AI48" s="730">
        <f>ROW()</f>
        <v>48</v>
      </c>
    </row>
    <row r="49" spans="1:35" x14ac:dyDescent="0.25">
      <c r="A49" s="5">
        <v>32</v>
      </c>
      <c r="B49" s="1670"/>
      <c r="C49" s="1671"/>
      <c r="D49" s="1671"/>
      <c r="E49" s="1671"/>
      <c r="F49" s="1058"/>
      <c r="G49" s="1697" t="str">
        <f>IF(B49="","",VLOOKUP(B49,'SpxSp (step-a)'!B$22:V$71,16,FALSE))</f>
        <v/>
      </c>
      <c r="H49" s="1698"/>
      <c r="I49" s="1693"/>
      <c r="J49" s="1694"/>
      <c r="K49" s="1067"/>
      <c r="L49" s="799" t="str">
        <f t="shared" si="0"/>
        <v/>
      </c>
      <c r="M49" s="941" t="str">
        <f t="shared" si="5"/>
        <v/>
      </c>
      <c r="N49" s="1695" t="str">
        <f t="shared" si="9"/>
        <v/>
      </c>
      <c r="O49" s="1695"/>
      <c r="P49" s="1693"/>
      <c r="Q49" s="1696"/>
      <c r="R49" s="1238" t="str">
        <f>IF(B49="","",IF(X49="ERROR",CONCATENATE(VLOOKUP(B49,'SpxSp (step-a)'!AZ$22:BC$71,3,FALSE)," total decorative watts for this space"),IF(S49=0,"Specify GENERAL lighting first","")))</f>
        <v/>
      </c>
      <c r="S49" s="123" t="str">
        <f>IFERROR(VLOOKUP(B49,'SpxSp (step-a)'!B$22:O$71,13,FALSE),"")</f>
        <v/>
      </c>
      <c r="T49" s="236">
        <f t="shared" si="1"/>
        <v>0</v>
      </c>
      <c r="U49" s="121">
        <f t="shared" si="2"/>
        <v>0</v>
      </c>
      <c r="V49" s="43"/>
      <c r="W49" s="730">
        <f t="shared" si="7"/>
        <v>0</v>
      </c>
      <c r="X49" s="730" t="e">
        <f>VLOOKUP(B49,'SpxSp (step-a)'!AZ$22:BC$71,4,FALSE)</f>
        <v>#N/A</v>
      </c>
      <c r="Y49" s="43">
        <f t="shared" si="3"/>
        <v>0</v>
      </c>
      <c r="Z49" s="43"/>
      <c r="AA49" s="43"/>
      <c r="AB49" s="1102" t="str">
        <f t="shared" si="10"/>
        <v/>
      </c>
      <c r="AC49" s="700" t="str">
        <f t="shared" si="11"/>
        <v/>
      </c>
      <c r="AG49" s="737">
        <v>33</v>
      </c>
      <c r="AH49" s="737" t="str">
        <f t="shared" si="12"/>
        <v>AG</v>
      </c>
      <c r="AI49" s="730">
        <f>ROW()</f>
        <v>49</v>
      </c>
    </row>
    <row r="50" spans="1:35" x14ac:dyDescent="0.25">
      <c r="A50" s="5">
        <v>33</v>
      </c>
      <c r="B50" s="1670"/>
      <c r="C50" s="1671"/>
      <c r="D50" s="1671"/>
      <c r="E50" s="1671"/>
      <c r="F50" s="1058"/>
      <c r="G50" s="1697" t="str">
        <f>IF(B50="","",VLOOKUP(B50,'SpxSp (step-a)'!B$22:V$71,16,FALSE))</f>
        <v/>
      </c>
      <c r="H50" s="1698"/>
      <c r="I50" s="1693"/>
      <c r="J50" s="1694"/>
      <c r="K50" s="1067"/>
      <c r="L50" s="799" t="str">
        <f t="shared" ref="L50:L67" si="13">IF(OR(B50="",S50=0),"",IF(I50&lt;&gt;"",VLOOKUP(I50,_Luminaire_Schedule,9,FALSE)," "))</f>
        <v/>
      </c>
      <c r="M50" s="941" t="str">
        <f t="shared" si="5"/>
        <v/>
      </c>
      <c r="N50" s="1695" t="str">
        <f t="shared" si="9"/>
        <v/>
      </c>
      <c r="O50" s="1695"/>
      <c r="P50" s="1693"/>
      <c r="Q50" s="1696"/>
      <c r="R50" s="1238" t="str">
        <f>IF(B50="","",IF(X50="ERROR",CONCATENATE(VLOOKUP(B50,'SpxSp (step-a)'!AZ$22:BC$71,3,FALSE)," total decorative watts for this space"),IF(S50=0,"Specify GENERAL lighting first","")))</f>
        <v/>
      </c>
      <c r="S50" s="123" t="str">
        <f>IFERROR(VLOOKUP(B50,'SpxSp (step-a)'!B$22:O$71,13,FALSE),"")</f>
        <v/>
      </c>
      <c r="T50" s="236">
        <f t="shared" ref="T50:T67" si="14">IFERROR(K50*L50,0)</f>
        <v>0</v>
      </c>
      <c r="U50" s="121">
        <f t="shared" ref="U50:U67" si="15">IF(B50="",0,IF(OR(P50="",P50="No"),1,0))</f>
        <v>0</v>
      </c>
      <c r="V50" s="43"/>
      <c r="W50" s="730">
        <f t="shared" si="7"/>
        <v>0</v>
      </c>
      <c r="X50" s="730" t="e">
        <f>VLOOKUP(B50,'SpxSp (step-a)'!AZ$22:BC$71,4,FALSE)</f>
        <v>#N/A</v>
      </c>
      <c r="Y50" s="43">
        <f t="shared" ref="Y50:Y67" si="16">COUNTIF(B$18:F$67,B50)</f>
        <v>0</v>
      </c>
      <c r="Z50" s="43"/>
      <c r="AA50" s="43"/>
      <c r="AB50" s="1102" t="str">
        <f t="shared" si="10"/>
        <v/>
      </c>
      <c r="AC50" s="700" t="str">
        <f t="shared" si="11"/>
        <v/>
      </c>
      <c r="AG50" s="737">
        <v>34</v>
      </c>
      <c r="AH50" s="737" t="str">
        <f t="shared" si="12"/>
        <v>AH</v>
      </c>
      <c r="AI50" s="730">
        <f>ROW()</f>
        <v>50</v>
      </c>
    </row>
    <row r="51" spans="1:35" x14ac:dyDescent="0.25">
      <c r="A51" s="5">
        <v>34</v>
      </c>
      <c r="B51" s="1670"/>
      <c r="C51" s="1671"/>
      <c r="D51" s="1671"/>
      <c r="E51" s="1671"/>
      <c r="F51" s="1058"/>
      <c r="G51" s="1697" t="str">
        <f>IF(B51="","",VLOOKUP(B51,'SpxSp (step-a)'!B$22:V$71,16,FALSE))</f>
        <v/>
      </c>
      <c r="H51" s="1698"/>
      <c r="I51" s="1693"/>
      <c r="J51" s="1694"/>
      <c r="K51" s="1067"/>
      <c r="L51" s="799" t="str">
        <f t="shared" si="13"/>
        <v/>
      </c>
      <c r="M51" s="941" t="str">
        <f t="shared" si="5"/>
        <v/>
      </c>
      <c r="N51" s="1695" t="str">
        <f t="shared" si="9"/>
        <v/>
      </c>
      <c r="O51" s="1695"/>
      <c r="P51" s="1693"/>
      <c r="Q51" s="1696"/>
      <c r="R51" s="1238" t="str">
        <f>IF(B51="","",IF(X51="ERROR",CONCATENATE(VLOOKUP(B51,'SpxSp (step-a)'!AZ$22:BC$71,3,FALSE)," total decorative watts for this space"),IF(S51=0,"Specify GENERAL lighting first","")))</f>
        <v/>
      </c>
      <c r="S51" s="123" t="str">
        <f>IFERROR(VLOOKUP(B51,'SpxSp (step-a)'!B$22:O$71,13,FALSE),"")</f>
        <v/>
      </c>
      <c r="T51" s="236">
        <f t="shared" si="14"/>
        <v>0</v>
      </c>
      <c r="U51" s="121">
        <f t="shared" si="15"/>
        <v>0</v>
      </c>
      <c r="V51" s="43"/>
      <c r="W51" s="730">
        <f t="shared" si="7"/>
        <v>0</v>
      </c>
      <c r="X51" s="730" t="e">
        <f>VLOOKUP(B51,'SpxSp (step-a)'!AZ$22:BC$71,4,FALSE)</f>
        <v>#N/A</v>
      </c>
      <c r="Y51" s="43">
        <f t="shared" si="16"/>
        <v>0</v>
      </c>
      <c r="Z51" s="43"/>
      <c r="AA51" s="43"/>
      <c r="AB51" s="1102" t="str">
        <f t="shared" si="10"/>
        <v/>
      </c>
      <c r="AC51" s="700" t="str">
        <f t="shared" si="11"/>
        <v/>
      </c>
      <c r="AG51" s="737">
        <v>35</v>
      </c>
      <c r="AH51" s="737" t="str">
        <f t="shared" si="12"/>
        <v>AI</v>
      </c>
      <c r="AI51" s="730">
        <f>ROW()</f>
        <v>51</v>
      </c>
    </row>
    <row r="52" spans="1:35" x14ac:dyDescent="0.25">
      <c r="A52" s="5">
        <v>35</v>
      </c>
      <c r="B52" s="1670"/>
      <c r="C52" s="1671"/>
      <c r="D52" s="1671"/>
      <c r="E52" s="1671"/>
      <c r="F52" s="1058"/>
      <c r="G52" s="1697" t="str">
        <f>IF(B52="","",VLOOKUP(B52,'SpxSp (step-a)'!B$22:V$71,16,FALSE))</f>
        <v/>
      </c>
      <c r="H52" s="1698"/>
      <c r="I52" s="1693"/>
      <c r="J52" s="1694"/>
      <c r="K52" s="1067"/>
      <c r="L52" s="799" t="str">
        <f t="shared" si="13"/>
        <v/>
      </c>
      <c r="M52" s="941" t="str">
        <f t="shared" si="5"/>
        <v/>
      </c>
      <c r="N52" s="1695" t="str">
        <f t="shared" si="9"/>
        <v/>
      </c>
      <c r="O52" s="1695"/>
      <c r="P52" s="1693"/>
      <c r="Q52" s="1696"/>
      <c r="R52" s="1238" t="str">
        <f>IF(B52="","",IF(X52="ERROR",CONCATENATE(VLOOKUP(B52,'SpxSp (step-a)'!AZ$22:BC$71,3,FALSE)," total decorative watts for this space"),IF(S52=0,"Specify GENERAL lighting first","")))</f>
        <v/>
      </c>
      <c r="S52" s="123" t="str">
        <f>IFERROR(VLOOKUP(B52,'SpxSp (step-a)'!B$22:O$71,13,FALSE),"")</f>
        <v/>
      </c>
      <c r="T52" s="236">
        <f t="shared" si="14"/>
        <v>0</v>
      </c>
      <c r="U52" s="121">
        <f t="shared" si="15"/>
        <v>0</v>
      </c>
      <c r="V52" s="43"/>
      <c r="W52" s="730">
        <f t="shared" si="7"/>
        <v>0</v>
      </c>
      <c r="X52" s="730" t="e">
        <f>VLOOKUP(B52,'SpxSp (step-a)'!AZ$22:BC$71,4,FALSE)</f>
        <v>#N/A</v>
      </c>
      <c r="Y52" s="43">
        <f t="shared" si="16"/>
        <v>0</v>
      </c>
      <c r="Z52" s="43"/>
      <c r="AA52" s="43"/>
      <c r="AB52" s="1102" t="str">
        <f t="shared" si="10"/>
        <v/>
      </c>
      <c r="AC52" s="700" t="str">
        <f t="shared" si="11"/>
        <v/>
      </c>
      <c r="AG52" s="737">
        <v>36</v>
      </c>
      <c r="AH52" s="737" t="str">
        <f t="shared" si="12"/>
        <v>AJ</v>
      </c>
      <c r="AI52" s="730">
        <f>ROW()</f>
        <v>52</v>
      </c>
    </row>
    <row r="53" spans="1:35" x14ac:dyDescent="0.25">
      <c r="A53" s="5">
        <v>36</v>
      </c>
      <c r="B53" s="1670"/>
      <c r="C53" s="1671"/>
      <c r="D53" s="1671"/>
      <c r="E53" s="1671"/>
      <c r="F53" s="1058"/>
      <c r="G53" s="1697" t="str">
        <f>IF(B53="","",VLOOKUP(B53,'SpxSp (step-a)'!B$22:V$71,16,FALSE))</f>
        <v/>
      </c>
      <c r="H53" s="1698"/>
      <c r="I53" s="1693"/>
      <c r="J53" s="1694"/>
      <c r="K53" s="1067"/>
      <c r="L53" s="799" t="str">
        <f t="shared" si="13"/>
        <v/>
      </c>
      <c r="M53" s="941" t="str">
        <f t="shared" si="5"/>
        <v/>
      </c>
      <c r="N53" s="1695" t="str">
        <f t="shared" si="9"/>
        <v/>
      </c>
      <c r="O53" s="1695"/>
      <c r="P53" s="1693"/>
      <c r="Q53" s="1696"/>
      <c r="R53" s="1238" t="str">
        <f>IF(B53="","",IF(X53="ERROR",CONCATENATE(VLOOKUP(B53,'SpxSp (step-a)'!AZ$22:BC$71,3,FALSE)," total decorative watts for this space"),IF(S53=0,"Specify GENERAL lighting first","")))</f>
        <v/>
      </c>
      <c r="S53" s="123" t="str">
        <f>IFERROR(VLOOKUP(B53,'SpxSp (step-a)'!B$22:O$71,13,FALSE),"")</f>
        <v/>
      </c>
      <c r="T53" s="236">
        <f t="shared" si="14"/>
        <v>0</v>
      </c>
      <c r="U53" s="121">
        <f t="shared" si="15"/>
        <v>0</v>
      </c>
      <c r="V53" s="43"/>
      <c r="W53" s="730">
        <f t="shared" si="7"/>
        <v>0</v>
      </c>
      <c r="X53" s="730" t="e">
        <f>VLOOKUP(B53,'SpxSp (step-a)'!AZ$22:BC$71,4,FALSE)</f>
        <v>#N/A</v>
      </c>
      <c r="Y53" s="43">
        <f t="shared" si="16"/>
        <v>0</v>
      </c>
      <c r="Z53" s="43"/>
      <c r="AA53" s="43"/>
      <c r="AB53" s="1102" t="str">
        <f t="shared" si="10"/>
        <v/>
      </c>
      <c r="AC53" s="700" t="str">
        <f t="shared" si="11"/>
        <v/>
      </c>
      <c r="AG53" s="737">
        <v>37</v>
      </c>
      <c r="AH53" s="737" t="str">
        <f t="shared" si="12"/>
        <v>AK</v>
      </c>
      <c r="AI53" s="730">
        <f>ROW()</f>
        <v>53</v>
      </c>
    </row>
    <row r="54" spans="1:35" x14ac:dyDescent="0.25">
      <c r="A54" s="5">
        <v>37</v>
      </c>
      <c r="B54" s="1670"/>
      <c r="C54" s="1671"/>
      <c r="D54" s="1671"/>
      <c r="E54" s="1671"/>
      <c r="F54" s="1058"/>
      <c r="G54" s="1697" t="str">
        <f>IF(B54="","",VLOOKUP(B54,'SpxSp (step-a)'!B$22:V$71,16,FALSE))</f>
        <v/>
      </c>
      <c r="H54" s="1698"/>
      <c r="I54" s="1693"/>
      <c r="J54" s="1694"/>
      <c r="K54" s="1067"/>
      <c r="L54" s="799" t="str">
        <f t="shared" si="13"/>
        <v/>
      </c>
      <c r="M54" s="941" t="str">
        <f t="shared" si="5"/>
        <v/>
      </c>
      <c r="N54" s="1695" t="str">
        <f t="shared" si="9"/>
        <v/>
      </c>
      <c r="O54" s="1695"/>
      <c r="P54" s="1693"/>
      <c r="Q54" s="1696"/>
      <c r="R54" s="1238" t="str">
        <f>IF(B54="","",IF(X54="ERROR",CONCATENATE(VLOOKUP(B54,'SpxSp (step-a)'!AZ$22:BC$71,3,FALSE)," total decorative watts for this space"),IF(S54=0,"Specify GENERAL lighting first","")))</f>
        <v/>
      </c>
      <c r="S54" s="123" t="str">
        <f>IFERROR(VLOOKUP(B54,'SpxSp (step-a)'!B$22:O$71,13,FALSE),"")</f>
        <v/>
      </c>
      <c r="T54" s="236">
        <f t="shared" si="14"/>
        <v>0</v>
      </c>
      <c r="U54" s="121">
        <f t="shared" si="15"/>
        <v>0</v>
      </c>
      <c r="V54" s="43"/>
      <c r="W54" s="730">
        <f t="shared" si="7"/>
        <v>0</v>
      </c>
      <c r="X54" s="730" t="e">
        <f>VLOOKUP(B54,'SpxSp (step-a)'!AZ$22:BC$71,4,FALSE)</f>
        <v>#N/A</v>
      </c>
      <c r="Y54" s="43">
        <f t="shared" si="16"/>
        <v>0</v>
      </c>
      <c r="Z54" s="43"/>
      <c r="AA54" s="43"/>
      <c r="AB54" s="1102" t="str">
        <f t="shared" si="10"/>
        <v/>
      </c>
      <c r="AC54" s="700" t="str">
        <f t="shared" si="11"/>
        <v/>
      </c>
      <c r="AG54" s="737">
        <v>38</v>
      </c>
      <c r="AH54" s="737" t="str">
        <f t="shared" si="12"/>
        <v>Al</v>
      </c>
      <c r="AI54" s="730">
        <f>ROW()</f>
        <v>54</v>
      </c>
    </row>
    <row r="55" spans="1:35" x14ac:dyDescent="0.25">
      <c r="A55" s="5">
        <v>38</v>
      </c>
      <c r="B55" s="1670"/>
      <c r="C55" s="1671"/>
      <c r="D55" s="1671"/>
      <c r="E55" s="1671"/>
      <c r="F55" s="1058"/>
      <c r="G55" s="1697" t="str">
        <f>IF(B55="","",VLOOKUP(B55,'SpxSp (step-a)'!B$22:V$71,16,FALSE))</f>
        <v/>
      </c>
      <c r="H55" s="1698"/>
      <c r="I55" s="1693"/>
      <c r="J55" s="1694"/>
      <c r="K55" s="1067"/>
      <c r="L55" s="799" t="str">
        <f t="shared" si="13"/>
        <v/>
      </c>
      <c r="M55" s="941" t="str">
        <f t="shared" si="5"/>
        <v/>
      </c>
      <c r="N55" s="1695" t="str">
        <f t="shared" si="9"/>
        <v/>
      </c>
      <c r="O55" s="1695"/>
      <c r="P55" s="1693"/>
      <c r="Q55" s="1696"/>
      <c r="R55" s="1238" t="str">
        <f>IF(B55="","",IF(X55="ERROR",CONCATENATE(VLOOKUP(B55,'SpxSp (step-a)'!AZ$22:BC$71,3,FALSE)," total decorative watts for this space"),IF(S55=0,"Specify GENERAL lighting first","")))</f>
        <v/>
      </c>
      <c r="S55" s="123" t="str">
        <f>IFERROR(VLOOKUP(B55,'SpxSp (step-a)'!B$22:O$71,13,FALSE),"")</f>
        <v/>
      </c>
      <c r="T55" s="236">
        <f t="shared" si="14"/>
        <v>0</v>
      </c>
      <c r="U55" s="121">
        <f t="shared" si="15"/>
        <v>0</v>
      </c>
      <c r="V55" s="43"/>
      <c r="W55" s="730">
        <f t="shared" si="7"/>
        <v>0</v>
      </c>
      <c r="X55" s="730" t="e">
        <f>VLOOKUP(B55,'SpxSp (step-a)'!AZ$22:BC$71,4,FALSE)</f>
        <v>#N/A</v>
      </c>
      <c r="Y55" s="43">
        <f t="shared" si="16"/>
        <v>0</v>
      </c>
      <c r="Z55" s="43"/>
      <c r="AA55" s="43"/>
      <c r="AB55" s="1102" t="str">
        <f t="shared" si="10"/>
        <v/>
      </c>
      <c r="AC55" s="700" t="str">
        <f t="shared" si="11"/>
        <v/>
      </c>
      <c r="AG55" s="737">
        <v>39</v>
      </c>
      <c r="AH55" s="737" t="str">
        <f t="shared" si="12"/>
        <v>AM</v>
      </c>
      <c r="AI55" s="730">
        <f>ROW()</f>
        <v>55</v>
      </c>
    </row>
    <row r="56" spans="1:35" x14ac:dyDescent="0.25">
      <c r="A56" s="5">
        <v>39</v>
      </c>
      <c r="B56" s="1670"/>
      <c r="C56" s="1671"/>
      <c r="D56" s="1671"/>
      <c r="E56" s="1671"/>
      <c r="F56" s="1058"/>
      <c r="G56" s="1697" t="str">
        <f>IF(B56="","",VLOOKUP(B56,'SpxSp (step-a)'!B$22:V$71,16,FALSE))</f>
        <v/>
      </c>
      <c r="H56" s="1698"/>
      <c r="I56" s="1693"/>
      <c r="J56" s="1694"/>
      <c r="K56" s="1067"/>
      <c r="L56" s="799" t="str">
        <f t="shared" si="13"/>
        <v/>
      </c>
      <c r="M56" s="941" t="str">
        <f t="shared" si="5"/>
        <v/>
      </c>
      <c r="N56" s="1695" t="str">
        <f t="shared" si="9"/>
        <v/>
      </c>
      <c r="O56" s="1695"/>
      <c r="P56" s="1693"/>
      <c r="Q56" s="1696"/>
      <c r="R56" s="1238" t="str">
        <f>IF(B56="","",IF(X56="ERROR",CONCATENATE(VLOOKUP(B56,'SpxSp (step-a)'!AZ$22:BC$71,3,FALSE)," total decorative watts for this space"),IF(S56=0,"Specify GENERAL lighting first","")))</f>
        <v/>
      </c>
      <c r="S56" s="123" t="str">
        <f>IFERROR(VLOOKUP(B56,'SpxSp (step-a)'!B$22:O$71,13,FALSE),"")</f>
        <v/>
      </c>
      <c r="T56" s="236">
        <f t="shared" si="14"/>
        <v>0</v>
      </c>
      <c r="U56" s="121">
        <f t="shared" si="15"/>
        <v>0</v>
      </c>
      <c r="V56" s="43"/>
      <c r="W56" s="730">
        <f t="shared" si="7"/>
        <v>0</v>
      </c>
      <c r="X56" s="730" t="e">
        <f>VLOOKUP(B56,'SpxSp (step-a)'!AZ$22:BC$71,4,FALSE)</f>
        <v>#N/A</v>
      </c>
      <c r="Y56" s="43">
        <f t="shared" si="16"/>
        <v>0</v>
      </c>
      <c r="Z56" s="43"/>
      <c r="AA56" s="43"/>
      <c r="AB56" s="1102" t="str">
        <f t="shared" si="10"/>
        <v/>
      </c>
      <c r="AC56" s="700" t="str">
        <f t="shared" si="11"/>
        <v/>
      </c>
      <c r="AG56" s="737">
        <v>40</v>
      </c>
      <c r="AH56" s="737" t="str">
        <f t="shared" si="12"/>
        <v>AN</v>
      </c>
      <c r="AI56" s="730">
        <f>ROW()</f>
        <v>56</v>
      </c>
    </row>
    <row r="57" spans="1:35" x14ac:dyDescent="0.25">
      <c r="A57" s="5">
        <v>40</v>
      </c>
      <c r="B57" s="1670"/>
      <c r="C57" s="1671"/>
      <c r="D57" s="1671"/>
      <c r="E57" s="1671"/>
      <c r="F57" s="1058"/>
      <c r="G57" s="1697" t="str">
        <f>IF(B57="","",VLOOKUP(B57,'SpxSp (step-a)'!B$22:V$71,16,FALSE))</f>
        <v/>
      </c>
      <c r="H57" s="1698"/>
      <c r="I57" s="1693"/>
      <c r="J57" s="1694"/>
      <c r="K57" s="1067"/>
      <c r="L57" s="799" t="str">
        <f t="shared" si="13"/>
        <v/>
      </c>
      <c r="M57" s="941" t="str">
        <f t="shared" si="5"/>
        <v/>
      </c>
      <c r="N57" s="1695" t="str">
        <f t="shared" si="9"/>
        <v/>
      </c>
      <c r="O57" s="1695"/>
      <c r="P57" s="1693"/>
      <c r="Q57" s="1696"/>
      <c r="R57" s="1238" t="str">
        <f>IF(B57="","",IF(X57="ERROR",CONCATENATE(VLOOKUP(B57,'SpxSp (step-a)'!AZ$22:BC$71,3,FALSE)," total decorative watts for this space"),IF(S57=0,"Specify GENERAL lighting first","")))</f>
        <v/>
      </c>
      <c r="S57" s="123" t="str">
        <f>IFERROR(VLOOKUP(B57,'SpxSp (step-a)'!B$22:O$71,13,FALSE),"")</f>
        <v/>
      </c>
      <c r="T57" s="236">
        <f t="shared" si="14"/>
        <v>0</v>
      </c>
      <c r="U57" s="121">
        <f t="shared" si="15"/>
        <v>0</v>
      </c>
      <c r="V57" s="43"/>
      <c r="W57" s="730">
        <f t="shared" si="7"/>
        <v>0</v>
      </c>
      <c r="X57" s="730" t="e">
        <f>VLOOKUP(B57,'SpxSp (step-a)'!AZ$22:BC$71,4,FALSE)</f>
        <v>#N/A</v>
      </c>
      <c r="Y57" s="43">
        <f t="shared" si="16"/>
        <v>0</v>
      </c>
      <c r="Z57" s="43"/>
      <c r="AA57" s="43"/>
      <c r="AB57" s="1102" t="str">
        <f t="shared" si="10"/>
        <v/>
      </c>
      <c r="AC57" s="700" t="str">
        <f t="shared" si="11"/>
        <v/>
      </c>
      <c r="AG57" s="737">
        <v>41</v>
      </c>
      <c r="AH57" s="737" t="str">
        <f t="shared" si="12"/>
        <v>AO</v>
      </c>
      <c r="AI57" s="730">
        <f>ROW()</f>
        <v>57</v>
      </c>
    </row>
    <row r="58" spans="1:35" x14ac:dyDescent="0.25">
      <c r="A58" s="5">
        <v>41</v>
      </c>
      <c r="B58" s="1670"/>
      <c r="C58" s="1671"/>
      <c r="D58" s="1671"/>
      <c r="E58" s="1671"/>
      <c r="F58" s="1058"/>
      <c r="G58" s="1697" t="str">
        <f>IF(B58="","",VLOOKUP(B58,'SpxSp (step-a)'!B$22:V$71,16,FALSE))</f>
        <v/>
      </c>
      <c r="H58" s="1698"/>
      <c r="I58" s="1693"/>
      <c r="J58" s="1694"/>
      <c r="K58" s="1067"/>
      <c r="L58" s="799" t="str">
        <f t="shared" si="13"/>
        <v/>
      </c>
      <c r="M58" s="941" t="str">
        <f t="shared" si="5"/>
        <v/>
      </c>
      <c r="N58" s="1695" t="str">
        <f t="shared" si="9"/>
        <v/>
      </c>
      <c r="O58" s="1695"/>
      <c r="P58" s="1693"/>
      <c r="Q58" s="1696"/>
      <c r="R58" s="1238" t="str">
        <f>IF(B58="","",IF(X58="ERROR",CONCATENATE(VLOOKUP(B58,'SpxSp (step-a)'!AZ$22:BC$71,3,FALSE)," total decorative watts for this space"),IF(S58=0,"Specify GENERAL lighting first","")))</f>
        <v/>
      </c>
      <c r="S58" s="123" t="str">
        <f>IFERROR(VLOOKUP(B58,'SpxSp (step-a)'!B$22:O$71,13,FALSE),"")</f>
        <v/>
      </c>
      <c r="T58" s="236">
        <f t="shared" si="14"/>
        <v>0</v>
      </c>
      <c r="U58" s="121">
        <f t="shared" si="15"/>
        <v>0</v>
      </c>
      <c r="V58" s="43"/>
      <c r="W58" s="730">
        <f t="shared" si="7"/>
        <v>0</v>
      </c>
      <c r="X58" s="730" t="e">
        <f>VLOOKUP(B58,'SpxSp (step-a)'!AZ$22:BC$71,4,FALSE)</f>
        <v>#N/A</v>
      </c>
      <c r="Y58" s="43">
        <f t="shared" si="16"/>
        <v>0</v>
      </c>
      <c r="Z58" s="43"/>
      <c r="AA58" s="43"/>
      <c r="AB58" s="1102" t="str">
        <f t="shared" si="10"/>
        <v/>
      </c>
      <c r="AC58" s="700" t="str">
        <f t="shared" si="11"/>
        <v/>
      </c>
      <c r="AG58" s="737">
        <v>42</v>
      </c>
      <c r="AH58" s="737" t="str">
        <f t="shared" si="12"/>
        <v>AP</v>
      </c>
      <c r="AI58" s="730">
        <f>ROW()</f>
        <v>58</v>
      </c>
    </row>
    <row r="59" spans="1:35" x14ac:dyDescent="0.25">
      <c r="A59" s="5">
        <v>42</v>
      </c>
      <c r="B59" s="1670"/>
      <c r="C59" s="1671"/>
      <c r="D59" s="1671"/>
      <c r="E59" s="1671"/>
      <c r="F59" s="1058"/>
      <c r="G59" s="1697" t="str">
        <f>IF(B59="","",VLOOKUP(B59,'SpxSp (step-a)'!B$22:V$71,16,FALSE))</f>
        <v/>
      </c>
      <c r="H59" s="1698"/>
      <c r="I59" s="1693"/>
      <c r="J59" s="1694"/>
      <c r="K59" s="1067"/>
      <c r="L59" s="799" t="str">
        <f t="shared" si="13"/>
        <v/>
      </c>
      <c r="M59" s="941" t="str">
        <f t="shared" si="5"/>
        <v/>
      </c>
      <c r="N59" s="1695" t="str">
        <f t="shared" si="9"/>
        <v/>
      </c>
      <c r="O59" s="1695"/>
      <c r="P59" s="1693"/>
      <c r="Q59" s="1696"/>
      <c r="R59" s="1238" t="str">
        <f>IF(B59="","",IF(X59="ERROR",CONCATENATE(VLOOKUP(B59,'SpxSp (step-a)'!AZ$22:BC$71,3,FALSE)," total decorative watts for this space"),IF(S59=0,"Specify GENERAL lighting first","")))</f>
        <v/>
      </c>
      <c r="S59" s="123" t="str">
        <f>IFERROR(VLOOKUP(B59,'SpxSp (step-a)'!B$22:O$71,13,FALSE),"")</f>
        <v/>
      </c>
      <c r="T59" s="236">
        <f t="shared" si="14"/>
        <v>0</v>
      </c>
      <c r="U59" s="121">
        <f t="shared" si="15"/>
        <v>0</v>
      </c>
      <c r="V59" s="43"/>
      <c r="W59" s="730">
        <f t="shared" si="7"/>
        <v>0</v>
      </c>
      <c r="X59" s="730" t="e">
        <f>VLOOKUP(B59,'SpxSp (step-a)'!AZ$22:BC$71,4,FALSE)</f>
        <v>#N/A</v>
      </c>
      <c r="Y59" s="43">
        <f t="shared" si="16"/>
        <v>0</v>
      </c>
      <c r="Z59" s="43"/>
      <c r="AA59" s="43"/>
      <c r="AB59" s="1102" t="str">
        <f t="shared" si="10"/>
        <v/>
      </c>
      <c r="AC59" s="700" t="str">
        <f t="shared" si="11"/>
        <v/>
      </c>
      <c r="AG59" s="737">
        <v>43</v>
      </c>
      <c r="AH59" s="737" t="str">
        <f t="shared" si="12"/>
        <v>AQ</v>
      </c>
      <c r="AI59" s="730">
        <f>ROW()</f>
        <v>59</v>
      </c>
    </row>
    <row r="60" spans="1:35" x14ac:dyDescent="0.25">
      <c r="A60" s="5">
        <v>43</v>
      </c>
      <c r="B60" s="1670"/>
      <c r="C60" s="1671"/>
      <c r="D60" s="1671"/>
      <c r="E60" s="1671"/>
      <c r="F60" s="1058"/>
      <c r="G60" s="1697" t="str">
        <f>IF(B60="","",VLOOKUP(B60,'SpxSp (step-a)'!B$22:V$71,16,FALSE))</f>
        <v/>
      </c>
      <c r="H60" s="1698"/>
      <c r="I60" s="1693"/>
      <c r="J60" s="1694"/>
      <c r="K60" s="1067"/>
      <c r="L60" s="799" t="str">
        <f t="shared" si="13"/>
        <v/>
      </c>
      <c r="M60" s="941" t="str">
        <f t="shared" si="5"/>
        <v/>
      </c>
      <c r="N60" s="1695" t="str">
        <f t="shared" si="9"/>
        <v/>
      </c>
      <c r="O60" s="1695"/>
      <c r="P60" s="1693"/>
      <c r="Q60" s="1696"/>
      <c r="R60" s="1238" t="str">
        <f>IF(B60="","",IF(X60="ERROR",CONCATENATE(VLOOKUP(B60,'SpxSp (step-a)'!AZ$22:BC$71,3,FALSE)," total decorative watts for this space"),IF(S60=0,"Specify GENERAL lighting first","")))</f>
        <v/>
      </c>
      <c r="S60" s="123" t="str">
        <f>IFERROR(VLOOKUP(B60,'SpxSp (step-a)'!B$22:O$71,13,FALSE),"")</f>
        <v/>
      </c>
      <c r="T60" s="236">
        <f t="shared" si="14"/>
        <v>0</v>
      </c>
      <c r="U60" s="121">
        <f t="shared" si="15"/>
        <v>0</v>
      </c>
      <c r="V60" s="43"/>
      <c r="W60" s="730">
        <f t="shared" si="7"/>
        <v>0</v>
      </c>
      <c r="X60" s="730" t="e">
        <f>VLOOKUP(B60,'SpxSp (step-a)'!AZ$22:BC$71,4,FALSE)</f>
        <v>#N/A</v>
      </c>
      <c r="Y60" s="43">
        <f t="shared" si="16"/>
        <v>0</v>
      </c>
      <c r="Z60" s="43"/>
      <c r="AA60" s="43"/>
      <c r="AB60" s="1102" t="str">
        <f t="shared" si="10"/>
        <v/>
      </c>
      <c r="AC60" s="700" t="str">
        <f t="shared" si="11"/>
        <v/>
      </c>
      <c r="AG60" s="737">
        <v>44</v>
      </c>
      <c r="AH60" s="737" t="str">
        <f t="shared" si="12"/>
        <v>AR</v>
      </c>
      <c r="AI60" s="730">
        <f>ROW()</f>
        <v>60</v>
      </c>
    </row>
    <row r="61" spans="1:35" x14ac:dyDescent="0.25">
      <c r="A61" s="5">
        <v>44</v>
      </c>
      <c r="B61" s="1670"/>
      <c r="C61" s="1671"/>
      <c r="D61" s="1671"/>
      <c r="E61" s="1671"/>
      <c r="F61" s="1058"/>
      <c r="G61" s="1697" t="str">
        <f>IF(B61="","",VLOOKUP(B61,'SpxSp (step-a)'!B$22:V$71,16,FALSE))</f>
        <v/>
      </c>
      <c r="H61" s="1698"/>
      <c r="I61" s="1693"/>
      <c r="J61" s="1694"/>
      <c r="K61" s="1067"/>
      <c r="L61" s="799" t="str">
        <f t="shared" si="13"/>
        <v/>
      </c>
      <c r="M61" s="941" t="str">
        <f t="shared" si="5"/>
        <v/>
      </c>
      <c r="N61" s="1695" t="str">
        <f t="shared" si="9"/>
        <v/>
      </c>
      <c r="O61" s="1695"/>
      <c r="P61" s="1693"/>
      <c r="Q61" s="1696"/>
      <c r="R61" s="1238" t="str">
        <f>IF(B61="","",IF(X61="ERROR",CONCATENATE(VLOOKUP(B61,'SpxSp (step-a)'!AZ$22:BC$71,3,FALSE)," total decorative watts for this space"),IF(S61=0,"Specify GENERAL lighting first","")))</f>
        <v/>
      </c>
      <c r="S61" s="123" t="str">
        <f>IFERROR(VLOOKUP(B61,'SpxSp (step-a)'!B$22:O$71,13,FALSE),"")</f>
        <v/>
      </c>
      <c r="T61" s="236">
        <f t="shared" si="14"/>
        <v>0</v>
      </c>
      <c r="U61" s="121">
        <f t="shared" si="15"/>
        <v>0</v>
      </c>
      <c r="V61" s="43"/>
      <c r="W61" s="730">
        <f t="shared" si="7"/>
        <v>0</v>
      </c>
      <c r="X61" s="730" t="e">
        <f>VLOOKUP(B61,'SpxSp (step-a)'!AZ$22:BC$71,4,FALSE)</f>
        <v>#N/A</v>
      </c>
      <c r="Y61" s="43">
        <f t="shared" si="16"/>
        <v>0</v>
      </c>
      <c r="Z61" s="43"/>
      <c r="AA61" s="43"/>
      <c r="AB61" s="1102" t="str">
        <f t="shared" si="10"/>
        <v/>
      </c>
      <c r="AC61" s="700" t="str">
        <f t="shared" si="11"/>
        <v/>
      </c>
      <c r="AG61" s="737">
        <v>45</v>
      </c>
      <c r="AH61" s="737" t="str">
        <f t="shared" si="12"/>
        <v>AS</v>
      </c>
      <c r="AI61" s="730">
        <f>ROW()</f>
        <v>61</v>
      </c>
    </row>
    <row r="62" spans="1:35" x14ac:dyDescent="0.25">
      <c r="A62" s="5">
        <v>45</v>
      </c>
      <c r="B62" s="1670"/>
      <c r="C62" s="1671"/>
      <c r="D62" s="1671"/>
      <c r="E62" s="1671"/>
      <c r="F62" s="1058"/>
      <c r="G62" s="1697" t="str">
        <f>IF(B62="","",VLOOKUP(B62,'SpxSp (step-a)'!B$22:V$71,16,FALSE))</f>
        <v/>
      </c>
      <c r="H62" s="1698"/>
      <c r="I62" s="1693"/>
      <c r="J62" s="1694"/>
      <c r="K62" s="1067"/>
      <c r="L62" s="799" t="str">
        <f t="shared" si="13"/>
        <v/>
      </c>
      <c r="M62" s="941" t="str">
        <f t="shared" si="5"/>
        <v/>
      </c>
      <c r="N62" s="1695" t="str">
        <f t="shared" si="9"/>
        <v/>
      </c>
      <c r="O62" s="1695"/>
      <c r="P62" s="1693"/>
      <c r="Q62" s="1696"/>
      <c r="R62" s="1238" t="str">
        <f>IF(B62="","",IF(X62="ERROR",CONCATENATE(VLOOKUP(B62,'SpxSp (step-a)'!AZ$22:BC$71,3,FALSE)," total decorative watts for this space"),IF(S62=0,"Specify GENERAL lighting first","")))</f>
        <v/>
      </c>
      <c r="S62" s="123" t="str">
        <f>IFERROR(VLOOKUP(B62,'SpxSp (step-a)'!B$22:O$71,13,FALSE),"")</f>
        <v/>
      </c>
      <c r="T62" s="236">
        <f t="shared" si="14"/>
        <v>0</v>
      </c>
      <c r="U62" s="121">
        <f t="shared" si="15"/>
        <v>0</v>
      </c>
      <c r="V62" s="43"/>
      <c r="W62" s="730">
        <f t="shared" si="7"/>
        <v>0</v>
      </c>
      <c r="X62" s="730" t="e">
        <f>VLOOKUP(B62,'SpxSp (step-a)'!AZ$22:BC$71,4,FALSE)</f>
        <v>#N/A</v>
      </c>
      <c r="Y62" s="43">
        <f t="shared" si="16"/>
        <v>0</v>
      </c>
      <c r="Z62" s="43"/>
      <c r="AA62" s="43"/>
      <c r="AB62" s="1102" t="str">
        <f t="shared" si="10"/>
        <v/>
      </c>
      <c r="AC62" s="700" t="str">
        <f t="shared" si="11"/>
        <v/>
      </c>
      <c r="AG62" s="737">
        <v>46</v>
      </c>
      <c r="AH62" s="737" t="str">
        <f t="shared" si="12"/>
        <v>AT</v>
      </c>
      <c r="AI62" s="730">
        <f>ROW()</f>
        <v>62</v>
      </c>
    </row>
    <row r="63" spans="1:35" x14ac:dyDescent="0.25">
      <c r="A63" s="5">
        <v>46</v>
      </c>
      <c r="B63" s="1670"/>
      <c r="C63" s="1671"/>
      <c r="D63" s="1671"/>
      <c r="E63" s="1671"/>
      <c r="F63" s="1058"/>
      <c r="G63" s="1697" t="str">
        <f>IF(B63="","",VLOOKUP(B63,'SpxSp (step-a)'!B$22:V$71,16,FALSE))</f>
        <v/>
      </c>
      <c r="H63" s="1698"/>
      <c r="I63" s="1693"/>
      <c r="J63" s="1694"/>
      <c r="K63" s="1067"/>
      <c r="L63" s="799" t="str">
        <f t="shared" si="13"/>
        <v/>
      </c>
      <c r="M63" s="941" t="str">
        <f t="shared" si="5"/>
        <v/>
      </c>
      <c r="N63" s="1695" t="str">
        <f t="shared" si="9"/>
        <v/>
      </c>
      <c r="O63" s="1695"/>
      <c r="P63" s="1693"/>
      <c r="Q63" s="1696"/>
      <c r="R63" s="1238" t="str">
        <f>IF(B63="","",IF(X63="ERROR",CONCATENATE(VLOOKUP(B63,'SpxSp (step-a)'!AZ$22:BC$71,3,FALSE)," total decorative watts for this space"),IF(S63=0,"Specify GENERAL lighting first","")))</f>
        <v/>
      </c>
      <c r="S63" s="123" t="str">
        <f>IFERROR(VLOOKUP(B63,'SpxSp (step-a)'!B$22:O$71,13,FALSE),"")</f>
        <v/>
      </c>
      <c r="T63" s="236">
        <f t="shared" si="14"/>
        <v>0</v>
      </c>
      <c r="U63" s="121">
        <f t="shared" si="15"/>
        <v>0</v>
      </c>
      <c r="V63" s="43"/>
      <c r="W63" s="730">
        <f t="shared" si="7"/>
        <v>0</v>
      </c>
      <c r="X63" s="730" t="e">
        <f>VLOOKUP(B63,'SpxSp (step-a)'!AZ$22:BC$71,4,FALSE)</f>
        <v>#N/A</v>
      </c>
      <c r="Y63" s="43">
        <f t="shared" si="16"/>
        <v>0</v>
      </c>
      <c r="Z63" s="43"/>
      <c r="AA63" s="43"/>
      <c r="AB63" s="1102" t="str">
        <f t="shared" si="10"/>
        <v/>
      </c>
      <c r="AC63" s="700" t="str">
        <f t="shared" si="11"/>
        <v/>
      </c>
      <c r="AG63" s="737">
        <v>47</v>
      </c>
      <c r="AH63" s="737" t="str">
        <f t="shared" si="12"/>
        <v>AU</v>
      </c>
      <c r="AI63" s="730">
        <f>ROW()</f>
        <v>63</v>
      </c>
    </row>
    <row r="64" spans="1:35" x14ac:dyDescent="0.25">
      <c r="A64" s="5">
        <v>47</v>
      </c>
      <c r="B64" s="1670"/>
      <c r="C64" s="1671"/>
      <c r="D64" s="1671"/>
      <c r="E64" s="1671"/>
      <c r="F64" s="1058"/>
      <c r="G64" s="1697" t="str">
        <f>IF(B64="","",VLOOKUP(B64,'SpxSp (step-a)'!B$22:V$71,16,FALSE))</f>
        <v/>
      </c>
      <c r="H64" s="1698"/>
      <c r="I64" s="1693"/>
      <c r="J64" s="1694"/>
      <c r="K64" s="1067"/>
      <c r="L64" s="799" t="str">
        <f t="shared" si="13"/>
        <v/>
      </c>
      <c r="M64" s="941" t="str">
        <f t="shared" si="5"/>
        <v/>
      </c>
      <c r="N64" s="1695" t="str">
        <f t="shared" si="9"/>
        <v/>
      </c>
      <c r="O64" s="1695"/>
      <c r="P64" s="1693"/>
      <c r="Q64" s="1696"/>
      <c r="R64" s="1238" t="str">
        <f>IF(B64="","",IF(X64="ERROR",CONCATENATE(VLOOKUP(B64,'SpxSp (step-a)'!AZ$22:BC$71,3,FALSE)," total decorative watts for this space"),IF(S64=0,"Specify GENERAL lighting first","")))</f>
        <v/>
      </c>
      <c r="S64" s="123" t="str">
        <f>IFERROR(VLOOKUP(B64,'SpxSp (step-a)'!B$22:O$71,13,FALSE),"")</f>
        <v/>
      </c>
      <c r="T64" s="236">
        <f t="shared" si="14"/>
        <v>0</v>
      </c>
      <c r="U64" s="121">
        <f t="shared" si="15"/>
        <v>0</v>
      </c>
      <c r="V64" s="43"/>
      <c r="W64" s="730">
        <f t="shared" si="7"/>
        <v>0</v>
      </c>
      <c r="X64" s="730" t="e">
        <f>VLOOKUP(B64,'SpxSp (step-a)'!AZ$22:BC$71,4,FALSE)</f>
        <v>#N/A</v>
      </c>
      <c r="Y64" s="43">
        <f t="shared" si="16"/>
        <v>0</v>
      </c>
      <c r="Z64" s="43"/>
      <c r="AA64" s="43"/>
      <c r="AB64" s="1102" t="str">
        <f t="shared" si="10"/>
        <v/>
      </c>
      <c r="AC64" s="700" t="str">
        <f t="shared" si="11"/>
        <v/>
      </c>
      <c r="AG64" s="737">
        <v>48</v>
      </c>
      <c r="AH64" s="737" t="str">
        <f t="shared" si="12"/>
        <v>AV</v>
      </c>
      <c r="AI64" s="730">
        <f>ROW()</f>
        <v>64</v>
      </c>
    </row>
    <row r="65" spans="1:35" x14ac:dyDescent="0.25">
      <c r="A65" s="5">
        <v>48</v>
      </c>
      <c r="B65" s="1670"/>
      <c r="C65" s="1671"/>
      <c r="D65" s="1671"/>
      <c r="E65" s="1671"/>
      <c r="F65" s="1058"/>
      <c r="G65" s="1697" t="str">
        <f>IF(B65="","",VLOOKUP(B65,'SpxSp (step-a)'!B$22:V$71,16,FALSE))</f>
        <v/>
      </c>
      <c r="H65" s="1698"/>
      <c r="I65" s="1693"/>
      <c r="J65" s="1694"/>
      <c r="K65" s="1067"/>
      <c r="L65" s="799" t="str">
        <f t="shared" si="13"/>
        <v/>
      </c>
      <c r="M65" s="941" t="str">
        <f t="shared" si="5"/>
        <v/>
      </c>
      <c r="N65" s="1695" t="str">
        <f t="shared" si="9"/>
        <v/>
      </c>
      <c r="O65" s="1695"/>
      <c r="P65" s="1693"/>
      <c r="Q65" s="1696"/>
      <c r="R65" s="1238" t="str">
        <f>IF(B65="","",IF(X65="ERROR",CONCATENATE(VLOOKUP(B65,'SpxSp (step-a)'!AZ$22:BC$71,3,FALSE)," total decorative watts for this space"),IF(S65=0,"Specify GENERAL lighting first","")))</f>
        <v/>
      </c>
      <c r="S65" s="123" t="str">
        <f>IFERROR(VLOOKUP(B65,'SpxSp (step-a)'!B$22:O$71,13,FALSE),"")</f>
        <v/>
      </c>
      <c r="T65" s="236">
        <f t="shared" si="14"/>
        <v>0</v>
      </c>
      <c r="U65" s="121">
        <f t="shared" si="15"/>
        <v>0</v>
      </c>
      <c r="V65" s="43"/>
      <c r="W65" s="730">
        <f t="shared" si="7"/>
        <v>0</v>
      </c>
      <c r="X65" s="730" t="e">
        <f>VLOOKUP(B65,'SpxSp (step-a)'!AZ$22:BC$71,4,FALSE)</f>
        <v>#N/A</v>
      </c>
      <c r="Y65" s="43">
        <f t="shared" si="16"/>
        <v>0</v>
      </c>
      <c r="Z65" s="43"/>
      <c r="AA65" s="43"/>
      <c r="AB65" s="1102" t="str">
        <f t="shared" si="10"/>
        <v/>
      </c>
      <c r="AC65" s="700" t="str">
        <f t="shared" si="11"/>
        <v/>
      </c>
      <c r="AG65" s="737">
        <v>49</v>
      </c>
      <c r="AH65" s="737" t="str">
        <f t="shared" si="12"/>
        <v>AW</v>
      </c>
      <c r="AI65" s="730">
        <f>ROW()</f>
        <v>65</v>
      </c>
    </row>
    <row r="66" spans="1:35" x14ac:dyDescent="0.25">
      <c r="A66" s="5">
        <v>49</v>
      </c>
      <c r="B66" s="1670"/>
      <c r="C66" s="1671"/>
      <c r="D66" s="1671"/>
      <c r="E66" s="1671"/>
      <c r="F66" s="1058"/>
      <c r="G66" s="1697" t="str">
        <f>IF(B66="","",VLOOKUP(B66,'SpxSp (step-a)'!B$22:V$71,16,FALSE))</f>
        <v/>
      </c>
      <c r="H66" s="1698"/>
      <c r="I66" s="1693"/>
      <c r="J66" s="1694"/>
      <c r="K66" s="1067"/>
      <c r="L66" s="799" t="str">
        <f t="shared" si="13"/>
        <v/>
      </c>
      <c r="M66" s="941" t="str">
        <f t="shared" si="5"/>
        <v/>
      </c>
      <c r="N66" s="1695" t="str">
        <f t="shared" si="9"/>
        <v/>
      </c>
      <c r="O66" s="1695"/>
      <c r="P66" s="1693"/>
      <c r="Q66" s="1696"/>
      <c r="R66" s="1238" t="str">
        <f>IF(B66="","",IF(X66="ERROR",CONCATENATE(VLOOKUP(B66,'SpxSp (step-a)'!AZ$22:BC$71,3,FALSE)," total decorative watts for this space"),IF(S66=0,"Specify GENERAL lighting first","")))</f>
        <v/>
      </c>
      <c r="S66" s="123" t="str">
        <f>IFERROR(VLOOKUP(B66,'SpxSp (step-a)'!B$22:O$71,13,FALSE),"")</f>
        <v/>
      </c>
      <c r="T66" s="236">
        <f t="shared" si="14"/>
        <v>0</v>
      </c>
      <c r="U66" s="121">
        <f t="shared" si="15"/>
        <v>0</v>
      </c>
      <c r="V66" s="43"/>
      <c r="W66" s="730">
        <f t="shared" si="7"/>
        <v>0</v>
      </c>
      <c r="X66" s="730" t="e">
        <f>VLOOKUP(B66,'SpxSp (step-a)'!AZ$22:BC$71,4,FALSE)</f>
        <v>#N/A</v>
      </c>
      <c r="Y66" s="43">
        <f t="shared" si="16"/>
        <v>0</v>
      </c>
      <c r="Z66" s="43"/>
      <c r="AA66" s="43"/>
      <c r="AB66" s="1102" t="str">
        <f t="shared" si="10"/>
        <v/>
      </c>
      <c r="AC66" s="700" t="str">
        <f t="shared" si="11"/>
        <v/>
      </c>
      <c r="AG66" s="737">
        <v>50</v>
      </c>
      <c r="AH66" s="737" t="str">
        <f t="shared" si="12"/>
        <v>AX</v>
      </c>
      <c r="AI66" s="730">
        <f>ROW()</f>
        <v>66</v>
      </c>
    </row>
    <row r="67" spans="1:35" ht="13" thickBot="1" x14ac:dyDescent="0.3">
      <c r="A67" s="5">
        <v>50</v>
      </c>
      <c r="B67" s="1668"/>
      <c r="C67" s="1669"/>
      <c r="D67" s="1669"/>
      <c r="E67" s="1669"/>
      <c r="F67" s="973"/>
      <c r="G67" s="1699" t="str">
        <f>IF(B67="","",VLOOKUP(B67,'SpxSp (step-a)'!B$22:V$71,16,FALSE))</f>
        <v/>
      </c>
      <c r="H67" s="1700"/>
      <c r="I67" s="1704"/>
      <c r="J67" s="1705"/>
      <c r="K67" s="304"/>
      <c r="L67" s="854" t="str">
        <f t="shared" si="13"/>
        <v/>
      </c>
      <c r="M67" s="227" t="str">
        <f t="shared" si="5"/>
        <v/>
      </c>
      <c r="N67" s="1713" t="str">
        <f t="shared" si="9"/>
        <v/>
      </c>
      <c r="O67" s="1713"/>
      <c r="P67" s="1704"/>
      <c r="Q67" s="1709"/>
      <c r="R67" s="1241" t="str">
        <f>IF(B67="","",IF(X67="ERROR",CONCATENATE(VLOOKUP(B67,'SpxSp (step-a)'!AZ$22:BC$71,3,FALSE)," total decorative watts for this space"),IF(S67=0,"Specify GENERAL lighting first","")))</f>
        <v/>
      </c>
      <c r="S67" s="123" t="str">
        <f>IFERROR(VLOOKUP(B67,'SpxSp (step-a)'!B$22:O$71,13,FALSE),"")</f>
        <v/>
      </c>
      <c r="T67" s="236">
        <f t="shared" si="14"/>
        <v>0</v>
      </c>
      <c r="U67" s="121">
        <f t="shared" si="15"/>
        <v>0</v>
      </c>
      <c r="V67" s="43"/>
      <c r="W67" s="730">
        <f t="shared" si="7"/>
        <v>0</v>
      </c>
      <c r="X67" s="730" t="e">
        <f>VLOOKUP(B67,'SpxSp (step-a)'!AZ$22:BC$71,4,FALSE)</f>
        <v>#N/A</v>
      </c>
      <c r="Y67" s="43">
        <f t="shared" si="16"/>
        <v>0</v>
      </c>
      <c r="Z67" s="43"/>
      <c r="AA67" s="43"/>
      <c r="AB67" s="1102" t="str">
        <f t="shared" si="10"/>
        <v/>
      </c>
      <c r="AC67" s="700" t="str">
        <f t="shared" si="11"/>
        <v/>
      </c>
      <c r="AG67" s="737">
        <v>51</v>
      </c>
      <c r="AH67" s="737" t="str">
        <f t="shared" si="12"/>
        <v>AY</v>
      </c>
      <c r="AI67" s="43"/>
    </row>
    <row r="68" spans="1:35" x14ac:dyDescent="0.25">
      <c r="B68" s="43"/>
      <c r="C68" s="43"/>
      <c r="D68" s="43"/>
      <c r="E68" s="43"/>
      <c r="F68" s="43"/>
      <c r="G68" s="43"/>
      <c r="H68" s="43"/>
      <c r="I68" s="43"/>
      <c r="J68" s="43"/>
      <c r="K68" s="43"/>
      <c r="R68" s="450"/>
      <c r="S68" s="450"/>
      <c r="T68" s="43"/>
      <c r="U68" s="121" t="str">
        <f>IF(SUM(U18:U67)=0,"Compliant","Non-Compliant")</f>
        <v>Compliant</v>
      </c>
      <c r="V68" s="43"/>
      <c r="W68" s="121" t="str">
        <f>IF(SUM(W18:W67)=0,"Compliant","Non-Compliant")</f>
        <v>Compliant</v>
      </c>
      <c r="X68" s="43"/>
      <c r="Y68" s="43"/>
      <c r="Z68" s="43"/>
      <c r="AA68" s="43"/>
      <c r="AB68" s="43"/>
      <c r="AG68" s="737">
        <v>52</v>
      </c>
      <c r="AH68" s="737" t="str">
        <f t="shared" si="12"/>
        <v>AZ</v>
      </c>
      <c r="AI68" s="42"/>
    </row>
    <row r="69" spans="1:35" x14ac:dyDescent="0.25">
      <c r="B69" s="43"/>
      <c r="C69" s="43"/>
      <c r="D69" s="43"/>
      <c r="E69" s="43"/>
      <c r="F69" s="43"/>
      <c r="G69" s="43"/>
      <c r="H69" s="43"/>
      <c r="I69" s="43"/>
      <c r="J69" s="43"/>
      <c r="K69" s="43"/>
      <c r="L69" s="43"/>
      <c r="M69" s="49"/>
      <c r="N69" s="49"/>
      <c r="O69" s="49"/>
      <c r="P69" s="49"/>
      <c r="Q69" s="49"/>
      <c r="R69" s="43"/>
      <c r="S69" s="43"/>
      <c r="T69" s="43"/>
      <c r="U69" s="730">
        <f>IF(U68="Compliant",0,1)</f>
        <v>0</v>
      </c>
      <c r="V69" s="121" t="str">
        <f>IF(U69&gt;0,"Non-Compliant","Compliant")</f>
        <v>Compliant</v>
      </c>
      <c r="W69" s="730">
        <f>IF(W68="Compliant",0,1)</f>
        <v>0</v>
      </c>
      <c r="X69" s="43"/>
      <c r="Y69" s="43"/>
      <c r="Z69" s="43"/>
      <c r="AA69" s="43"/>
      <c r="AB69" s="43"/>
      <c r="AG69" s="737">
        <v>53</v>
      </c>
      <c r="AH69" s="737" t="str">
        <f>CONCATENATE("B",AH17)</f>
        <v>BA</v>
      </c>
      <c r="AI69" s="42"/>
    </row>
    <row r="70" spans="1:35" x14ac:dyDescent="0.25">
      <c r="B70" s="42"/>
      <c r="C70" s="42"/>
      <c r="D70" s="42"/>
      <c r="E70" s="42"/>
      <c r="F70" s="42"/>
      <c r="G70" s="42"/>
      <c r="H70" s="42"/>
      <c r="I70" s="42"/>
      <c r="J70" s="42"/>
      <c r="K70" s="42"/>
      <c r="L70" s="42"/>
      <c r="M70" s="42"/>
      <c r="N70" s="42"/>
      <c r="O70" s="42"/>
      <c r="P70" s="42"/>
      <c r="Q70" s="42"/>
      <c r="R70" s="42"/>
      <c r="S70" s="42"/>
      <c r="T70" s="95"/>
      <c r="U70" s="95"/>
      <c r="V70" s="95"/>
      <c r="W70" s="95"/>
      <c r="X70" s="95"/>
      <c r="Y70" s="42"/>
      <c r="Z70" s="42"/>
      <c r="AA70" s="42"/>
      <c r="AB70" s="42"/>
      <c r="AG70" s="737">
        <v>54</v>
      </c>
      <c r="AH70" s="737" t="str">
        <f t="shared" ref="AH70:AH94" si="17">CONCATENATE("B",AH18)</f>
        <v>BB</v>
      </c>
      <c r="AI70" s="42"/>
    </row>
    <row r="71" spans="1:35" x14ac:dyDescent="0.25">
      <c r="AG71" s="737">
        <v>55</v>
      </c>
      <c r="AH71" s="737" t="str">
        <f t="shared" si="17"/>
        <v>BC</v>
      </c>
      <c r="AI71" s="42"/>
    </row>
    <row r="72" spans="1:35" x14ac:dyDescent="0.25">
      <c r="AG72" s="737">
        <v>56</v>
      </c>
      <c r="AH72" s="737" t="str">
        <f t="shared" si="17"/>
        <v>BD</v>
      </c>
    </row>
    <row r="73" spans="1:35" x14ac:dyDescent="0.25">
      <c r="AG73" s="737">
        <v>57</v>
      </c>
      <c r="AH73" s="737" t="str">
        <f t="shared" si="17"/>
        <v>BE</v>
      </c>
    </row>
    <row r="74" spans="1:35" x14ac:dyDescent="0.25">
      <c r="AG74" s="737">
        <v>58</v>
      </c>
      <c r="AH74" s="737" t="str">
        <f t="shared" si="17"/>
        <v>BF</v>
      </c>
    </row>
    <row r="75" spans="1:35" x14ac:dyDescent="0.25">
      <c r="AG75" s="737">
        <v>59</v>
      </c>
      <c r="AH75" s="737" t="str">
        <f t="shared" si="17"/>
        <v>BG</v>
      </c>
    </row>
    <row r="76" spans="1:35" x14ac:dyDescent="0.25">
      <c r="AG76" s="737">
        <v>60</v>
      </c>
      <c r="AH76" s="737" t="str">
        <f t="shared" si="17"/>
        <v>BH</v>
      </c>
    </row>
    <row r="77" spans="1:35" x14ac:dyDescent="0.25">
      <c r="AG77" s="737">
        <v>61</v>
      </c>
      <c r="AH77" s="737" t="str">
        <f t="shared" si="17"/>
        <v>BI</v>
      </c>
    </row>
    <row r="78" spans="1:35" x14ac:dyDescent="0.25">
      <c r="AG78" s="737">
        <v>62</v>
      </c>
      <c r="AH78" s="737" t="str">
        <f t="shared" si="17"/>
        <v>BJ</v>
      </c>
    </row>
    <row r="79" spans="1:35" x14ac:dyDescent="0.25">
      <c r="AG79" s="737">
        <v>63</v>
      </c>
      <c r="AH79" s="737" t="str">
        <f t="shared" si="17"/>
        <v>BK</v>
      </c>
    </row>
    <row r="80" spans="1:35" x14ac:dyDescent="0.25">
      <c r="AG80" s="737">
        <v>64</v>
      </c>
      <c r="AH80" s="737" t="str">
        <f t="shared" si="17"/>
        <v>Bl</v>
      </c>
    </row>
    <row r="81" spans="33:34" x14ac:dyDescent="0.25">
      <c r="AG81" s="737">
        <v>65</v>
      </c>
      <c r="AH81" s="737" t="str">
        <f t="shared" si="17"/>
        <v>BM</v>
      </c>
    </row>
    <row r="82" spans="33:34" x14ac:dyDescent="0.25">
      <c r="AG82" s="737">
        <v>66</v>
      </c>
      <c r="AH82" s="737" t="str">
        <f t="shared" si="17"/>
        <v>BN</v>
      </c>
    </row>
    <row r="83" spans="33:34" x14ac:dyDescent="0.25">
      <c r="AG83" s="737">
        <v>67</v>
      </c>
      <c r="AH83" s="737" t="str">
        <f t="shared" si="17"/>
        <v>BO</v>
      </c>
    </row>
    <row r="84" spans="33:34" x14ac:dyDescent="0.25">
      <c r="AG84" s="737">
        <v>68</v>
      </c>
      <c r="AH84" s="737" t="str">
        <f t="shared" si="17"/>
        <v>BP</v>
      </c>
    </row>
    <row r="85" spans="33:34" x14ac:dyDescent="0.25">
      <c r="AG85" s="737">
        <v>69</v>
      </c>
      <c r="AH85" s="737" t="str">
        <f t="shared" si="17"/>
        <v>BQ</v>
      </c>
    </row>
    <row r="86" spans="33:34" x14ac:dyDescent="0.25">
      <c r="AG86" s="737">
        <v>70</v>
      </c>
      <c r="AH86" s="737" t="str">
        <f t="shared" si="17"/>
        <v>BR</v>
      </c>
    </row>
    <row r="87" spans="33:34" x14ac:dyDescent="0.25">
      <c r="AG87" s="737">
        <v>71</v>
      </c>
      <c r="AH87" s="737" t="str">
        <f t="shared" si="17"/>
        <v>BS</v>
      </c>
    </row>
    <row r="88" spans="33:34" x14ac:dyDescent="0.25">
      <c r="AG88" s="737">
        <v>72</v>
      </c>
      <c r="AH88" s="737" t="str">
        <f t="shared" si="17"/>
        <v>BT</v>
      </c>
    </row>
    <row r="89" spans="33:34" x14ac:dyDescent="0.25">
      <c r="AG89" s="737">
        <v>73</v>
      </c>
      <c r="AH89" s="737" t="str">
        <f t="shared" si="17"/>
        <v>BU</v>
      </c>
    </row>
    <row r="90" spans="33:34" x14ac:dyDescent="0.25">
      <c r="AG90" s="737">
        <v>74</v>
      </c>
      <c r="AH90" s="737" t="str">
        <f t="shared" si="17"/>
        <v>BV</v>
      </c>
    </row>
    <row r="91" spans="33:34" x14ac:dyDescent="0.25">
      <c r="AG91" s="737">
        <v>75</v>
      </c>
      <c r="AH91" s="737" t="str">
        <f t="shared" si="17"/>
        <v>BW</v>
      </c>
    </row>
    <row r="92" spans="33:34" x14ac:dyDescent="0.25">
      <c r="AG92" s="737">
        <v>76</v>
      </c>
      <c r="AH92" s="737" t="str">
        <f t="shared" si="17"/>
        <v>BX</v>
      </c>
    </row>
    <row r="93" spans="33:34" x14ac:dyDescent="0.25">
      <c r="AG93" s="737">
        <v>77</v>
      </c>
      <c r="AH93" s="737" t="str">
        <f t="shared" si="17"/>
        <v>BY</v>
      </c>
    </row>
    <row r="94" spans="33:34" x14ac:dyDescent="0.25">
      <c r="AG94" s="737">
        <v>78</v>
      </c>
      <c r="AH94" s="737" t="str">
        <f t="shared" si="17"/>
        <v>BZ</v>
      </c>
    </row>
  </sheetData>
  <sheetProtection sheet="1" objects="1" scenarios="1" selectLockedCells="1"/>
  <mergeCells count="266">
    <mergeCell ref="B66:E66"/>
    <mergeCell ref="B67:E67"/>
    <mergeCell ref="G17:Q17"/>
    <mergeCell ref="B57:E57"/>
    <mergeCell ref="B58:E58"/>
    <mergeCell ref="B59:E59"/>
    <mergeCell ref="B60:E60"/>
    <mergeCell ref="B61:E61"/>
    <mergeCell ref="B62:E62"/>
    <mergeCell ref="B63:E63"/>
    <mergeCell ref="B64:E64"/>
    <mergeCell ref="B65:E65"/>
    <mergeCell ref="B41:E41"/>
    <mergeCell ref="B42:E42"/>
    <mergeCell ref="B43:E43"/>
    <mergeCell ref="B44:E44"/>
    <mergeCell ref="B45:E45"/>
    <mergeCell ref="B46:E46"/>
    <mergeCell ref="B47:E47"/>
    <mergeCell ref="B48:E48"/>
    <mergeCell ref="B49:E49"/>
    <mergeCell ref="B22:E22"/>
    <mergeCell ref="B23:E23"/>
    <mergeCell ref="B24:E24"/>
    <mergeCell ref="B25:E25"/>
    <mergeCell ref="B26:E26"/>
    <mergeCell ref="B27:E27"/>
    <mergeCell ref="B28:E28"/>
    <mergeCell ref="B29:E29"/>
    <mergeCell ref="B30:E30"/>
    <mergeCell ref="P16:Q16"/>
    <mergeCell ref="P18:Q18"/>
    <mergeCell ref="P19:Q19"/>
    <mergeCell ref="P20:Q20"/>
    <mergeCell ref="P21:Q21"/>
    <mergeCell ref="B20:E20"/>
    <mergeCell ref="B21:E21"/>
    <mergeCell ref="N30:O30"/>
    <mergeCell ref="P30:Q30"/>
    <mergeCell ref="N23:O23"/>
    <mergeCell ref="N24:O24"/>
    <mergeCell ref="I20:J20"/>
    <mergeCell ref="I21:J21"/>
    <mergeCell ref="G22:H22"/>
    <mergeCell ref="G23:H23"/>
    <mergeCell ref="I25:J25"/>
    <mergeCell ref="G28:H28"/>
    <mergeCell ref="I28:J28"/>
    <mergeCell ref="D1:E1"/>
    <mergeCell ref="D5:E5"/>
    <mergeCell ref="B13:C13"/>
    <mergeCell ref="G1:Q1"/>
    <mergeCell ref="G3:Q3"/>
    <mergeCell ref="G5:Q5"/>
    <mergeCell ref="I19:J19"/>
    <mergeCell ref="I16:J16"/>
    <mergeCell ref="I18:J18"/>
    <mergeCell ref="G16:H16"/>
    <mergeCell ref="B18:E18"/>
    <mergeCell ref="B19:E19"/>
    <mergeCell ref="N13:O13"/>
    <mergeCell ref="P13:Q13"/>
    <mergeCell ref="P67:Q67"/>
    <mergeCell ref="P14:Q14"/>
    <mergeCell ref="N16:O16"/>
    <mergeCell ref="N18:O18"/>
    <mergeCell ref="N19:O19"/>
    <mergeCell ref="N20:O20"/>
    <mergeCell ref="N21:O21"/>
    <mergeCell ref="N63:O63"/>
    <mergeCell ref="P22:Q22"/>
    <mergeCell ref="P23:Q23"/>
    <mergeCell ref="P62:Q62"/>
    <mergeCell ref="P63:Q63"/>
    <mergeCell ref="P64:Q64"/>
    <mergeCell ref="P65:Q65"/>
    <mergeCell ref="N64:O64"/>
    <mergeCell ref="N65:O65"/>
    <mergeCell ref="N66:O66"/>
    <mergeCell ref="N67:O67"/>
    <mergeCell ref="N14:O14"/>
    <mergeCell ref="P36:Q36"/>
    <mergeCell ref="P24:Q24"/>
    <mergeCell ref="P34:Q34"/>
    <mergeCell ref="P35:Q35"/>
    <mergeCell ref="P31:Q31"/>
    <mergeCell ref="I66:J66"/>
    <mergeCell ref="G65:H65"/>
    <mergeCell ref="G66:H66"/>
    <mergeCell ref="G36:H36"/>
    <mergeCell ref="I36:J36"/>
    <mergeCell ref="I65:J65"/>
    <mergeCell ref="G64:H64"/>
    <mergeCell ref="I64:J64"/>
    <mergeCell ref="P66:Q66"/>
    <mergeCell ref="N58:O58"/>
    <mergeCell ref="N61:O61"/>
    <mergeCell ref="N62:O62"/>
    <mergeCell ref="G62:H62"/>
    <mergeCell ref="G63:H63"/>
    <mergeCell ref="N43:O43"/>
    <mergeCell ref="G59:H59"/>
    <mergeCell ref="I59:J59"/>
    <mergeCell ref="N59:O59"/>
    <mergeCell ref="N51:O51"/>
    <mergeCell ref="I63:J63"/>
    <mergeCell ref="I62:J62"/>
    <mergeCell ref="P43:Q43"/>
    <mergeCell ref="N44:O44"/>
    <mergeCell ref="N50:O50"/>
    <mergeCell ref="I22:J22"/>
    <mergeCell ref="I23:J23"/>
    <mergeCell ref="G38:H38"/>
    <mergeCell ref="G33:H33"/>
    <mergeCell ref="I33:J33"/>
    <mergeCell ref="G58:H58"/>
    <mergeCell ref="I58:J58"/>
    <mergeCell ref="G61:H61"/>
    <mergeCell ref="I61:J61"/>
    <mergeCell ref="G53:H53"/>
    <mergeCell ref="G25:H25"/>
    <mergeCell ref="G31:H31"/>
    <mergeCell ref="I31:J31"/>
    <mergeCell ref="G30:H30"/>
    <mergeCell ref="I30:J30"/>
    <mergeCell ref="G24:H24"/>
    <mergeCell ref="I24:J24"/>
    <mergeCell ref="G32:H32"/>
    <mergeCell ref="I32:J32"/>
    <mergeCell ref="G44:H44"/>
    <mergeCell ref="I44:J44"/>
    <mergeCell ref="I50:J50"/>
    <mergeCell ref="G67:H67"/>
    <mergeCell ref="B16:F16"/>
    <mergeCell ref="G18:H18"/>
    <mergeCell ref="G19:H19"/>
    <mergeCell ref="G20:H20"/>
    <mergeCell ref="G21:H21"/>
    <mergeCell ref="N25:O25"/>
    <mergeCell ref="P25:Q25"/>
    <mergeCell ref="G26:H26"/>
    <mergeCell ref="I26:J26"/>
    <mergeCell ref="N26:O26"/>
    <mergeCell ref="P26:Q26"/>
    <mergeCell ref="G27:H27"/>
    <mergeCell ref="I27:J27"/>
    <mergeCell ref="N27:O27"/>
    <mergeCell ref="P27:Q27"/>
    <mergeCell ref="N28:O28"/>
    <mergeCell ref="P28:Q28"/>
    <mergeCell ref="G29:H29"/>
    <mergeCell ref="I29:J29"/>
    <mergeCell ref="N29:O29"/>
    <mergeCell ref="P29:Q29"/>
    <mergeCell ref="I67:J67"/>
    <mergeCell ref="N22:O22"/>
    <mergeCell ref="P32:Q32"/>
    <mergeCell ref="G37:H37"/>
    <mergeCell ref="I37:J37"/>
    <mergeCell ref="N37:O37"/>
    <mergeCell ref="P37:Q37"/>
    <mergeCell ref="N33:O33"/>
    <mergeCell ref="P33:Q33"/>
    <mergeCell ref="G34:H34"/>
    <mergeCell ref="I34:J34"/>
    <mergeCell ref="N34:O34"/>
    <mergeCell ref="G35:H35"/>
    <mergeCell ref="I35:J35"/>
    <mergeCell ref="N35:O35"/>
    <mergeCell ref="N36:O36"/>
    <mergeCell ref="B31:E31"/>
    <mergeCell ref="B32:E32"/>
    <mergeCell ref="B33:E33"/>
    <mergeCell ref="B34:E34"/>
    <mergeCell ref="B35:E35"/>
    <mergeCell ref="B36:E36"/>
    <mergeCell ref="B37:E37"/>
    <mergeCell ref="I38:J38"/>
    <mergeCell ref="N38:O38"/>
    <mergeCell ref="B38:E38"/>
    <mergeCell ref="N31:O31"/>
    <mergeCell ref="N32:O32"/>
    <mergeCell ref="P50:Q50"/>
    <mergeCell ref="P38:Q38"/>
    <mergeCell ref="G39:H39"/>
    <mergeCell ref="I39:J39"/>
    <mergeCell ref="N39:O39"/>
    <mergeCell ref="P39:Q39"/>
    <mergeCell ref="G40:H40"/>
    <mergeCell ref="I40:J40"/>
    <mergeCell ref="N40:O40"/>
    <mergeCell ref="P40:Q40"/>
    <mergeCell ref="P59:Q59"/>
    <mergeCell ref="G60:H60"/>
    <mergeCell ref="I60:J60"/>
    <mergeCell ref="N60:O60"/>
    <mergeCell ref="P60:Q60"/>
    <mergeCell ref="B39:E39"/>
    <mergeCell ref="B40:E40"/>
    <mergeCell ref="G41:H41"/>
    <mergeCell ref="I41:J41"/>
    <mergeCell ref="N41:O41"/>
    <mergeCell ref="P41:Q41"/>
    <mergeCell ref="G57:H57"/>
    <mergeCell ref="I57:J57"/>
    <mergeCell ref="N57:O57"/>
    <mergeCell ref="P57:Q57"/>
    <mergeCell ref="G42:H42"/>
    <mergeCell ref="I42:J42"/>
    <mergeCell ref="N42:O42"/>
    <mergeCell ref="P42:Q42"/>
    <mergeCell ref="G43:H43"/>
    <mergeCell ref="I43:J43"/>
    <mergeCell ref="B50:E50"/>
    <mergeCell ref="G51:H51"/>
    <mergeCell ref="I51:J51"/>
    <mergeCell ref="P61:Q61"/>
    <mergeCell ref="P44:Q44"/>
    <mergeCell ref="G45:H45"/>
    <mergeCell ref="I45:J45"/>
    <mergeCell ref="N45:O45"/>
    <mergeCell ref="P45:Q45"/>
    <mergeCell ref="G46:H46"/>
    <mergeCell ref="I46:J46"/>
    <mergeCell ref="N46:O46"/>
    <mergeCell ref="P46:Q46"/>
    <mergeCell ref="G47:H47"/>
    <mergeCell ref="I47:J47"/>
    <mergeCell ref="N47:O47"/>
    <mergeCell ref="P47:Q47"/>
    <mergeCell ref="G48:H48"/>
    <mergeCell ref="I48:J48"/>
    <mergeCell ref="N48:O48"/>
    <mergeCell ref="P48:Q48"/>
    <mergeCell ref="G49:H49"/>
    <mergeCell ref="I49:J49"/>
    <mergeCell ref="N49:O49"/>
    <mergeCell ref="P49:Q49"/>
    <mergeCell ref="G50:H50"/>
    <mergeCell ref="P58:Q58"/>
    <mergeCell ref="P51:Q51"/>
    <mergeCell ref="G52:H52"/>
    <mergeCell ref="I52:J52"/>
    <mergeCell ref="N52:O52"/>
    <mergeCell ref="P52:Q52"/>
    <mergeCell ref="B51:E51"/>
    <mergeCell ref="B52:E52"/>
    <mergeCell ref="B53:E53"/>
    <mergeCell ref="B54:E54"/>
    <mergeCell ref="B55:E55"/>
    <mergeCell ref="B56:E56"/>
    <mergeCell ref="I53:J53"/>
    <mergeCell ref="N53:O53"/>
    <mergeCell ref="P53:Q53"/>
    <mergeCell ref="G56:H56"/>
    <mergeCell ref="I56:J56"/>
    <mergeCell ref="N56:O56"/>
    <mergeCell ref="P56:Q56"/>
    <mergeCell ref="G54:H54"/>
    <mergeCell ref="I54:J54"/>
    <mergeCell ref="N54:O54"/>
    <mergeCell ref="P54:Q54"/>
    <mergeCell ref="G55:H55"/>
    <mergeCell ref="I55:J55"/>
    <mergeCell ref="N55:O55"/>
    <mergeCell ref="P55:Q55"/>
  </mergeCells>
  <conditionalFormatting sqref="G18:G67 M18:N67 B18:B67">
    <cfRule type="expression" dxfId="274" priority="56">
      <formula>$X18="ERROR"</formula>
    </cfRule>
  </conditionalFormatting>
  <conditionalFormatting sqref="G18:Q67">
    <cfRule type="expression" dxfId="273" priority="2">
      <formula>$B18=""</formula>
    </cfRule>
  </conditionalFormatting>
  <conditionalFormatting sqref="I18:J67">
    <cfRule type="expression" dxfId="272" priority="7">
      <formula>AND($B18&lt;&gt;"",$I18="")</formula>
    </cfRule>
    <cfRule type="expression" dxfId="271" priority="10">
      <formula>AND($B18&lt;&gt;"",$I18&lt;&gt;"")</formula>
    </cfRule>
  </conditionalFormatting>
  <conditionalFormatting sqref="K18:K67">
    <cfRule type="expression" dxfId="270" priority="6">
      <formula>AND($B18&lt;&gt;"",$K18="")</formula>
    </cfRule>
    <cfRule type="expression" dxfId="269" priority="9">
      <formula>AND($B18&lt;&gt;"",$K18&lt;&gt;"")</formula>
    </cfRule>
  </conditionalFormatting>
  <conditionalFormatting sqref="M18:N67">
    <cfRule type="cellIs" dxfId="268" priority="63" operator="equal">
      <formula>"Error"</formula>
    </cfRule>
  </conditionalFormatting>
  <conditionalFormatting sqref="N14">
    <cfRule type="cellIs" dxfId="267" priority="57" operator="equal">
      <formula>"Compliant"</formula>
    </cfRule>
    <cfRule type="cellIs" dxfId="266" priority="58" operator="equal">
      <formula>"Not Compliant"</formula>
    </cfRule>
  </conditionalFormatting>
  <conditionalFormatting sqref="N18:N67">
    <cfRule type="cellIs" dxfId="265" priority="59" operator="equal">
      <formula>"Over Allowed"</formula>
    </cfRule>
  </conditionalFormatting>
  <conditionalFormatting sqref="N18:O67">
    <cfRule type="cellIs" dxfId="264" priority="1" operator="equal">
      <formula>"Pass"</formula>
    </cfRule>
  </conditionalFormatting>
  <conditionalFormatting sqref="P14">
    <cfRule type="cellIs" dxfId="263" priority="60" operator="equal">
      <formula>"Compliant"</formula>
    </cfRule>
    <cfRule type="cellIs" dxfId="262" priority="61" operator="equal">
      <formula>"Not Compliant"</formula>
    </cfRule>
  </conditionalFormatting>
  <conditionalFormatting sqref="P18:P67">
    <cfRule type="expression" dxfId="261" priority="62">
      <formula>$U18=1</formula>
    </cfRule>
  </conditionalFormatting>
  <conditionalFormatting sqref="P18:Q67">
    <cfRule type="expression" dxfId="260" priority="5">
      <formula>AND($B18&lt;&gt;"",$P18="")</formula>
    </cfRule>
    <cfRule type="expression" dxfId="259" priority="8">
      <formula>AND($B18&lt;&gt;"",$P18&lt;&gt;"")</formula>
    </cfRule>
  </conditionalFormatting>
  <conditionalFormatting sqref="R17:R67">
    <cfRule type="notContainsBlanks" dxfId="258" priority="64">
      <formula>LEN(TRIM(R17))&gt;0</formula>
    </cfRule>
  </conditionalFormatting>
  <dataValidations count="3">
    <dataValidation type="list" allowBlank="1" showInputMessage="1" showErrorMessage="1" sqref="B18:E67" xr:uid="{00000000-0002-0000-0900-000000000000}">
      <formula1>_Decorative_List</formula1>
    </dataValidation>
    <dataValidation type="list" allowBlank="1" showInputMessage="1" showErrorMessage="1" sqref="I18:J67" xr:uid="{00000000-0002-0000-0900-000001000000}">
      <formula1>_FixtureList</formula1>
    </dataValidation>
    <dataValidation type="list" allowBlank="1" showInputMessage="1" showErrorMessage="1" sqref="P18:Q67" xr:uid="{00000000-0002-0000-0900-000002000000}">
      <formula1>"Yes, NA"</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tabColor theme="8" tint="-0.249977111117893"/>
  </sheetPr>
  <dimension ref="A1:AU94"/>
  <sheetViews>
    <sheetView showGridLines="0" showRowColHeaders="0" zoomScaleNormal="100" workbookViewId="0">
      <pane xSplit="6" ySplit="16" topLeftCell="G17" activePane="bottomRight" state="frozen"/>
      <selection pane="topRight" activeCell="G1" sqref="G1"/>
      <selection pane="bottomLeft" activeCell="A17" sqref="A17"/>
      <selection pane="bottomRight" activeCell="B20" sqref="B20:F20"/>
    </sheetView>
  </sheetViews>
  <sheetFormatPr defaultRowHeight="12.5" x14ac:dyDescent="0.25"/>
  <cols>
    <col min="1" max="1" width="2.7265625" customWidth="1"/>
    <col min="2" max="5" width="11.54296875" customWidth="1"/>
    <col min="6" max="6" width="2.7265625" customWidth="1"/>
    <col min="7" max="7" width="2.54296875" customWidth="1"/>
    <col min="8" max="9" width="5.7265625" customWidth="1"/>
    <col min="10" max="11" width="15.7265625" customWidth="1"/>
    <col min="12" max="16" width="10.7265625" customWidth="1"/>
    <col min="17" max="18" width="5.7265625" customWidth="1"/>
    <col min="21" max="22" width="5.7265625" customWidth="1"/>
    <col min="26" max="41" width="0" hidden="1" customWidth="1"/>
    <col min="42" max="46" width="9.1796875" hidden="1" customWidth="1"/>
    <col min="47" max="47" width="0" hidden="1" customWidth="1"/>
  </cols>
  <sheetData>
    <row r="1" spans="2:47" ht="15" customHeight="1" x14ac:dyDescent="0.3">
      <c r="D1" s="1498" t="s">
        <v>0</v>
      </c>
      <c r="E1" s="1498"/>
      <c r="F1" s="1338"/>
      <c r="H1" s="1472" t="str">
        <f>'Main Compliance Page'!K1</f>
        <v>ASHRAE/IES 90.1-2019 Lighting Compliance Documentation (v4.0)</v>
      </c>
      <c r="I1" s="1472"/>
      <c r="J1" s="1472"/>
      <c r="K1" s="1472"/>
      <c r="L1" s="1472"/>
      <c r="M1" s="1472"/>
      <c r="N1" s="1472"/>
      <c r="O1" s="1472"/>
      <c r="P1" s="1472"/>
      <c r="Q1" s="1472"/>
      <c r="R1" s="1472"/>
      <c r="S1" s="1472"/>
      <c r="T1" s="1472"/>
      <c r="U1" s="1472"/>
      <c r="V1" s="1472"/>
    </row>
    <row r="2" spans="2:47" ht="5.15" customHeight="1" x14ac:dyDescent="0.3">
      <c r="D2" s="946"/>
      <c r="E2" s="946"/>
      <c r="F2" s="1338"/>
      <c r="H2" s="947"/>
      <c r="I2" s="947"/>
      <c r="J2" s="947"/>
      <c r="K2" s="947"/>
      <c r="L2" s="947"/>
      <c r="M2" s="947"/>
      <c r="N2" s="1020"/>
      <c r="O2" s="947"/>
      <c r="P2" s="1020"/>
      <c r="Q2" s="947"/>
      <c r="R2" s="947"/>
      <c r="S2" s="947"/>
      <c r="T2" s="947"/>
      <c r="U2" s="947"/>
      <c r="V2" s="947"/>
    </row>
    <row r="3" spans="2:47" ht="15" customHeight="1" x14ac:dyDescent="0.3">
      <c r="H3" s="1472" t="s">
        <v>141</v>
      </c>
      <c r="I3" s="1472"/>
      <c r="J3" s="1472"/>
      <c r="K3" s="1472"/>
      <c r="L3" s="1472"/>
      <c r="M3" s="1472"/>
      <c r="N3" s="1472"/>
      <c r="O3" s="1472"/>
      <c r="P3" s="1472"/>
      <c r="Q3" s="1472"/>
      <c r="R3" s="1472"/>
      <c r="S3" s="1472"/>
      <c r="T3" s="1472"/>
      <c r="U3" s="1472"/>
      <c r="V3" s="1472"/>
    </row>
    <row r="4" spans="2:47" ht="5.15" customHeight="1" x14ac:dyDescent="0.3">
      <c r="H4" s="947"/>
      <c r="I4" s="947"/>
      <c r="J4" s="947"/>
      <c r="K4" s="947"/>
      <c r="L4" s="947"/>
      <c r="M4" s="947"/>
      <c r="N4" s="1020"/>
      <c r="O4" s="947"/>
      <c r="P4" s="1020"/>
      <c r="Q4" s="947"/>
      <c r="R4" s="947"/>
      <c r="S4" s="947"/>
      <c r="T4" s="947"/>
      <c r="U4" s="947"/>
      <c r="V4" s="947"/>
    </row>
    <row r="5" spans="2:47" ht="15" customHeight="1" x14ac:dyDescent="0.3">
      <c r="D5" s="1635"/>
      <c r="E5" s="1635"/>
      <c r="F5" s="1339"/>
      <c r="H5" s="1472" t="s">
        <v>186</v>
      </c>
      <c r="I5" s="1472"/>
      <c r="J5" s="1472"/>
      <c r="K5" s="1472"/>
      <c r="L5" s="1472"/>
      <c r="M5" s="1472"/>
      <c r="N5" s="1472"/>
      <c r="O5" s="1472"/>
      <c r="P5" s="1472"/>
      <c r="Q5" s="1472"/>
      <c r="R5" s="1472"/>
      <c r="S5" s="1472"/>
      <c r="T5" s="1472"/>
      <c r="U5" s="1472"/>
      <c r="V5" s="1472"/>
    </row>
    <row r="6" spans="2:47" ht="5.15" customHeight="1" x14ac:dyDescent="0.3">
      <c r="D6" s="951"/>
      <c r="E6" s="951"/>
      <c r="F6" s="1339"/>
      <c r="H6" s="947"/>
      <c r="I6" s="947"/>
      <c r="J6" s="947"/>
      <c r="K6" s="947"/>
      <c r="L6" s="947"/>
      <c r="M6" s="947"/>
      <c r="N6" s="1020"/>
      <c r="O6" s="947"/>
      <c r="P6" s="1020"/>
      <c r="Q6" s="947"/>
      <c r="R6" s="947"/>
      <c r="S6" s="947"/>
      <c r="T6" s="947"/>
      <c r="U6" s="947"/>
      <c r="V6" s="947"/>
    </row>
    <row r="7" spans="2:47" ht="15" customHeight="1" x14ac:dyDescent="0.25">
      <c r="H7" s="249"/>
      <c r="I7" s="249"/>
      <c r="J7" s="249"/>
    </row>
    <row r="8" spans="2:47" ht="5.15" customHeight="1" x14ac:dyDescent="0.25">
      <c r="H8" s="249"/>
      <c r="I8" s="249"/>
      <c r="J8" s="249"/>
    </row>
    <row r="9" spans="2:47" ht="15" customHeight="1" x14ac:dyDescent="0.25"/>
    <row r="10" spans="2:47" ht="5.15" customHeight="1" x14ac:dyDescent="0.25"/>
    <row r="11" spans="2:47" ht="15" customHeight="1" x14ac:dyDescent="0.25"/>
    <row r="12" spans="2:47" ht="5.15" customHeight="1" x14ac:dyDescent="0.25"/>
    <row r="13" spans="2:47" ht="15" customHeight="1" thickBot="1" x14ac:dyDescent="0.35">
      <c r="B13" s="1690" t="str">
        <f>'SpxSp (step-a)'!B13:C13</f>
        <v>90.1-2019</v>
      </c>
      <c r="C13" s="1690"/>
      <c r="O13" s="5" t="s">
        <v>131</v>
      </c>
      <c r="P13" s="5" t="s">
        <v>1197</v>
      </c>
      <c r="Q13" s="1719" t="s">
        <v>177</v>
      </c>
      <c r="R13" s="1719"/>
      <c r="S13" s="1719" t="s">
        <v>178</v>
      </c>
      <c r="T13" s="1719"/>
    </row>
    <row r="14" spans="2:47" s="43" customFormat="1" ht="17.149999999999999" customHeight="1" thickBot="1" x14ac:dyDescent="0.3">
      <c r="G14" s="224"/>
      <c r="H14" s="305" t="s">
        <v>187</v>
      </c>
      <c r="I14" s="224"/>
      <c r="J14" s="224"/>
      <c r="M14" s="247" t="s">
        <v>124</v>
      </c>
      <c r="N14" s="247"/>
      <c r="O14" s="248">
        <f>SUM(O18:O67)</f>
        <v>0</v>
      </c>
      <c r="P14" s="1072">
        <f>'SpxSp (step-a)'!V17</f>
        <v>0</v>
      </c>
      <c r="Q14" s="1710" t="str">
        <f>IF(AS69=0,"Compliant","ERROR")</f>
        <v>Compliant</v>
      </c>
      <c r="R14" s="1710"/>
      <c r="S14" s="1710" t="str">
        <f>IF(AQ69=0,"Compliant","Not Compliant")</f>
        <v>Compliant</v>
      </c>
      <c r="T14" s="1711"/>
      <c r="U14" s="1733"/>
      <c r="V14" s="1733"/>
      <c r="AC14"/>
      <c r="AD14"/>
      <c r="AE14"/>
      <c r="AF14"/>
      <c r="AG14"/>
      <c r="AH14" s="730" t="s">
        <v>1059</v>
      </c>
      <c r="AI14" s="42" t="s">
        <v>1060</v>
      </c>
      <c r="AJ14" s="531" t="s">
        <v>1100</v>
      </c>
    </row>
    <row r="15" spans="2:47" s="42" customFormat="1" ht="5.15" customHeight="1" thickBot="1" x14ac:dyDescent="0.3">
      <c r="E15" s="74"/>
      <c r="F15" s="74"/>
      <c r="G15" s="329"/>
      <c r="H15" s="329"/>
      <c r="I15" s="329"/>
      <c r="J15" s="329"/>
      <c r="AC15"/>
      <c r="AD15"/>
      <c r="AE15"/>
      <c r="AF15"/>
      <c r="AG15"/>
      <c r="AH15" s="48"/>
      <c r="AI15" s="48"/>
      <c r="AJ15" s="48"/>
    </row>
    <row r="16" spans="2:47" s="48" customFormat="1" ht="31.5" x14ac:dyDescent="0.25">
      <c r="B16" s="1740" t="s">
        <v>180</v>
      </c>
      <c r="C16" s="1741"/>
      <c r="D16" s="1741"/>
      <c r="E16" s="1741"/>
      <c r="F16" s="1741"/>
      <c r="G16" s="1742"/>
      <c r="H16" s="1734" t="s">
        <v>1320</v>
      </c>
      <c r="I16" s="1735"/>
      <c r="J16" s="1736"/>
      <c r="K16" s="1737"/>
      <c r="L16" s="1095" t="s">
        <v>182</v>
      </c>
      <c r="M16" s="1095" t="s">
        <v>183</v>
      </c>
      <c r="N16" s="1095" t="s">
        <v>164</v>
      </c>
      <c r="O16" s="1095" t="s">
        <v>131</v>
      </c>
      <c r="P16" s="1096" t="s">
        <v>1196</v>
      </c>
      <c r="Q16" s="1734" t="s">
        <v>177</v>
      </c>
      <c r="R16" s="1735"/>
      <c r="S16" s="1731" t="s">
        <v>184</v>
      </c>
      <c r="T16" s="1731"/>
      <c r="U16" s="1731" t="s">
        <v>188</v>
      </c>
      <c r="V16" s="1732"/>
      <c r="W16" s="128"/>
      <c r="X16" s="128"/>
      <c r="Y16" s="128"/>
      <c r="Z16" s="128"/>
      <c r="AA16" s="128"/>
      <c r="AB16" s="128"/>
      <c r="AD16" s="1037" t="str">
        <f>VLOOKUP(COLUMN(),AH18:AI94,2,FALSE)</f>
        <v>AD</v>
      </c>
      <c r="AE16"/>
      <c r="AF16"/>
      <c r="AG16"/>
      <c r="AK16" s="128"/>
      <c r="AL16" s="128"/>
      <c r="AM16" s="128"/>
      <c r="AN16" s="128"/>
      <c r="AO16" s="128"/>
      <c r="AP16" s="128"/>
      <c r="AQ16" s="121" t="s">
        <v>185</v>
      </c>
      <c r="AR16" s="1068"/>
      <c r="AS16" s="1068"/>
      <c r="AT16" s="1068"/>
      <c r="AU16" s="1068"/>
    </row>
    <row r="17" spans="1:47" s="1059" customFormat="1" ht="1" customHeight="1" x14ac:dyDescent="0.25">
      <c r="B17" s="1097"/>
      <c r="C17" s="1071"/>
      <c r="D17" s="1071"/>
      <c r="E17" s="1071"/>
      <c r="F17" s="1071"/>
      <c r="G17" s="1744"/>
      <c r="H17" s="1744"/>
      <c r="I17" s="1744"/>
      <c r="J17" s="1744"/>
      <c r="K17" s="1744"/>
      <c r="L17" s="1744"/>
      <c r="M17" s="1744"/>
      <c r="N17" s="1744"/>
      <c r="O17" s="1744"/>
      <c r="P17" s="1744"/>
      <c r="Q17" s="1744"/>
      <c r="R17" s="1744"/>
      <c r="S17" s="1744"/>
      <c r="T17" s="1744"/>
      <c r="U17" s="1744"/>
      <c r="V17" s="1745"/>
      <c r="W17" s="128"/>
      <c r="X17" s="128"/>
      <c r="Y17" s="128"/>
      <c r="Z17" s="128"/>
      <c r="AA17" s="128"/>
      <c r="AB17" s="128"/>
      <c r="AD17" s="14"/>
      <c r="AE17" s="14"/>
      <c r="AF17" s="14"/>
      <c r="AG17" s="14"/>
      <c r="AH17" s="737">
        <v>1</v>
      </c>
      <c r="AI17" s="737" t="s">
        <v>1039</v>
      </c>
      <c r="AJ17" s="730">
        <f>ROW()</f>
        <v>17</v>
      </c>
      <c r="AK17" s="128"/>
      <c r="AL17" s="128"/>
      <c r="AM17" s="128"/>
      <c r="AN17" s="128"/>
      <c r="AO17" s="128"/>
      <c r="AP17" s="128"/>
      <c r="AQ17" s="121"/>
      <c r="AR17" s="1069"/>
      <c r="AS17" s="1069"/>
      <c r="AT17" s="1069"/>
      <c r="AU17" s="1069"/>
    </row>
    <row r="18" spans="1:47" s="43" customFormat="1" ht="13" customHeight="1" x14ac:dyDescent="0.25">
      <c r="A18" s="5">
        <v>1</v>
      </c>
      <c r="B18" s="1670"/>
      <c r="C18" s="1746"/>
      <c r="D18" s="1746"/>
      <c r="E18" s="1746"/>
      <c r="F18" s="1746"/>
      <c r="G18" s="1098"/>
      <c r="H18" s="1697" t="str">
        <f>IF(B18="","",VLOOKUP(B18,'SpxSp (step-a)'!B$22:V$71,19,FALSE))</f>
        <v/>
      </c>
      <c r="I18" s="1725"/>
      <c r="J18" s="1693"/>
      <c r="K18" s="1726"/>
      <c r="L18" s="1099"/>
      <c r="M18" s="799" t="str">
        <f t="shared" ref="M18:M67" si="0">IF(J18&lt;&gt;"",VLOOKUP(J18,_Luminaire_Schedule2,2,FALSE)," ")</f>
        <v xml:space="preserve"> </v>
      </c>
      <c r="N18" s="799" t="str">
        <f>IFERROR(VLOOKUP(B18,'SpxSp (step-a)'!B$22:V$71,20,FALSE),"")</f>
        <v/>
      </c>
      <c r="O18" s="795" t="str">
        <f t="shared" ref="O18:O49" si="1">IF(B18="","",IF(AX18="ERROR","ERROR",IF(AP18=0,"",L18*M18)))</f>
        <v/>
      </c>
      <c r="P18" s="1076" t="str">
        <f t="shared" ref="P18:P49" si="2">IFERROR(IF(B18="","",IF(O18&gt;N18,O18-N18,0)),0)</f>
        <v/>
      </c>
      <c r="Q18" s="1727" t="str">
        <f t="shared" ref="Q18:Q49" si="3">IF(B18="","",IF(O18="","",IF(U18&lt;0,"Fail","Pass")))</f>
        <v/>
      </c>
      <c r="R18" s="1728"/>
      <c r="S18" s="1693"/>
      <c r="T18" s="1696"/>
      <c r="U18" s="1723" t="str">
        <f>IF(B18&lt;&gt;"",P14-P18,"")</f>
        <v/>
      </c>
      <c r="V18" s="1724"/>
      <c r="W18" s="123"/>
      <c r="X18" s="123"/>
      <c r="Y18" s="123"/>
      <c r="Z18" s="123"/>
      <c r="AA18" s="123"/>
      <c r="AB18" s="123"/>
      <c r="AC18" s="1102" t="str">
        <f t="shared" ref="AC18:AC49" si="4">IF(B18="","",IFERROR(J18,""))</f>
        <v/>
      </c>
      <c r="AD18" s="700" t="str">
        <f t="shared" ref="AD18:AD49" si="5">IF(B18="","",CONCATENATE("(",L18,") ",AC18," @ ",M18," watts each (",H18,")",CHAR(10)))</f>
        <v/>
      </c>
      <c r="AE18"/>
      <c r="AF18"/>
      <c r="AG18"/>
      <c r="AH18" s="737">
        <v>2</v>
      </c>
      <c r="AI18" s="737" t="s">
        <v>1040</v>
      </c>
      <c r="AJ18" s="730">
        <f>ROW()</f>
        <v>18</v>
      </c>
      <c r="AK18" s="123"/>
      <c r="AL18" s="123"/>
      <c r="AM18" s="123"/>
      <c r="AN18" s="123"/>
      <c r="AO18" s="123"/>
      <c r="AP18" s="236">
        <f t="shared" ref="AP18:AP67" si="6">IFERROR(L18*M18,0)</f>
        <v>0</v>
      </c>
      <c r="AQ18" s="121">
        <f t="shared" ref="AQ18:AQ49" si="7">IF(B18="",0,IF(S18="Yes",0,1))</f>
        <v>0</v>
      </c>
      <c r="AS18" s="730">
        <f>IF(Q18="Fail",1,0)</f>
        <v>0</v>
      </c>
      <c r="AT18" s="730" t="e">
        <f>VLOOKUP(B18,'SpxSp (step-a)'!AZ$22:BC$71,4,FALSE)</f>
        <v>#N/A</v>
      </c>
    </row>
    <row r="19" spans="1:47" s="43" customFormat="1" ht="13" customHeight="1" x14ac:dyDescent="0.25">
      <c r="A19" s="5">
        <v>2</v>
      </c>
      <c r="B19" s="1670"/>
      <c r="C19" s="1746"/>
      <c r="D19" s="1746"/>
      <c r="E19" s="1746"/>
      <c r="F19" s="1746"/>
      <c r="G19" s="1098"/>
      <c r="H19" s="1697" t="str">
        <f>IF(B19="","",VLOOKUP(B19,'SpxSp (step-a)'!B$22:V$71,19,FALSE))</f>
        <v/>
      </c>
      <c r="I19" s="1725"/>
      <c r="J19" s="1693"/>
      <c r="K19" s="1726"/>
      <c r="L19" s="1099"/>
      <c r="M19" s="799" t="str">
        <f t="shared" si="0"/>
        <v xml:space="preserve"> </v>
      </c>
      <c r="N19" s="799" t="str">
        <f>IFERROR(VLOOKUP(B19,'SpxSp (step-a)'!B$22:V$71,20,FALSE),"")</f>
        <v/>
      </c>
      <c r="O19" s="795" t="str">
        <f t="shared" si="1"/>
        <v/>
      </c>
      <c r="P19" s="1076" t="str">
        <f t="shared" si="2"/>
        <v/>
      </c>
      <c r="Q19" s="1727" t="str">
        <f t="shared" si="3"/>
        <v/>
      </c>
      <c r="R19" s="1728"/>
      <c r="S19" s="1693"/>
      <c r="T19" s="1696"/>
      <c r="U19" s="1723" t="str">
        <f t="shared" ref="U19:U50" si="8">IF(B19&lt;&gt;"",U18-P19,"")</f>
        <v/>
      </c>
      <c r="V19" s="1724"/>
      <c r="W19" s="123"/>
      <c r="X19" s="123"/>
      <c r="Y19" s="123"/>
      <c r="Z19" s="123"/>
      <c r="AA19" s="123"/>
      <c r="AB19" s="123"/>
      <c r="AC19" s="1102" t="str">
        <f t="shared" si="4"/>
        <v/>
      </c>
      <c r="AD19" s="700" t="str">
        <f t="shared" si="5"/>
        <v/>
      </c>
      <c r="AE19"/>
      <c r="AF19"/>
      <c r="AG19"/>
      <c r="AH19" s="737">
        <v>3</v>
      </c>
      <c r="AI19" s="737" t="s">
        <v>1041</v>
      </c>
      <c r="AJ19" s="730">
        <f>ROW()</f>
        <v>19</v>
      </c>
      <c r="AK19" s="123"/>
      <c r="AL19" s="123"/>
      <c r="AM19" s="123"/>
      <c r="AN19" s="123"/>
      <c r="AO19" s="123"/>
      <c r="AP19" s="236">
        <f t="shared" si="6"/>
        <v>0</v>
      </c>
      <c r="AQ19" s="121">
        <f t="shared" si="7"/>
        <v>0</v>
      </c>
      <c r="AS19" s="730">
        <f t="shared" ref="AS19:AS67" si="9">IF(Q19="Fail",1,0)</f>
        <v>0</v>
      </c>
      <c r="AT19" s="730" t="e">
        <f>VLOOKUP(B19,'SpxSp (step-a)'!AZ$22:BC$71,4,FALSE)</f>
        <v>#N/A</v>
      </c>
    </row>
    <row r="20" spans="1:47" s="43" customFormat="1" ht="13" customHeight="1" x14ac:dyDescent="0.25">
      <c r="A20" s="5">
        <v>3</v>
      </c>
      <c r="B20" s="1670"/>
      <c r="C20" s="1746"/>
      <c r="D20" s="1746"/>
      <c r="E20" s="1746"/>
      <c r="F20" s="1746"/>
      <c r="G20" s="1098"/>
      <c r="H20" s="1697" t="str">
        <f>IF(B20="","",VLOOKUP(B20,'SpxSp (step-a)'!B$22:V$71,19,FALSE))</f>
        <v/>
      </c>
      <c r="I20" s="1725"/>
      <c r="J20" s="1693"/>
      <c r="K20" s="1726"/>
      <c r="L20" s="1099"/>
      <c r="M20" s="799" t="str">
        <f t="shared" si="0"/>
        <v xml:space="preserve"> </v>
      </c>
      <c r="N20" s="799" t="str">
        <f>IFERROR(VLOOKUP(B20,'SpxSp (step-a)'!B$22:V$71,20,FALSE),"")</f>
        <v/>
      </c>
      <c r="O20" s="795" t="str">
        <f t="shared" si="1"/>
        <v/>
      </c>
      <c r="P20" s="1076" t="str">
        <f t="shared" si="2"/>
        <v/>
      </c>
      <c r="Q20" s="1727" t="str">
        <f t="shared" si="3"/>
        <v/>
      </c>
      <c r="R20" s="1728"/>
      <c r="S20" s="1693"/>
      <c r="T20" s="1696"/>
      <c r="U20" s="1723" t="str">
        <f t="shared" si="8"/>
        <v/>
      </c>
      <c r="V20" s="1724"/>
      <c r="W20" s="123"/>
      <c r="X20" s="123"/>
      <c r="Y20" s="123"/>
      <c r="Z20" s="123"/>
      <c r="AA20" s="123"/>
      <c r="AB20" s="123"/>
      <c r="AC20" s="1102" t="str">
        <f t="shared" si="4"/>
        <v/>
      </c>
      <c r="AD20" s="700" t="str">
        <f t="shared" si="5"/>
        <v/>
      </c>
      <c r="AE20"/>
      <c r="AF20"/>
      <c r="AG20"/>
      <c r="AH20" s="737">
        <v>4</v>
      </c>
      <c r="AI20" s="737" t="s">
        <v>1042</v>
      </c>
      <c r="AJ20" s="730">
        <f>ROW()</f>
        <v>20</v>
      </c>
      <c r="AK20" s="123"/>
      <c r="AL20" s="123"/>
      <c r="AM20" s="123"/>
      <c r="AN20" s="123"/>
      <c r="AO20" s="123"/>
      <c r="AP20" s="236">
        <f t="shared" si="6"/>
        <v>0</v>
      </c>
      <c r="AQ20" s="121">
        <f t="shared" si="7"/>
        <v>0</v>
      </c>
      <c r="AS20" s="730">
        <f t="shared" si="9"/>
        <v>0</v>
      </c>
      <c r="AT20" s="730" t="e">
        <f>VLOOKUP(B20,'SpxSp (step-a)'!AZ$22:BC$71,4,FALSE)</f>
        <v>#N/A</v>
      </c>
    </row>
    <row r="21" spans="1:47" s="43" customFormat="1" ht="13" customHeight="1" x14ac:dyDescent="0.25">
      <c r="A21" s="5">
        <v>4</v>
      </c>
      <c r="B21" s="1670"/>
      <c r="C21" s="1746"/>
      <c r="D21" s="1746"/>
      <c r="E21" s="1746"/>
      <c r="F21" s="1746"/>
      <c r="G21" s="1098"/>
      <c r="H21" s="1697" t="str">
        <f>IF(B21="","",VLOOKUP(B21,'SpxSp (step-a)'!B$22:V$71,19,FALSE))</f>
        <v/>
      </c>
      <c r="I21" s="1725"/>
      <c r="J21" s="1693"/>
      <c r="K21" s="1726"/>
      <c r="L21" s="1099"/>
      <c r="M21" s="799" t="str">
        <f t="shared" si="0"/>
        <v xml:space="preserve"> </v>
      </c>
      <c r="N21" s="799" t="str">
        <f>IFERROR(VLOOKUP(B21,'SpxSp (step-a)'!B$22:V$71,20,FALSE),"")</f>
        <v/>
      </c>
      <c r="O21" s="795" t="str">
        <f t="shared" si="1"/>
        <v/>
      </c>
      <c r="P21" s="1076" t="str">
        <f t="shared" si="2"/>
        <v/>
      </c>
      <c r="Q21" s="1727" t="str">
        <f t="shared" si="3"/>
        <v/>
      </c>
      <c r="R21" s="1728"/>
      <c r="S21" s="1693"/>
      <c r="T21" s="1696"/>
      <c r="U21" s="1723" t="str">
        <f t="shared" si="8"/>
        <v/>
      </c>
      <c r="V21" s="1724"/>
      <c r="W21" s="123"/>
      <c r="X21" s="123"/>
      <c r="Y21" s="123"/>
      <c r="Z21" s="123"/>
      <c r="AA21" s="123"/>
      <c r="AB21" s="123"/>
      <c r="AC21" s="1102" t="str">
        <f t="shared" si="4"/>
        <v/>
      </c>
      <c r="AD21" s="700" t="str">
        <f t="shared" si="5"/>
        <v/>
      </c>
      <c r="AE21"/>
      <c r="AF21"/>
      <c r="AG21"/>
      <c r="AH21" s="737">
        <v>5</v>
      </c>
      <c r="AI21" s="737" t="s">
        <v>1043</v>
      </c>
      <c r="AJ21" s="730">
        <f>ROW()</f>
        <v>21</v>
      </c>
      <c r="AK21" s="123"/>
      <c r="AL21" s="123"/>
      <c r="AM21" s="123"/>
      <c r="AN21" s="123"/>
      <c r="AO21" s="123"/>
      <c r="AP21" s="236">
        <f t="shared" si="6"/>
        <v>0</v>
      </c>
      <c r="AQ21" s="121">
        <f t="shared" si="7"/>
        <v>0</v>
      </c>
      <c r="AS21" s="730">
        <f t="shared" si="9"/>
        <v>0</v>
      </c>
      <c r="AT21" s="730" t="e">
        <f>VLOOKUP(B21,'SpxSp (step-a)'!AZ$22:BC$71,4,FALSE)</f>
        <v>#N/A</v>
      </c>
    </row>
    <row r="22" spans="1:47" s="43" customFormat="1" ht="13" customHeight="1" x14ac:dyDescent="0.25">
      <c r="A22" s="5">
        <v>5</v>
      </c>
      <c r="B22" s="1670"/>
      <c r="C22" s="1746"/>
      <c r="D22" s="1746"/>
      <c r="E22" s="1746"/>
      <c r="F22" s="1746"/>
      <c r="G22" s="1098"/>
      <c r="H22" s="1697" t="str">
        <f>IF(B22="","",VLOOKUP(B22,'SpxSp (step-a)'!B$22:V$71,19,FALSE))</f>
        <v/>
      </c>
      <c r="I22" s="1725"/>
      <c r="J22" s="1693"/>
      <c r="K22" s="1726"/>
      <c r="L22" s="1099"/>
      <c r="M22" s="799" t="str">
        <f t="shared" si="0"/>
        <v xml:space="preserve"> </v>
      </c>
      <c r="N22" s="799" t="str">
        <f>IFERROR(VLOOKUP(B22,'SpxSp (step-a)'!B$22:V$71,20,FALSE),"")</f>
        <v/>
      </c>
      <c r="O22" s="795" t="str">
        <f t="shared" si="1"/>
        <v/>
      </c>
      <c r="P22" s="1076" t="str">
        <f t="shared" si="2"/>
        <v/>
      </c>
      <c r="Q22" s="1727" t="str">
        <f t="shared" si="3"/>
        <v/>
      </c>
      <c r="R22" s="1728"/>
      <c r="S22" s="1693"/>
      <c r="T22" s="1696"/>
      <c r="U22" s="1723" t="str">
        <f t="shared" si="8"/>
        <v/>
      </c>
      <c r="V22" s="1724"/>
      <c r="W22" s="123"/>
      <c r="X22" s="123"/>
      <c r="Y22" s="123"/>
      <c r="Z22" s="123"/>
      <c r="AA22" s="123"/>
      <c r="AB22" s="123"/>
      <c r="AC22" s="1102" t="str">
        <f t="shared" si="4"/>
        <v/>
      </c>
      <c r="AD22" s="700" t="str">
        <f t="shared" si="5"/>
        <v/>
      </c>
      <c r="AE22"/>
      <c r="AF22"/>
      <c r="AG22"/>
      <c r="AH22" s="737">
        <v>6</v>
      </c>
      <c r="AI22" s="737" t="s">
        <v>1044</v>
      </c>
      <c r="AJ22" s="730">
        <f>ROW()</f>
        <v>22</v>
      </c>
      <c r="AK22" s="123"/>
      <c r="AL22" s="123"/>
      <c r="AM22" s="123"/>
      <c r="AN22" s="123"/>
      <c r="AO22" s="123"/>
      <c r="AP22" s="236">
        <f t="shared" si="6"/>
        <v>0</v>
      </c>
      <c r="AQ22" s="121">
        <f t="shared" si="7"/>
        <v>0</v>
      </c>
      <c r="AS22" s="730">
        <f t="shared" si="9"/>
        <v>0</v>
      </c>
      <c r="AT22" s="730" t="e">
        <f>VLOOKUP(B22,'SpxSp (step-a)'!AZ$22:BC$71,4,FALSE)</f>
        <v>#N/A</v>
      </c>
    </row>
    <row r="23" spans="1:47" s="43" customFormat="1" ht="13" customHeight="1" x14ac:dyDescent="0.25">
      <c r="A23" s="5">
        <v>6</v>
      </c>
      <c r="B23" s="1670"/>
      <c r="C23" s="1746"/>
      <c r="D23" s="1746"/>
      <c r="E23" s="1746"/>
      <c r="F23" s="1746"/>
      <c r="G23" s="1098"/>
      <c r="H23" s="1697" t="str">
        <f>IF(B23="","",VLOOKUP(B23,'SpxSp (step-a)'!B$22:V$71,19,FALSE))</f>
        <v/>
      </c>
      <c r="I23" s="1725"/>
      <c r="J23" s="1693"/>
      <c r="K23" s="1726"/>
      <c r="L23" s="1067"/>
      <c r="M23" s="799" t="str">
        <f t="shared" si="0"/>
        <v xml:space="preserve"> </v>
      </c>
      <c r="N23" s="799" t="str">
        <f>IFERROR(VLOOKUP(B23,'SpxSp (step-a)'!B$22:V$71,20,FALSE),"")</f>
        <v/>
      </c>
      <c r="O23" s="795" t="str">
        <f t="shared" si="1"/>
        <v/>
      </c>
      <c r="P23" s="1076" t="str">
        <f t="shared" si="2"/>
        <v/>
      </c>
      <c r="Q23" s="1727" t="str">
        <f t="shared" si="3"/>
        <v/>
      </c>
      <c r="R23" s="1728"/>
      <c r="S23" s="1693"/>
      <c r="T23" s="1696"/>
      <c r="U23" s="1723" t="str">
        <f t="shared" si="8"/>
        <v/>
      </c>
      <c r="V23" s="1724"/>
      <c r="W23" s="123"/>
      <c r="X23" s="123"/>
      <c r="Y23" s="123"/>
      <c r="Z23" s="123"/>
      <c r="AA23" s="123"/>
      <c r="AB23" s="123"/>
      <c r="AC23" s="1102" t="str">
        <f t="shared" si="4"/>
        <v/>
      </c>
      <c r="AD23" s="700" t="str">
        <f t="shared" si="5"/>
        <v/>
      </c>
      <c r="AE23"/>
      <c r="AF23"/>
      <c r="AG23"/>
      <c r="AH23" s="737">
        <v>7</v>
      </c>
      <c r="AI23" s="737" t="s">
        <v>1045</v>
      </c>
      <c r="AJ23" s="730">
        <f>ROW()</f>
        <v>23</v>
      </c>
      <c r="AK23" s="123"/>
      <c r="AL23" s="123"/>
      <c r="AM23" s="123"/>
      <c r="AN23" s="123"/>
      <c r="AO23" s="123"/>
      <c r="AP23" s="236">
        <f t="shared" si="6"/>
        <v>0</v>
      </c>
      <c r="AQ23" s="121">
        <f t="shared" si="7"/>
        <v>0</v>
      </c>
      <c r="AS23" s="730">
        <f t="shared" si="9"/>
        <v>0</v>
      </c>
      <c r="AT23" s="730" t="e">
        <f>VLOOKUP(B23,'SpxSp (step-a)'!AZ$22:BC$71,4,FALSE)</f>
        <v>#N/A</v>
      </c>
    </row>
    <row r="24" spans="1:47" s="43" customFormat="1" ht="13" customHeight="1" x14ac:dyDescent="0.25">
      <c r="A24" s="5">
        <v>7</v>
      </c>
      <c r="B24" s="1670"/>
      <c r="C24" s="1746"/>
      <c r="D24" s="1746"/>
      <c r="E24" s="1746"/>
      <c r="F24" s="1746"/>
      <c r="G24" s="1098"/>
      <c r="H24" s="1697" t="str">
        <f>IF(B24="","",VLOOKUP(B24,'SpxSp (step-a)'!B$22:V$71,19,FALSE))</f>
        <v/>
      </c>
      <c r="I24" s="1725"/>
      <c r="J24" s="1693"/>
      <c r="K24" s="1726"/>
      <c r="L24" s="1067"/>
      <c r="M24" s="799" t="str">
        <f t="shared" si="0"/>
        <v xml:space="preserve"> </v>
      </c>
      <c r="N24" s="799" t="str">
        <f>IFERROR(VLOOKUP(B24,'SpxSp (step-a)'!B$22:V$71,20,FALSE),"")</f>
        <v/>
      </c>
      <c r="O24" s="795" t="str">
        <f t="shared" si="1"/>
        <v/>
      </c>
      <c r="P24" s="1076" t="str">
        <f t="shared" si="2"/>
        <v/>
      </c>
      <c r="Q24" s="1727" t="str">
        <f t="shared" si="3"/>
        <v/>
      </c>
      <c r="R24" s="1728"/>
      <c r="S24" s="1693"/>
      <c r="T24" s="1696"/>
      <c r="U24" s="1723" t="str">
        <f t="shared" si="8"/>
        <v/>
      </c>
      <c r="V24" s="1724"/>
      <c r="W24" s="123"/>
      <c r="X24" s="123"/>
      <c r="Y24" s="123"/>
      <c r="Z24" s="123"/>
      <c r="AA24" s="123"/>
      <c r="AB24" s="123"/>
      <c r="AC24" s="1102" t="str">
        <f t="shared" si="4"/>
        <v/>
      </c>
      <c r="AD24" s="700" t="str">
        <f t="shared" si="5"/>
        <v/>
      </c>
      <c r="AE24"/>
      <c r="AF24"/>
      <c r="AG24"/>
      <c r="AH24" s="737">
        <v>8</v>
      </c>
      <c r="AI24" s="737" t="s">
        <v>1046</v>
      </c>
      <c r="AJ24" s="730">
        <f>ROW()</f>
        <v>24</v>
      </c>
      <c r="AK24" s="123"/>
      <c r="AL24" s="123"/>
      <c r="AM24" s="123"/>
      <c r="AN24" s="123"/>
      <c r="AO24" s="123"/>
      <c r="AP24" s="236">
        <f t="shared" si="6"/>
        <v>0</v>
      </c>
      <c r="AQ24" s="121">
        <f t="shared" si="7"/>
        <v>0</v>
      </c>
      <c r="AS24" s="730">
        <f t="shared" si="9"/>
        <v>0</v>
      </c>
      <c r="AT24" s="730" t="e">
        <f>VLOOKUP(B24,'SpxSp (step-a)'!AZ$22:BC$71,4,FALSE)</f>
        <v>#N/A</v>
      </c>
    </row>
    <row r="25" spans="1:47" s="43" customFormat="1" ht="13" customHeight="1" x14ac:dyDescent="0.25">
      <c r="A25" s="5">
        <v>8</v>
      </c>
      <c r="B25" s="1670"/>
      <c r="C25" s="1746"/>
      <c r="D25" s="1746"/>
      <c r="E25" s="1746"/>
      <c r="F25" s="1746"/>
      <c r="G25" s="1098"/>
      <c r="H25" s="1697" t="str">
        <f>IF(B25="","",VLOOKUP(B25,'SpxSp (step-a)'!B$22:V$71,19,FALSE))</f>
        <v/>
      </c>
      <c r="I25" s="1725"/>
      <c r="J25" s="1693"/>
      <c r="K25" s="1726"/>
      <c r="L25" s="1067"/>
      <c r="M25" s="799" t="str">
        <f t="shared" si="0"/>
        <v xml:space="preserve"> </v>
      </c>
      <c r="N25" s="799" t="str">
        <f>IFERROR(VLOOKUP(B25,'SpxSp (step-a)'!B$22:V$71,20,FALSE),"")</f>
        <v/>
      </c>
      <c r="O25" s="795" t="str">
        <f t="shared" si="1"/>
        <v/>
      </c>
      <c r="P25" s="1076" t="str">
        <f t="shared" si="2"/>
        <v/>
      </c>
      <c r="Q25" s="1727" t="str">
        <f t="shared" si="3"/>
        <v/>
      </c>
      <c r="R25" s="1728"/>
      <c r="S25" s="1693"/>
      <c r="T25" s="1696"/>
      <c r="U25" s="1723" t="str">
        <f t="shared" si="8"/>
        <v/>
      </c>
      <c r="V25" s="1724"/>
      <c r="W25" s="123"/>
      <c r="X25" s="123"/>
      <c r="Y25" s="123"/>
      <c r="Z25" s="123"/>
      <c r="AA25" s="123"/>
      <c r="AB25" s="123"/>
      <c r="AC25" s="1102" t="str">
        <f t="shared" si="4"/>
        <v/>
      </c>
      <c r="AD25" s="700" t="str">
        <f t="shared" si="5"/>
        <v/>
      </c>
      <c r="AE25"/>
      <c r="AF25"/>
      <c r="AG25"/>
      <c r="AH25" s="737">
        <v>9</v>
      </c>
      <c r="AI25" s="737" t="s">
        <v>1047</v>
      </c>
      <c r="AJ25" s="730">
        <f>ROW()</f>
        <v>25</v>
      </c>
      <c r="AK25" s="123"/>
      <c r="AL25" s="123"/>
      <c r="AM25" s="123"/>
      <c r="AN25" s="123"/>
      <c r="AO25" s="123"/>
      <c r="AP25" s="236">
        <f t="shared" si="6"/>
        <v>0</v>
      </c>
      <c r="AQ25" s="121">
        <f t="shared" si="7"/>
        <v>0</v>
      </c>
      <c r="AS25" s="730">
        <f t="shared" si="9"/>
        <v>0</v>
      </c>
      <c r="AT25" s="730" t="e">
        <f>VLOOKUP(B25,'SpxSp (step-a)'!AZ$22:BC$71,4,FALSE)</f>
        <v>#N/A</v>
      </c>
    </row>
    <row r="26" spans="1:47" s="43" customFormat="1" ht="13" customHeight="1" x14ac:dyDescent="0.25">
      <c r="A26" s="5">
        <v>9</v>
      </c>
      <c r="B26" s="1670"/>
      <c r="C26" s="1746"/>
      <c r="D26" s="1746"/>
      <c r="E26" s="1746"/>
      <c r="F26" s="1746"/>
      <c r="G26" s="1098"/>
      <c r="H26" s="1697" t="str">
        <f>IF(B26="","",VLOOKUP(B26,'SpxSp (step-a)'!B$22:V$71,19,FALSE))</f>
        <v/>
      </c>
      <c r="I26" s="1725"/>
      <c r="J26" s="1693"/>
      <c r="K26" s="1726"/>
      <c r="L26" s="1067"/>
      <c r="M26" s="799" t="str">
        <f t="shared" si="0"/>
        <v xml:space="preserve"> </v>
      </c>
      <c r="N26" s="799" t="str">
        <f>IFERROR(VLOOKUP(B26,'SpxSp (step-a)'!B$22:V$71,20,FALSE),"")</f>
        <v/>
      </c>
      <c r="O26" s="795" t="str">
        <f t="shared" si="1"/>
        <v/>
      </c>
      <c r="P26" s="1076" t="str">
        <f t="shared" si="2"/>
        <v/>
      </c>
      <c r="Q26" s="1727" t="str">
        <f t="shared" si="3"/>
        <v/>
      </c>
      <c r="R26" s="1728"/>
      <c r="S26" s="1693"/>
      <c r="T26" s="1696"/>
      <c r="U26" s="1723" t="str">
        <f t="shared" si="8"/>
        <v/>
      </c>
      <c r="V26" s="1724"/>
      <c r="W26" s="123"/>
      <c r="X26" s="123"/>
      <c r="Y26" s="123"/>
      <c r="Z26" s="123"/>
      <c r="AA26" s="123"/>
      <c r="AB26" s="123"/>
      <c r="AC26" s="1102" t="str">
        <f t="shared" si="4"/>
        <v/>
      </c>
      <c r="AD26" s="700" t="str">
        <f t="shared" si="5"/>
        <v/>
      </c>
      <c r="AE26"/>
      <c r="AF26"/>
      <c r="AG26"/>
      <c r="AH26" s="737">
        <v>10</v>
      </c>
      <c r="AI26" s="737" t="s">
        <v>1048</v>
      </c>
      <c r="AJ26" s="730">
        <f>ROW()</f>
        <v>26</v>
      </c>
      <c r="AK26" s="123"/>
      <c r="AL26" s="123"/>
      <c r="AM26" s="123"/>
      <c r="AN26" s="123"/>
      <c r="AO26" s="123"/>
      <c r="AP26" s="236">
        <f t="shared" si="6"/>
        <v>0</v>
      </c>
      <c r="AQ26" s="121">
        <f t="shared" si="7"/>
        <v>0</v>
      </c>
      <c r="AS26" s="730">
        <f t="shared" si="9"/>
        <v>0</v>
      </c>
      <c r="AT26" s="730" t="e">
        <f>VLOOKUP(B26,'SpxSp (step-a)'!AZ$22:BC$71,4,FALSE)</f>
        <v>#N/A</v>
      </c>
    </row>
    <row r="27" spans="1:47" s="43" customFormat="1" ht="13" customHeight="1" x14ac:dyDescent="0.25">
      <c r="A27" s="5">
        <v>10</v>
      </c>
      <c r="B27" s="1670"/>
      <c r="C27" s="1746"/>
      <c r="D27" s="1746"/>
      <c r="E27" s="1746"/>
      <c r="F27" s="1746"/>
      <c r="G27" s="1098"/>
      <c r="H27" s="1697" t="str">
        <f>IF(B27="","",VLOOKUP(B27,'SpxSp (step-a)'!B$22:V$71,19,FALSE))</f>
        <v/>
      </c>
      <c r="I27" s="1725"/>
      <c r="J27" s="1693"/>
      <c r="K27" s="1726"/>
      <c r="L27" s="1099"/>
      <c r="M27" s="799" t="str">
        <f t="shared" si="0"/>
        <v xml:space="preserve"> </v>
      </c>
      <c r="N27" s="799" t="str">
        <f>IFERROR(VLOOKUP(B27,'SpxSp (step-a)'!B$22:V$71,20,FALSE),"")</f>
        <v/>
      </c>
      <c r="O27" s="795" t="str">
        <f t="shared" si="1"/>
        <v/>
      </c>
      <c r="P27" s="1076" t="str">
        <f t="shared" si="2"/>
        <v/>
      </c>
      <c r="Q27" s="1727" t="str">
        <f t="shared" si="3"/>
        <v/>
      </c>
      <c r="R27" s="1728"/>
      <c r="S27" s="1693"/>
      <c r="T27" s="1696"/>
      <c r="U27" s="1723" t="str">
        <f t="shared" si="8"/>
        <v/>
      </c>
      <c r="V27" s="1724"/>
      <c r="W27" s="123"/>
      <c r="X27" s="123"/>
      <c r="Y27" s="123"/>
      <c r="Z27" s="123"/>
      <c r="AA27" s="123"/>
      <c r="AB27" s="123"/>
      <c r="AC27" s="1102" t="str">
        <f t="shared" si="4"/>
        <v/>
      </c>
      <c r="AD27" s="700" t="str">
        <f t="shared" si="5"/>
        <v/>
      </c>
      <c r="AE27"/>
      <c r="AF27"/>
      <c r="AG27"/>
      <c r="AH27" s="737">
        <v>11</v>
      </c>
      <c r="AI27" s="737" t="s">
        <v>1049</v>
      </c>
      <c r="AJ27" s="730">
        <f>ROW()</f>
        <v>27</v>
      </c>
      <c r="AK27" s="123"/>
      <c r="AL27" s="123"/>
      <c r="AM27" s="123"/>
      <c r="AN27" s="123"/>
      <c r="AO27" s="123"/>
      <c r="AP27" s="236">
        <f t="shared" si="6"/>
        <v>0</v>
      </c>
      <c r="AQ27" s="121">
        <f t="shared" si="7"/>
        <v>0</v>
      </c>
      <c r="AS27" s="730">
        <f t="shared" si="9"/>
        <v>0</v>
      </c>
      <c r="AT27" s="730" t="e">
        <f>VLOOKUP(B27,'SpxSp (step-a)'!AZ$22:BC$71,4,FALSE)</f>
        <v>#N/A</v>
      </c>
    </row>
    <row r="28" spans="1:47" s="43" customFormat="1" ht="13" customHeight="1" x14ac:dyDescent="0.25">
      <c r="A28" s="5">
        <v>11</v>
      </c>
      <c r="B28" s="1670"/>
      <c r="C28" s="1746"/>
      <c r="D28" s="1746"/>
      <c r="E28" s="1746"/>
      <c r="F28" s="1746"/>
      <c r="G28" s="1098"/>
      <c r="H28" s="1697" t="str">
        <f>IF(B28="","",VLOOKUP(B28,'SpxSp (step-a)'!B$22:V$71,19,FALSE))</f>
        <v/>
      </c>
      <c r="I28" s="1725"/>
      <c r="J28" s="1693"/>
      <c r="K28" s="1726"/>
      <c r="L28" s="1067"/>
      <c r="M28" s="799" t="str">
        <f t="shared" si="0"/>
        <v xml:space="preserve"> </v>
      </c>
      <c r="N28" s="799" t="str">
        <f>IFERROR(VLOOKUP(B28,'SpxSp (step-a)'!B$22:V$71,20,FALSE),"")</f>
        <v/>
      </c>
      <c r="O28" s="795" t="str">
        <f t="shared" si="1"/>
        <v/>
      </c>
      <c r="P28" s="1076" t="str">
        <f t="shared" si="2"/>
        <v/>
      </c>
      <c r="Q28" s="1727" t="str">
        <f t="shared" si="3"/>
        <v/>
      </c>
      <c r="R28" s="1728"/>
      <c r="S28" s="1693"/>
      <c r="T28" s="1696"/>
      <c r="U28" s="1723" t="str">
        <f t="shared" si="8"/>
        <v/>
      </c>
      <c r="V28" s="1724"/>
      <c r="W28" s="123"/>
      <c r="X28" s="123"/>
      <c r="Y28" s="123"/>
      <c r="Z28" s="123"/>
      <c r="AA28" s="123"/>
      <c r="AB28" s="123"/>
      <c r="AC28" s="1102" t="str">
        <f t="shared" si="4"/>
        <v/>
      </c>
      <c r="AD28" s="700" t="str">
        <f t="shared" si="5"/>
        <v/>
      </c>
      <c r="AE28"/>
      <c r="AF28"/>
      <c r="AG28"/>
      <c r="AH28" s="737">
        <v>12</v>
      </c>
      <c r="AI28" s="737" t="s">
        <v>1050</v>
      </c>
      <c r="AJ28" s="730">
        <f>ROW()</f>
        <v>28</v>
      </c>
      <c r="AK28" s="123"/>
      <c r="AL28" s="123"/>
      <c r="AM28" s="123"/>
      <c r="AN28" s="123"/>
      <c r="AO28" s="123"/>
      <c r="AP28" s="236">
        <f t="shared" si="6"/>
        <v>0</v>
      </c>
      <c r="AQ28" s="121">
        <f t="shared" si="7"/>
        <v>0</v>
      </c>
      <c r="AS28" s="730">
        <f t="shared" si="9"/>
        <v>0</v>
      </c>
      <c r="AT28" s="730" t="e">
        <f>VLOOKUP(B28,'SpxSp (step-a)'!AZ$22:BC$71,4,FALSE)</f>
        <v>#N/A</v>
      </c>
    </row>
    <row r="29" spans="1:47" s="43" customFormat="1" ht="13" customHeight="1" x14ac:dyDescent="0.25">
      <c r="A29" s="5">
        <v>12</v>
      </c>
      <c r="B29" s="1670"/>
      <c r="C29" s="1746"/>
      <c r="D29" s="1746"/>
      <c r="E29" s="1746"/>
      <c r="F29" s="1746"/>
      <c r="G29" s="1098"/>
      <c r="H29" s="1697" t="str">
        <f>IF(B29="","",VLOOKUP(B29,'SpxSp (step-a)'!B$22:V$71,19,FALSE))</f>
        <v/>
      </c>
      <c r="I29" s="1725"/>
      <c r="J29" s="1693"/>
      <c r="K29" s="1726"/>
      <c r="L29" s="1067"/>
      <c r="M29" s="799" t="str">
        <f t="shared" si="0"/>
        <v xml:space="preserve"> </v>
      </c>
      <c r="N29" s="799" t="str">
        <f>IFERROR(VLOOKUP(B29,'SpxSp (step-a)'!B$22:V$71,20,FALSE),"")</f>
        <v/>
      </c>
      <c r="O29" s="795" t="str">
        <f t="shared" si="1"/>
        <v/>
      </c>
      <c r="P29" s="1076" t="str">
        <f t="shared" si="2"/>
        <v/>
      </c>
      <c r="Q29" s="1727" t="str">
        <f t="shared" si="3"/>
        <v/>
      </c>
      <c r="R29" s="1728"/>
      <c r="S29" s="1693"/>
      <c r="T29" s="1696"/>
      <c r="U29" s="1723" t="str">
        <f t="shared" si="8"/>
        <v/>
      </c>
      <c r="V29" s="1724"/>
      <c r="W29" s="123"/>
      <c r="X29" s="123"/>
      <c r="Y29" s="123"/>
      <c r="Z29" s="123"/>
      <c r="AA29" s="123"/>
      <c r="AB29" s="123"/>
      <c r="AC29" s="1102" t="str">
        <f t="shared" si="4"/>
        <v/>
      </c>
      <c r="AD29" s="700" t="str">
        <f t="shared" si="5"/>
        <v/>
      </c>
      <c r="AE29"/>
      <c r="AF29"/>
      <c r="AG29"/>
      <c r="AH29" s="737">
        <v>13</v>
      </c>
      <c r="AI29" s="737" t="s">
        <v>1051</v>
      </c>
      <c r="AJ29" s="730">
        <f>ROW()</f>
        <v>29</v>
      </c>
      <c r="AK29" s="123"/>
      <c r="AL29" s="123"/>
      <c r="AM29" s="123"/>
      <c r="AN29" s="123"/>
      <c r="AO29" s="123"/>
      <c r="AP29" s="236">
        <f t="shared" si="6"/>
        <v>0</v>
      </c>
      <c r="AQ29" s="121">
        <f t="shared" si="7"/>
        <v>0</v>
      </c>
      <c r="AS29" s="730">
        <f t="shared" si="9"/>
        <v>0</v>
      </c>
      <c r="AT29" s="730" t="e">
        <f>VLOOKUP(B29,'SpxSp (step-a)'!AZ$22:BC$71,4,FALSE)</f>
        <v>#N/A</v>
      </c>
    </row>
    <row r="30" spans="1:47" s="43" customFormat="1" ht="13" customHeight="1" x14ac:dyDescent="0.25">
      <c r="A30" s="5">
        <v>13</v>
      </c>
      <c r="B30" s="1670"/>
      <c r="C30" s="1746"/>
      <c r="D30" s="1746"/>
      <c r="E30" s="1746"/>
      <c r="F30" s="1746"/>
      <c r="G30" s="1098"/>
      <c r="H30" s="1697" t="str">
        <f>IF(B30="","",VLOOKUP(B30,'SpxSp (step-a)'!B$22:V$71,19,FALSE))</f>
        <v/>
      </c>
      <c r="I30" s="1725"/>
      <c r="J30" s="1693"/>
      <c r="K30" s="1726"/>
      <c r="L30" s="1067"/>
      <c r="M30" s="799" t="str">
        <f t="shared" si="0"/>
        <v xml:space="preserve"> </v>
      </c>
      <c r="N30" s="799" t="str">
        <f>IFERROR(VLOOKUP(B30,'SpxSp (step-a)'!B$22:V$71,20,FALSE),"")</f>
        <v/>
      </c>
      <c r="O30" s="795" t="str">
        <f t="shared" si="1"/>
        <v/>
      </c>
      <c r="P30" s="1076" t="str">
        <f t="shared" si="2"/>
        <v/>
      </c>
      <c r="Q30" s="1727" t="str">
        <f t="shared" si="3"/>
        <v/>
      </c>
      <c r="R30" s="1728"/>
      <c r="S30" s="1693"/>
      <c r="T30" s="1696"/>
      <c r="U30" s="1723" t="str">
        <f t="shared" si="8"/>
        <v/>
      </c>
      <c r="V30" s="1724"/>
      <c r="W30" s="123"/>
      <c r="X30" s="123"/>
      <c r="Y30" s="123"/>
      <c r="Z30" s="123"/>
      <c r="AA30" s="123"/>
      <c r="AB30" s="123"/>
      <c r="AC30" s="1102" t="str">
        <f t="shared" si="4"/>
        <v/>
      </c>
      <c r="AD30" s="700" t="str">
        <f t="shared" si="5"/>
        <v/>
      </c>
      <c r="AE30"/>
      <c r="AF30"/>
      <c r="AG30"/>
      <c r="AH30" s="737">
        <v>14</v>
      </c>
      <c r="AI30" s="737" t="s">
        <v>1052</v>
      </c>
      <c r="AJ30" s="730">
        <f>ROW()</f>
        <v>30</v>
      </c>
      <c r="AK30" s="123"/>
      <c r="AL30" s="123"/>
      <c r="AM30" s="123"/>
      <c r="AN30" s="123"/>
      <c r="AO30" s="123"/>
      <c r="AP30" s="236">
        <f t="shared" si="6"/>
        <v>0</v>
      </c>
      <c r="AQ30" s="121">
        <f t="shared" si="7"/>
        <v>0</v>
      </c>
      <c r="AS30" s="730">
        <f t="shared" si="9"/>
        <v>0</v>
      </c>
      <c r="AT30" s="730" t="e">
        <f>VLOOKUP(B30,'SpxSp (step-a)'!AZ$22:BC$71,4,FALSE)</f>
        <v>#N/A</v>
      </c>
    </row>
    <row r="31" spans="1:47" s="43" customFormat="1" ht="13" customHeight="1" x14ac:dyDescent="0.25">
      <c r="A31" s="5">
        <v>14</v>
      </c>
      <c r="B31" s="1670"/>
      <c r="C31" s="1746"/>
      <c r="D31" s="1746"/>
      <c r="E31" s="1746"/>
      <c r="F31" s="1746"/>
      <c r="G31" s="1098"/>
      <c r="H31" s="1697" t="str">
        <f>IF(B31="","",VLOOKUP(B31,'SpxSp (step-a)'!B$22:V$71,19,FALSE))</f>
        <v/>
      </c>
      <c r="I31" s="1725"/>
      <c r="J31" s="1693"/>
      <c r="K31" s="1726"/>
      <c r="L31" s="1067"/>
      <c r="M31" s="799" t="str">
        <f t="shared" si="0"/>
        <v xml:space="preserve"> </v>
      </c>
      <c r="N31" s="799" t="str">
        <f>IFERROR(VLOOKUP(B31,'SpxSp (step-a)'!B$22:V$71,20,FALSE),"")</f>
        <v/>
      </c>
      <c r="O31" s="795" t="str">
        <f t="shared" si="1"/>
        <v/>
      </c>
      <c r="P31" s="1076" t="str">
        <f t="shared" si="2"/>
        <v/>
      </c>
      <c r="Q31" s="1727" t="str">
        <f t="shared" si="3"/>
        <v/>
      </c>
      <c r="R31" s="1728"/>
      <c r="S31" s="1693"/>
      <c r="T31" s="1696"/>
      <c r="U31" s="1723" t="str">
        <f t="shared" si="8"/>
        <v/>
      </c>
      <c r="V31" s="1724"/>
      <c r="W31" s="123"/>
      <c r="X31" s="123"/>
      <c r="Y31" s="123"/>
      <c r="Z31" s="123"/>
      <c r="AA31" s="123"/>
      <c r="AB31" s="123"/>
      <c r="AC31" s="1102" t="str">
        <f t="shared" si="4"/>
        <v/>
      </c>
      <c r="AD31" s="700" t="str">
        <f t="shared" si="5"/>
        <v/>
      </c>
      <c r="AE31"/>
      <c r="AF31"/>
      <c r="AG31"/>
      <c r="AH31" s="737">
        <v>15</v>
      </c>
      <c r="AI31" s="737" t="s">
        <v>908</v>
      </c>
      <c r="AJ31" s="730">
        <f>ROW()</f>
        <v>31</v>
      </c>
      <c r="AK31" s="123"/>
      <c r="AL31" s="123"/>
      <c r="AM31" s="123"/>
      <c r="AN31" s="123"/>
      <c r="AO31" s="123"/>
      <c r="AP31" s="236">
        <f t="shared" si="6"/>
        <v>0</v>
      </c>
      <c r="AQ31" s="121">
        <f t="shared" si="7"/>
        <v>0</v>
      </c>
      <c r="AS31" s="730">
        <f t="shared" si="9"/>
        <v>0</v>
      </c>
      <c r="AT31" s="730" t="e">
        <f>VLOOKUP(B31,'SpxSp (step-a)'!AZ$22:BC$71,4,FALSE)</f>
        <v>#N/A</v>
      </c>
    </row>
    <row r="32" spans="1:47" s="43" customFormat="1" ht="13" customHeight="1" x14ac:dyDescent="0.25">
      <c r="A32" s="5">
        <v>15</v>
      </c>
      <c r="B32" s="1670"/>
      <c r="C32" s="1746"/>
      <c r="D32" s="1746"/>
      <c r="E32" s="1746"/>
      <c r="F32" s="1746"/>
      <c r="G32" s="1098"/>
      <c r="H32" s="1697" t="str">
        <f>IF(B32="","",VLOOKUP(B32,'SpxSp (step-a)'!B$22:V$71,19,FALSE))</f>
        <v/>
      </c>
      <c r="I32" s="1725"/>
      <c r="J32" s="1693"/>
      <c r="K32" s="1726"/>
      <c r="L32" s="1099"/>
      <c r="M32" s="799" t="str">
        <f t="shared" si="0"/>
        <v xml:space="preserve"> </v>
      </c>
      <c r="N32" s="799" t="str">
        <f>IFERROR(VLOOKUP(B32,'SpxSp (step-a)'!B$22:V$71,20,FALSE),"")</f>
        <v/>
      </c>
      <c r="O32" s="795" t="str">
        <f t="shared" si="1"/>
        <v/>
      </c>
      <c r="P32" s="1076" t="str">
        <f t="shared" si="2"/>
        <v/>
      </c>
      <c r="Q32" s="1727" t="str">
        <f t="shared" si="3"/>
        <v/>
      </c>
      <c r="R32" s="1728"/>
      <c r="S32" s="1693"/>
      <c r="T32" s="1696"/>
      <c r="U32" s="1723" t="str">
        <f t="shared" si="8"/>
        <v/>
      </c>
      <c r="V32" s="1724"/>
      <c r="W32" s="123"/>
      <c r="X32" s="123"/>
      <c r="Y32" s="123"/>
      <c r="Z32" s="123"/>
      <c r="AA32" s="123"/>
      <c r="AB32" s="123"/>
      <c r="AC32" s="1102" t="str">
        <f t="shared" si="4"/>
        <v/>
      </c>
      <c r="AD32" s="700" t="str">
        <f t="shared" si="5"/>
        <v/>
      </c>
      <c r="AE32"/>
      <c r="AF32"/>
      <c r="AG32"/>
      <c r="AH32" s="737">
        <v>16</v>
      </c>
      <c r="AI32" s="737" t="s">
        <v>1053</v>
      </c>
      <c r="AJ32" s="730">
        <f>ROW()</f>
        <v>32</v>
      </c>
      <c r="AK32" s="123"/>
      <c r="AL32" s="123"/>
      <c r="AM32" s="123"/>
      <c r="AN32" s="123"/>
      <c r="AO32" s="123"/>
      <c r="AP32" s="236">
        <f t="shared" si="6"/>
        <v>0</v>
      </c>
      <c r="AQ32" s="121">
        <f t="shared" si="7"/>
        <v>0</v>
      </c>
      <c r="AS32" s="730">
        <f t="shared" si="9"/>
        <v>0</v>
      </c>
      <c r="AT32" s="730" t="e">
        <f>VLOOKUP(B32,'SpxSp (step-a)'!AZ$22:BC$71,4,FALSE)</f>
        <v>#N/A</v>
      </c>
    </row>
    <row r="33" spans="1:46" s="43" customFormat="1" ht="13" customHeight="1" x14ac:dyDescent="0.25">
      <c r="A33" s="5">
        <v>16</v>
      </c>
      <c r="B33" s="1670"/>
      <c r="C33" s="1746"/>
      <c r="D33" s="1746"/>
      <c r="E33" s="1746"/>
      <c r="F33" s="1746"/>
      <c r="G33" s="1098"/>
      <c r="H33" s="1697" t="str">
        <f>IF(B33="","",VLOOKUP(B33,'SpxSp (step-a)'!B$22:V$71,19,FALSE))</f>
        <v/>
      </c>
      <c r="I33" s="1725"/>
      <c r="J33" s="1693"/>
      <c r="K33" s="1726"/>
      <c r="L33" s="1067"/>
      <c r="M33" s="799" t="str">
        <f t="shared" si="0"/>
        <v xml:space="preserve"> </v>
      </c>
      <c r="N33" s="799" t="str">
        <f>IFERROR(VLOOKUP(B33,'SpxSp (step-a)'!B$22:V$71,20,FALSE),"")</f>
        <v/>
      </c>
      <c r="O33" s="795" t="str">
        <f t="shared" si="1"/>
        <v/>
      </c>
      <c r="P33" s="1076" t="str">
        <f t="shared" si="2"/>
        <v/>
      </c>
      <c r="Q33" s="1727" t="str">
        <f t="shared" si="3"/>
        <v/>
      </c>
      <c r="R33" s="1728"/>
      <c r="S33" s="1693"/>
      <c r="T33" s="1696"/>
      <c r="U33" s="1723" t="str">
        <f t="shared" si="8"/>
        <v/>
      </c>
      <c r="V33" s="1724"/>
      <c r="W33" s="123"/>
      <c r="X33" s="123"/>
      <c r="Y33" s="123"/>
      <c r="Z33" s="123"/>
      <c r="AA33" s="123"/>
      <c r="AB33" s="123"/>
      <c r="AC33" s="1102" t="str">
        <f t="shared" si="4"/>
        <v/>
      </c>
      <c r="AD33" s="700" t="str">
        <f t="shared" si="5"/>
        <v/>
      </c>
      <c r="AE33"/>
      <c r="AF33"/>
      <c r="AG33"/>
      <c r="AH33" s="737">
        <v>17</v>
      </c>
      <c r="AI33" s="737" t="s">
        <v>909</v>
      </c>
      <c r="AJ33" s="730">
        <f>ROW()</f>
        <v>33</v>
      </c>
      <c r="AK33" s="123"/>
      <c r="AL33" s="123"/>
      <c r="AM33" s="123"/>
      <c r="AN33" s="123"/>
      <c r="AO33" s="123"/>
      <c r="AP33" s="236">
        <f t="shared" si="6"/>
        <v>0</v>
      </c>
      <c r="AQ33" s="121">
        <f t="shared" si="7"/>
        <v>0</v>
      </c>
      <c r="AS33" s="730">
        <f t="shared" si="9"/>
        <v>0</v>
      </c>
      <c r="AT33" s="730" t="e">
        <f>VLOOKUP(B33,'SpxSp (step-a)'!AZ$22:BC$71,4,FALSE)</f>
        <v>#N/A</v>
      </c>
    </row>
    <row r="34" spans="1:46" s="43" customFormat="1" ht="13" customHeight="1" x14ac:dyDescent="0.25">
      <c r="A34" s="5">
        <v>17</v>
      </c>
      <c r="B34" s="1670"/>
      <c r="C34" s="1746"/>
      <c r="D34" s="1746"/>
      <c r="E34" s="1746"/>
      <c r="F34" s="1746"/>
      <c r="G34" s="1098"/>
      <c r="H34" s="1697" t="str">
        <f>IF(B34="","",VLOOKUP(B34,'SpxSp (step-a)'!B$22:V$71,19,FALSE))</f>
        <v/>
      </c>
      <c r="I34" s="1725"/>
      <c r="J34" s="1693"/>
      <c r="K34" s="1726"/>
      <c r="L34" s="1067"/>
      <c r="M34" s="799" t="str">
        <f t="shared" si="0"/>
        <v xml:space="preserve"> </v>
      </c>
      <c r="N34" s="799" t="str">
        <f>IFERROR(VLOOKUP(B34,'SpxSp (step-a)'!B$22:V$71,20,FALSE),"")</f>
        <v/>
      </c>
      <c r="O34" s="795" t="str">
        <f t="shared" si="1"/>
        <v/>
      </c>
      <c r="P34" s="1076" t="str">
        <f t="shared" si="2"/>
        <v/>
      </c>
      <c r="Q34" s="1727" t="str">
        <f t="shared" si="3"/>
        <v/>
      </c>
      <c r="R34" s="1728"/>
      <c r="S34" s="1693"/>
      <c r="T34" s="1696"/>
      <c r="U34" s="1723" t="str">
        <f t="shared" si="8"/>
        <v/>
      </c>
      <c r="V34" s="1724"/>
      <c r="W34" s="123"/>
      <c r="X34" s="123"/>
      <c r="Y34" s="123"/>
      <c r="Z34" s="123"/>
      <c r="AA34" s="123"/>
      <c r="AB34" s="123"/>
      <c r="AC34" s="1102" t="str">
        <f t="shared" si="4"/>
        <v/>
      </c>
      <c r="AD34" s="700" t="str">
        <f t="shared" si="5"/>
        <v/>
      </c>
      <c r="AE34"/>
      <c r="AF34"/>
      <c r="AG34"/>
      <c r="AH34" s="737">
        <v>18</v>
      </c>
      <c r="AI34" s="737" t="s">
        <v>1054</v>
      </c>
      <c r="AJ34" s="730">
        <f>ROW()</f>
        <v>34</v>
      </c>
      <c r="AK34" s="123"/>
      <c r="AL34" s="123"/>
      <c r="AM34" s="123"/>
      <c r="AN34" s="123"/>
      <c r="AO34" s="123"/>
      <c r="AP34" s="236">
        <f t="shared" si="6"/>
        <v>0</v>
      </c>
      <c r="AQ34" s="121">
        <f t="shared" si="7"/>
        <v>0</v>
      </c>
      <c r="AS34" s="730">
        <f t="shared" si="9"/>
        <v>0</v>
      </c>
      <c r="AT34" s="730" t="e">
        <f>VLOOKUP(B34,'SpxSp (step-a)'!AZ$22:BC$71,4,FALSE)</f>
        <v>#N/A</v>
      </c>
    </row>
    <row r="35" spans="1:46" s="43" customFormat="1" ht="13" customHeight="1" x14ac:dyDescent="0.25">
      <c r="A35" s="5">
        <v>18</v>
      </c>
      <c r="B35" s="1670"/>
      <c r="C35" s="1746"/>
      <c r="D35" s="1746"/>
      <c r="E35" s="1746"/>
      <c r="F35" s="1746"/>
      <c r="G35" s="1098"/>
      <c r="H35" s="1697" t="str">
        <f>IF(B35="","",VLOOKUP(B35,'SpxSp (step-a)'!B$22:V$71,19,FALSE))</f>
        <v/>
      </c>
      <c r="I35" s="1725"/>
      <c r="J35" s="1693"/>
      <c r="K35" s="1726"/>
      <c r="L35" s="1067"/>
      <c r="M35" s="799" t="str">
        <f t="shared" si="0"/>
        <v xml:space="preserve"> </v>
      </c>
      <c r="N35" s="799" t="str">
        <f>IFERROR(VLOOKUP(B35,'SpxSp (step-a)'!B$22:V$71,20,FALSE),"")</f>
        <v/>
      </c>
      <c r="O35" s="795" t="str">
        <f t="shared" si="1"/>
        <v/>
      </c>
      <c r="P35" s="1076" t="str">
        <f t="shared" si="2"/>
        <v/>
      </c>
      <c r="Q35" s="1727" t="str">
        <f t="shared" si="3"/>
        <v/>
      </c>
      <c r="R35" s="1728"/>
      <c r="S35" s="1693"/>
      <c r="T35" s="1696"/>
      <c r="U35" s="1723" t="str">
        <f t="shared" si="8"/>
        <v/>
      </c>
      <c r="V35" s="1724"/>
      <c r="W35" s="123"/>
      <c r="X35" s="123"/>
      <c r="Y35" s="123"/>
      <c r="Z35" s="123"/>
      <c r="AA35" s="123"/>
      <c r="AB35" s="123"/>
      <c r="AC35" s="1102" t="str">
        <f t="shared" si="4"/>
        <v/>
      </c>
      <c r="AD35" s="700" t="str">
        <f t="shared" si="5"/>
        <v/>
      </c>
      <c r="AE35"/>
      <c r="AF35"/>
      <c r="AG35"/>
      <c r="AH35" s="737">
        <v>19</v>
      </c>
      <c r="AI35" s="737" t="s">
        <v>910</v>
      </c>
      <c r="AJ35" s="730">
        <f>ROW()</f>
        <v>35</v>
      </c>
      <c r="AK35" s="123"/>
      <c r="AL35" s="123"/>
      <c r="AM35" s="123"/>
      <c r="AN35" s="123"/>
      <c r="AO35" s="123"/>
      <c r="AP35" s="236">
        <f t="shared" si="6"/>
        <v>0</v>
      </c>
      <c r="AQ35" s="121">
        <f t="shared" si="7"/>
        <v>0</v>
      </c>
      <c r="AS35" s="730">
        <f t="shared" si="9"/>
        <v>0</v>
      </c>
      <c r="AT35" s="730" t="e">
        <f>VLOOKUP(B35,'SpxSp (step-a)'!AZ$22:BC$71,4,FALSE)</f>
        <v>#N/A</v>
      </c>
    </row>
    <row r="36" spans="1:46" s="43" customFormat="1" ht="13" customHeight="1" x14ac:dyDescent="0.25">
      <c r="A36" s="5">
        <v>19</v>
      </c>
      <c r="B36" s="1670"/>
      <c r="C36" s="1746"/>
      <c r="D36" s="1746"/>
      <c r="E36" s="1746"/>
      <c r="F36" s="1746"/>
      <c r="G36" s="1098"/>
      <c r="H36" s="1697" t="str">
        <f>IF(B36="","",VLOOKUP(B36,'SpxSp (step-a)'!B$22:V$71,19,FALSE))</f>
        <v/>
      </c>
      <c r="I36" s="1725"/>
      <c r="J36" s="1693"/>
      <c r="K36" s="1726"/>
      <c r="L36" s="1067"/>
      <c r="M36" s="799" t="str">
        <f t="shared" si="0"/>
        <v xml:space="preserve"> </v>
      </c>
      <c r="N36" s="799" t="str">
        <f>IFERROR(VLOOKUP(B36,'SpxSp (step-a)'!B$22:V$71,20,FALSE),"")</f>
        <v/>
      </c>
      <c r="O36" s="795" t="str">
        <f t="shared" si="1"/>
        <v/>
      </c>
      <c r="P36" s="1076" t="str">
        <f t="shared" si="2"/>
        <v/>
      </c>
      <c r="Q36" s="1727" t="str">
        <f t="shared" si="3"/>
        <v/>
      </c>
      <c r="R36" s="1728"/>
      <c r="S36" s="1693"/>
      <c r="T36" s="1696"/>
      <c r="U36" s="1723" t="str">
        <f t="shared" si="8"/>
        <v/>
      </c>
      <c r="V36" s="1724"/>
      <c r="W36" s="123"/>
      <c r="X36" s="123"/>
      <c r="Y36" s="123"/>
      <c r="Z36" s="123"/>
      <c r="AA36" s="123"/>
      <c r="AB36" s="123"/>
      <c r="AC36" s="1102" t="str">
        <f t="shared" si="4"/>
        <v/>
      </c>
      <c r="AD36" s="700" t="str">
        <f t="shared" si="5"/>
        <v/>
      </c>
      <c r="AE36"/>
      <c r="AF36"/>
      <c r="AG36"/>
      <c r="AH36" s="737">
        <v>20</v>
      </c>
      <c r="AI36" s="737" t="s">
        <v>1055</v>
      </c>
      <c r="AJ36" s="730">
        <f>ROW()</f>
        <v>36</v>
      </c>
      <c r="AK36" s="123"/>
      <c r="AL36" s="123"/>
      <c r="AM36" s="123"/>
      <c r="AN36" s="123"/>
      <c r="AO36" s="123"/>
      <c r="AP36" s="236">
        <f t="shared" si="6"/>
        <v>0</v>
      </c>
      <c r="AQ36" s="121">
        <f t="shared" si="7"/>
        <v>0</v>
      </c>
      <c r="AS36" s="730">
        <f t="shared" si="9"/>
        <v>0</v>
      </c>
      <c r="AT36" s="730" t="e">
        <f>VLOOKUP(B36,'SpxSp (step-a)'!AZ$22:BC$71,4,FALSE)</f>
        <v>#N/A</v>
      </c>
    </row>
    <row r="37" spans="1:46" s="43" customFormat="1" ht="13" customHeight="1" x14ac:dyDescent="0.25">
      <c r="A37" s="5">
        <v>20</v>
      </c>
      <c r="B37" s="1670"/>
      <c r="C37" s="1746"/>
      <c r="D37" s="1746"/>
      <c r="E37" s="1746"/>
      <c r="F37" s="1746"/>
      <c r="G37" s="1098"/>
      <c r="H37" s="1697" t="str">
        <f>IF(B37="","",VLOOKUP(B37,'SpxSp (step-a)'!B$22:V$71,19,FALSE))</f>
        <v/>
      </c>
      <c r="I37" s="1725"/>
      <c r="J37" s="1693"/>
      <c r="K37" s="1726"/>
      <c r="L37" s="1099"/>
      <c r="M37" s="799" t="str">
        <f t="shared" ref="M37:M46" si="10">IF(J37&lt;&gt;"",VLOOKUP(J37,_Luminaire_Schedule2,2,FALSE)," ")</f>
        <v xml:space="preserve"> </v>
      </c>
      <c r="N37" s="799" t="str">
        <f>IFERROR(VLOOKUP(B37,'SpxSp (step-a)'!B$22:V$71,20,FALSE),"")</f>
        <v/>
      </c>
      <c r="O37" s="795" t="str">
        <f t="shared" si="1"/>
        <v/>
      </c>
      <c r="P37" s="1076" t="str">
        <f t="shared" si="2"/>
        <v/>
      </c>
      <c r="Q37" s="1727" t="str">
        <f t="shared" si="3"/>
        <v/>
      </c>
      <c r="R37" s="1728"/>
      <c r="S37" s="1693"/>
      <c r="T37" s="1696"/>
      <c r="U37" s="1723" t="str">
        <f t="shared" si="8"/>
        <v/>
      </c>
      <c r="V37" s="1724"/>
      <c r="W37" s="123"/>
      <c r="X37" s="123"/>
      <c r="Y37" s="123"/>
      <c r="Z37" s="123"/>
      <c r="AA37" s="123"/>
      <c r="AB37" s="123"/>
      <c r="AC37" s="1102" t="str">
        <f t="shared" si="4"/>
        <v/>
      </c>
      <c r="AD37" s="700" t="str">
        <f t="shared" si="5"/>
        <v/>
      </c>
      <c r="AE37"/>
      <c r="AF37"/>
      <c r="AG37"/>
      <c r="AH37" s="737">
        <v>21</v>
      </c>
      <c r="AI37" s="737" t="s">
        <v>911</v>
      </c>
      <c r="AJ37" s="730">
        <f>ROW()</f>
        <v>37</v>
      </c>
      <c r="AK37" s="123"/>
      <c r="AL37" s="123"/>
      <c r="AM37" s="123"/>
      <c r="AN37" s="123"/>
      <c r="AO37" s="123"/>
      <c r="AP37" s="236">
        <f t="shared" ref="AP37:AP46" si="11">IFERROR(L37*M37,0)</f>
        <v>0</v>
      </c>
      <c r="AQ37" s="121">
        <f t="shared" si="7"/>
        <v>0</v>
      </c>
      <c r="AS37" s="730">
        <f t="shared" si="9"/>
        <v>0</v>
      </c>
      <c r="AT37" s="730" t="e">
        <f>VLOOKUP(B37,'SpxSp (step-a)'!AZ$22:BC$71,4,FALSE)</f>
        <v>#N/A</v>
      </c>
    </row>
    <row r="38" spans="1:46" s="43" customFormat="1" ht="13" customHeight="1" x14ac:dyDescent="0.25">
      <c r="A38" s="5">
        <v>21</v>
      </c>
      <c r="B38" s="1670"/>
      <c r="C38" s="1746"/>
      <c r="D38" s="1746"/>
      <c r="E38" s="1746"/>
      <c r="F38" s="1746"/>
      <c r="G38" s="1098"/>
      <c r="H38" s="1697" t="str">
        <f>IF(B38="","",VLOOKUP(B38,'SpxSp (step-a)'!B$22:V$71,19,FALSE))</f>
        <v/>
      </c>
      <c r="I38" s="1725"/>
      <c r="J38" s="1693"/>
      <c r="K38" s="1726"/>
      <c r="L38" s="1067"/>
      <c r="M38" s="799" t="str">
        <f t="shared" si="10"/>
        <v xml:space="preserve"> </v>
      </c>
      <c r="N38" s="799" t="str">
        <f>IFERROR(VLOOKUP(B38,'SpxSp (step-a)'!B$22:V$71,20,FALSE),"")</f>
        <v/>
      </c>
      <c r="O38" s="795" t="str">
        <f t="shared" si="1"/>
        <v/>
      </c>
      <c r="P38" s="1076" t="str">
        <f t="shared" si="2"/>
        <v/>
      </c>
      <c r="Q38" s="1727" t="str">
        <f t="shared" si="3"/>
        <v/>
      </c>
      <c r="R38" s="1728"/>
      <c r="S38" s="1693"/>
      <c r="T38" s="1696"/>
      <c r="U38" s="1723" t="str">
        <f t="shared" si="8"/>
        <v/>
      </c>
      <c r="V38" s="1724"/>
      <c r="W38" s="123"/>
      <c r="X38" s="123"/>
      <c r="Y38" s="123"/>
      <c r="Z38" s="123"/>
      <c r="AA38" s="123"/>
      <c r="AB38" s="123"/>
      <c r="AC38" s="1102" t="str">
        <f t="shared" si="4"/>
        <v/>
      </c>
      <c r="AD38" s="700" t="str">
        <f t="shared" si="5"/>
        <v/>
      </c>
      <c r="AE38"/>
      <c r="AF38"/>
      <c r="AG38"/>
      <c r="AH38" s="737">
        <v>22</v>
      </c>
      <c r="AI38" s="737" t="s">
        <v>1056</v>
      </c>
      <c r="AJ38" s="730">
        <f>ROW()</f>
        <v>38</v>
      </c>
      <c r="AK38" s="123"/>
      <c r="AL38" s="123"/>
      <c r="AM38" s="123"/>
      <c r="AN38" s="123"/>
      <c r="AO38" s="123"/>
      <c r="AP38" s="236">
        <f t="shared" si="11"/>
        <v>0</v>
      </c>
      <c r="AQ38" s="121">
        <f t="shared" si="7"/>
        <v>0</v>
      </c>
      <c r="AS38" s="730">
        <f t="shared" si="9"/>
        <v>0</v>
      </c>
      <c r="AT38" s="730" t="e">
        <f>VLOOKUP(B38,'SpxSp (step-a)'!AZ$22:BC$71,4,FALSE)</f>
        <v>#N/A</v>
      </c>
    </row>
    <row r="39" spans="1:46" s="43" customFormat="1" ht="13" customHeight="1" x14ac:dyDescent="0.25">
      <c r="A39" s="5">
        <v>22</v>
      </c>
      <c r="B39" s="1670"/>
      <c r="C39" s="1746"/>
      <c r="D39" s="1746"/>
      <c r="E39" s="1746"/>
      <c r="F39" s="1746"/>
      <c r="G39" s="1098"/>
      <c r="H39" s="1697" t="str">
        <f>IF(B39="","",VLOOKUP(B39,'SpxSp (step-a)'!B$22:V$71,19,FALSE))</f>
        <v/>
      </c>
      <c r="I39" s="1725"/>
      <c r="J39" s="1693"/>
      <c r="K39" s="1726"/>
      <c r="L39" s="1067"/>
      <c r="M39" s="799" t="str">
        <f t="shared" si="10"/>
        <v xml:space="preserve"> </v>
      </c>
      <c r="N39" s="799" t="str">
        <f>IFERROR(VLOOKUP(B39,'SpxSp (step-a)'!B$22:V$71,20,FALSE),"")</f>
        <v/>
      </c>
      <c r="O39" s="795" t="str">
        <f t="shared" si="1"/>
        <v/>
      </c>
      <c r="P39" s="1076" t="str">
        <f t="shared" si="2"/>
        <v/>
      </c>
      <c r="Q39" s="1727" t="str">
        <f t="shared" si="3"/>
        <v/>
      </c>
      <c r="R39" s="1728"/>
      <c r="S39" s="1693"/>
      <c r="T39" s="1696"/>
      <c r="U39" s="1723" t="str">
        <f t="shared" si="8"/>
        <v/>
      </c>
      <c r="V39" s="1724"/>
      <c r="W39" s="123"/>
      <c r="X39" s="123"/>
      <c r="Y39" s="123"/>
      <c r="Z39" s="123"/>
      <c r="AA39" s="123"/>
      <c r="AB39" s="123"/>
      <c r="AC39" s="1102" t="str">
        <f t="shared" si="4"/>
        <v/>
      </c>
      <c r="AD39" s="700" t="str">
        <f t="shared" si="5"/>
        <v/>
      </c>
      <c r="AE39"/>
      <c r="AF39"/>
      <c r="AG39"/>
      <c r="AH39" s="737">
        <v>23</v>
      </c>
      <c r="AI39" s="737" t="s">
        <v>912</v>
      </c>
      <c r="AJ39" s="730">
        <f>ROW()</f>
        <v>39</v>
      </c>
      <c r="AK39" s="123"/>
      <c r="AL39" s="123"/>
      <c r="AM39" s="123"/>
      <c r="AN39" s="123"/>
      <c r="AO39" s="123"/>
      <c r="AP39" s="236">
        <f t="shared" si="11"/>
        <v>0</v>
      </c>
      <c r="AQ39" s="121">
        <f t="shared" si="7"/>
        <v>0</v>
      </c>
      <c r="AS39" s="730">
        <f t="shared" si="9"/>
        <v>0</v>
      </c>
      <c r="AT39" s="730" t="e">
        <f>VLOOKUP(B39,'SpxSp (step-a)'!AZ$22:BC$71,4,FALSE)</f>
        <v>#N/A</v>
      </c>
    </row>
    <row r="40" spans="1:46" s="43" customFormat="1" ht="13" customHeight="1" x14ac:dyDescent="0.25">
      <c r="A40" s="5">
        <v>23</v>
      </c>
      <c r="B40" s="1670"/>
      <c r="C40" s="1746"/>
      <c r="D40" s="1746"/>
      <c r="E40" s="1746"/>
      <c r="F40" s="1746"/>
      <c r="G40" s="1098"/>
      <c r="H40" s="1697" t="str">
        <f>IF(B40="","",VLOOKUP(B40,'SpxSp (step-a)'!B$22:V$71,19,FALSE))</f>
        <v/>
      </c>
      <c r="I40" s="1725"/>
      <c r="J40" s="1693"/>
      <c r="K40" s="1726"/>
      <c r="L40" s="1067"/>
      <c r="M40" s="799" t="str">
        <f t="shared" si="10"/>
        <v xml:space="preserve"> </v>
      </c>
      <c r="N40" s="799" t="str">
        <f>IFERROR(VLOOKUP(B40,'SpxSp (step-a)'!B$22:V$71,20,FALSE),"")</f>
        <v/>
      </c>
      <c r="O40" s="795" t="str">
        <f t="shared" si="1"/>
        <v/>
      </c>
      <c r="P40" s="1076" t="str">
        <f t="shared" si="2"/>
        <v/>
      </c>
      <c r="Q40" s="1727" t="str">
        <f t="shared" si="3"/>
        <v/>
      </c>
      <c r="R40" s="1728"/>
      <c r="S40" s="1693"/>
      <c r="T40" s="1696"/>
      <c r="U40" s="1723" t="str">
        <f t="shared" si="8"/>
        <v/>
      </c>
      <c r="V40" s="1724"/>
      <c r="W40" s="123"/>
      <c r="X40" s="123"/>
      <c r="Y40" s="123"/>
      <c r="Z40" s="123"/>
      <c r="AA40" s="123"/>
      <c r="AB40" s="123"/>
      <c r="AC40" s="1102" t="str">
        <f t="shared" si="4"/>
        <v/>
      </c>
      <c r="AD40" s="700" t="str">
        <f t="shared" si="5"/>
        <v/>
      </c>
      <c r="AE40"/>
      <c r="AF40"/>
      <c r="AG40"/>
      <c r="AH40" s="737">
        <v>24</v>
      </c>
      <c r="AI40" s="737" t="s">
        <v>1057</v>
      </c>
      <c r="AJ40" s="730">
        <f>ROW()</f>
        <v>40</v>
      </c>
      <c r="AK40" s="123"/>
      <c r="AL40" s="123"/>
      <c r="AM40" s="123"/>
      <c r="AN40" s="123"/>
      <c r="AO40" s="123"/>
      <c r="AP40" s="236">
        <f t="shared" si="11"/>
        <v>0</v>
      </c>
      <c r="AQ40" s="121">
        <f t="shared" si="7"/>
        <v>0</v>
      </c>
      <c r="AS40" s="730">
        <f t="shared" si="9"/>
        <v>0</v>
      </c>
      <c r="AT40" s="730" t="e">
        <f>VLOOKUP(B40,'SpxSp (step-a)'!AZ$22:BC$71,4,FALSE)</f>
        <v>#N/A</v>
      </c>
    </row>
    <row r="41" spans="1:46" s="43" customFormat="1" ht="13" customHeight="1" x14ac:dyDescent="0.25">
      <c r="A41" s="5">
        <v>24</v>
      </c>
      <c r="B41" s="1670"/>
      <c r="C41" s="1746"/>
      <c r="D41" s="1746"/>
      <c r="E41" s="1746"/>
      <c r="F41" s="1746"/>
      <c r="G41" s="1098"/>
      <c r="H41" s="1697" t="str">
        <f>IF(B41="","",VLOOKUP(B41,'SpxSp (step-a)'!B$22:V$71,19,FALSE))</f>
        <v/>
      </c>
      <c r="I41" s="1725"/>
      <c r="J41" s="1693"/>
      <c r="K41" s="1726"/>
      <c r="L41" s="1067"/>
      <c r="M41" s="799" t="str">
        <f t="shared" si="10"/>
        <v xml:space="preserve"> </v>
      </c>
      <c r="N41" s="799" t="str">
        <f>IFERROR(VLOOKUP(B41,'SpxSp (step-a)'!B$22:V$71,20,FALSE),"")</f>
        <v/>
      </c>
      <c r="O41" s="795" t="str">
        <f t="shared" si="1"/>
        <v/>
      </c>
      <c r="P41" s="1076" t="str">
        <f t="shared" si="2"/>
        <v/>
      </c>
      <c r="Q41" s="1727" t="str">
        <f t="shared" si="3"/>
        <v/>
      </c>
      <c r="R41" s="1728"/>
      <c r="S41" s="1693"/>
      <c r="T41" s="1696"/>
      <c r="U41" s="1723" t="str">
        <f t="shared" si="8"/>
        <v/>
      </c>
      <c r="V41" s="1724"/>
      <c r="W41" s="123"/>
      <c r="X41" s="123"/>
      <c r="Y41" s="123"/>
      <c r="Z41" s="123"/>
      <c r="AA41" s="123"/>
      <c r="AB41" s="123"/>
      <c r="AC41" s="1102" t="str">
        <f t="shared" si="4"/>
        <v/>
      </c>
      <c r="AD41" s="700" t="str">
        <f t="shared" si="5"/>
        <v/>
      </c>
      <c r="AE41"/>
      <c r="AF41"/>
      <c r="AG41"/>
      <c r="AH41" s="737">
        <v>25</v>
      </c>
      <c r="AI41" s="737" t="s">
        <v>913</v>
      </c>
      <c r="AJ41" s="730">
        <f>ROW()</f>
        <v>41</v>
      </c>
      <c r="AK41" s="123"/>
      <c r="AL41" s="123"/>
      <c r="AM41" s="123"/>
      <c r="AN41" s="123"/>
      <c r="AO41" s="123"/>
      <c r="AP41" s="236">
        <f t="shared" si="11"/>
        <v>0</v>
      </c>
      <c r="AQ41" s="121">
        <f t="shared" si="7"/>
        <v>0</v>
      </c>
      <c r="AS41" s="730">
        <f t="shared" si="9"/>
        <v>0</v>
      </c>
      <c r="AT41" s="730" t="e">
        <f>VLOOKUP(B41,'SpxSp (step-a)'!AZ$22:BC$71,4,FALSE)</f>
        <v>#N/A</v>
      </c>
    </row>
    <row r="42" spans="1:46" s="43" customFormat="1" ht="13" customHeight="1" x14ac:dyDescent="0.25">
      <c r="A42" s="5">
        <v>25</v>
      </c>
      <c r="B42" s="1670"/>
      <c r="C42" s="1746"/>
      <c r="D42" s="1746"/>
      <c r="E42" s="1746"/>
      <c r="F42" s="1746"/>
      <c r="G42" s="1098"/>
      <c r="H42" s="1697" t="str">
        <f>IF(B42="","",VLOOKUP(B42,'SpxSp (step-a)'!B$22:V$71,19,FALSE))</f>
        <v/>
      </c>
      <c r="I42" s="1725"/>
      <c r="J42" s="1693"/>
      <c r="K42" s="1726"/>
      <c r="L42" s="1099"/>
      <c r="M42" s="799" t="str">
        <f t="shared" si="10"/>
        <v xml:space="preserve"> </v>
      </c>
      <c r="N42" s="799" t="str">
        <f>IFERROR(VLOOKUP(B42,'SpxSp (step-a)'!B$22:V$71,20,FALSE),"")</f>
        <v/>
      </c>
      <c r="O42" s="795" t="str">
        <f t="shared" si="1"/>
        <v/>
      </c>
      <c r="P42" s="1076" t="str">
        <f t="shared" si="2"/>
        <v/>
      </c>
      <c r="Q42" s="1727" t="str">
        <f t="shared" si="3"/>
        <v/>
      </c>
      <c r="R42" s="1728"/>
      <c r="S42" s="1693"/>
      <c r="T42" s="1696"/>
      <c r="U42" s="1723" t="str">
        <f t="shared" si="8"/>
        <v/>
      </c>
      <c r="V42" s="1724"/>
      <c r="W42" s="123"/>
      <c r="X42" s="123"/>
      <c r="Y42" s="123"/>
      <c r="Z42" s="123"/>
      <c r="AA42" s="123"/>
      <c r="AB42" s="123"/>
      <c r="AC42" s="1102" t="str">
        <f t="shared" si="4"/>
        <v/>
      </c>
      <c r="AD42" s="700" t="str">
        <f t="shared" si="5"/>
        <v/>
      </c>
      <c r="AE42"/>
      <c r="AF42"/>
      <c r="AG42"/>
      <c r="AH42" s="737">
        <v>26</v>
      </c>
      <c r="AI42" s="737" t="s">
        <v>1058</v>
      </c>
      <c r="AJ42" s="730">
        <f>ROW()</f>
        <v>42</v>
      </c>
      <c r="AK42" s="123"/>
      <c r="AL42" s="123"/>
      <c r="AM42" s="123"/>
      <c r="AN42" s="123"/>
      <c r="AO42" s="123"/>
      <c r="AP42" s="236">
        <f t="shared" si="11"/>
        <v>0</v>
      </c>
      <c r="AQ42" s="121">
        <f t="shared" si="7"/>
        <v>0</v>
      </c>
      <c r="AS42" s="730">
        <f t="shared" si="9"/>
        <v>0</v>
      </c>
      <c r="AT42" s="730" t="e">
        <f>VLOOKUP(B42,'SpxSp (step-a)'!AZ$22:BC$71,4,FALSE)</f>
        <v>#N/A</v>
      </c>
    </row>
    <row r="43" spans="1:46" s="43" customFormat="1" ht="13" customHeight="1" x14ac:dyDescent="0.25">
      <c r="A43" s="5">
        <v>26</v>
      </c>
      <c r="B43" s="1670"/>
      <c r="C43" s="1746"/>
      <c r="D43" s="1746"/>
      <c r="E43" s="1746"/>
      <c r="F43" s="1746"/>
      <c r="G43" s="1098"/>
      <c r="H43" s="1697" t="str">
        <f>IF(B43="","",VLOOKUP(B43,'SpxSp (step-a)'!B$22:V$71,19,FALSE))</f>
        <v/>
      </c>
      <c r="I43" s="1725"/>
      <c r="J43" s="1693"/>
      <c r="K43" s="1726"/>
      <c r="L43" s="1067"/>
      <c r="M43" s="799" t="str">
        <f t="shared" si="10"/>
        <v xml:space="preserve"> </v>
      </c>
      <c r="N43" s="799" t="str">
        <f>IFERROR(VLOOKUP(B43,'SpxSp (step-a)'!B$22:V$71,20,FALSE),"")</f>
        <v/>
      </c>
      <c r="O43" s="795" t="str">
        <f t="shared" si="1"/>
        <v/>
      </c>
      <c r="P43" s="1076" t="str">
        <f t="shared" si="2"/>
        <v/>
      </c>
      <c r="Q43" s="1727" t="str">
        <f t="shared" si="3"/>
        <v/>
      </c>
      <c r="R43" s="1728"/>
      <c r="S43" s="1693"/>
      <c r="T43" s="1696"/>
      <c r="U43" s="1723" t="str">
        <f t="shared" si="8"/>
        <v/>
      </c>
      <c r="V43" s="1724"/>
      <c r="W43" s="123"/>
      <c r="X43" s="123"/>
      <c r="Y43" s="123"/>
      <c r="Z43" s="123"/>
      <c r="AA43" s="123"/>
      <c r="AB43" s="123"/>
      <c r="AC43" s="1102" t="str">
        <f t="shared" si="4"/>
        <v/>
      </c>
      <c r="AD43" s="700" t="str">
        <f t="shared" si="5"/>
        <v/>
      </c>
      <c r="AE43"/>
      <c r="AF43"/>
      <c r="AG43"/>
      <c r="AH43" s="737">
        <v>27</v>
      </c>
      <c r="AI43" s="737" t="str">
        <f>CONCATENATE("A",AI17)</f>
        <v>AA</v>
      </c>
      <c r="AJ43" s="730">
        <f>ROW()</f>
        <v>43</v>
      </c>
      <c r="AK43" s="123"/>
      <c r="AL43" s="123"/>
      <c r="AM43" s="123"/>
      <c r="AN43" s="123"/>
      <c r="AO43" s="123"/>
      <c r="AP43" s="236">
        <f t="shared" si="11"/>
        <v>0</v>
      </c>
      <c r="AQ43" s="121">
        <f t="shared" si="7"/>
        <v>0</v>
      </c>
      <c r="AS43" s="730">
        <f t="shared" si="9"/>
        <v>0</v>
      </c>
      <c r="AT43" s="730" t="e">
        <f>VLOOKUP(B43,'SpxSp (step-a)'!AZ$22:BC$71,4,FALSE)</f>
        <v>#N/A</v>
      </c>
    </row>
    <row r="44" spans="1:46" s="43" customFormat="1" ht="13" customHeight="1" x14ac:dyDescent="0.25">
      <c r="A44" s="5">
        <v>27</v>
      </c>
      <c r="B44" s="1670"/>
      <c r="C44" s="1746"/>
      <c r="D44" s="1746"/>
      <c r="E44" s="1746"/>
      <c r="F44" s="1746"/>
      <c r="G44" s="1098"/>
      <c r="H44" s="1697" t="str">
        <f>IF(B44="","",VLOOKUP(B44,'SpxSp (step-a)'!B$22:V$71,19,FALSE))</f>
        <v/>
      </c>
      <c r="I44" s="1725"/>
      <c r="J44" s="1693"/>
      <c r="K44" s="1726"/>
      <c r="L44" s="1067"/>
      <c r="M44" s="799" t="str">
        <f t="shared" si="10"/>
        <v xml:space="preserve"> </v>
      </c>
      <c r="N44" s="799" t="str">
        <f>IFERROR(VLOOKUP(B44,'SpxSp (step-a)'!B$22:V$71,20,FALSE),"")</f>
        <v/>
      </c>
      <c r="O44" s="795" t="str">
        <f t="shared" si="1"/>
        <v/>
      </c>
      <c r="P44" s="1076" t="str">
        <f t="shared" si="2"/>
        <v/>
      </c>
      <c r="Q44" s="1727" t="str">
        <f t="shared" si="3"/>
        <v/>
      </c>
      <c r="R44" s="1728"/>
      <c r="S44" s="1693"/>
      <c r="T44" s="1696"/>
      <c r="U44" s="1723" t="str">
        <f t="shared" si="8"/>
        <v/>
      </c>
      <c r="V44" s="1724"/>
      <c r="W44" s="123"/>
      <c r="X44" s="123"/>
      <c r="Y44" s="123"/>
      <c r="Z44" s="123"/>
      <c r="AA44" s="123"/>
      <c r="AB44" s="123"/>
      <c r="AC44" s="1102" t="str">
        <f t="shared" si="4"/>
        <v/>
      </c>
      <c r="AD44" s="700" t="str">
        <f t="shared" si="5"/>
        <v/>
      </c>
      <c r="AE44"/>
      <c r="AF44"/>
      <c r="AG44"/>
      <c r="AH44" s="737">
        <v>28</v>
      </c>
      <c r="AI44" s="737" t="str">
        <f t="shared" ref="AI44:AI68" si="12">CONCATENATE("A",AI18)</f>
        <v>AB</v>
      </c>
      <c r="AJ44" s="730">
        <f>ROW()</f>
        <v>44</v>
      </c>
      <c r="AK44" s="123"/>
      <c r="AL44" s="123"/>
      <c r="AM44" s="123"/>
      <c r="AN44" s="123"/>
      <c r="AO44" s="123"/>
      <c r="AP44" s="236">
        <f t="shared" si="11"/>
        <v>0</v>
      </c>
      <c r="AQ44" s="121">
        <f t="shared" si="7"/>
        <v>0</v>
      </c>
      <c r="AS44" s="730">
        <f t="shared" si="9"/>
        <v>0</v>
      </c>
      <c r="AT44" s="730" t="e">
        <f>VLOOKUP(B44,'SpxSp (step-a)'!AZ$22:BC$71,4,FALSE)</f>
        <v>#N/A</v>
      </c>
    </row>
    <row r="45" spans="1:46" s="43" customFormat="1" ht="13" customHeight="1" x14ac:dyDescent="0.25">
      <c r="A45" s="5">
        <v>28</v>
      </c>
      <c r="B45" s="1670"/>
      <c r="C45" s="1746"/>
      <c r="D45" s="1746"/>
      <c r="E45" s="1746"/>
      <c r="F45" s="1746"/>
      <c r="G45" s="1098"/>
      <c r="H45" s="1697" t="str">
        <f>IF(B45="","",VLOOKUP(B45,'SpxSp (step-a)'!B$22:V$71,19,FALSE))</f>
        <v/>
      </c>
      <c r="I45" s="1725"/>
      <c r="J45" s="1693"/>
      <c r="K45" s="1726"/>
      <c r="L45" s="1067"/>
      <c r="M45" s="799" t="str">
        <f t="shared" si="10"/>
        <v xml:space="preserve"> </v>
      </c>
      <c r="N45" s="799" t="str">
        <f>IFERROR(VLOOKUP(B45,'SpxSp (step-a)'!B$22:V$71,20,FALSE),"")</f>
        <v/>
      </c>
      <c r="O45" s="795" t="str">
        <f t="shared" si="1"/>
        <v/>
      </c>
      <c r="P45" s="1076" t="str">
        <f t="shared" si="2"/>
        <v/>
      </c>
      <c r="Q45" s="1727" t="str">
        <f t="shared" si="3"/>
        <v/>
      </c>
      <c r="R45" s="1728"/>
      <c r="S45" s="1693"/>
      <c r="T45" s="1696"/>
      <c r="U45" s="1723" t="str">
        <f t="shared" si="8"/>
        <v/>
      </c>
      <c r="V45" s="1724"/>
      <c r="W45" s="123"/>
      <c r="X45" s="123"/>
      <c r="Y45" s="123"/>
      <c r="Z45" s="123"/>
      <c r="AA45" s="123"/>
      <c r="AB45" s="123"/>
      <c r="AC45" s="1102" t="str">
        <f t="shared" si="4"/>
        <v/>
      </c>
      <c r="AD45" s="700" t="str">
        <f t="shared" si="5"/>
        <v/>
      </c>
      <c r="AE45"/>
      <c r="AF45"/>
      <c r="AG45"/>
      <c r="AH45" s="737">
        <v>29</v>
      </c>
      <c r="AI45" s="737" t="str">
        <f t="shared" si="12"/>
        <v>AC</v>
      </c>
      <c r="AJ45" s="730">
        <f>ROW()</f>
        <v>45</v>
      </c>
      <c r="AK45" s="123"/>
      <c r="AL45" s="123"/>
      <c r="AM45" s="123"/>
      <c r="AN45" s="123"/>
      <c r="AO45" s="123"/>
      <c r="AP45" s="236">
        <f t="shared" si="11"/>
        <v>0</v>
      </c>
      <c r="AQ45" s="121">
        <f t="shared" si="7"/>
        <v>0</v>
      </c>
      <c r="AS45" s="730">
        <f t="shared" si="9"/>
        <v>0</v>
      </c>
      <c r="AT45" s="730" t="e">
        <f>VLOOKUP(B45,'SpxSp (step-a)'!AZ$22:BC$71,4,FALSE)</f>
        <v>#N/A</v>
      </c>
    </row>
    <row r="46" spans="1:46" s="43" customFormat="1" ht="13" customHeight="1" x14ac:dyDescent="0.25">
      <c r="A46" s="5">
        <v>29</v>
      </c>
      <c r="B46" s="1670"/>
      <c r="C46" s="1746"/>
      <c r="D46" s="1746"/>
      <c r="E46" s="1746"/>
      <c r="F46" s="1746"/>
      <c r="G46" s="1098"/>
      <c r="H46" s="1697" t="str">
        <f>IF(B46="","",VLOOKUP(B46,'SpxSp (step-a)'!B$22:V$71,19,FALSE))</f>
        <v/>
      </c>
      <c r="I46" s="1725"/>
      <c r="J46" s="1693"/>
      <c r="K46" s="1726"/>
      <c r="L46" s="1067"/>
      <c r="M46" s="799" t="str">
        <f t="shared" si="10"/>
        <v xml:space="preserve"> </v>
      </c>
      <c r="N46" s="799" t="str">
        <f>IFERROR(VLOOKUP(B46,'SpxSp (step-a)'!B$22:V$71,20,FALSE),"")</f>
        <v/>
      </c>
      <c r="O46" s="795" t="str">
        <f t="shared" si="1"/>
        <v/>
      </c>
      <c r="P46" s="1076" t="str">
        <f t="shared" si="2"/>
        <v/>
      </c>
      <c r="Q46" s="1727" t="str">
        <f t="shared" si="3"/>
        <v/>
      </c>
      <c r="R46" s="1728"/>
      <c r="S46" s="1693"/>
      <c r="T46" s="1696"/>
      <c r="U46" s="1723" t="str">
        <f t="shared" si="8"/>
        <v/>
      </c>
      <c r="V46" s="1724"/>
      <c r="W46" s="123"/>
      <c r="X46" s="123"/>
      <c r="Y46" s="123"/>
      <c r="Z46" s="123"/>
      <c r="AA46" s="123"/>
      <c r="AB46" s="123"/>
      <c r="AC46" s="1102" t="str">
        <f t="shared" si="4"/>
        <v/>
      </c>
      <c r="AD46" s="700" t="str">
        <f t="shared" si="5"/>
        <v/>
      </c>
      <c r="AE46"/>
      <c r="AF46"/>
      <c r="AG46"/>
      <c r="AH46" s="737">
        <v>30</v>
      </c>
      <c r="AI46" s="737" t="str">
        <f t="shared" si="12"/>
        <v>AD</v>
      </c>
      <c r="AJ46" s="730">
        <f>ROW()</f>
        <v>46</v>
      </c>
      <c r="AK46" s="123"/>
      <c r="AL46" s="123"/>
      <c r="AM46" s="123"/>
      <c r="AN46" s="123"/>
      <c r="AO46" s="123"/>
      <c r="AP46" s="236">
        <f t="shared" si="11"/>
        <v>0</v>
      </c>
      <c r="AQ46" s="121">
        <f t="shared" si="7"/>
        <v>0</v>
      </c>
      <c r="AS46" s="730">
        <f t="shared" si="9"/>
        <v>0</v>
      </c>
      <c r="AT46" s="730" t="e">
        <f>VLOOKUP(B46,'SpxSp (step-a)'!AZ$22:BC$71,4,FALSE)</f>
        <v>#N/A</v>
      </c>
    </row>
    <row r="47" spans="1:46" s="43" customFormat="1" ht="13" customHeight="1" x14ac:dyDescent="0.25">
      <c r="A47" s="5">
        <v>30</v>
      </c>
      <c r="B47" s="1670"/>
      <c r="C47" s="1746"/>
      <c r="D47" s="1746"/>
      <c r="E47" s="1746"/>
      <c r="F47" s="1746"/>
      <c r="G47" s="1098"/>
      <c r="H47" s="1697" t="str">
        <f>IF(B47="","",VLOOKUP(B47,'SpxSp (step-a)'!B$22:V$71,19,FALSE))</f>
        <v/>
      </c>
      <c r="I47" s="1725"/>
      <c r="J47" s="1693"/>
      <c r="K47" s="1726"/>
      <c r="L47" s="1099"/>
      <c r="M47" s="799" t="str">
        <f t="shared" ref="M47:M56" si="13">IF(J47&lt;&gt;"",VLOOKUP(J47,_Luminaire_Schedule2,2,FALSE)," ")</f>
        <v xml:space="preserve"> </v>
      </c>
      <c r="N47" s="799" t="str">
        <f>IFERROR(VLOOKUP(B47,'SpxSp (step-a)'!B$22:V$71,20,FALSE),"")</f>
        <v/>
      </c>
      <c r="O47" s="795" t="str">
        <f t="shared" si="1"/>
        <v/>
      </c>
      <c r="P47" s="1076" t="str">
        <f t="shared" si="2"/>
        <v/>
      </c>
      <c r="Q47" s="1727" t="str">
        <f t="shared" si="3"/>
        <v/>
      </c>
      <c r="R47" s="1728"/>
      <c r="S47" s="1693"/>
      <c r="T47" s="1696"/>
      <c r="U47" s="1723" t="str">
        <f t="shared" si="8"/>
        <v/>
      </c>
      <c r="V47" s="1724"/>
      <c r="W47" s="123"/>
      <c r="X47" s="123"/>
      <c r="Y47" s="123"/>
      <c r="Z47" s="123"/>
      <c r="AA47" s="123"/>
      <c r="AB47" s="123"/>
      <c r="AC47" s="1102" t="str">
        <f t="shared" si="4"/>
        <v/>
      </c>
      <c r="AD47" s="700" t="str">
        <f t="shared" si="5"/>
        <v/>
      </c>
      <c r="AE47"/>
      <c r="AF47"/>
      <c r="AG47"/>
      <c r="AH47" s="737">
        <v>31</v>
      </c>
      <c r="AI47" s="737" t="str">
        <f t="shared" si="12"/>
        <v>AE</v>
      </c>
      <c r="AJ47" s="730">
        <f>ROW()</f>
        <v>47</v>
      </c>
      <c r="AK47" s="123"/>
      <c r="AL47" s="123"/>
      <c r="AM47" s="123"/>
      <c r="AN47" s="123"/>
      <c r="AO47" s="123"/>
      <c r="AP47" s="236">
        <f t="shared" ref="AP47:AP56" si="14">IFERROR(L47*M47,0)</f>
        <v>0</v>
      </c>
      <c r="AQ47" s="121">
        <f t="shared" si="7"/>
        <v>0</v>
      </c>
      <c r="AS47" s="730">
        <f t="shared" si="9"/>
        <v>0</v>
      </c>
      <c r="AT47" s="730" t="e">
        <f>VLOOKUP(B47,'SpxSp (step-a)'!AZ$22:BC$71,4,FALSE)</f>
        <v>#N/A</v>
      </c>
    </row>
    <row r="48" spans="1:46" s="43" customFormat="1" ht="13" customHeight="1" x14ac:dyDescent="0.25">
      <c r="A48" s="5">
        <v>31</v>
      </c>
      <c r="B48" s="1670"/>
      <c r="C48" s="1746"/>
      <c r="D48" s="1746"/>
      <c r="E48" s="1746"/>
      <c r="F48" s="1746"/>
      <c r="G48" s="1098"/>
      <c r="H48" s="1697" t="str">
        <f>IF(B48="","",VLOOKUP(B48,'SpxSp (step-a)'!B$22:V$71,19,FALSE))</f>
        <v/>
      </c>
      <c r="I48" s="1725"/>
      <c r="J48" s="1693"/>
      <c r="K48" s="1726"/>
      <c r="L48" s="1067"/>
      <c r="M48" s="799" t="str">
        <f t="shared" si="13"/>
        <v xml:space="preserve"> </v>
      </c>
      <c r="N48" s="799" t="str">
        <f>IFERROR(VLOOKUP(B48,'SpxSp (step-a)'!B$22:V$71,20,FALSE),"")</f>
        <v/>
      </c>
      <c r="O48" s="795" t="str">
        <f t="shared" si="1"/>
        <v/>
      </c>
      <c r="P48" s="1076" t="str">
        <f t="shared" si="2"/>
        <v/>
      </c>
      <c r="Q48" s="1727" t="str">
        <f t="shared" si="3"/>
        <v/>
      </c>
      <c r="R48" s="1728"/>
      <c r="S48" s="1693"/>
      <c r="T48" s="1696"/>
      <c r="U48" s="1723" t="str">
        <f t="shared" si="8"/>
        <v/>
      </c>
      <c r="V48" s="1724"/>
      <c r="W48" s="123"/>
      <c r="X48" s="123"/>
      <c r="Y48" s="123"/>
      <c r="Z48" s="123"/>
      <c r="AA48" s="123"/>
      <c r="AB48" s="123"/>
      <c r="AC48" s="1102" t="str">
        <f t="shared" si="4"/>
        <v/>
      </c>
      <c r="AD48" s="700" t="str">
        <f t="shared" si="5"/>
        <v/>
      </c>
      <c r="AE48"/>
      <c r="AF48"/>
      <c r="AG48"/>
      <c r="AH48" s="737">
        <v>32</v>
      </c>
      <c r="AI48" s="737" t="str">
        <f t="shared" si="12"/>
        <v>AF</v>
      </c>
      <c r="AJ48" s="730">
        <f>ROW()</f>
        <v>48</v>
      </c>
      <c r="AK48" s="123"/>
      <c r="AL48" s="123"/>
      <c r="AM48" s="123"/>
      <c r="AN48" s="123"/>
      <c r="AO48" s="123"/>
      <c r="AP48" s="236">
        <f t="shared" si="14"/>
        <v>0</v>
      </c>
      <c r="AQ48" s="121">
        <f t="shared" si="7"/>
        <v>0</v>
      </c>
      <c r="AS48" s="730">
        <f t="shared" si="9"/>
        <v>0</v>
      </c>
      <c r="AT48" s="730" t="e">
        <f>VLOOKUP(B48,'SpxSp (step-a)'!AZ$22:BC$71,4,FALSE)</f>
        <v>#N/A</v>
      </c>
    </row>
    <row r="49" spans="1:46" s="43" customFormat="1" ht="13" customHeight="1" x14ac:dyDescent="0.25">
      <c r="A49" s="5">
        <v>32</v>
      </c>
      <c r="B49" s="1670"/>
      <c r="C49" s="1746"/>
      <c r="D49" s="1746"/>
      <c r="E49" s="1746"/>
      <c r="F49" s="1746"/>
      <c r="G49" s="1098"/>
      <c r="H49" s="1697" t="str">
        <f>IF(B49="","",VLOOKUP(B49,'SpxSp (step-a)'!B$22:V$71,19,FALSE))</f>
        <v/>
      </c>
      <c r="I49" s="1725"/>
      <c r="J49" s="1693"/>
      <c r="K49" s="1726"/>
      <c r="L49" s="1067"/>
      <c r="M49" s="799" t="str">
        <f t="shared" si="13"/>
        <v xml:space="preserve"> </v>
      </c>
      <c r="N49" s="799" t="str">
        <f>IFERROR(VLOOKUP(B49,'SpxSp (step-a)'!B$22:V$71,20,FALSE),"")</f>
        <v/>
      </c>
      <c r="O49" s="795" t="str">
        <f t="shared" si="1"/>
        <v/>
      </c>
      <c r="P49" s="1076" t="str">
        <f t="shared" si="2"/>
        <v/>
      </c>
      <c r="Q49" s="1727" t="str">
        <f t="shared" si="3"/>
        <v/>
      </c>
      <c r="R49" s="1728"/>
      <c r="S49" s="1693"/>
      <c r="T49" s="1696"/>
      <c r="U49" s="1723" t="str">
        <f t="shared" si="8"/>
        <v/>
      </c>
      <c r="V49" s="1724"/>
      <c r="W49" s="123"/>
      <c r="X49" s="123"/>
      <c r="Y49" s="123"/>
      <c r="Z49" s="123"/>
      <c r="AA49" s="123"/>
      <c r="AB49" s="123"/>
      <c r="AC49" s="1102" t="str">
        <f t="shared" si="4"/>
        <v/>
      </c>
      <c r="AD49" s="700" t="str">
        <f t="shared" si="5"/>
        <v/>
      </c>
      <c r="AE49"/>
      <c r="AF49"/>
      <c r="AG49"/>
      <c r="AH49" s="737">
        <v>33</v>
      </c>
      <c r="AI49" s="737" t="str">
        <f t="shared" si="12"/>
        <v>AG</v>
      </c>
      <c r="AJ49" s="730">
        <f>ROW()</f>
        <v>49</v>
      </c>
      <c r="AK49" s="123"/>
      <c r="AL49" s="123"/>
      <c r="AM49" s="123"/>
      <c r="AN49" s="123"/>
      <c r="AO49" s="123"/>
      <c r="AP49" s="236">
        <f t="shared" si="14"/>
        <v>0</v>
      </c>
      <c r="AQ49" s="121">
        <f t="shared" si="7"/>
        <v>0</v>
      </c>
      <c r="AS49" s="730">
        <f t="shared" si="9"/>
        <v>0</v>
      </c>
      <c r="AT49" s="730" t="e">
        <f>VLOOKUP(B49,'SpxSp (step-a)'!AZ$22:BC$71,4,FALSE)</f>
        <v>#N/A</v>
      </c>
    </row>
    <row r="50" spans="1:46" s="43" customFormat="1" ht="13" customHeight="1" x14ac:dyDescent="0.25">
      <c r="A50" s="5">
        <v>33</v>
      </c>
      <c r="B50" s="1670"/>
      <c r="C50" s="1746"/>
      <c r="D50" s="1746"/>
      <c r="E50" s="1746"/>
      <c r="F50" s="1746"/>
      <c r="G50" s="1098"/>
      <c r="H50" s="1697" t="str">
        <f>IF(B50="","",VLOOKUP(B50,'SpxSp (step-a)'!B$22:V$71,19,FALSE))</f>
        <v/>
      </c>
      <c r="I50" s="1725"/>
      <c r="J50" s="1693"/>
      <c r="K50" s="1726"/>
      <c r="L50" s="1067"/>
      <c r="M50" s="799" t="str">
        <f t="shared" si="13"/>
        <v xml:space="preserve"> </v>
      </c>
      <c r="N50" s="799" t="str">
        <f>IFERROR(VLOOKUP(B50,'SpxSp (step-a)'!B$22:V$71,20,FALSE),"")</f>
        <v/>
      </c>
      <c r="O50" s="795" t="str">
        <f t="shared" ref="O50:O67" si="15">IF(B50="","",IF(AX50="ERROR","ERROR",IF(AP50=0,"",L50*M50)))</f>
        <v/>
      </c>
      <c r="P50" s="1076" t="str">
        <f t="shared" ref="P50:P67" si="16">IFERROR(IF(B50="","",IF(O50&gt;N50,O50-N50,0)),0)</f>
        <v/>
      </c>
      <c r="Q50" s="1727" t="str">
        <f t="shared" ref="Q50:Q67" si="17">IF(B50="","",IF(O50="","",IF(U50&lt;0,"Fail","Pass")))</f>
        <v/>
      </c>
      <c r="R50" s="1728"/>
      <c r="S50" s="1693"/>
      <c r="T50" s="1696"/>
      <c r="U50" s="1723" t="str">
        <f t="shared" si="8"/>
        <v/>
      </c>
      <c r="V50" s="1724"/>
      <c r="W50" s="123"/>
      <c r="X50" s="123"/>
      <c r="Y50" s="123"/>
      <c r="Z50" s="123"/>
      <c r="AA50" s="123"/>
      <c r="AB50" s="123"/>
      <c r="AC50" s="1102" t="str">
        <f t="shared" ref="AC50:AC67" si="18">IF(B50="","",IFERROR(J50,""))</f>
        <v/>
      </c>
      <c r="AD50" s="700" t="str">
        <f t="shared" ref="AD50:AD67" si="19">IF(B50="","",CONCATENATE("(",L50,") ",AC50," @ ",M50," watts each (",H50,")",CHAR(10)))</f>
        <v/>
      </c>
      <c r="AE50"/>
      <c r="AF50"/>
      <c r="AG50"/>
      <c r="AH50" s="737">
        <v>34</v>
      </c>
      <c r="AI50" s="737" t="str">
        <f t="shared" si="12"/>
        <v>AH</v>
      </c>
      <c r="AJ50" s="730">
        <f>ROW()</f>
        <v>50</v>
      </c>
      <c r="AK50" s="123"/>
      <c r="AL50" s="123"/>
      <c r="AM50" s="123"/>
      <c r="AN50" s="123"/>
      <c r="AO50" s="123"/>
      <c r="AP50" s="236">
        <f t="shared" si="14"/>
        <v>0</v>
      </c>
      <c r="AQ50" s="121">
        <f t="shared" ref="AQ50:AQ67" si="20">IF(B50="",0,IF(S50="Yes",0,1))</f>
        <v>0</v>
      </c>
      <c r="AS50" s="730">
        <f t="shared" si="9"/>
        <v>0</v>
      </c>
      <c r="AT50" s="730" t="e">
        <f>VLOOKUP(B50,'SpxSp (step-a)'!AZ$22:BC$71,4,FALSE)</f>
        <v>#N/A</v>
      </c>
    </row>
    <row r="51" spans="1:46" s="43" customFormat="1" ht="13" customHeight="1" x14ac:dyDescent="0.25">
      <c r="A51" s="5">
        <v>34</v>
      </c>
      <c r="B51" s="1670"/>
      <c r="C51" s="1746"/>
      <c r="D51" s="1746"/>
      <c r="E51" s="1746"/>
      <c r="F51" s="1746"/>
      <c r="G51" s="1098"/>
      <c r="H51" s="1697" t="str">
        <f>IF(B51="","",VLOOKUP(B51,'SpxSp (step-a)'!B$22:V$71,19,FALSE))</f>
        <v/>
      </c>
      <c r="I51" s="1725"/>
      <c r="J51" s="1693"/>
      <c r="K51" s="1726"/>
      <c r="L51" s="1067"/>
      <c r="M51" s="799" t="str">
        <f t="shared" si="13"/>
        <v xml:space="preserve"> </v>
      </c>
      <c r="N51" s="799" t="str">
        <f>IFERROR(VLOOKUP(B51,'SpxSp (step-a)'!B$22:V$71,20,FALSE),"")</f>
        <v/>
      </c>
      <c r="O51" s="795" t="str">
        <f t="shared" si="15"/>
        <v/>
      </c>
      <c r="P51" s="1076" t="str">
        <f t="shared" si="16"/>
        <v/>
      </c>
      <c r="Q51" s="1727" t="str">
        <f t="shared" si="17"/>
        <v/>
      </c>
      <c r="R51" s="1728"/>
      <c r="S51" s="1693"/>
      <c r="T51" s="1696"/>
      <c r="U51" s="1723" t="str">
        <f t="shared" ref="U51:U67" si="21">IF(B51&lt;&gt;"",U50-P51,"")</f>
        <v/>
      </c>
      <c r="V51" s="1724"/>
      <c r="W51" s="123"/>
      <c r="X51" s="123"/>
      <c r="Y51" s="123"/>
      <c r="Z51" s="123"/>
      <c r="AA51" s="123"/>
      <c r="AB51" s="123"/>
      <c r="AC51" s="1102" t="str">
        <f t="shared" si="18"/>
        <v/>
      </c>
      <c r="AD51" s="700" t="str">
        <f t="shared" si="19"/>
        <v/>
      </c>
      <c r="AE51"/>
      <c r="AF51"/>
      <c r="AG51"/>
      <c r="AH51" s="737">
        <v>35</v>
      </c>
      <c r="AI51" s="737" t="str">
        <f t="shared" si="12"/>
        <v>AI</v>
      </c>
      <c r="AJ51" s="730">
        <f>ROW()</f>
        <v>51</v>
      </c>
      <c r="AK51" s="123"/>
      <c r="AL51" s="123"/>
      <c r="AM51" s="123"/>
      <c r="AN51" s="123"/>
      <c r="AO51" s="123"/>
      <c r="AP51" s="236">
        <f t="shared" si="14"/>
        <v>0</v>
      </c>
      <c r="AQ51" s="121">
        <f t="shared" si="20"/>
        <v>0</v>
      </c>
      <c r="AS51" s="730">
        <f t="shared" si="9"/>
        <v>0</v>
      </c>
      <c r="AT51" s="730" t="e">
        <f>VLOOKUP(B51,'SpxSp (step-a)'!AZ$22:BC$71,4,FALSE)</f>
        <v>#N/A</v>
      </c>
    </row>
    <row r="52" spans="1:46" s="43" customFormat="1" ht="13" customHeight="1" x14ac:dyDescent="0.25">
      <c r="A52" s="5">
        <v>35</v>
      </c>
      <c r="B52" s="1670"/>
      <c r="C52" s="1746"/>
      <c r="D52" s="1746"/>
      <c r="E52" s="1746"/>
      <c r="F52" s="1746"/>
      <c r="G52" s="1098"/>
      <c r="H52" s="1697" t="str">
        <f>IF(B52="","",VLOOKUP(B52,'SpxSp (step-a)'!B$22:V$71,19,FALSE))</f>
        <v/>
      </c>
      <c r="I52" s="1725"/>
      <c r="J52" s="1693"/>
      <c r="K52" s="1726"/>
      <c r="L52" s="1099"/>
      <c r="M52" s="799" t="str">
        <f t="shared" si="13"/>
        <v xml:space="preserve"> </v>
      </c>
      <c r="N52" s="799" t="str">
        <f>IFERROR(VLOOKUP(B52,'SpxSp (step-a)'!B$22:V$71,20,FALSE),"")</f>
        <v/>
      </c>
      <c r="O52" s="795" t="str">
        <f t="shared" si="15"/>
        <v/>
      </c>
      <c r="P52" s="1076" t="str">
        <f t="shared" si="16"/>
        <v/>
      </c>
      <c r="Q52" s="1727" t="str">
        <f t="shared" si="17"/>
        <v/>
      </c>
      <c r="R52" s="1728"/>
      <c r="S52" s="1693"/>
      <c r="T52" s="1696"/>
      <c r="U52" s="1723" t="str">
        <f t="shared" si="21"/>
        <v/>
      </c>
      <c r="V52" s="1724"/>
      <c r="W52" s="123"/>
      <c r="X52" s="123"/>
      <c r="Y52" s="123"/>
      <c r="Z52" s="123"/>
      <c r="AA52" s="123"/>
      <c r="AB52" s="123"/>
      <c r="AC52" s="1102" t="str">
        <f t="shared" si="18"/>
        <v/>
      </c>
      <c r="AD52" s="700" t="str">
        <f t="shared" si="19"/>
        <v/>
      </c>
      <c r="AE52"/>
      <c r="AF52"/>
      <c r="AG52"/>
      <c r="AH52" s="737">
        <v>36</v>
      </c>
      <c r="AI52" s="737" t="str">
        <f t="shared" si="12"/>
        <v>AJ</v>
      </c>
      <c r="AJ52" s="730">
        <f>ROW()</f>
        <v>52</v>
      </c>
      <c r="AK52" s="123"/>
      <c r="AL52" s="123"/>
      <c r="AM52" s="123"/>
      <c r="AN52" s="123"/>
      <c r="AO52" s="123"/>
      <c r="AP52" s="236">
        <f t="shared" si="14"/>
        <v>0</v>
      </c>
      <c r="AQ52" s="121">
        <f t="shared" si="20"/>
        <v>0</v>
      </c>
      <c r="AS52" s="730">
        <f t="shared" si="9"/>
        <v>0</v>
      </c>
      <c r="AT52" s="730" t="e">
        <f>VLOOKUP(B52,'SpxSp (step-a)'!AZ$22:BC$71,4,FALSE)</f>
        <v>#N/A</v>
      </c>
    </row>
    <row r="53" spans="1:46" s="43" customFormat="1" ht="13" customHeight="1" x14ac:dyDescent="0.25">
      <c r="A53" s="5">
        <v>36</v>
      </c>
      <c r="B53" s="1670"/>
      <c r="C53" s="1746"/>
      <c r="D53" s="1746"/>
      <c r="E53" s="1746"/>
      <c r="F53" s="1746"/>
      <c r="G53" s="1098"/>
      <c r="H53" s="1697" t="str">
        <f>IF(B53="","",VLOOKUP(B53,'SpxSp (step-a)'!B$22:V$71,19,FALSE))</f>
        <v/>
      </c>
      <c r="I53" s="1725"/>
      <c r="J53" s="1693"/>
      <c r="K53" s="1726"/>
      <c r="L53" s="1067"/>
      <c r="M53" s="799" t="str">
        <f t="shared" si="13"/>
        <v xml:space="preserve"> </v>
      </c>
      <c r="N53" s="799" t="str">
        <f>IFERROR(VLOOKUP(B53,'SpxSp (step-a)'!B$22:V$71,20,FALSE),"")</f>
        <v/>
      </c>
      <c r="O53" s="795" t="str">
        <f t="shared" si="15"/>
        <v/>
      </c>
      <c r="P53" s="1076" t="str">
        <f t="shared" si="16"/>
        <v/>
      </c>
      <c r="Q53" s="1727" t="str">
        <f t="shared" si="17"/>
        <v/>
      </c>
      <c r="R53" s="1728"/>
      <c r="S53" s="1693"/>
      <c r="T53" s="1696"/>
      <c r="U53" s="1723" t="str">
        <f t="shared" si="21"/>
        <v/>
      </c>
      <c r="V53" s="1724"/>
      <c r="W53" s="123"/>
      <c r="X53" s="123"/>
      <c r="Y53" s="123"/>
      <c r="Z53" s="123"/>
      <c r="AA53" s="123"/>
      <c r="AB53" s="123"/>
      <c r="AC53" s="1102" t="str">
        <f t="shared" si="18"/>
        <v/>
      </c>
      <c r="AD53" s="700" t="str">
        <f t="shared" si="19"/>
        <v/>
      </c>
      <c r="AE53"/>
      <c r="AF53"/>
      <c r="AG53"/>
      <c r="AH53" s="737">
        <v>37</v>
      </c>
      <c r="AI53" s="737" t="str">
        <f t="shared" si="12"/>
        <v>AK</v>
      </c>
      <c r="AJ53" s="730">
        <f>ROW()</f>
        <v>53</v>
      </c>
      <c r="AK53" s="123"/>
      <c r="AL53" s="123"/>
      <c r="AM53" s="123"/>
      <c r="AN53" s="123"/>
      <c r="AO53" s="123"/>
      <c r="AP53" s="236">
        <f t="shared" si="14"/>
        <v>0</v>
      </c>
      <c r="AQ53" s="121">
        <f t="shared" si="20"/>
        <v>0</v>
      </c>
      <c r="AS53" s="730">
        <f t="shared" si="9"/>
        <v>0</v>
      </c>
      <c r="AT53" s="730" t="e">
        <f>VLOOKUP(B53,'SpxSp (step-a)'!AZ$22:BC$71,4,FALSE)</f>
        <v>#N/A</v>
      </c>
    </row>
    <row r="54" spans="1:46" s="43" customFormat="1" ht="13" customHeight="1" x14ac:dyDescent="0.25">
      <c r="A54" s="5">
        <v>37</v>
      </c>
      <c r="B54" s="1670"/>
      <c r="C54" s="1746"/>
      <c r="D54" s="1746"/>
      <c r="E54" s="1746"/>
      <c r="F54" s="1746"/>
      <c r="G54" s="1098"/>
      <c r="H54" s="1697" t="str">
        <f>IF(B54="","",VLOOKUP(B54,'SpxSp (step-a)'!B$22:V$71,19,FALSE))</f>
        <v/>
      </c>
      <c r="I54" s="1725"/>
      <c r="J54" s="1693"/>
      <c r="K54" s="1726"/>
      <c r="L54" s="1067"/>
      <c r="M54" s="799" t="str">
        <f t="shared" si="13"/>
        <v xml:space="preserve"> </v>
      </c>
      <c r="N54" s="799" t="str">
        <f>IFERROR(VLOOKUP(B54,'SpxSp (step-a)'!B$22:V$71,20,FALSE),"")</f>
        <v/>
      </c>
      <c r="O54" s="795" t="str">
        <f t="shared" si="15"/>
        <v/>
      </c>
      <c r="P54" s="1076" t="str">
        <f t="shared" si="16"/>
        <v/>
      </c>
      <c r="Q54" s="1727" t="str">
        <f t="shared" si="17"/>
        <v/>
      </c>
      <c r="R54" s="1728"/>
      <c r="S54" s="1693"/>
      <c r="T54" s="1696"/>
      <c r="U54" s="1723" t="str">
        <f t="shared" si="21"/>
        <v/>
      </c>
      <c r="V54" s="1724"/>
      <c r="W54" s="123"/>
      <c r="X54" s="123"/>
      <c r="Y54" s="123"/>
      <c r="Z54" s="123"/>
      <c r="AA54" s="123"/>
      <c r="AB54" s="123"/>
      <c r="AC54" s="1102" t="str">
        <f t="shared" si="18"/>
        <v/>
      </c>
      <c r="AD54" s="700" t="str">
        <f t="shared" si="19"/>
        <v/>
      </c>
      <c r="AE54"/>
      <c r="AF54"/>
      <c r="AG54"/>
      <c r="AH54" s="737">
        <v>38</v>
      </c>
      <c r="AI54" s="737" t="str">
        <f t="shared" si="12"/>
        <v>Al</v>
      </c>
      <c r="AJ54" s="730">
        <f>ROW()</f>
        <v>54</v>
      </c>
      <c r="AK54" s="123"/>
      <c r="AL54" s="123"/>
      <c r="AM54" s="123"/>
      <c r="AN54" s="123"/>
      <c r="AO54" s="123"/>
      <c r="AP54" s="236">
        <f t="shared" si="14"/>
        <v>0</v>
      </c>
      <c r="AQ54" s="121">
        <f t="shared" si="20"/>
        <v>0</v>
      </c>
      <c r="AS54" s="730">
        <f t="shared" si="9"/>
        <v>0</v>
      </c>
      <c r="AT54" s="730" t="e">
        <f>VLOOKUP(B54,'SpxSp (step-a)'!AZ$22:BC$71,4,FALSE)</f>
        <v>#N/A</v>
      </c>
    </row>
    <row r="55" spans="1:46" s="43" customFormat="1" ht="13" customHeight="1" x14ac:dyDescent="0.25">
      <c r="A55" s="5">
        <v>38</v>
      </c>
      <c r="B55" s="1670"/>
      <c r="C55" s="1746"/>
      <c r="D55" s="1746"/>
      <c r="E55" s="1746"/>
      <c r="F55" s="1746"/>
      <c r="G55" s="1098"/>
      <c r="H55" s="1697" t="str">
        <f>IF(B55="","",VLOOKUP(B55,'SpxSp (step-a)'!B$22:V$71,19,FALSE))</f>
        <v/>
      </c>
      <c r="I55" s="1725"/>
      <c r="J55" s="1693"/>
      <c r="K55" s="1726"/>
      <c r="L55" s="1067"/>
      <c r="M55" s="799" t="str">
        <f t="shared" si="13"/>
        <v xml:space="preserve"> </v>
      </c>
      <c r="N55" s="799" t="str">
        <f>IFERROR(VLOOKUP(B55,'SpxSp (step-a)'!B$22:V$71,20,FALSE),"")</f>
        <v/>
      </c>
      <c r="O55" s="795" t="str">
        <f t="shared" si="15"/>
        <v/>
      </c>
      <c r="P55" s="1076" t="str">
        <f t="shared" si="16"/>
        <v/>
      </c>
      <c r="Q55" s="1727" t="str">
        <f t="shared" si="17"/>
        <v/>
      </c>
      <c r="R55" s="1728"/>
      <c r="S55" s="1693"/>
      <c r="T55" s="1696"/>
      <c r="U55" s="1723" t="str">
        <f t="shared" si="21"/>
        <v/>
      </c>
      <c r="V55" s="1724"/>
      <c r="W55" s="123"/>
      <c r="X55" s="123"/>
      <c r="Y55" s="123"/>
      <c r="Z55" s="123"/>
      <c r="AA55" s="123"/>
      <c r="AB55" s="123"/>
      <c r="AC55" s="1102" t="str">
        <f t="shared" si="18"/>
        <v/>
      </c>
      <c r="AD55" s="700" t="str">
        <f t="shared" si="19"/>
        <v/>
      </c>
      <c r="AE55"/>
      <c r="AF55"/>
      <c r="AG55"/>
      <c r="AH55" s="737">
        <v>39</v>
      </c>
      <c r="AI55" s="737" t="str">
        <f t="shared" si="12"/>
        <v>AM</v>
      </c>
      <c r="AJ55" s="730">
        <f>ROW()</f>
        <v>55</v>
      </c>
      <c r="AK55" s="123"/>
      <c r="AL55" s="123"/>
      <c r="AM55" s="123"/>
      <c r="AN55" s="123"/>
      <c r="AO55" s="123"/>
      <c r="AP55" s="236">
        <f t="shared" si="14"/>
        <v>0</v>
      </c>
      <c r="AQ55" s="121">
        <f t="shared" si="20"/>
        <v>0</v>
      </c>
      <c r="AS55" s="730">
        <f t="shared" si="9"/>
        <v>0</v>
      </c>
      <c r="AT55" s="730" t="e">
        <f>VLOOKUP(B55,'SpxSp (step-a)'!AZ$22:BC$71,4,FALSE)</f>
        <v>#N/A</v>
      </c>
    </row>
    <row r="56" spans="1:46" s="43" customFormat="1" ht="13" customHeight="1" x14ac:dyDescent="0.25">
      <c r="A56" s="5">
        <v>39</v>
      </c>
      <c r="B56" s="1670"/>
      <c r="C56" s="1746"/>
      <c r="D56" s="1746"/>
      <c r="E56" s="1746"/>
      <c r="F56" s="1746"/>
      <c r="G56" s="1098"/>
      <c r="H56" s="1697" t="str">
        <f>IF(B56="","",VLOOKUP(B56,'SpxSp (step-a)'!B$22:V$71,19,FALSE))</f>
        <v/>
      </c>
      <c r="I56" s="1725"/>
      <c r="J56" s="1693"/>
      <c r="K56" s="1726"/>
      <c r="L56" s="1067"/>
      <c r="M56" s="799" t="str">
        <f t="shared" si="13"/>
        <v xml:space="preserve"> </v>
      </c>
      <c r="N56" s="799" t="str">
        <f>IFERROR(VLOOKUP(B56,'SpxSp (step-a)'!B$22:V$71,20,FALSE),"")</f>
        <v/>
      </c>
      <c r="O56" s="795" t="str">
        <f t="shared" si="15"/>
        <v/>
      </c>
      <c r="P56" s="1076" t="str">
        <f t="shared" si="16"/>
        <v/>
      </c>
      <c r="Q56" s="1727" t="str">
        <f t="shared" si="17"/>
        <v/>
      </c>
      <c r="R56" s="1728"/>
      <c r="S56" s="1693"/>
      <c r="T56" s="1696"/>
      <c r="U56" s="1723" t="str">
        <f t="shared" si="21"/>
        <v/>
      </c>
      <c r="V56" s="1724"/>
      <c r="W56" s="123"/>
      <c r="X56" s="123"/>
      <c r="Y56" s="123"/>
      <c r="Z56" s="123"/>
      <c r="AA56" s="123"/>
      <c r="AB56" s="123"/>
      <c r="AC56" s="1102" t="str">
        <f t="shared" si="18"/>
        <v/>
      </c>
      <c r="AD56" s="700" t="str">
        <f t="shared" si="19"/>
        <v/>
      </c>
      <c r="AE56"/>
      <c r="AF56"/>
      <c r="AG56"/>
      <c r="AH56" s="737">
        <v>40</v>
      </c>
      <c r="AI56" s="737" t="str">
        <f t="shared" si="12"/>
        <v>AN</v>
      </c>
      <c r="AJ56" s="730">
        <f>ROW()</f>
        <v>56</v>
      </c>
      <c r="AK56" s="123"/>
      <c r="AL56" s="123"/>
      <c r="AM56" s="123"/>
      <c r="AN56" s="123"/>
      <c r="AO56" s="123"/>
      <c r="AP56" s="236">
        <f t="shared" si="14"/>
        <v>0</v>
      </c>
      <c r="AQ56" s="121">
        <f t="shared" si="20"/>
        <v>0</v>
      </c>
      <c r="AS56" s="730">
        <f t="shared" si="9"/>
        <v>0</v>
      </c>
      <c r="AT56" s="730" t="e">
        <f>VLOOKUP(B56,'SpxSp (step-a)'!AZ$22:BC$71,4,FALSE)</f>
        <v>#N/A</v>
      </c>
    </row>
    <row r="57" spans="1:46" s="43" customFormat="1" ht="13" customHeight="1" x14ac:dyDescent="0.25">
      <c r="A57" s="5">
        <v>40</v>
      </c>
      <c r="B57" s="1670"/>
      <c r="C57" s="1746"/>
      <c r="D57" s="1746"/>
      <c r="E57" s="1746"/>
      <c r="F57" s="1746"/>
      <c r="G57" s="1098"/>
      <c r="H57" s="1697" t="str">
        <f>IF(B57="","",VLOOKUP(B57,'SpxSp (step-a)'!B$22:V$71,19,FALSE))</f>
        <v/>
      </c>
      <c r="I57" s="1725"/>
      <c r="J57" s="1693"/>
      <c r="K57" s="1726"/>
      <c r="L57" s="1099"/>
      <c r="M57" s="799" t="str">
        <f t="shared" si="0"/>
        <v xml:space="preserve"> </v>
      </c>
      <c r="N57" s="799" t="str">
        <f>IFERROR(VLOOKUP(B57,'SpxSp (step-a)'!B$22:V$71,20,FALSE),"")</f>
        <v/>
      </c>
      <c r="O57" s="795" t="str">
        <f t="shared" si="15"/>
        <v/>
      </c>
      <c r="P57" s="1076" t="str">
        <f t="shared" si="16"/>
        <v/>
      </c>
      <c r="Q57" s="1727" t="str">
        <f t="shared" si="17"/>
        <v/>
      </c>
      <c r="R57" s="1728"/>
      <c r="S57" s="1693"/>
      <c r="T57" s="1696"/>
      <c r="U57" s="1723" t="str">
        <f t="shared" si="21"/>
        <v/>
      </c>
      <c r="V57" s="1724"/>
      <c r="W57" s="123"/>
      <c r="X57" s="123"/>
      <c r="Y57" s="123"/>
      <c r="Z57" s="123"/>
      <c r="AA57" s="123"/>
      <c r="AB57" s="123"/>
      <c r="AC57" s="1102" t="str">
        <f t="shared" si="18"/>
        <v/>
      </c>
      <c r="AD57" s="700" t="str">
        <f t="shared" si="19"/>
        <v/>
      </c>
      <c r="AE57"/>
      <c r="AF57"/>
      <c r="AG57"/>
      <c r="AH57" s="737">
        <v>41</v>
      </c>
      <c r="AI57" s="737" t="str">
        <f t="shared" si="12"/>
        <v>AO</v>
      </c>
      <c r="AJ57" s="730">
        <f>ROW()</f>
        <v>57</v>
      </c>
      <c r="AK57" s="123"/>
      <c r="AL57" s="123"/>
      <c r="AM57" s="123"/>
      <c r="AN57" s="123"/>
      <c r="AO57" s="123"/>
      <c r="AP57" s="236">
        <f t="shared" si="6"/>
        <v>0</v>
      </c>
      <c r="AQ57" s="121">
        <f t="shared" si="20"/>
        <v>0</v>
      </c>
      <c r="AS57" s="730">
        <f t="shared" si="9"/>
        <v>0</v>
      </c>
      <c r="AT57" s="730" t="e">
        <f>VLOOKUP(B57,'SpxSp (step-a)'!AZ$22:BC$71,4,FALSE)</f>
        <v>#N/A</v>
      </c>
    </row>
    <row r="58" spans="1:46" s="43" customFormat="1" ht="13" customHeight="1" x14ac:dyDescent="0.25">
      <c r="A58" s="5">
        <v>41</v>
      </c>
      <c r="B58" s="1670"/>
      <c r="C58" s="1746"/>
      <c r="D58" s="1746"/>
      <c r="E58" s="1746"/>
      <c r="F58" s="1746"/>
      <c r="G58" s="1098"/>
      <c r="H58" s="1697" t="str">
        <f>IF(B58="","",VLOOKUP(B58,'SpxSp (step-a)'!B$22:V$71,19,FALSE))</f>
        <v/>
      </c>
      <c r="I58" s="1725"/>
      <c r="J58" s="1693"/>
      <c r="K58" s="1726"/>
      <c r="L58" s="1067"/>
      <c r="M58" s="799" t="str">
        <f t="shared" si="0"/>
        <v xml:space="preserve"> </v>
      </c>
      <c r="N58" s="799" t="str">
        <f>IFERROR(VLOOKUP(B58,'SpxSp (step-a)'!B$22:V$71,20,FALSE),"")</f>
        <v/>
      </c>
      <c r="O58" s="795" t="str">
        <f t="shared" si="15"/>
        <v/>
      </c>
      <c r="P58" s="1076" t="str">
        <f t="shared" si="16"/>
        <v/>
      </c>
      <c r="Q58" s="1727" t="str">
        <f t="shared" si="17"/>
        <v/>
      </c>
      <c r="R58" s="1728"/>
      <c r="S58" s="1693"/>
      <c r="T58" s="1696"/>
      <c r="U58" s="1723" t="str">
        <f t="shared" si="21"/>
        <v/>
      </c>
      <c r="V58" s="1724"/>
      <c r="W58" s="123"/>
      <c r="X58" s="123"/>
      <c r="Y58" s="123"/>
      <c r="Z58" s="123"/>
      <c r="AA58" s="123"/>
      <c r="AB58" s="123"/>
      <c r="AC58" s="1102" t="str">
        <f t="shared" si="18"/>
        <v/>
      </c>
      <c r="AD58" s="700" t="str">
        <f t="shared" si="19"/>
        <v/>
      </c>
      <c r="AE58"/>
      <c r="AF58"/>
      <c r="AG58"/>
      <c r="AH58" s="737">
        <v>42</v>
      </c>
      <c r="AI58" s="737" t="str">
        <f t="shared" si="12"/>
        <v>AP</v>
      </c>
      <c r="AJ58" s="730">
        <f>ROW()</f>
        <v>58</v>
      </c>
      <c r="AK58" s="123"/>
      <c r="AL58" s="123"/>
      <c r="AM58" s="123"/>
      <c r="AN58" s="123"/>
      <c r="AO58" s="123"/>
      <c r="AP58" s="236">
        <f t="shared" si="6"/>
        <v>0</v>
      </c>
      <c r="AQ58" s="121">
        <f t="shared" si="20"/>
        <v>0</v>
      </c>
      <c r="AS58" s="730">
        <f t="shared" si="9"/>
        <v>0</v>
      </c>
      <c r="AT58" s="730" t="e">
        <f>VLOOKUP(B58,'SpxSp (step-a)'!AZ$22:BC$71,4,FALSE)</f>
        <v>#N/A</v>
      </c>
    </row>
    <row r="59" spans="1:46" s="43" customFormat="1" ht="13" customHeight="1" x14ac:dyDescent="0.25">
      <c r="A59" s="5">
        <v>42</v>
      </c>
      <c r="B59" s="1670"/>
      <c r="C59" s="1746"/>
      <c r="D59" s="1746"/>
      <c r="E59" s="1746"/>
      <c r="F59" s="1746"/>
      <c r="G59" s="1098"/>
      <c r="H59" s="1697" t="str">
        <f>IF(B59="","",VLOOKUP(B59,'SpxSp (step-a)'!B$22:V$71,19,FALSE))</f>
        <v/>
      </c>
      <c r="I59" s="1725"/>
      <c r="J59" s="1693"/>
      <c r="K59" s="1726"/>
      <c r="L59" s="1067"/>
      <c r="M59" s="799" t="str">
        <f t="shared" si="0"/>
        <v xml:space="preserve"> </v>
      </c>
      <c r="N59" s="799" t="str">
        <f>IFERROR(VLOOKUP(B59,'SpxSp (step-a)'!B$22:V$71,20,FALSE),"")</f>
        <v/>
      </c>
      <c r="O59" s="795" t="str">
        <f t="shared" si="15"/>
        <v/>
      </c>
      <c r="P59" s="1076" t="str">
        <f t="shared" si="16"/>
        <v/>
      </c>
      <c r="Q59" s="1727" t="str">
        <f t="shared" si="17"/>
        <v/>
      </c>
      <c r="R59" s="1728"/>
      <c r="S59" s="1693"/>
      <c r="T59" s="1696"/>
      <c r="U59" s="1723" t="str">
        <f t="shared" si="21"/>
        <v/>
      </c>
      <c r="V59" s="1724"/>
      <c r="W59" s="123"/>
      <c r="X59" s="123"/>
      <c r="Y59" s="123"/>
      <c r="Z59" s="123"/>
      <c r="AA59" s="123"/>
      <c r="AB59" s="123"/>
      <c r="AC59" s="1102" t="str">
        <f t="shared" si="18"/>
        <v/>
      </c>
      <c r="AD59" s="700" t="str">
        <f t="shared" si="19"/>
        <v/>
      </c>
      <c r="AE59"/>
      <c r="AF59"/>
      <c r="AG59"/>
      <c r="AH59" s="737">
        <v>43</v>
      </c>
      <c r="AI59" s="737" t="str">
        <f t="shared" si="12"/>
        <v>AQ</v>
      </c>
      <c r="AJ59" s="730">
        <f>ROW()</f>
        <v>59</v>
      </c>
      <c r="AK59" s="123"/>
      <c r="AL59" s="123"/>
      <c r="AM59" s="123"/>
      <c r="AN59" s="123"/>
      <c r="AO59" s="123"/>
      <c r="AP59" s="236">
        <f t="shared" si="6"/>
        <v>0</v>
      </c>
      <c r="AQ59" s="121">
        <f t="shared" si="20"/>
        <v>0</v>
      </c>
      <c r="AS59" s="730">
        <f t="shared" si="9"/>
        <v>0</v>
      </c>
      <c r="AT59" s="730" t="e">
        <f>VLOOKUP(B59,'SpxSp (step-a)'!AZ$22:BC$71,4,FALSE)</f>
        <v>#N/A</v>
      </c>
    </row>
    <row r="60" spans="1:46" s="43" customFormat="1" ht="13" customHeight="1" x14ac:dyDescent="0.25">
      <c r="A60" s="5">
        <v>43</v>
      </c>
      <c r="B60" s="1670"/>
      <c r="C60" s="1746"/>
      <c r="D60" s="1746"/>
      <c r="E60" s="1746"/>
      <c r="F60" s="1746"/>
      <c r="G60" s="1098"/>
      <c r="H60" s="1697" t="str">
        <f>IF(B60="","",VLOOKUP(B60,'SpxSp (step-a)'!B$22:V$71,19,FALSE))</f>
        <v/>
      </c>
      <c r="I60" s="1725"/>
      <c r="J60" s="1693"/>
      <c r="K60" s="1726"/>
      <c r="L60" s="1067"/>
      <c r="M60" s="799" t="str">
        <f t="shared" si="0"/>
        <v xml:space="preserve"> </v>
      </c>
      <c r="N60" s="799" t="str">
        <f>IFERROR(VLOOKUP(B60,'SpxSp (step-a)'!B$22:V$71,20,FALSE),"")</f>
        <v/>
      </c>
      <c r="O60" s="795" t="str">
        <f t="shared" si="15"/>
        <v/>
      </c>
      <c r="P60" s="1076" t="str">
        <f t="shared" si="16"/>
        <v/>
      </c>
      <c r="Q60" s="1727" t="str">
        <f t="shared" si="17"/>
        <v/>
      </c>
      <c r="R60" s="1728"/>
      <c r="S60" s="1693"/>
      <c r="T60" s="1696"/>
      <c r="U60" s="1723" t="str">
        <f t="shared" si="21"/>
        <v/>
      </c>
      <c r="V60" s="1724"/>
      <c r="W60" s="123"/>
      <c r="X60" s="123"/>
      <c r="Y60" s="123"/>
      <c r="Z60" s="123"/>
      <c r="AA60" s="123"/>
      <c r="AB60" s="123"/>
      <c r="AC60" s="1102" t="str">
        <f t="shared" si="18"/>
        <v/>
      </c>
      <c r="AD60" s="700" t="str">
        <f t="shared" si="19"/>
        <v/>
      </c>
      <c r="AE60"/>
      <c r="AF60"/>
      <c r="AG60"/>
      <c r="AH60" s="737">
        <v>44</v>
      </c>
      <c r="AI60" s="737" t="str">
        <f t="shared" si="12"/>
        <v>AR</v>
      </c>
      <c r="AJ60" s="730">
        <f>ROW()</f>
        <v>60</v>
      </c>
      <c r="AK60" s="123"/>
      <c r="AL60" s="123"/>
      <c r="AM60" s="123"/>
      <c r="AN60" s="123"/>
      <c r="AO60" s="123"/>
      <c r="AP60" s="236">
        <f t="shared" si="6"/>
        <v>0</v>
      </c>
      <c r="AQ60" s="121">
        <f t="shared" si="20"/>
        <v>0</v>
      </c>
      <c r="AS60" s="730">
        <f t="shared" si="9"/>
        <v>0</v>
      </c>
      <c r="AT60" s="730" t="e">
        <f>VLOOKUP(B60,'SpxSp (step-a)'!AZ$22:BC$71,4,FALSE)</f>
        <v>#N/A</v>
      </c>
    </row>
    <row r="61" spans="1:46" s="43" customFormat="1" ht="13" customHeight="1" x14ac:dyDescent="0.25">
      <c r="A61" s="5">
        <v>44</v>
      </c>
      <c r="B61" s="1670"/>
      <c r="C61" s="1746"/>
      <c r="D61" s="1746"/>
      <c r="E61" s="1746"/>
      <c r="F61" s="1746"/>
      <c r="G61" s="1098"/>
      <c r="H61" s="1697" t="str">
        <f>IF(B61="","",VLOOKUP(B61,'SpxSp (step-a)'!B$22:V$71,19,FALSE))</f>
        <v/>
      </c>
      <c r="I61" s="1725"/>
      <c r="J61" s="1693"/>
      <c r="K61" s="1726"/>
      <c r="L61" s="1067"/>
      <c r="M61" s="799" t="str">
        <f t="shared" si="0"/>
        <v xml:space="preserve"> </v>
      </c>
      <c r="N61" s="799" t="str">
        <f>IFERROR(VLOOKUP(B61,'SpxSp (step-a)'!B$22:V$71,20,FALSE),"")</f>
        <v/>
      </c>
      <c r="O61" s="795" t="str">
        <f t="shared" si="15"/>
        <v/>
      </c>
      <c r="P61" s="1076" t="str">
        <f t="shared" si="16"/>
        <v/>
      </c>
      <c r="Q61" s="1727" t="str">
        <f t="shared" si="17"/>
        <v/>
      </c>
      <c r="R61" s="1728"/>
      <c r="S61" s="1693"/>
      <c r="T61" s="1696"/>
      <c r="U61" s="1723" t="str">
        <f t="shared" si="21"/>
        <v/>
      </c>
      <c r="V61" s="1724"/>
      <c r="W61" s="123"/>
      <c r="X61" s="123"/>
      <c r="Y61" s="123"/>
      <c r="Z61" s="123"/>
      <c r="AA61" s="123"/>
      <c r="AB61" s="123"/>
      <c r="AC61" s="1102" t="str">
        <f t="shared" si="18"/>
        <v/>
      </c>
      <c r="AD61" s="700" t="str">
        <f t="shared" si="19"/>
        <v/>
      </c>
      <c r="AE61"/>
      <c r="AF61"/>
      <c r="AG61"/>
      <c r="AH61" s="737">
        <v>45</v>
      </c>
      <c r="AI61" s="737" t="str">
        <f t="shared" si="12"/>
        <v>AS</v>
      </c>
      <c r="AJ61" s="730">
        <f>ROW()</f>
        <v>61</v>
      </c>
      <c r="AK61" s="123"/>
      <c r="AL61" s="123"/>
      <c r="AM61" s="123"/>
      <c r="AN61" s="123"/>
      <c r="AO61" s="123"/>
      <c r="AP61" s="236">
        <f t="shared" si="6"/>
        <v>0</v>
      </c>
      <c r="AQ61" s="121">
        <f t="shared" si="20"/>
        <v>0</v>
      </c>
      <c r="AS61" s="730">
        <f t="shared" si="9"/>
        <v>0</v>
      </c>
      <c r="AT61" s="730" t="e">
        <f>VLOOKUP(B61,'SpxSp (step-a)'!AZ$22:BC$71,4,FALSE)</f>
        <v>#N/A</v>
      </c>
    </row>
    <row r="62" spans="1:46" s="43" customFormat="1" ht="13" customHeight="1" x14ac:dyDescent="0.25">
      <c r="A62" s="5">
        <v>45</v>
      </c>
      <c r="B62" s="1670"/>
      <c r="C62" s="1746"/>
      <c r="D62" s="1746"/>
      <c r="E62" s="1746"/>
      <c r="F62" s="1746"/>
      <c r="G62" s="1098"/>
      <c r="H62" s="1697" t="str">
        <f>IF(B62="","",VLOOKUP(B62,'SpxSp (step-a)'!B$22:V$71,19,FALSE))</f>
        <v/>
      </c>
      <c r="I62" s="1725"/>
      <c r="J62" s="1693"/>
      <c r="K62" s="1726"/>
      <c r="L62" s="1099"/>
      <c r="M62" s="799" t="str">
        <f>IF(J62&lt;&gt;"",VLOOKUP(J62,_Luminaire_Schedule2,2,FALSE)," ")</f>
        <v xml:space="preserve"> </v>
      </c>
      <c r="N62" s="799" t="str">
        <f>IFERROR(VLOOKUP(B62,'SpxSp (step-a)'!B$22:V$71,20,FALSE),"")</f>
        <v/>
      </c>
      <c r="O62" s="795" t="str">
        <f t="shared" si="15"/>
        <v/>
      </c>
      <c r="P62" s="1076" t="str">
        <f t="shared" si="16"/>
        <v/>
      </c>
      <c r="Q62" s="1727" t="str">
        <f t="shared" si="17"/>
        <v/>
      </c>
      <c r="R62" s="1728"/>
      <c r="S62" s="1693"/>
      <c r="T62" s="1696"/>
      <c r="U62" s="1723" t="str">
        <f t="shared" si="21"/>
        <v/>
      </c>
      <c r="V62" s="1724"/>
      <c r="W62" s="123"/>
      <c r="X62" s="123"/>
      <c r="Y62" s="123"/>
      <c r="Z62" s="123"/>
      <c r="AA62" s="123"/>
      <c r="AB62" s="123"/>
      <c r="AC62" s="1102" t="str">
        <f t="shared" si="18"/>
        <v/>
      </c>
      <c r="AD62" s="700" t="str">
        <f t="shared" si="19"/>
        <v/>
      </c>
      <c r="AE62"/>
      <c r="AF62"/>
      <c r="AG62"/>
      <c r="AH62" s="737">
        <v>46</v>
      </c>
      <c r="AI62" s="737" t="str">
        <f t="shared" si="12"/>
        <v>AT</v>
      </c>
      <c r="AJ62" s="730">
        <f>ROW()</f>
        <v>62</v>
      </c>
      <c r="AK62" s="123"/>
      <c r="AL62" s="123"/>
      <c r="AM62" s="123"/>
      <c r="AN62" s="123"/>
      <c r="AO62" s="123"/>
      <c r="AP62" s="236">
        <f>IFERROR(L62*M62,0)</f>
        <v>0</v>
      </c>
      <c r="AQ62" s="121">
        <f t="shared" si="20"/>
        <v>0</v>
      </c>
      <c r="AS62" s="730">
        <f t="shared" si="9"/>
        <v>0</v>
      </c>
      <c r="AT62" s="730" t="e">
        <f>VLOOKUP(B62,'SpxSp (step-a)'!AZ$22:BC$71,4,FALSE)</f>
        <v>#N/A</v>
      </c>
    </row>
    <row r="63" spans="1:46" s="43" customFormat="1" ht="13" customHeight="1" x14ac:dyDescent="0.25">
      <c r="A63" s="5">
        <v>46</v>
      </c>
      <c r="B63" s="1670"/>
      <c r="C63" s="1746"/>
      <c r="D63" s="1746"/>
      <c r="E63" s="1746"/>
      <c r="F63" s="1746"/>
      <c r="G63" s="1098"/>
      <c r="H63" s="1697" t="str">
        <f>IF(B63="","",VLOOKUP(B63,'SpxSp (step-a)'!B$22:V$71,19,FALSE))</f>
        <v/>
      </c>
      <c r="I63" s="1725"/>
      <c r="J63" s="1693"/>
      <c r="K63" s="1726"/>
      <c r="L63" s="1067"/>
      <c r="M63" s="799" t="str">
        <f>IF(J63&lt;&gt;"",VLOOKUP(J63,_Luminaire_Schedule2,2,FALSE)," ")</f>
        <v xml:space="preserve"> </v>
      </c>
      <c r="N63" s="799" t="str">
        <f>IFERROR(VLOOKUP(B63,'SpxSp (step-a)'!B$22:V$71,20,FALSE),"")</f>
        <v/>
      </c>
      <c r="O63" s="795" t="str">
        <f t="shared" si="15"/>
        <v/>
      </c>
      <c r="P63" s="1076" t="str">
        <f t="shared" si="16"/>
        <v/>
      </c>
      <c r="Q63" s="1727" t="str">
        <f t="shared" si="17"/>
        <v/>
      </c>
      <c r="R63" s="1728"/>
      <c r="S63" s="1693"/>
      <c r="T63" s="1696"/>
      <c r="U63" s="1723" t="str">
        <f t="shared" si="21"/>
        <v/>
      </c>
      <c r="V63" s="1724"/>
      <c r="W63" s="123"/>
      <c r="X63" s="123"/>
      <c r="Y63" s="123"/>
      <c r="Z63" s="123"/>
      <c r="AA63" s="123"/>
      <c r="AB63" s="123"/>
      <c r="AC63" s="1102" t="str">
        <f t="shared" si="18"/>
        <v/>
      </c>
      <c r="AD63" s="700" t="str">
        <f t="shared" si="19"/>
        <v/>
      </c>
      <c r="AE63"/>
      <c r="AF63"/>
      <c r="AG63"/>
      <c r="AH63" s="737">
        <v>47</v>
      </c>
      <c r="AI63" s="737" t="str">
        <f t="shared" si="12"/>
        <v>AU</v>
      </c>
      <c r="AJ63" s="730">
        <f>ROW()</f>
        <v>63</v>
      </c>
      <c r="AK63" s="123"/>
      <c r="AL63" s="123"/>
      <c r="AM63" s="123"/>
      <c r="AN63" s="123"/>
      <c r="AO63" s="123"/>
      <c r="AP63" s="236">
        <f>IFERROR(L63*M63,0)</f>
        <v>0</v>
      </c>
      <c r="AQ63" s="121">
        <f t="shared" si="20"/>
        <v>0</v>
      </c>
      <c r="AS63" s="730">
        <f t="shared" si="9"/>
        <v>0</v>
      </c>
      <c r="AT63" s="730" t="e">
        <f>VLOOKUP(B63,'SpxSp (step-a)'!AZ$22:BC$71,4,FALSE)</f>
        <v>#N/A</v>
      </c>
    </row>
    <row r="64" spans="1:46" s="43" customFormat="1" ht="13" customHeight="1" x14ac:dyDescent="0.25">
      <c r="A64" s="5">
        <v>47</v>
      </c>
      <c r="B64" s="1670"/>
      <c r="C64" s="1746"/>
      <c r="D64" s="1746"/>
      <c r="E64" s="1746"/>
      <c r="F64" s="1746"/>
      <c r="G64" s="1098"/>
      <c r="H64" s="1697" t="str">
        <f>IF(B64="","",VLOOKUP(B64,'SpxSp (step-a)'!B$22:V$71,19,FALSE))</f>
        <v/>
      </c>
      <c r="I64" s="1725"/>
      <c r="J64" s="1693"/>
      <c r="K64" s="1726"/>
      <c r="L64" s="1067"/>
      <c r="M64" s="799" t="str">
        <f>IF(J64&lt;&gt;"",VLOOKUP(J64,_Luminaire_Schedule2,2,FALSE)," ")</f>
        <v xml:space="preserve"> </v>
      </c>
      <c r="N64" s="799" t="str">
        <f>IFERROR(VLOOKUP(B64,'SpxSp (step-a)'!B$22:V$71,20,FALSE),"")</f>
        <v/>
      </c>
      <c r="O64" s="795" t="str">
        <f t="shared" si="15"/>
        <v/>
      </c>
      <c r="P64" s="1076" t="str">
        <f t="shared" si="16"/>
        <v/>
      </c>
      <c r="Q64" s="1727" t="str">
        <f t="shared" si="17"/>
        <v/>
      </c>
      <c r="R64" s="1728"/>
      <c r="S64" s="1693"/>
      <c r="T64" s="1696"/>
      <c r="U64" s="1723" t="str">
        <f t="shared" si="21"/>
        <v/>
      </c>
      <c r="V64" s="1724"/>
      <c r="W64" s="123"/>
      <c r="X64" s="123"/>
      <c r="Y64" s="123"/>
      <c r="Z64" s="123"/>
      <c r="AA64" s="123"/>
      <c r="AB64" s="123"/>
      <c r="AC64" s="1102" t="str">
        <f t="shared" si="18"/>
        <v/>
      </c>
      <c r="AD64" s="700" t="str">
        <f t="shared" si="19"/>
        <v/>
      </c>
      <c r="AE64"/>
      <c r="AF64"/>
      <c r="AG64"/>
      <c r="AH64" s="737">
        <v>48</v>
      </c>
      <c r="AI64" s="737" t="str">
        <f t="shared" si="12"/>
        <v>AV</v>
      </c>
      <c r="AJ64" s="730">
        <f>ROW()</f>
        <v>64</v>
      </c>
      <c r="AK64" s="123"/>
      <c r="AL64" s="123"/>
      <c r="AM64" s="123"/>
      <c r="AN64" s="123"/>
      <c r="AO64" s="123"/>
      <c r="AP64" s="236">
        <f>IFERROR(L64*M64,0)</f>
        <v>0</v>
      </c>
      <c r="AQ64" s="121">
        <f t="shared" si="20"/>
        <v>0</v>
      </c>
      <c r="AS64" s="730">
        <f t="shared" si="9"/>
        <v>0</v>
      </c>
      <c r="AT64" s="730" t="e">
        <f>VLOOKUP(B64,'SpxSp (step-a)'!AZ$22:BC$71,4,FALSE)</f>
        <v>#N/A</v>
      </c>
    </row>
    <row r="65" spans="1:47" s="43" customFormat="1" ht="13" customHeight="1" x14ac:dyDescent="0.25">
      <c r="A65" s="5">
        <v>48</v>
      </c>
      <c r="B65" s="1670"/>
      <c r="C65" s="1746"/>
      <c r="D65" s="1746"/>
      <c r="E65" s="1746"/>
      <c r="F65" s="1746"/>
      <c r="G65" s="1098"/>
      <c r="H65" s="1697" t="str">
        <f>IF(B65="","",VLOOKUP(B65,'SpxSp (step-a)'!B$22:V$71,19,FALSE))</f>
        <v/>
      </c>
      <c r="I65" s="1725"/>
      <c r="J65" s="1693"/>
      <c r="K65" s="1726"/>
      <c r="L65" s="1067"/>
      <c r="M65" s="799" t="str">
        <f t="shared" si="0"/>
        <v xml:space="preserve"> </v>
      </c>
      <c r="N65" s="799" t="str">
        <f>IFERROR(VLOOKUP(B65,'SpxSp (step-a)'!B$22:V$71,20,FALSE),"")</f>
        <v/>
      </c>
      <c r="O65" s="795" t="str">
        <f t="shared" si="15"/>
        <v/>
      </c>
      <c r="P65" s="1076" t="str">
        <f t="shared" si="16"/>
        <v/>
      </c>
      <c r="Q65" s="1727" t="str">
        <f t="shared" si="17"/>
        <v/>
      </c>
      <c r="R65" s="1728"/>
      <c r="S65" s="1693"/>
      <c r="T65" s="1696"/>
      <c r="U65" s="1723" t="str">
        <f t="shared" si="21"/>
        <v/>
      </c>
      <c r="V65" s="1724"/>
      <c r="W65" s="123"/>
      <c r="X65" s="123"/>
      <c r="Y65" s="123"/>
      <c r="Z65" s="123"/>
      <c r="AA65" s="123"/>
      <c r="AB65" s="123"/>
      <c r="AC65" s="1102" t="str">
        <f t="shared" si="18"/>
        <v/>
      </c>
      <c r="AD65" s="700" t="str">
        <f t="shared" si="19"/>
        <v/>
      </c>
      <c r="AE65"/>
      <c r="AF65"/>
      <c r="AG65"/>
      <c r="AH65" s="737">
        <v>49</v>
      </c>
      <c r="AI65" s="737" t="str">
        <f t="shared" si="12"/>
        <v>AW</v>
      </c>
      <c r="AJ65" s="730">
        <f>ROW()</f>
        <v>65</v>
      </c>
      <c r="AK65" s="123"/>
      <c r="AL65" s="123"/>
      <c r="AM65" s="123"/>
      <c r="AN65" s="123"/>
      <c r="AO65" s="123"/>
      <c r="AP65" s="236">
        <f t="shared" si="6"/>
        <v>0</v>
      </c>
      <c r="AQ65" s="121">
        <f t="shared" si="20"/>
        <v>0</v>
      </c>
      <c r="AS65" s="730">
        <f t="shared" si="9"/>
        <v>0</v>
      </c>
      <c r="AT65" s="730" t="e">
        <f>VLOOKUP(B65,'SpxSp (step-a)'!AZ$22:BC$71,4,FALSE)</f>
        <v>#N/A</v>
      </c>
    </row>
    <row r="66" spans="1:47" s="43" customFormat="1" ht="13" customHeight="1" x14ac:dyDescent="0.25">
      <c r="A66" s="5">
        <v>49</v>
      </c>
      <c r="B66" s="1670"/>
      <c r="C66" s="1746"/>
      <c r="D66" s="1746"/>
      <c r="E66" s="1746"/>
      <c r="F66" s="1746"/>
      <c r="G66" s="1098"/>
      <c r="H66" s="1697" t="str">
        <f>IF(B66="","",VLOOKUP(B66,'SpxSp (step-a)'!B$22:V$71,19,FALSE))</f>
        <v/>
      </c>
      <c r="I66" s="1725"/>
      <c r="J66" s="1693"/>
      <c r="K66" s="1726"/>
      <c r="L66" s="1067"/>
      <c r="M66" s="799" t="str">
        <f t="shared" si="0"/>
        <v xml:space="preserve"> </v>
      </c>
      <c r="N66" s="799" t="str">
        <f>IFERROR(VLOOKUP(B66,'SpxSp (step-a)'!B$22:V$71,20,FALSE),"")</f>
        <v/>
      </c>
      <c r="O66" s="795" t="str">
        <f t="shared" si="15"/>
        <v/>
      </c>
      <c r="P66" s="1076" t="str">
        <f t="shared" si="16"/>
        <v/>
      </c>
      <c r="Q66" s="1727" t="str">
        <f t="shared" si="17"/>
        <v/>
      </c>
      <c r="R66" s="1728"/>
      <c r="S66" s="1693"/>
      <c r="T66" s="1696"/>
      <c r="U66" s="1723" t="str">
        <f t="shared" si="21"/>
        <v/>
      </c>
      <c r="V66" s="1724"/>
      <c r="W66" s="123"/>
      <c r="X66" s="123"/>
      <c r="Y66" s="123"/>
      <c r="Z66" s="123"/>
      <c r="AA66" s="123"/>
      <c r="AB66" s="123"/>
      <c r="AC66" s="1102" t="str">
        <f t="shared" si="18"/>
        <v/>
      </c>
      <c r="AD66" s="700" t="str">
        <f t="shared" si="19"/>
        <v/>
      </c>
      <c r="AE66"/>
      <c r="AF66"/>
      <c r="AG66"/>
      <c r="AH66" s="737">
        <v>50</v>
      </c>
      <c r="AI66" s="737" t="str">
        <f t="shared" si="12"/>
        <v>AX</v>
      </c>
      <c r="AJ66" s="730">
        <f>ROW()</f>
        <v>66</v>
      </c>
      <c r="AK66" s="123"/>
      <c r="AL66" s="123"/>
      <c r="AM66" s="123"/>
      <c r="AN66" s="123"/>
      <c r="AO66" s="123"/>
      <c r="AP66" s="236">
        <f t="shared" si="6"/>
        <v>0</v>
      </c>
      <c r="AQ66" s="121">
        <f t="shared" si="20"/>
        <v>0</v>
      </c>
      <c r="AS66" s="730">
        <f t="shared" si="9"/>
        <v>0</v>
      </c>
      <c r="AT66" s="730" t="e">
        <f>VLOOKUP(B66,'SpxSp (step-a)'!AZ$22:BC$71,4,FALSE)</f>
        <v>#N/A</v>
      </c>
    </row>
    <row r="67" spans="1:47" s="43" customFormat="1" ht="13" customHeight="1" thickBot="1" x14ac:dyDescent="0.3">
      <c r="A67" s="5">
        <v>50</v>
      </c>
      <c r="B67" s="1668"/>
      <c r="C67" s="1669"/>
      <c r="D67" s="1669"/>
      <c r="E67" s="1669"/>
      <c r="F67" s="1669"/>
      <c r="G67" s="973"/>
      <c r="H67" s="1699" t="str">
        <f>IF(B67="","",VLOOKUP(B67,'SpxSp (step-a)'!B$22:V$71,19,FALSE))</f>
        <v/>
      </c>
      <c r="I67" s="1700"/>
      <c r="J67" s="1704"/>
      <c r="K67" s="1743"/>
      <c r="L67" s="304"/>
      <c r="M67" s="854" t="str">
        <f t="shared" si="0"/>
        <v xml:space="preserve"> </v>
      </c>
      <c r="N67" s="854" t="str">
        <f>IFERROR(VLOOKUP(B67,'SpxSp (step-a)'!B$22:V$71,20,FALSE),"")</f>
        <v/>
      </c>
      <c r="O67" s="945" t="str">
        <f t="shared" si="15"/>
        <v/>
      </c>
      <c r="P67" s="1100" t="str">
        <f t="shared" si="16"/>
        <v/>
      </c>
      <c r="Q67" s="1738" t="str">
        <f t="shared" si="17"/>
        <v/>
      </c>
      <c r="R67" s="1739"/>
      <c r="S67" s="1704"/>
      <c r="T67" s="1709"/>
      <c r="U67" s="1729" t="str">
        <f t="shared" si="21"/>
        <v/>
      </c>
      <c r="V67" s="1730"/>
      <c r="W67" s="123"/>
      <c r="X67" s="123"/>
      <c r="Y67" s="123"/>
      <c r="Z67" s="123"/>
      <c r="AA67" s="123"/>
      <c r="AB67" s="123"/>
      <c r="AC67" s="1102" t="str">
        <f t="shared" si="18"/>
        <v/>
      </c>
      <c r="AD67" s="700" t="str">
        <f t="shared" si="19"/>
        <v/>
      </c>
      <c r="AE67"/>
      <c r="AF67"/>
      <c r="AG67"/>
      <c r="AH67" s="737">
        <v>51</v>
      </c>
      <c r="AI67" s="737" t="str">
        <f t="shared" si="12"/>
        <v>AY</v>
      </c>
      <c r="AK67" s="123"/>
      <c r="AL67" s="123"/>
      <c r="AM67" s="123"/>
      <c r="AN67" s="123"/>
      <c r="AO67" s="123"/>
      <c r="AP67" s="236">
        <f t="shared" si="6"/>
        <v>0</v>
      </c>
      <c r="AQ67" s="121">
        <f t="shared" si="20"/>
        <v>0</v>
      </c>
      <c r="AS67" s="730">
        <f t="shared" si="9"/>
        <v>0</v>
      </c>
      <c r="AT67" s="730" t="e">
        <f>VLOOKUP(B67,'SpxSp (step-a)'!AZ$22:BC$71,4,FALSE)</f>
        <v>#N/A</v>
      </c>
    </row>
    <row r="68" spans="1:47" s="43" customFormat="1" ht="13" customHeight="1" x14ac:dyDescent="0.25">
      <c r="A68" s="5"/>
      <c r="AD68"/>
      <c r="AE68"/>
      <c r="AF68"/>
      <c r="AG68"/>
      <c r="AH68" s="737">
        <v>52</v>
      </c>
      <c r="AI68" s="737" t="str">
        <f t="shared" si="12"/>
        <v>AZ</v>
      </c>
      <c r="AJ68" s="42"/>
      <c r="AQ68" s="121" t="str">
        <f>IF(SUM(AQ18:AQ67)=0,"Compliant","Non-Compliant")</f>
        <v>Compliant</v>
      </c>
      <c r="AS68" s="121" t="str">
        <f>IF(SUM(AS18:AS67)=0,"Compliant","Non-Compliant")</f>
        <v>Compliant</v>
      </c>
    </row>
    <row r="69" spans="1:47" s="42" customFormat="1" x14ac:dyDescent="0.25">
      <c r="A69" s="5"/>
      <c r="AC69" s="43"/>
      <c r="AD69"/>
      <c r="AE69"/>
      <c r="AF69"/>
      <c r="AG69"/>
      <c r="AH69" s="737">
        <v>53</v>
      </c>
      <c r="AI69" s="737" t="str">
        <f>CONCATENATE("B",AI17)</f>
        <v>BA</v>
      </c>
      <c r="AP69" s="95"/>
      <c r="AQ69" s="730">
        <f>IF(AQ68="Compliant",0,1)</f>
        <v>0</v>
      </c>
      <c r="AR69" s="121" t="str">
        <f>IF(SUM(AQ69:AQ69)&gt;0,"Non-Compliant","Compliant")</f>
        <v>Compliant</v>
      </c>
      <c r="AS69" s="730">
        <f>IF(AS68="Compliant",0,1)</f>
        <v>0</v>
      </c>
      <c r="AT69" s="43"/>
      <c r="AU69" s="95"/>
    </row>
    <row r="70" spans="1:47" x14ac:dyDescent="0.25">
      <c r="A70" s="5"/>
      <c r="AC70" s="42"/>
      <c r="AH70" s="737">
        <v>54</v>
      </c>
      <c r="AI70" s="737" t="str">
        <f t="shared" ref="AI70:AI94" si="22">CONCATENATE("B",AI18)</f>
        <v>BB</v>
      </c>
      <c r="AJ70" s="42"/>
      <c r="AP70" s="70"/>
      <c r="AQ70" s="70"/>
      <c r="AR70" s="70"/>
      <c r="AS70" s="70"/>
      <c r="AT70" s="70"/>
      <c r="AU70" s="70"/>
    </row>
    <row r="71" spans="1:47" x14ac:dyDescent="0.25">
      <c r="A71" s="5"/>
      <c r="AH71" s="737">
        <v>55</v>
      </c>
      <c r="AI71" s="737" t="str">
        <f t="shared" si="22"/>
        <v>BC</v>
      </c>
      <c r="AJ71" s="42"/>
      <c r="AP71" s="70"/>
      <c r="AQ71" s="70"/>
      <c r="AR71" s="70"/>
      <c r="AS71" s="70"/>
      <c r="AT71" s="70"/>
      <c r="AU71" s="70"/>
    </row>
    <row r="72" spans="1:47" x14ac:dyDescent="0.25">
      <c r="A72" s="5"/>
      <c r="AH72" s="737">
        <v>56</v>
      </c>
      <c r="AI72" s="737" t="str">
        <f t="shared" si="22"/>
        <v>BD</v>
      </c>
    </row>
    <row r="73" spans="1:47" x14ac:dyDescent="0.25">
      <c r="A73" s="5"/>
      <c r="AH73" s="737">
        <v>57</v>
      </c>
      <c r="AI73" s="737" t="str">
        <f t="shared" si="22"/>
        <v>BE</v>
      </c>
    </row>
    <row r="74" spans="1:47" x14ac:dyDescent="0.25">
      <c r="A74" s="5"/>
      <c r="AH74" s="737">
        <v>58</v>
      </c>
      <c r="AI74" s="737" t="str">
        <f t="shared" si="22"/>
        <v>BF</v>
      </c>
    </row>
    <row r="75" spans="1:47" x14ac:dyDescent="0.25">
      <c r="A75" s="5"/>
      <c r="AH75" s="737">
        <v>59</v>
      </c>
      <c r="AI75" s="737" t="str">
        <f t="shared" si="22"/>
        <v>BG</v>
      </c>
    </row>
    <row r="76" spans="1:47" x14ac:dyDescent="0.25">
      <c r="A76" s="5"/>
      <c r="AH76" s="737">
        <v>60</v>
      </c>
      <c r="AI76" s="737" t="str">
        <f t="shared" si="22"/>
        <v>BH</v>
      </c>
    </row>
    <row r="77" spans="1:47" x14ac:dyDescent="0.25">
      <c r="A77" s="5"/>
      <c r="AH77" s="737">
        <v>61</v>
      </c>
      <c r="AI77" s="737" t="str">
        <f t="shared" si="22"/>
        <v>BI</v>
      </c>
    </row>
    <row r="78" spans="1:47" x14ac:dyDescent="0.25">
      <c r="A78" s="5"/>
      <c r="AH78" s="737">
        <v>62</v>
      </c>
      <c r="AI78" s="737" t="str">
        <f t="shared" si="22"/>
        <v>BJ</v>
      </c>
    </row>
    <row r="79" spans="1:47" x14ac:dyDescent="0.25">
      <c r="A79" s="5"/>
      <c r="AH79" s="737">
        <v>63</v>
      </c>
      <c r="AI79" s="737" t="str">
        <f t="shared" si="22"/>
        <v>BK</v>
      </c>
    </row>
    <row r="80" spans="1:47" x14ac:dyDescent="0.25">
      <c r="A80" s="5"/>
      <c r="AH80" s="737">
        <v>64</v>
      </c>
      <c r="AI80" s="737" t="str">
        <f t="shared" si="22"/>
        <v>Bl</v>
      </c>
    </row>
    <row r="81" spans="34:35" x14ac:dyDescent="0.25">
      <c r="AH81" s="737">
        <v>65</v>
      </c>
      <c r="AI81" s="737" t="str">
        <f t="shared" si="22"/>
        <v>BM</v>
      </c>
    </row>
    <row r="82" spans="34:35" x14ac:dyDescent="0.25">
      <c r="AH82" s="737">
        <v>66</v>
      </c>
      <c r="AI82" s="737" t="str">
        <f t="shared" si="22"/>
        <v>BN</v>
      </c>
    </row>
    <row r="83" spans="34:35" x14ac:dyDescent="0.25">
      <c r="AH83" s="737">
        <v>67</v>
      </c>
      <c r="AI83" s="737" t="str">
        <f t="shared" si="22"/>
        <v>BO</v>
      </c>
    </row>
    <row r="84" spans="34:35" x14ac:dyDescent="0.25">
      <c r="AH84" s="737">
        <v>68</v>
      </c>
      <c r="AI84" s="737" t="str">
        <f t="shared" si="22"/>
        <v>BP</v>
      </c>
    </row>
    <row r="85" spans="34:35" x14ac:dyDescent="0.25">
      <c r="AH85" s="737">
        <v>69</v>
      </c>
      <c r="AI85" s="737" t="str">
        <f t="shared" si="22"/>
        <v>BQ</v>
      </c>
    </row>
    <row r="86" spans="34:35" x14ac:dyDescent="0.25">
      <c r="AH86" s="737">
        <v>70</v>
      </c>
      <c r="AI86" s="737" t="str">
        <f t="shared" si="22"/>
        <v>BR</v>
      </c>
    </row>
    <row r="87" spans="34:35" x14ac:dyDescent="0.25">
      <c r="AH87" s="737">
        <v>71</v>
      </c>
      <c r="AI87" s="737" t="str">
        <f t="shared" si="22"/>
        <v>BS</v>
      </c>
    </row>
    <row r="88" spans="34:35" x14ac:dyDescent="0.25">
      <c r="AH88" s="737">
        <v>72</v>
      </c>
      <c r="AI88" s="737" t="str">
        <f t="shared" si="22"/>
        <v>BT</v>
      </c>
    </row>
    <row r="89" spans="34:35" x14ac:dyDescent="0.25">
      <c r="AH89" s="737">
        <v>73</v>
      </c>
      <c r="AI89" s="737" t="str">
        <f t="shared" si="22"/>
        <v>BU</v>
      </c>
    </row>
    <row r="90" spans="34:35" x14ac:dyDescent="0.25">
      <c r="AH90" s="737">
        <v>74</v>
      </c>
      <c r="AI90" s="737" t="str">
        <f t="shared" si="22"/>
        <v>BV</v>
      </c>
    </row>
    <row r="91" spans="34:35" x14ac:dyDescent="0.25">
      <c r="AH91" s="737">
        <v>75</v>
      </c>
      <c r="AI91" s="737" t="str">
        <f t="shared" si="22"/>
        <v>BW</v>
      </c>
    </row>
    <row r="92" spans="34:35" x14ac:dyDescent="0.25">
      <c r="AH92" s="737">
        <v>76</v>
      </c>
      <c r="AI92" s="737" t="str">
        <f t="shared" si="22"/>
        <v>BX</v>
      </c>
    </row>
    <row r="93" spans="34:35" x14ac:dyDescent="0.25">
      <c r="AH93" s="737">
        <v>77</v>
      </c>
      <c r="AI93" s="737" t="str">
        <f t="shared" si="22"/>
        <v>BY</v>
      </c>
    </row>
    <row r="94" spans="34:35" x14ac:dyDescent="0.25">
      <c r="AH94" s="737">
        <v>78</v>
      </c>
      <c r="AI94" s="737" t="str">
        <f t="shared" si="22"/>
        <v>BZ</v>
      </c>
    </row>
  </sheetData>
  <sheetProtection sheet="1" objects="1" scenarios="1" selectLockedCells="1"/>
  <mergeCells count="318">
    <mergeCell ref="B62:F62"/>
    <mergeCell ref="B63:F63"/>
    <mergeCell ref="B64:F64"/>
    <mergeCell ref="B65:F65"/>
    <mergeCell ref="B66:F66"/>
    <mergeCell ref="B67:F67"/>
    <mergeCell ref="B53:F53"/>
    <mergeCell ref="B54:F54"/>
    <mergeCell ref="B55:F55"/>
    <mergeCell ref="B56:F56"/>
    <mergeCell ref="B57:F57"/>
    <mergeCell ref="B58:F58"/>
    <mergeCell ref="B59:F59"/>
    <mergeCell ref="B60:F60"/>
    <mergeCell ref="B61:F61"/>
    <mergeCell ref="B44:F44"/>
    <mergeCell ref="B45:F45"/>
    <mergeCell ref="B46:F46"/>
    <mergeCell ref="B47:F47"/>
    <mergeCell ref="B48:F48"/>
    <mergeCell ref="B49:F49"/>
    <mergeCell ref="B50:F50"/>
    <mergeCell ref="B51:F51"/>
    <mergeCell ref="B52:F52"/>
    <mergeCell ref="B35:F35"/>
    <mergeCell ref="B36:F36"/>
    <mergeCell ref="B37:F37"/>
    <mergeCell ref="B38:F38"/>
    <mergeCell ref="B39:F39"/>
    <mergeCell ref="B40:F40"/>
    <mergeCell ref="B41:F41"/>
    <mergeCell ref="B42:F42"/>
    <mergeCell ref="B43:F43"/>
    <mergeCell ref="B26:F26"/>
    <mergeCell ref="B27:F27"/>
    <mergeCell ref="B28:F28"/>
    <mergeCell ref="B29:F29"/>
    <mergeCell ref="B30:F30"/>
    <mergeCell ref="B31:F31"/>
    <mergeCell ref="B32:F32"/>
    <mergeCell ref="B33:F33"/>
    <mergeCell ref="B34:F34"/>
    <mergeCell ref="G17:V17"/>
    <mergeCell ref="B18:F18"/>
    <mergeCell ref="B19:F19"/>
    <mergeCell ref="B20:F20"/>
    <mergeCell ref="B21:F21"/>
    <mergeCell ref="B22:F22"/>
    <mergeCell ref="B23:F23"/>
    <mergeCell ref="B24:F24"/>
    <mergeCell ref="B25:F25"/>
    <mergeCell ref="H23:I23"/>
    <mergeCell ref="J23:K23"/>
    <mergeCell ref="Q23:R23"/>
    <mergeCell ref="S23:T23"/>
    <mergeCell ref="H67:I67"/>
    <mergeCell ref="B16:G16"/>
    <mergeCell ref="H1:V1"/>
    <mergeCell ref="H3:V3"/>
    <mergeCell ref="H5:V5"/>
    <mergeCell ref="D5:E5"/>
    <mergeCell ref="Q13:R13"/>
    <mergeCell ref="S13:T13"/>
    <mergeCell ref="H59:I59"/>
    <mergeCell ref="H60:I60"/>
    <mergeCell ref="H61:I61"/>
    <mergeCell ref="H65:I65"/>
    <mergeCell ref="H66:I66"/>
    <mergeCell ref="H19:I19"/>
    <mergeCell ref="H20:I20"/>
    <mergeCell ref="H21:I21"/>
    <mergeCell ref="J67:K67"/>
    <mergeCell ref="J61:K61"/>
    <mergeCell ref="J21:K21"/>
    <mergeCell ref="J20:K20"/>
    <mergeCell ref="S61:T61"/>
    <mergeCell ref="J18:K18"/>
    <mergeCell ref="J19:K19"/>
    <mergeCell ref="J66:K66"/>
    <mergeCell ref="S67:T67"/>
    <mergeCell ref="Q67:R67"/>
    <mergeCell ref="S14:T14"/>
    <mergeCell ref="Q22:R22"/>
    <mergeCell ref="S47:T47"/>
    <mergeCell ref="S21:T21"/>
    <mergeCell ref="S57:T57"/>
    <mergeCell ref="S58:T58"/>
    <mergeCell ref="Q58:R58"/>
    <mergeCell ref="Q59:R59"/>
    <mergeCell ref="S59:T59"/>
    <mergeCell ref="Q18:R18"/>
    <mergeCell ref="Q19:R19"/>
    <mergeCell ref="Q20:R20"/>
    <mergeCell ref="Q21:R21"/>
    <mergeCell ref="Q57:R57"/>
    <mergeCell ref="Q14:R14"/>
    <mergeCell ref="S66:T66"/>
    <mergeCell ref="S65:T65"/>
    <mergeCell ref="S60:T60"/>
    <mergeCell ref="S62:T62"/>
    <mergeCell ref="S64:T64"/>
    <mergeCell ref="Q64:R64"/>
    <mergeCell ref="Q60:R60"/>
    <mergeCell ref="Q61:R61"/>
    <mergeCell ref="Q65:R65"/>
    <mergeCell ref="Q66:R66"/>
    <mergeCell ref="H62:I62"/>
    <mergeCell ref="H64:I64"/>
    <mergeCell ref="J62:K62"/>
    <mergeCell ref="J64:K64"/>
    <mergeCell ref="J65:K65"/>
    <mergeCell ref="J60:K60"/>
    <mergeCell ref="Q62:R62"/>
    <mergeCell ref="J58:K58"/>
    <mergeCell ref="J57:K57"/>
    <mergeCell ref="H55:I55"/>
    <mergeCell ref="B13:C13"/>
    <mergeCell ref="U16:V16"/>
    <mergeCell ref="U14:V14"/>
    <mergeCell ref="U18:V18"/>
    <mergeCell ref="U19:V19"/>
    <mergeCell ref="U20:V20"/>
    <mergeCell ref="S22:T22"/>
    <mergeCell ref="H16:I16"/>
    <mergeCell ref="H18:I18"/>
    <mergeCell ref="J16:K16"/>
    <mergeCell ref="Q16:R16"/>
    <mergeCell ref="S16:T16"/>
    <mergeCell ref="U22:V22"/>
    <mergeCell ref="J22:K22"/>
    <mergeCell ref="H22:I22"/>
    <mergeCell ref="S18:T18"/>
    <mergeCell ref="S19:T19"/>
    <mergeCell ref="S20:T20"/>
    <mergeCell ref="U26:V26"/>
    <mergeCell ref="H26:I26"/>
    <mergeCell ref="J26:K26"/>
    <mergeCell ref="U65:V65"/>
    <mergeCell ref="U66:V66"/>
    <mergeCell ref="U67:V67"/>
    <mergeCell ref="D1:E1"/>
    <mergeCell ref="U21:V21"/>
    <mergeCell ref="U57:V57"/>
    <mergeCell ref="U58:V58"/>
    <mergeCell ref="U59:V59"/>
    <mergeCell ref="U60:V60"/>
    <mergeCell ref="U61:V61"/>
    <mergeCell ref="H57:I57"/>
    <mergeCell ref="H58:I58"/>
    <mergeCell ref="J52:K52"/>
    <mergeCell ref="Q52:R52"/>
    <mergeCell ref="S52:T52"/>
    <mergeCell ref="J55:K55"/>
    <mergeCell ref="Q55:R55"/>
    <mergeCell ref="S55:T55"/>
    <mergeCell ref="S24:T24"/>
    <mergeCell ref="Q33:R33"/>
    <mergeCell ref="S33:T33"/>
    <mergeCell ref="H52:I52"/>
    <mergeCell ref="H56:I56"/>
    <mergeCell ref="U23:V23"/>
    <mergeCell ref="Q26:R26"/>
    <mergeCell ref="S26:T26"/>
    <mergeCell ref="U24:V24"/>
    <mergeCell ref="H25:I25"/>
    <mergeCell ref="J25:K25"/>
    <mergeCell ref="Q25:R25"/>
    <mergeCell ref="S25:T25"/>
    <mergeCell ref="U25:V25"/>
    <mergeCell ref="H24:I24"/>
    <mergeCell ref="J24:K24"/>
    <mergeCell ref="Q24:R24"/>
    <mergeCell ref="U27:V27"/>
    <mergeCell ref="H28:I28"/>
    <mergeCell ref="J28:K28"/>
    <mergeCell ref="Q28:R28"/>
    <mergeCell ref="S28:T28"/>
    <mergeCell ref="U28:V28"/>
    <mergeCell ref="U33:V33"/>
    <mergeCell ref="H32:I32"/>
    <mergeCell ref="J32:K32"/>
    <mergeCell ref="H27:I27"/>
    <mergeCell ref="Q30:R30"/>
    <mergeCell ref="S30:T30"/>
    <mergeCell ref="H29:I29"/>
    <mergeCell ref="J33:K33"/>
    <mergeCell ref="Q32:R32"/>
    <mergeCell ref="S32:T32"/>
    <mergeCell ref="S27:T27"/>
    <mergeCell ref="J27:K27"/>
    <mergeCell ref="Q27:R27"/>
    <mergeCell ref="S63:T63"/>
    <mergeCell ref="U53:V53"/>
    <mergeCell ref="Q54:R54"/>
    <mergeCell ref="S54:T54"/>
    <mergeCell ref="U54:V54"/>
    <mergeCell ref="U30:V30"/>
    <mergeCell ref="H31:I31"/>
    <mergeCell ref="J31:K31"/>
    <mergeCell ref="Q31:R31"/>
    <mergeCell ref="S31:T31"/>
    <mergeCell ref="U31:V31"/>
    <mergeCell ref="U32:V32"/>
    <mergeCell ref="H33:I33"/>
    <mergeCell ref="H47:I47"/>
    <mergeCell ref="J47:K47"/>
    <mergeCell ref="Q47:R47"/>
    <mergeCell ref="Q36:R36"/>
    <mergeCell ref="S36:T36"/>
    <mergeCell ref="S35:T35"/>
    <mergeCell ref="S40:T40"/>
    <mergeCell ref="J59:K59"/>
    <mergeCell ref="H35:I35"/>
    <mergeCell ref="J35:K35"/>
    <mergeCell ref="Q35:R35"/>
    <mergeCell ref="Q51:R51"/>
    <mergeCell ref="S51:T51"/>
    <mergeCell ref="U51:V51"/>
    <mergeCell ref="H50:I50"/>
    <mergeCell ref="J50:K50"/>
    <mergeCell ref="Q50:R50"/>
    <mergeCell ref="S50:T50"/>
    <mergeCell ref="U55:V55"/>
    <mergeCell ref="U52:V52"/>
    <mergeCell ref="H53:I53"/>
    <mergeCell ref="J53:K53"/>
    <mergeCell ref="Q53:R53"/>
    <mergeCell ref="S53:T53"/>
    <mergeCell ref="H54:I54"/>
    <mergeCell ref="U47:V47"/>
    <mergeCell ref="J29:K29"/>
    <mergeCell ref="Q29:R29"/>
    <mergeCell ref="S29:T29"/>
    <mergeCell ref="U29:V29"/>
    <mergeCell ref="H30:I30"/>
    <mergeCell ref="J30:K30"/>
    <mergeCell ref="U35:V35"/>
    <mergeCell ref="H34:I34"/>
    <mergeCell ref="J34:K34"/>
    <mergeCell ref="Q34:R34"/>
    <mergeCell ref="S34:T34"/>
    <mergeCell ref="U36:V36"/>
    <mergeCell ref="H37:I37"/>
    <mergeCell ref="J37:K37"/>
    <mergeCell ref="Q37:R37"/>
    <mergeCell ref="S37:T37"/>
    <mergeCell ref="U37:V37"/>
    <mergeCell ref="H36:I36"/>
    <mergeCell ref="J36:K36"/>
    <mergeCell ref="U34:V34"/>
    <mergeCell ref="U38:V38"/>
    <mergeCell ref="H39:I39"/>
    <mergeCell ref="J39:K39"/>
    <mergeCell ref="U64:V64"/>
    <mergeCell ref="H49:I49"/>
    <mergeCell ref="J49:K49"/>
    <mergeCell ref="Q49:R49"/>
    <mergeCell ref="S49:T49"/>
    <mergeCell ref="U49:V49"/>
    <mergeCell ref="H48:I48"/>
    <mergeCell ref="J48:K48"/>
    <mergeCell ref="Q48:R48"/>
    <mergeCell ref="S48:T48"/>
    <mergeCell ref="J56:K56"/>
    <mergeCell ref="Q56:R56"/>
    <mergeCell ref="S56:T56"/>
    <mergeCell ref="U56:V56"/>
    <mergeCell ref="J54:K54"/>
    <mergeCell ref="U48:V48"/>
    <mergeCell ref="U62:V62"/>
    <mergeCell ref="H63:I63"/>
    <mergeCell ref="J63:K63"/>
    <mergeCell ref="Q63:R63"/>
    <mergeCell ref="U63:V63"/>
    <mergeCell ref="U50:V50"/>
    <mergeCell ref="H51:I51"/>
    <mergeCell ref="J51:K51"/>
    <mergeCell ref="Q39:R39"/>
    <mergeCell ref="S39:T39"/>
    <mergeCell ref="U39:V39"/>
    <mergeCell ref="H38:I38"/>
    <mergeCell ref="J38:K38"/>
    <mergeCell ref="Q38:R38"/>
    <mergeCell ref="S38:T38"/>
    <mergeCell ref="U40:V40"/>
    <mergeCell ref="H41:I41"/>
    <mergeCell ref="J41:K41"/>
    <mergeCell ref="Q41:R41"/>
    <mergeCell ref="S41:T41"/>
    <mergeCell ref="U41:V41"/>
    <mergeCell ref="H40:I40"/>
    <mergeCell ref="J40:K40"/>
    <mergeCell ref="Q40:R40"/>
    <mergeCell ref="U42:V42"/>
    <mergeCell ref="H43:I43"/>
    <mergeCell ref="J43:K43"/>
    <mergeCell ref="Q43:R43"/>
    <mergeCell ref="S43:T43"/>
    <mergeCell ref="U43:V43"/>
    <mergeCell ref="H42:I42"/>
    <mergeCell ref="J42:K42"/>
    <mergeCell ref="Q42:R42"/>
    <mergeCell ref="S42:T42"/>
    <mergeCell ref="U46:V46"/>
    <mergeCell ref="H46:I46"/>
    <mergeCell ref="J46:K46"/>
    <mergeCell ref="Q46:R46"/>
    <mergeCell ref="S46:T46"/>
    <mergeCell ref="U44:V44"/>
    <mergeCell ref="H45:I45"/>
    <mergeCell ref="J45:K45"/>
    <mergeCell ref="Q45:R45"/>
    <mergeCell ref="S45:T45"/>
    <mergeCell ref="U45:V45"/>
    <mergeCell ref="H44:I44"/>
    <mergeCell ref="J44:K44"/>
    <mergeCell ref="Q44:R44"/>
    <mergeCell ref="S44:T44"/>
  </mergeCells>
  <conditionalFormatting sqref="H18:V67">
    <cfRule type="expression" dxfId="254" priority="3">
      <formula>$B18=""</formula>
    </cfRule>
  </conditionalFormatting>
  <conditionalFormatting sqref="J18:K67">
    <cfRule type="expression" dxfId="253" priority="4">
      <formula>AND($B18&lt;&gt;"",$J18="")</formula>
    </cfRule>
    <cfRule type="expression" dxfId="252" priority="11">
      <formula>AND($B18&lt;&gt;"",$J18&lt;&gt;"")</formula>
    </cfRule>
  </conditionalFormatting>
  <conditionalFormatting sqref="L18:L67">
    <cfRule type="expression" dxfId="251" priority="5">
      <formula>AND($B18&lt;&gt;"",$L18="")</formula>
    </cfRule>
    <cfRule type="expression" dxfId="250" priority="10">
      <formula>AND($B18&lt;&gt;"",$L18&lt;&gt;"")</formula>
    </cfRule>
  </conditionalFormatting>
  <conditionalFormatting sqref="O18:O21 P18:Q67">
    <cfRule type="cellIs" dxfId="248" priority="57" operator="equal">
      <formula>"Error"</formula>
    </cfRule>
  </conditionalFormatting>
  <conditionalFormatting sqref="O22:O67">
    <cfRule type="cellIs" dxfId="244" priority="13" operator="equal">
      <formula>"Error"</formula>
    </cfRule>
  </conditionalFormatting>
  <conditionalFormatting sqref="Q14">
    <cfRule type="cellIs" dxfId="229" priority="59" operator="equal">
      <formula>"ERROR"</formula>
    </cfRule>
    <cfRule type="cellIs" dxfId="228" priority="58" operator="equal">
      <formula>"Compliant"</formula>
    </cfRule>
  </conditionalFormatting>
  <conditionalFormatting sqref="Q18:Q67">
    <cfRule type="cellIs" dxfId="227" priority="60" operator="equal">
      <formula>"Over Allowed"</formula>
    </cfRule>
  </conditionalFormatting>
  <conditionalFormatting sqref="Q18:R67">
    <cfRule type="cellIs" dxfId="226" priority="1" operator="equal">
      <formula>"Pass"</formula>
    </cfRule>
    <cfRule type="cellIs" dxfId="225" priority="2" operator="equal">
      <formula>"Fail"</formula>
    </cfRule>
  </conditionalFormatting>
  <conditionalFormatting sqref="S14">
    <cfRule type="cellIs" dxfId="224" priority="62" operator="equal">
      <formula>"Not Compliant"</formula>
    </cfRule>
    <cfRule type="cellIs" dxfId="223" priority="61" operator="equal">
      <formula>"Compliant"</formula>
    </cfRule>
  </conditionalFormatting>
  <conditionalFormatting sqref="S18:T67">
    <cfRule type="expression" dxfId="213" priority="9">
      <formula>AND($B18&lt;&gt;"",$S18&lt;&gt;"")</formula>
    </cfRule>
    <cfRule type="expression" dxfId="212" priority="8">
      <formula>AND($B18&lt;&gt;"",$S18="")</formula>
    </cfRule>
  </conditionalFormatting>
  <dataValidations count="4">
    <dataValidation type="list" allowBlank="1" showInputMessage="1" showErrorMessage="1" sqref="B18:B67" xr:uid="{00000000-0002-0000-0A00-000000000000}">
      <formula1>_Retail_List</formula1>
    </dataValidation>
    <dataValidation type="list" allowBlank="1" showInputMessage="1" showErrorMessage="1" sqref="BG14 BF15 BE16:BE69" xr:uid="{00000000-0002-0000-0A00-000001000000}">
      <formula1>YesNoNA</formula1>
    </dataValidation>
    <dataValidation type="list" allowBlank="1" showInputMessage="1" showErrorMessage="1" sqref="J18:K67" xr:uid="{00000000-0002-0000-0A00-000002000000}">
      <formula1>_FixtureList</formula1>
    </dataValidation>
    <dataValidation type="list" allowBlank="1" showInputMessage="1" showErrorMessage="1" sqref="S18:T67" xr:uid="{00000000-0002-0000-0A00-000003000000}">
      <formula1>"Yes,NA"</formula1>
    </dataValidation>
  </dataValidations>
  <pageMargins left="0.7" right="0.7" top="0.75" bottom="0.75" header="0.3" footer="0.3"/>
  <pageSetup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55" id="{07521E04-3AF3-4268-8DC5-B6573B7BE61D}">
            <xm:f>'SpxSp (step-a)'!$AA14="ERROR"</xm:f>
            <x14:dxf>
              <font>
                <color rgb="FF9C0006"/>
              </font>
              <fill>
                <patternFill>
                  <bgColor rgb="FFFFCCCC"/>
                </patternFill>
              </fill>
            </x14:dxf>
          </x14:cfRule>
          <xm:sqref>H18:H24</xm:sqref>
        </x14:conditionalFormatting>
        <x14:conditionalFormatting xmlns:xm="http://schemas.microsoft.com/office/excel/2006/main">
          <x14:cfRule type="expression" priority="2873" id="{07521E04-3AF3-4268-8DC5-B6573B7BE61D}">
            <xm:f>'SpxSp (step-a)'!$AA22="ERROR"</xm:f>
            <x14:dxf>
              <font>
                <color rgb="FF9C0006"/>
              </font>
              <fill>
                <patternFill>
                  <bgColor rgb="FFFFCCCC"/>
                </patternFill>
              </fill>
            </x14:dxf>
          </x14:cfRule>
          <xm:sqref>H25:H32</xm:sqref>
        </x14:conditionalFormatting>
        <x14:conditionalFormatting xmlns:xm="http://schemas.microsoft.com/office/excel/2006/main">
          <x14:cfRule type="expression" priority="379" id="{07521E04-3AF3-4268-8DC5-B6573B7BE61D}">
            <xm:f>'SpxSp (step-a)'!$AA70="ERROR"</xm:f>
            <x14:dxf>
              <font>
                <color rgb="FF9C0006"/>
              </font>
              <fill>
                <patternFill>
                  <bgColor rgb="FFFFCCCC"/>
                </patternFill>
              </fill>
            </x14:dxf>
          </x14:cfRule>
          <xm:sqref>H33:H67</xm:sqref>
        </x14:conditionalFormatting>
        <x14:conditionalFormatting xmlns:xm="http://schemas.microsoft.com/office/excel/2006/main">
          <x14:cfRule type="expression" priority="56" id="{E50ABF02-4BCF-4631-AA70-5CA15F02289C}">
            <xm:f>'SpxSp (step-a)'!$AE14="ERROR"</xm:f>
            <x14:dxf>
              <font>
                <color rgb="FF9C0006"/>
              </font>
              <fill>
                <patternFill>
                  <bgColor rgb="FFFFCCCC"/>
                </patternFill>
              </fill>
            </x14:dxf>
          </x14:cfRule>
          <xm:sqref>O18 P18:P67</xm:sqref>
        </x14:conditionalFormatting>
        <x14:conditionalFormatting xmlns:xm="http://schemas.microsoft.com/office/excel/2006/main">
          <x14:cfRule type="expression" priority="363" id="{E50ABF02-4BCF-4631-AA70-5CA15F02289C}">
            <xm:f>'SpxSp (step-a)'!#REF!="ERROR"</xm:f>
            <x14:dxf>
              <font>
                <color rgb="FF9C0006"/>
              </font>
              <fill>
                <patternFill>
                  <bgColor rgb="FFFFCCCC"/>
                </patternFill>
              </fill>
            </x14:dxf>
          </x14:cfRule>
          <xm:sqref>O19:O20</xm:sqref>
        </x14:conditionalFormatting>
        <x14:conditionalFormatting xmlns:xm="http://schemas.microsoft.com/office/excel/2006/main">
          <x14:cfRule type="expression" priority="362" id="{E50ABF02-4BCF-4631-AA70-5CA15F02289C}">
            <xm:f>'SpxSp (step-a)'!$AE15="ERROR"</xm:f>
            <x14:dxf>
              <font>
                <color rgb="FF9C0006"/>
              </font>
              <fill>
                <patternFill>
                  <bgColor rgb="FFFFCCCC"/>
                </patternFill>
              </fill>
            </x14:dxf>
          </x14:cfRule>
          <xm:sqref>O21</xm:sqref>
        </x14:conditionalFormatting>
        <x14:conditionalFormatting xmlns:xm="http://schemas.microsoft.com/office/excel/2006/main">
          <x14:cfRule type="expression" priority="456" id="{E50ABF02-4BCF-4631-AA70-5CA15F02289C}">
            <xm:f>'SpxSp (step-a)'!#REF!="ERROR"</xm:f>
            <x14:dxf>
              <font>
                <color rgb="FF9C0006"/>
              </font>
              <fill>
                <patternFill>
                  <bgColor rgb="FFFFCCCC"/>
                </patternFill>
              </fill>
            </x14:dxf>
          </x14:cfRule>
          <xm:sqref>O22:O26</xm:sqref>
        </x14:conditionalFormatting>
        <x14:conditionalFormatting xmlns:xm="http://schemas.microsoft.com/office/excel/2006/main">
          <x14:cfRule type="expression" priority="2849" id="{57673462-268A-4A31-885C-3D5949EB4EF4}">
            <xm:f>'SpxSp (step-a)'!#REF!="ERROR"</xm:f>
            <x14:dxf>
              <font>
                <color rgb="FF9C0006"/>
              </font>
              <fill>
                <patternFill>
                  <bgColor rgb="FFFFCCCC"/>
                </patternFill>
              </fill>
            </x14:dxf>
          </x14:cfRule>
          <xm:sqref>O27:O28</xm:sqref>
        </x14:conditionalFormatting>
        <x14:conditionalFormatting xmlns:xm="http://schemas.microsoft.com/office/excel/2006/main">
          <x14:cfRule type="expression" priority="2850" id="{57673462-268A-4A31-885C-3D5949EB4EF4}">
            <xm:f>'SpxSp (step-a)'!$AE3="ERROR"</xm:f>
            <x14:dxf>
              <font>
                <color rgb="FF9C0006"/>
              </font>
              <fill>
                <patternFill>
                  <bgColor rgb="FFFFCCCC"/>
                </patternFill>
              </fill>
            </x14:dxf>
          </x14:cfRule>
          <xm:sqref>O29</xm:sqref>
        </x14:conditionalFormatting>
        <x14:conditionalFormatting xmlns:xm="http://schemas.microsoft.com/office/excel/2006/main">
          <x14:cfRule type="expression" priority="2852" id="{57673462-268A-4A31-885C-3D5949EB4EF4}">
            <xm:f>'SpxSp (step-a)'!$AE5="ERROR"</xm:f>
            <x14:dxf>
              <font>
                <color rgb="FF9C0006"/>
              </font>
              <fill>
                <patternFill>
                  <bgColor rgb="FFFFCCCC"/>
                </patternFill>
              </fill>
            </x14:dxf>
          </x14:cfRule>
          <xm:sqref>O30</xm:sqref>
        </x14:conditionalFormatting>
        <x14:conditionalFormatting xmlns:xm="http://schemas.microsoft.com/office/excel/2006/main">
          <x14:cfRule type="expression" priority="2855" id="{57673462-268A-4A31-885C-3D5949EB4EF4}">
            <xm:f>'SpxSp (step-a)'!$AE7="ERROR"</xm:f>
            <x14:dxf>
              <font>
                <color rgb="FF9C0006"/>
              </font>
              <fill>
                <patternFill>
                  <bgColor rgb="FFFFCCCC"/>
                </patternFill>
              </fill>
            </x14:dxf>
          </x14:cfRule>
          <xm:sqref>O31</xm:sqref>
        </x14:conditionalFormatting>
        <x14:conditionalFormatting xmlns:xm="http://schemas.microsoft.com/office/excel/2006/main">
          <x14:cfRule type="expression" priority="2859" id="{57673462-268A-4A31-885C-3D5949EB4EF4}">
            <xm:f>'SpxSp (step-a)'!$AE9="ERROR"</xm:f>
            <x14:dxf>
              <font>
                <color rgb="FF9C0006"/>
              </font>
              <fill>
                <patternFill>
                  <bgColor rgb="FFFFCCCC"/>
                </patternFill>
              </fill>
            </x14:dxf>
          </x14:cfRule>
          <xm:sqref>O32</xm:sqref>
        </x14:conditionalFormatting>
        <x14:conditionalFormatting xmlns:xm="http://schemas.microsoft.com/office/excel/2006/main">
          <x14:cfRule type="expression" priority="2864" id="{57673462-268A-4A31-885C-3D5949EB4EF4}">
            <xm:f>'SpxSp (step-a)'!$AE11="ERROR"</xm:f>
            <x14:dxf>
              <font>
                <color rgb="FF9C0006"/>
              </font>
              <fill>
                <patternFill>
                  <bgColor rgb="FFFFCCCC"/>
                </patternFill>
              </fill>
            </x14:dxf>
          </x14:cfRule>
          <xm:sqref>O33</xm:sqref>
        </x14:conditionalFormatting>
        <x14:conditionalFormatting xmlns:xm="http://schemas.microsoft.com/office/excel/2006/main">
          <x14:cfRule type="expression" priority="2870" id="{57673462-268A-4A31-885C-3D5949EB4EF4}">
            <xm:f>'SpxSp (step-a)'!$AE13="ERROR"</xm:f>
            <x14:dxf>
              <font>
                <color rgb="FF9C0006"/>
              </font>
              <fill>
                <patternFill>
                  <bgColor rgb="FFFFCCCC"/>
                </patternFill>
              </fill>
            </x14:dxf>
          </x14:cfRule>
          <xm:sqref>O34:O41</xm:sqref>
        </x14:conditionalFormatting>
        <x14:conditionalFormatting xmlns:xm="http://schemas.microsoft.com/office/excel/2006/main">
          <x14:cfRule type="expression" priority="2885" id="{57673462-268A-4A31-885C-3D5949EB4EF4}">
            <xm:f>'SpxSp (step-a)'!$AE22="ERROR"</xm:f>
            <x14:dxf>
              <font>
                <color rgb="FF9C0006"/>
              </font>
              <fill>
                <patternFill>
                  <bgColor rgb="FFFFCCCC"/>
                </patternFill>
              </fill>
            </x14:dxf>
          </x14:cfRule>
          <xm:sqref>O42:O44</xm:sqref>
        </x14:conditionalFormatting>
        <x14:conditionalFormatting xmlns:xm="http://schemas.microsoft.com/office/excel/2006/main">
          <x14:cfRule type="expression" priority="446" id="{57673462-268A-4A31-885C-3D5949EB4EF4}">
            <xm:f>'SpxSp (step-a)'!#REF!="ERROR"</xm:f>
            <x14:dxf>
              <font>
                <color rgb="FF9C0006"/>
              </font>
              <fill>
                <patternFill>
                  <bgColor rgb="FFFFCCCC"/>
                </patternFill>
              </fill>
            </x14:dxf>
          </x14:cfRule>
          <xm:sqref>O45:O53</xm:sqref>
        </x14:conditionalFormatting>
        <x14:conditionalFormatting xmlns:xm="http://schemas.microsoft.com/office/excel/2006/main">
          <x14:cfRule type="expression" priority="375" id="{57673462-268A-4A31-885C-3D5949EB4EF4}">
            <xm:f>'SpxSp (step-a)'!#REF!="ERROR"</xm:f>
            <x14:dxf>
              <font>
                <color rgb="FF9C0006"/>
              </font>
              <fill>
                <patternFill>
                  <bgColor rgb="FFFFCCCC"/>
                </patternFill>
              </fill>
            </x14:dxf>
          </x14:cfRule>
          <xm:sqref>O54:O55</xm:sqref>
        </x14:conditionalFormatting>
        <x14:conditionalFormatting xmlns:xm="http://schemas.microsoft.com/office/excel/2006/main">
          <x14:cfRule type="expression" priority="352" id="{E50ABF02-4BCF-4631-AA70-5CA15F02289C}">
            <xm:f>'SpxSp (step-a)'!$AE15="ERROR"</xm:f>
            <x14:dxf>
              <font>
                <color rgb="FF9C0006"/>
              </font>
              <fill>
                <patternFill>
                  <bgColor rgb="FFFFCCCC"/>
                </patternFill>
              </fill>
            </x14:dxf>
          </x14:cfRule>
          <xm:sqref>O56:O57 O65:O67</xm:sqref>
        </x14:conditionalFormatting>
        <x14:conditionalFormatting xmlns:xm="http://schemas.microsoft.com/office/excel/2006/main">
          <x14:cfRule type="expression" priority="417" id="{E50ABF02-4BCF-4631-AA70-5CA15F02289C}">
            <xm:f>'SpxSp (step-a)'!$AE18="ERROR"</xm:f>
            <x14:dxf>
              <font>
                <color rgb="FF9C0006"/>
              </font>
              <fill>
                <patternFill>
                  <bgColor rgb="FFFFCCCC"/>
                </patternFill>
              </fill>
            </x14:dxf>
          </x14:cfRule>
          <xm:sqref>O58</xm:sqref>
        </x14:conditionalFormatting>
        <x14:conditionalFormatting xmlns:xm="http://schemas.microsoft.com/office/excel/2006/main">
          <x14:cfRule type="expression" priority="355" id="{57673462-268A-4A31-885C-3D5949EB4EF4}">
            <xm:f>'SpxSp (step-a)'!$AE20="ERROR"</xm:f>
            <x14:dxf>
              <font>
                <color rgb="FF9C0006"/>
              </font>
              <fill>
                <patternFill>
                  <bgColor rgb="FFFFCCCC"/>
                </patternFill>
              </fill>
            </x14:dxf>
          </x14:cfRule>
          <xm:sqref>O59</xm:sqref>
        </x14:conditionalFormatting>
        <x14:conditionalFormatting xmlns:xm="http://schemas.microsoft.com/office/excel/2006/main">
          <x14:cfRule type="expression" priority="2875" id="{57673462-268A-4A31-885C-3D5949EB4EF4}">
            <xm:f>'SpxSp (step-a)'!$AE22="ERROR"</xm:f>
            <x14:dxf>
              <font>
                <color rgb="FF9C0006"/>
              </font>
              <fill>
                <patternFill>
                  <bgColor rgb="FFFFCCCC"/>
                </patternFill>
              </fill>
            </x14:dxf>
          </x14:cfRule>
          <xm:sqref>O60:O64</xm:sqref>
        </x14:conditionalFormatting>
        <x14:conditionalFormatting xmlns:xm="http://schemas.microsoft.com/office/excel/2006/main">
          <x14:cfRule type="expression" priority="359" id="{0ECE2590-B0F0-4947-BBF0-CA1338527747}">
            <xm:f>'SpxSp (step-a)'!#REF!=1</xm:f>
            <x14:dxf>
              <font>
                <color rgb="FF9C0006"/>
              </font>
              <fill>
                <patternFill>
                  <bgColor rgb="FFFFC7CE"/>
                </patternFill>
              </fill>
            </x14:dxf>
          </x14:cfRule>
          <xm:sqref>S19:S67</xm:sqref>
        </x14:conditionalFormatting>
        <x14:conditionalFormatting xmlns:xm="http://schemas.microsoft.com/office/excel/2006/main">
          <x14:cfRule type="expression" priority="2808" id="{0ECE2590-B0F0-4947-BBF0-CA1338527747}">
            <xm:f>'SpxSp (step-a)'!#REF!=1</xm:f>
            <x14:dxf>
              <font>
                <color rgb="FF9C0006"/>
              </font>
              <fill>
                <patternFill>
                  <bgColor rgb="FFFFC7CE"/>
                </patternFill>
              </fill>
            </x14:dxf>
          </x14:cfRule>
          <xm:sqref>S21</xm:sqref>
        </x14:conditionalFormatting>
        <x14:conditionalFormatting xmlns:xm="http://schemas.microsoft.com/office/excel/2006/main">
          <x14:cfRule type="expression" priority="455" id="{0ECE2590-B0F0-4947-BBF0-CA1338527747}">
            <xm:f>'SpxSp (step-a)'!#REF!=1</xm:f>
            <x14:dxf>
              <font>
                <color rgb="FF9C0006"/>
              </font>
              <fill>
                <patternFill>
                  <bgColor rgb="FFFFC7CE"/>
                </patternFill>
              </fill>
            </x14:dxf>
          </x14:cfRule>
          <xm:sqref>S22:S26</xm:sqref>
        </x14:conditionalFormatting>
        <x14:conditionalFormatting xmlns:xm="http://schemas.microsoft.com/office/excel/2006/main">
          <x14:cfRule type="expression" priority="2810" id="{14043ABC-2924-4E5C-8296-364C35295E56}">
            <xm:f>'SpxSp (step-a)'!#REF!=1</xm:f>
            <x14:dxf>
              <font>
                <color rgb="FF9C0006"/>
              </font>
              <fill>
                <patternFill>
                  <bgColor rgb="FFFFC7CE"/>
                </patternFill>
              </fill>
            </x14:dxf>
          </x14:cfRule>
          <xm:sqref>S27:S44</xm:sqref>
        </x14:conditionalFormatting>
        <x14:conditionalFormatting xmlns:xm="http://schemas.microsoft.com/office/excel/2006/main">
          <x14:cfRule type="expression" priority="371" id="{14043ABC-2924-4E5C-8296-364C35295E56}">
            <xm:f>'SpxSp (step-a)'!#REF!=1</xm:f>
            <x14:dxf>
              <font>
                <color rgb="FF9C0006"/>
              </font>
              <fill>
                <patternFill>
                  <bgColor rgb="FFFFC7CE"/>
                </patternFill>
              </fill>
            </x14:dxf>
          </x14:cfRule>
          <xm:sqref>S47:S49 S54:S55</xm:sqref>
        </x14:conditionalFormatting>
        <x14:conditionalFormatting xmlns:xm="http://schemas.microsoft.com/office/excel/2006/main">
          <x14:cfRule type="expression" priority="2806" id="{14043ABC-2924-4E5C-8296-364C35295E56}">
            <xm:f>'SpxSp (step-a)'!#REF!=1</xm:f>
            <x14:dxf>
              <font>
                <color rgb="FF9C0006"/>
              </font>
              <fill>
                <patternFill>
                  <bgColor rgb="FFFFC7CE"/>
                </patternFill>
              </fill>
            </x14:dxf>
          </x14:cfRule>
          <xm:sqref>S50:S53 S59:S64</xm:sqref>
        </x14:conditionalFormatting>
        <x14:conditionalFormatting xmlns:xm="http://schemas.microsoft.com/office/excel/2006/main">
          <x14:cfRule type="expression" priority="2809" id="{0ECE2590-B0F0-4947-BBF0-CA1338527747}">
            <xm:f>'SpxSp (step-a)'!#REF!=1</xm:f>
            <x14:dxf>
              <font>
                <color rgb="FF9C0006"/>
              </font>
              <fill>
                <patternFill>
                  <bgColor rgb="FFFFC7CE"/>
                </patternFill>
              </fill>
            </x14:dxf>
          </x14:cfRule>
          <xm:sqref>S56:S57</xm:sqref>
        </x14:conditionalFormatting>
        <x14:conditionalFormatting xmlns:xm="http://schemas.microsoft.com/office/excel/2006/main">
          <x14:cfRule type="expression" priority="407" id="{14043ABC-2924-4E5C-8296-364C35295E56}">
            <xm:f>'SpxSp (step-a)'!#REF!=1</xm:f>
            <x14:dxf>
              <font>
                <color rgb="FF9C0006"/>
              </font>
              <fill>
                <patternFill>
                  <bgColor rgb="FFFFC7CE"/>
                </patternFill>
              </fill>
            </x14:dxf>
          </x14:cfRule>
          <xm:sqref>S58</xm:sqref>
        </x14:conditionalFormatting>
        <x14:conditionalFormatting xmlns:xm="http://schemas.microsoft.com/office/excel/2006/main">
          <x14:cfRule type="expression" priority="2805" id="{0ECE2590-B0F0-4947-BBF0-CA1338527747}">
            <xm:f>'SpxSp (step-a)'!#REF!=1</xm:f>
            <x14:dxf>
              <font>
                <color rgb="FF9C0006"/>
              </font>
              <fill>
                <patternFill>
                  <bgColor rgb="FFFFC7CE"/>
                </patternFill>
              </fill>
            </x14:dxf>
          </x14:cfRule>
          <xm:sqref>S65:S67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tabColor theme="9" tint="-0.249977111117893"/>
    <pageSetUpPr fitToPage="1"/>
  </sheetPr>
  <dimension ref="B1:BM165"/>
  <sheetViews>
    <sheetView showGridLines="0" showRowColHeaders="0" zoomScaleNormal="100" workbookViewId="0">
      <pane xSplit="7" ySplit="14" topLeftCell="H15" activePane="bottomRight" state="frozen"/>
      <selection pane="topRight" activeCell="H1" sqref="H1"/>
      <selection pane="bottomLeft" activeCell="A15" sqref="A15"/>
      <selection pane="bottomRight" activeCell="O16" sqref="O16:Q18"/>
    </sheetView>
  </sheetViews>
  <sheetFormatPr defaultColWidth="9" defaultRowHeight="12.5" x14ac:dyDescent="0.25"/>
  <cols>
    <col min="1" max="1" width="2.54296875" style="42" customWidth="1"/>
    <col min="2" max="5" width="10.54296875" style="42" customWidth="1"/>
    <col min="6" max="6" width="2.54296875" style="42" customWidth="1"/>
    <col min="7" max="7" width="2.54296875" style="42" hidden="1" customWidth="1"/>
    <col min="8" max="8" width="5.54296875" style="42" customWidth="1"/>
    <col min="9" max="9" width="20.54296875" style="42" customWidth="1"/>
    <col min="10" max="10" width="30.54296875" style="42" customWidth="1"/>
    <col min="11" max="12" width="10.7265625" style="42" customWidth="1"/>
    <col min="13" max="13" width="2.54296875" style="42" customWidth="1"/>
    <col min="14" max="14" width="5.54296875" style="42" customWidth="1"/>
    <col min="15" max="15" width="20.54296875" style="42" customWidth="1"/>
    <col min="16" max="16" width="64.453125" style="42" bestFit="1" customWidth="1"/>
    <col min="17" max="21" width="10.7265625" style="42" customWidth="1"/>
    <col min="22" max="24" width="10.7265625" style="42" hidden="1" customWidth="1"/>
    <col min="25" max="25" width="42.453125" style="42" hidden="1" customWidth="1"/>
    <col min="26" max="26" width="16.1796875" style="42" hidden="1" customWidth="1"/>
    <col min="27" max="27" width="27.26953125" style="42" hidden="1" customWidth="1"/>
    <col min="28" max="35" width="9" style="42" hidden="1" customWidth="1"/>
    <col min="36" max="36" width="10.7265625" style="42" hidden="1" customWidth="1"/>
    <col min="37" max="37" width="42.453125" style="42" hidden="1" customWidth="1"/>
    <col min="38" max="38" width="16.1796875" style="42" hidden="1" customWidth="1"/>
    <col min="39" max="39" width="27.26953125" style="42" hidden="1" customWidth="1"/>
    <col min="40" max="45" width="9" style="42" hidden="1" customWidth="1"/>
    <col min="46" max="46" width="42.54296875" style="42" hidden="1" customWidth="1"/>
    <col min="47" max="47" width="15.54296875" style="42" hidden="1" customWidth="1"/>
    <col min="48" max="48" width="27.54296875" style="42" hidden="1" customWidth="1"/>
    <col min="49" max="53" width="9" style="42" hidden="1" customWidth="1"/>
    <col min="54" max="54" width="3.7265625" style="309" hidden="1" customWidth="1"/>
    <col min="55" max="55" width="48.81640625" style="42" hidden="1" customWidth="1"/>
    <col min="56" max="56" width="34.81640625" style="42" hidden="1" customWidth="1"/>
    <col min="57" max="57" width="30.81640625" style="42" hidden="1" customWidth="1"/>
    <col min="58" max="59" width="6.7265625" style="42" hidden="1" customWidth="1"/>
    <col min="60" max="60" width="9" style="42" hidden="1" customWidth="1"/>
    <col min="61" max="61" width="9" style="309" hidden="1" customWidth="1"/>
    <col min="62" max="62" width="31.453125" style="42" hidden="1" customWidth="1"/>
    <col min="63" max="65" width="9" style="42" hidden="1" customWidth="1"/>
    <col min="66" max="66" width="0" style="42" hidden="1" customWidth="1"/>
    <col min="67" max="16384" width="9" style="42"/>
  </cols>
  <sheetData>
    <row r="1" spans="2:65" ht="15" customHeight="1" x14ac:dyDescent="0.3">
      <c r="D1" s="1498" t="s">
        <v>0</v>
      </c>
      <c r="E1" s="1498"/>
      <c r="F1" s="1498"/>
      <c r="G1" s="316"/>
      <c r="H1" s="1472" t="str">
        <f>'Main Compliance Page'!K1</f>
        <v>ASHRAE/IES 90.1-2019 Lighting Compliance Documentation (v4.0)</v>
      </c>
      <c r="I1" s="1472"/>
      <c r="J1" s="1472"/>
      <c r="K1" s="1472"/>
      <c r="L1" s="1472"/>
      <c r="O1" s="351" t="s">
        <v>50</v>
      </c>
      <c r="P1" s="352"/>
      <c r="Q1" s="353"/>
      <c r="R1" s="353"/>
      <c r="S1" s="121"/>
      <c r="T1" s="121"/>
      <c r="U1" s="121"/>
      <c r="V1" s="73"/>
      <c r="W1" s="73"/>
      <c r="BB1" s="325"/>
      <c r="BI1" s="325"/>
    </row>
    <row r="2" spans="2:65" ht="5.15" customHeight="1" x14ac:dyDescent="0.3">
      <c r="D2" s="526"/>
      <c r="E2" s="526"/>
      <c r="F2" s="526"/>
      <c r="G2" s="526"/>
      <c r="H2" s="527"/>
      <c r="I2" s="527"/>
      <c r="J2" s="527"/>
      <c r="K2" s="527"/>
      <c r="L2" s="527"/>
      <c r="O2" s="354"/>
      <c r="P2" s="346"/>
      <c r="Q2" s="345"/>
      <c r="R2" s="345"/>
      <c r="S2" s="121"/>
      <c r="T2" s="121"/>
      <c r="U2" s="121"/>
      <c r="V2" s="73"/>
      <c r="W2" s="73"/>
      <c r="BB2" s="532"/>
      <c r="BI2" s="532"/>
    </row>
    <row r="3" spans="2:65" ht="15" customHeight="1" x14ac:dyDescent="0.3">
      <c r="D3" s="1404"/>
      <c r="E3" s="1404"/>
      <c r="F3" s="1404"/>
      <c r="G3" s="315"/>
      <c r="H3" s="1472" t="s">
        <v>891</v>
      </c>
      <c r="I3" s="1472"/>
      <c r="J3" s="1472"/>
      <c r="K3" s="1472"/>
      <c r="L3" s="1472"/>
      <c r="M3" s="74"/>
      <c r="N3" s="74"/>
      <c r="O3" s="354" t="s">
        <v>51</v>
      </c>
      <c r="P3" s="346"/>
      <c r="Q3" s="345"/>
      <c r="R3" s="345"/>
      <c r="S3" s="121"/>
      <c r="T3" s="121"/>
      <c r="U3" s="121"/>
      <c r="V3" s="73"/>
      <c r="W3" s="73"/>
      <c r="BB3" s="325"/>
      <c r="BI3" s="325"/>
    </row>
    <row r="4" spans="2:65" ht="5.15" customHeight="1" x14ac:dyDescent="0.3">
      <c r="D4" s="525"/>
      <c r="E4" s="525"/>
      <c r="F4" s="525"/>
      <c r="G4" s="525"/>
      <c r="H4" s="527"/>
      <c r="I4" s="527"/>
      <c r="J4" s="527"/>
      <c r="K4" s="527"/>
      <c r="L4" s="527"/>
      <c r="M4" s="74"/>
      <c r="N4" s="74"/>
      <c r="O4" s="354"/>
      <c r="P4" s="346"/>
      <c r="Q4" s="345"/>
      <c r="R4" s="345"/>
      <c r="S4" s="121"/>
      <c r="T4" s="121"/>
      <c r="U4" s="121"/>
      <c r="V4" s="73"/>
      <c r="W4" s="73"/>
      <c r="BB4" s="532"/>
      <c r="BI4" s="532"/>
    </row>
    <row r="5" spans="2:65" ht="15" customHeight="1" x14ac:dyDescent="0.25">
      <c r="D5" s="1404"/>
      <c r="E5" s="1404"/>
      <c r="F5" s="1404"/>
      <c r="G5" s="315"/>
      <c r="O5" s="354" t="s">
        <v>52</v>
      </c>
      <c r="P5" s="140"/>
      <c r="Q5" s="140"/>
      <c r="R5" s="140"/>
      <c r="S5" s="73"/>
      <c r="T5" s="73"/>
      <c r="U5" s="73"/>
      <c r="V5" s="73"/>
      <c r="W5" s="73"/>
      <c r="BB5" s="325"/>
      <c r="BI5" s="325"/>
    </row>
    <row r="6" spans="2:65" ht="5.15" customHeight="1" thickBot="1" x14ac:dyDescent="0.3">
      <c r="D6" s="525"/>
      <c r="E6" s="525"/>
      <c r="F6" s="525"/>
      <c r="G6" s="525"/>
      <c r="O6" s="354"/>
      <c r="P6" s="140"/>
      <c r="Q6" s="140"/>
      <c r="R6" s="140"/>
      <c r="S6" s="73"/>
      <c r="T6" s="73"/>
      <c r="U6" s="73"/>
      <c r="V6" s="73"/>
      <c r="W6" s="73"/>
      <c r="BB6" s="532"/>
      <c r="BI6" s="532"/>
    </row>
    <row r="7" spans="2:65" ht="15" customHeight="1" thickBot="1" x14ac:dyDescent="0.4">
      <c r="D7" s="1404"/>
      <c r="E7" s="1404"/>
      <c r="F7" s="1404"/>
      <c r="G7" s="315"/>
      <c r="I7" s="133"/>
      <c r="J7" s="93" t="s">
        <v>53</v>
      </c>
      <c r="K7" s="192" t="s">
        <v>1341</v>
      </c>
      <c r="M7" s="43"/>
      <c r="O7" s="354" t="s">
        <v>54</v>
      </c>
      <c r="P7" s="140"/>
      <c r="Q7" s="140"/>
      <c r="R7" s="140"/>
      <c r="S7" s="73"/>
      <c r="T7" s="73"/>
      <c r="U7" s="73"/>
      <c r="V7" s="73"/>
      <c r="W7" s="73"/>
      <c r="BB7" s="325"/>
      <c r="BI7" s="325"/>
    </row>
    <row r="8" spans="2:65" ht="5.15" customHeight="1" x14ac:dyDescent="0.35">
      <c r="D8" s="525"/>
      <c r="E8" s="525"/>
      <c r="F8" s="525"/>
      <c r="G8" s="525"/>
      <c r="I8" s="133"/>
      <c r="J8" s="93"/>
      <c r="K8" s="121"/>
      <c r="M8" s="43"/>
      <c r="O8" s="354"/>
      <c r="P8" s="140"/>
      <c r="Q8" s="140"/>
      <c r="R8" s="140"/>
      <c r="S8" s="73"/>
      <c r="T8" s="73"/>
      <c r="U8" s="73"/>
      <c r="V8" s="73"/>
      <c r="W8" s="73"/>
      <c r="BB8" s="532"/>
      <c r="BI8" s="532"/>
    </row>
    <row r="9" spans="2:65" ht="15" customHeight="1" x14ac:dyDescent="0.25">
      <c r="D9" s="1404"/>
      <c r="E9" s="1404"/>
      <c r="F9" s="1404"/>
      <c r="G9" s="315"/>
      <c r="J9" s="93" t="s">
        <v>55</v>
      </c>
      <c r="K9" s="586">
        <f>IFERROR(IF(_Exterior_LZ="","Not Selected",VLOOKUP(K7,_ExteriorLightingZoneTable,2,FALSE)),0)</f>
        <v>0</v>
      </c>
      <c r="L9" s="121"/>
      <c r="O9" s="355" t="s">
        <v>56</v>
      </c>
      <c r="P9" s="120"/>
      <c r="Q9" s="120"/>
      <c r="R9" s="120"/>
      <c r="S9" s="73"/>
      <c r="T9" s="73"/>
      <c r="U9" s="73"/>
      <c r="V9" s="73"/>
      <c r="W9" s="73"/>
      <c r="AG9" s="1747" t="s">
        <v>1127</v>
      </c>
      <c r="AK9" s="42" t="e">
        <f ca="1">_Exterior_SpaceList</f>
        <v>#REF!</v>
      </c>
      <c r="BB9" s="325"/>
      <c r="BI9" s="325"/>
    </row>
    <row r="10" spans="2:65" ht="5.15" customHeight="1" x14ac:dyDescent="0.25">
      <c r="D10" s="525"/>
      <c r="E10" s="525"/>
      <c r="F10" s="525"/>
      <c r="G10" s="525"/>
      <c r="J10" s="93"/>
      <c r="K10" s="121"/>
      <c r="L10" s="121"/>
      <c r="O10" s="356"/>
      <c r="P10" s="73"/>
      <c r="Q10" s="73"/>
      <c r="R10" s="73"/>
      <c r="S10" s="73"/>
      <c r="T10" s="73"/>
      <c r="U10" s="73"/>
      <c r="V10" s="73"/>
      <c r="W10" s="73"/>
      <c r="AG10" s="1747"/>
      <c r="BB10" s="532"/>
      <c r="BI10" s="532"/>
    </row>
    <row r="11" spans="2:65" ht="15" customHeight="1" x14ac:dyDescent="0.25">
      <c r="D11" s="315"/>
      <c r="E11" s="525"/>
      <c r="F11" s="315"/>
      <c r="G11" s="315"/>
      <c r="J11" s="93"/>
      <c r="K11" s="121"/>
      <c r="L11" s="121"/>
      <c r="O11" s="356"/>
      <c r="P11" s="73"/>
      <c r="Q11" s="73"/>
      <c r="R11" s="73"/>
      <c r="S11" s="73"/>
      <c r="T11" s="73"/>
      <c r="U11" s="73"/>
      <c r="V11" s="73"/>
      <c r="W11" s="73"/>
      <c r="AG11" s="1747"/>
      <c r="BB11" s="325"/>
      <c r="BI11" s="325"/>
    </row>
    <row r="12" spans="2:65" ht="5.15" customHeight="1" x14ac:dyDescent="0.25">
      <c r="D12" s="525"/>
      <c r="E12" s="525"/>
      <c r="F12" s="525"/>
      <c r="G12" s="525"/>
      <c r="J12" s="93"/>
      <c r="K12" s="121"/>
      <c r="L12" s="121"/>
      <c r="O12" s="356"/>
      <c r="P12" s="73"/>
      <c r="Q12" s="73"/>
      <c r="R12" s="73"/>
      <c r="S12" s="73"/>
      <c r="T12" s="73"/>
      <c r="U12" s="73"/>
      <c r="V12" s="73"/>
      <c r="W12" s="73"/>
      <c r="AG12" s="1747"/>
      <c r="BB12" s="532"/>
      <c r="BI12" s="532"/>
    </row>
    <row r="13" spans="2:65" ht="15" customHeight="1" thickBot="1" x14ac:dyDescent="0.35">
      <c r="B13" s="1561" t="str">
        <f>CONCATENATE("90.1-",Compliance_Version_Year)</f>
        <v>90.1-2019</v>
      </c>
      <c r="C13" s="1561"/>
      <c r="D13" s="74"/>
      <c r="E13" s="74"/>
      <c r="F13" s="74"/>
      <c r="G13" s="315"/>
      <c r="H13" s="50">
        <f>Compliance_Version_Year</f>
        <v>2019</v>
      </c>
      <c r="I13" s="50" t="s">
        <v>57</v>
      </c>
      <c r="L13" s="1077">
        <f>ROUND(SUM(L16:L65),0)</f>
        <v>0</v>
      </c>
      <c r="N13" s="50">
        <f>Compliance_Version_Year</f>
        <v>2019</v>
      </c>
      <c r="O13" s="50" t="s">
        <v>58</v>
      </c>
      <c r="R13" s="1088">
        <f>SUM(R16:R65)</f>
        <v>0</v>
      </c>
      <c r="AF13" s="326"/>
      <c r="AG13" s="1747"/>
      <c r="AH13" s="730"/>
      <c r="BB13" s="325"/>
      <c r="BI13" s="325"/>
    </row>
    <row r="14" spans="2:65" ht="21" thickBot="1" x14ac:dyDescent="0.3">
      <c r="H14" s="1090" t="s">
        <v>28</v>
      </c>
      <c r="I14" s="1091" t="s">
        <v>59</v>
      </c>
      <c r="J14" s="1092" t="s">
        <v>60</v>
      </c>
      <c r="K14" s="1094" t="s">
        <v>61</v>
      </c>
      <c r="L14" s="1093" t="s">
        <v>27</v>
      </c>
      <c r="N14" s="1090" t="s">
        <v>28</v>
      </c>
      <c r="O14" s="1091" t="s">
        <v>59</v>
      </c>
      <c r="P14" s="1092" t="s">
        <v>62</v>
      </c>
      <c r="Q14" s="1091" t="s">
        <v>63</v>
      </c>
      <c r="R14" s="1093" t="s">
        <v>27</v>
      </c>
      <c r="X14" s="325">
        <f>COUNT(X16:X65)</f>
        <v>0</v>
      </c>
      <c r="Y14" s="43"/>
      <c r="Z14" s="43"/>
      <c r="AA14" s="43" t="s">
        <v>1101</v>
      </c>
      <c r="AB14" s="43" t="s">
        <v>34</v>
      </c>
      <c r="AC14" s="43" t="s">
        <v>130</v>
      </c>
      <c r="AD14" s="43"/>
      <c r="AE14" s="326" t="str">
        <f>$K7</f>
        <v>Select</v>
      </c>
      <c r="AG14" s="893">
        <f>SUM(AG16:AG65)</f>
        <v>0</v>
      </c>
      <c r="AJ14" s="325">
        <f>COUNT(AJ16:AJ65)</f>
        <v>0</v>
      </c>
      <c r="AP14" s="326" t="str">
        <f>$K7</f>
        <v>Select</v>
      </c>
      <c r="AS14" s="325">
        <f>COUNT(AS16:AS108)</f>
        <v>0</v>
      </c>
      <c r="BB14" s="325">
        <f>COUNT(BB16:BB165)</f>
        <v>0</v>
      </c>
      <c r="BF14" s="325" t="s">
        <v>34</v>
      </c>
      <c r="BG14" s="325" t="s">
        <v>35</v>
      </c>
      <c r="BI14" s="325">
        <f>COUNT(BI16:BI106)</f>
        <v>0</v>
      </c>
      <c r="BJ14" s="42" t="s">
        <v>7</v>
      </c>
      <c r="BK14" s="325" t="s">
        <v>34</v>
      </c>
      <c r="BL14" s="325" t="s">
        <v>35</v>
      </c>
    </row>
    <row r="15" spans="2:65" s="73" customFormat="1" ht="1" customHeight="1" x14ac:dyDescent="0.25">
      <c r="H15" s="1750"/>
      <c r="I15" s="1751"/>
      <c r="J15" s="1751"/>
      <c r="K15" s="1751"/>
      <c r="L15" s="1752"/>
      <c r="N15" s="1750"/>
      <c r="O15" s="1751"/>
      <c r="P15" s="1751"/>
      <c r="Q15" s="1751"/>
      <c r="R15" s="1752"/>
      <c r="X15" s="505"/>
      <c r="Y15" s="237"/>
      <c r="Z15" s="237"/>
      <c r="AA15" s="237"/>
      <c r="AB15" s="237"/>
      <c r="AC15" s="237"/>
      <c r="AD15" s="237"/>
      <c r="AE15" s="121"/>
      <c r="AG15" s="940"/>
      <c r="AJ15" s="505"/>
      <c r="AP15" s="121"/>
      <c r="AS15" s="505"/>
      <c r="BB15" s="505"/>
      <c r="BF15" s="505"/>
      <c r="BG15" s="505"/>
      <c r="BI15" s="505"/>
      <c r="BK15" s="505"/>
      <c r="BL15" s="505"/>
    </row>
    <row r="16" spans="2:65" ht="13" x14ac:dyDescent="0.3">
      <c r="B16" s="50"/>
      <c r="H16" s="169">
        <v>1</v>
      </c>
      <c r="I16" s="1078"/>
      <c r="J16" s="1079"/>
      <c r="K16" s="1080"/>
      <c r="L16" s="1081" t="str">
        <f t="shared" ref="L16:L47" si="0">IF(J16="","",VLOOKUP(J16,_TradableTableAllowed,RIGHT(_Exterior_LZ,1)+2,FALSE)*K16)</f>
        <v/>
      </c>
      <c r="N16" s="169">
        <v>1</v>
      </c>
      <c r="O16" s="1078"/>
      <c r="P16" s="1079"/>
      <c r="Q16" s="1080"/>
      <c r="R16" s="1036" t="str">
        <f>IF(P16="","",VLOOKUP(P16,_NonTradableTableAllowed,RIGHT(_Exterior_LZ,1)+2,FALSE)*Q16)</f>
        <v/>
      </c>
      <c r="W16" s="43">
        <v>1</v>
      </c>
      <c r="X16" s="362" t="str">
        <f t="array" ref="X16">IF(ROWS(I$16:I16)&gt;COUNTA($I$16:$I$65),"",INDEX($H$16:$H$65,SMALL(IF($I$16:$I$65&lt;&gt;"",ROW($I$16:$I$65)-ROW($I$16)+1),ROWS(I$16:$I16))))</f>
        <v/>
      </c>
      <c r="Y16" s="349" t="str">
        <f t="shared" ref="Y16:Y65" si="1">IF(X16="","",CONCATENATE(X16," - ",Z16," (",AA16,")"))</f>
        <v/>
      </c>
      <c r="Z16" s="349" t="str">
        <f t="shared" ref="Z16:Z47" si="2">IF($X16="","",VLOOKUP($X16,_TradableTable,2,FALSE))</f>
        <v/>
      </c>
      <c r="AA16" s="349" t="str">
        <f t="shared" ref="AA16:AA47" si="3">IF($X16="","",VLOOKUP($X16,_TradableTable,3,FALSE))</f>
        <v/>
      </c>
      <c r="AB16" s="362" t="str">
        <f t="shared" ref="AB16:AB47" si="4">IF($X16="","",VLOOKUP($X16,_TradableTable,4,FALSE))</f>
        <v/>
      </c>
      <c r="AC16" s="745" t="str">
        <f t="shared" ref="AC16:AC47" si="5">IF($X16="","",VLOOKUP($X16,_TradableTable,5,FALSE))</f>
        <v/>
      </c>
      <c r="AD16" s="134" t="s">
        <v>1209</v>
      </c>
      <c r="AE16" s="135" t="str">
        <f t="shared" ref="AE16:AE47" si="6">IF(AA16&lt;&gt;"",VLOOKUP(AA16,_TradableTableAllowed,RIGHT(AE$14,1)+2,FALSE),"")</f>
        <v/>
      </c>
      <c r="AF16" s="135" t="str">
        <f t="shared" ref="AF16:AF47" si="7">IF(AA16&lt;&gt;"",VLOOKUP(AA16,_TradableTableAllowed,7,FALSE),"")</f>
        <v/>
      </c>
      <c r="AG16" s="278" t="str">
        <f>IF(VLOOKUP(Y16,ExteriorTradableData!B$10:R$59,17,FALSE)&gt;0,AC16,0)</f>
        <v/>
      </c>
      <c r="AH16" s="135"/>
      <c r="AI16" s="43">
        <v>52</v>
      </c>
      <c r="AJ16" s="362" t="str">
        <f t="array" ref="AJ16">IF(ROWS(O$16:O16)&gt;COUNTA($O$16:$O$65),"",INDEX($N$16:$N$65,SMALL(IF($O$16:$O$65&lt;&gt;"",ROW($O$16:$O$65)-ROW($O$16)+1),ROWS($O$16:O16))))</f>
        <v/>
      </c>
      <c r="AK16" s="349" t="str">
        <f t="shared" ref="AK16:AK65" si="8">IF(AJ16="","",CONCATENATE(AJ16," - ",AL16," (",AM16,")"))</f>
        <v/>
      </c>
      <c r="AL16" s="349" t="str">
        <f t="shared" ref="AL16:AL47" si="9">IF($AJ16="","",VLOOKUP($AJ16,_NonTradableTable,2,FALSE))</f>
        <v/>
      </c>
      <c r="AM16" s="349" t="str">
        <f t="shared" ref="AM16:AM47" si="10">IF($AJ16="","",VLOOKUP($AJ16,_NonTradableTable,3,FALSE))</f>
        <v/>
      </c>
      <c r="AN16" s="362" t="str">
        <f t="shared" ref="AN16:AN47" si="11">IF($AJ16="","",VLOOKUP($AJ16,_NonTradableTable,4,FALSE))</f>
        <v/>
      </c>
      <c r="AO16" s="134" t="str">
        <f t="shared" ref="AO16:AO47" si="12">IF(AM16&lt;&gt;"",VLOOKUP(AM16,_NonTradableTableAllowed,RIGHT(AP$14,1)+2,FALSE),"")</f>
        <v/>
      </c>
      <c r="AP16" s="135" t="str">
        <f t="shared" ref="AP16:AP47" si="13">IF(AM16&lt;&gt;"",VLOOKUP(AM16,_NonTradableTableAllowed,RIGHT(AP$14,1)+2,FALSE),"")</f>
        <v/>
      </c>
      <c r="AR16" s="43">
        <v>1</v>
      </c>
      <c r="AS16" s="362" t="str">
        <f t="array" ref="AS16">IFERROR(IF(ROWS(Y$16:Y16)&gt;COUNTA($Y$16:$Y$116),"",INDEX($W$16:$W$116,SMALL(IF($Y$16:$Y$116&lt;&gt;"",ROW($Y$16:$Y$116)-ROW($Y$16)+1),ROWS($Y$16:Y16)))),"")</f>
        <v/>
      </c>
      <c r="AT16" s="349" t="str">
        <f>IF(AS16="","",VLOOKUP(AS16,W$16:AB$116,3,FALSE))</f>
        <v/>
      </c>
      <c r="AU16" s="349" t="str">
        <f>IF(AS16="","",VLOOKUP($AS16,$W$16:$AB$116,4,FALSE))</f>
        <v/>
      </c>
      <c r="AV16" s="349" t="str">
        <f>IF(AS16="","",VLOOKUP($AS16,$W$16:$AB$116,5,FALSE))</f>
        <v/>
      </c>
      <c r="AW16" s="362" t="str">
        <f t="shared" ref="AW16:AW21" si="14">IF(AS16="","",VLOOKUP($AS16,$W16:$AB116,6,FALSE))</f>
        <v/>
      </c>
      <c r="AX16" s="362" t="str">
        <f>IF($AS16="","",VLOOKUP($AS16,$W$16:$AE$116,7,FALSE))</f>
        <v/>
      </c>
      <c r="AY16" s="1107" t="str">
        <f>IF($AS16="","",VLOOKUP($AS16,$W$16:$AE$116,8,FALSE))</f>
        <v/>
      </c>
      <c r="AZ16" s="93" t="s">
        <v>64</v>
      </c>
      <c r="BA16" s="93">
        <v>1</v>
      </c>
      <c r="BB16" s="357" t="str">
        <f>'Int Room Schedule'!Y16</f>
        <v/>
      </c>
      <c r="BC16" s="358" t="str">
        <f>'Int Room Schedule'!Z16</f>
        <v/>
      </c>
      <c r="BD16" s="358" t="str">
        <f>'Int Room Schedule'!AA16</f>
        <v/>
      </c>
      <c r="BE16" s="358" t="str">
        <f>'Int Room Schedule'!AB16</f>
        <v/>
      </c>
      <c r="BF16" s="358" t="str">
        <f>'Int Room Schedule'!AC16</f>
        <v/>
      </c>
      <c r="BG16" s="417" t="str">
        <f>'Int Room Schedule'!AD16</f>
        <v/>
      </c>
      <c r="BH16" s="95" t="s">
        <v>14</v>
      </c>
      <c r="BI16" s="362" t="str">
        <f t="array" ref="BI16">IFERROR(IF(ROWS(BC$16:BC16)&gt;COUNTA($BC$16:$BC$116),"",INDEX($BA$16:$BA$116,SMALL(IF($BC$16:$BC$116&lt;&gt;"",ROW($BC$16:$BC$116)-ROW($BC$16)+1),ROWS($BC$16:BC16)))),"")</f>
        <v/>
      </c>
      <c r="BJ16" s="349" t="str">
        <f>IF($BI16="","",VLOOKUP($BI16,$BA$16:$BG$116,3,FALSE))</f>
        <v/>
      </c>
      <c r="BK16" s="362" t="str">
        <f>IF($BI16="","",VLOOKUP($BI16,$BA$16:$BG$116,6,FALSE))</f>
        <v/>
      </c>
      <c r="BL16" s="362" t="str">
        <f>IF($BI16="","",VLOOKUP($BI16,$BA$16:$BG$116,7,FALSE))</f>
        <v/>
      </c>
      <c r="BM16" s="413" t="str">
        <f>IF($BI16="","",VLOOKUP($BI16,$BA$16:$BH$116,8,FALSE))</f>
        <v/>
      </c>
    </row>
    <row r="17" spans="2:65" ht="13" x14ac:dyDescent="0.3">
      <c r="B17" s="94" t="s">
        <v>890</v>
      </c>
      <c r="C17" s="94"/>
      <c r="H17" s="169">
        <v>2</v>
      </c>
      <c r="I17" s="1082"/>
      <c r="J17" s="1079"/>
      <c r="K17" s="1080"/>
      <c r="L17" s="1081" t="str">
        <f t="shared" si="0"/>
        <v/>
      </c>
      <c r="N17" s="169">
        <v>2</v>
      </c>
      <c r="O17" s="1082"/>
      <c r="P17" s="1079"/>
      <c r="Q17" s="1080"/>
      <c r="R17" s="1036" t="str">
        <f t="shared" ref="R17:R47" si="15">IF(P17="","",VLOOKUP(P17,_NonTradableTableAllowed,RIGHT(_Exterior_LZ,1)+2,FALSE)*Q17)</f>
        <v/>
      </c>
      <c r="W17" s="43">
        <v>2</v>
      </c>
      <c r="X17" s="362" t="str">
        <f t="array" ref="X17">IF(ROWS(I$16:I17)&gt;COUNTA($I$16:$I$65),"",INDEX($H$16:$H$65,SMALL(IF($I$16:$I$65&lt;&gt;"",ROW($I$16:$I$65)-ROW($I$16)+1),ROWS(I$16:$I17))))</f>
        <v/>
      </c>
      <c r="Y17" s="349" t="str">
        <f t="shared" si="1"/>
        <v/>
      </c>
      <c r="Z17" s="349" t="str">
        <f t="shared" si="2"/>
        <v/>
      </c>
      <c r="AA17" s="349" t="str">
        <f t="shared" si="3"/>
        <v/>
      </c>
      <c r="AB17" s="362" t="str">
        <f t="shared" si="4"/>
        <v/>
      </c>
      <c r="AC17" s="745" t="str">
        <f t="shared" si="5"/>
        <v/>
      </c>
      <c r="AD17" s="134" t="s">
        <v>1209</v>
      </c>
      <c r="AE17" s="135" t="str">
        <f t="shared" si="6"/>
        <v/>
      </c>
      <c r="AF17" s="135" t="str">
        <f t="shared" si="7"/>
        <v/>
      </c>
      <c r="AG17" s="278" t="str">
        <f>IF(VLOOKUP(Y17,ExteriorTradableData!B$10:R$59,17,FALSE)&gt;0,AC17,0)</f>
        <v/>
      </c>
      <c r="AH17" s="135"/>
      <c r="AI17" s="43">
        <v>53</v>
      </c>
      <c r="AJ17" s="362" t="str">
        <f t="array" ref="AJ17">IF(ROWS(O$16:O17)&gt;COUNTA($O$16:$O$65),"",INDEX($N$16:$N$65,SMALL(IF($O$16:$O$65&lt;&gt;"",ROW($O$16:$O$65)-ROW($O$16)+1),ROWS($O$16:O17))))</f>
        <v/>
      </c>
      <c r="AK17" s="349" t="str">
        <f t="shared" si="8"/>
        <v/>
      </c>
      <c r="AL17" s="349" t="str">
        <f t="shared" si="9"/>
        <v/>
      </c>
      <c r="AM17" s="349" t="str">
        <f t="shared" si="10"/>
        <v/>
      </c>
      <c r="AN17" s="362" t="str">
        <f t="shared" si="11"/>
        <v/>
      </c>
      <c r="AO17" s="134" t="str">
        <f t="shared" si="12"/>
        <v/>
      </c>
      <c r="AP17" s="135" t="str">
        <f t="shared" si="13"/>
        <v/>
      </c>
      <c r="AR17" s="43">
        <v>2</v>
      </c>
      <c r="AS17" s="362" t="str">
        <f t="array" ref="AS17">IFERROR(IF(ROWS(Y$16:Y17)&gt;COUNTA($Y$16:$Y$116),"",INDEX($W$16:$W$116,SMALL(IF($Y$16:$Y$116&lt;&gt;"",ROW($Y$16:$Y$116)-ROW($Y$16)+1),ROWS($Y$16:Y17)))),"")</f>
        <v/>
      </c>
      <c r="AT17" s="349" t="str">
        <f t="shared" ref="AT17:AT80" si="16">IF(AS17="","",VLOOKUP(AS17,W$16:AB$116,3,FALSE))</f>
        <v/>
      </c>
      <c r="AU17" s="349" t="str">
        <f t="shared" ref="AU17:AU80" si="17">IF(AS17="","",VLOOKUP($AS17,$W$16:$AB$116,4,FALSE))</f>
        <v/>
      </c>
      <c r="AV17" s="349" t="str">
        <f t="shared" ref="AV17:AV80" si="18">IF(AS17="","",VLOOKUP($AS17,$W$16:$AB$116,5,FALSE))</f>
        <v/>
      </c>
      <c r="AW17" s="362" t="str">
        <f t="shared" si="14"/>
        <v/>
      </c>
      <c r="AX17" s="362" t="str">
        <f t="shared" ref="AX17:AX80" si="19">IF(AS17="","",VLOOKUP($AS17,$W$16:$AE$116,7,FALSE))</f>
        <v/>
      </c>
      <c r="AY17" s="1107" t="str">
        <f t="shared" ref="AY17:AY80" si="20">IF($AS17="","",VLOOKUP($AS17,$W$16:$AE$116,8,FALSE))</f>
        <v/>
      </c>
      <c r="BA17" s="42">
        <v>2</v>
      </c>
      <c r="BB17" s="357" t="str">
        <f>'Int Room Schedule'!Y17</f>
        <v/>
      </c>
      <c r="BC17" s="358" t="str">
        <f>'Int Room Schedule'!Z17</f>
        <v/>
      </c>
      <c r="BD17" s="358" t="str">
        <f>'Int Room Schedule'!AA17</f>
        <v/>
      </c>
      <c r="BE17" s="358" t="str">
        <f>'Int Room Schedule'!AB17</f>
        <v/>
      </c>
      <c r="BF17" s="358" t="str">
        <f>'Int Room Schedule'!AC17</f>
        <v/>
      </c>
      <c r="BG17" s="417" t="str">
        <f>'Int Room Schedule'!AD17</f>
        <v/>
      </c>
      <c r="BH17" s="95" t="s">
        <v>14</v>
      </c>
      <c r="BI17" s="362" t="str">
        <f t="array" ref="BI17">IFERROR(IF(ROWS(BC$16:BC17)&gt;COUNTA($BC$16:$BC$116),"",INDEX($BA$16:$BA$116,SMALL(IF($BC$16:$BC$116&lt;&gt;"",ROW($BC$16:$BC$116)-ROW($BC$16)+1),ROWS($BC$16:BC17)))),"")</f>
        <v/>
      </c>
      <c r="BJ17" s="349" t="str">
        <f t="shared" ref="BJ17:BJ80" si="21">IF($BI17="","",VLOOKUP($BI17,$BA$16:$BG$116,3,FALSE))</f>
        <v/>
      </c>
      <c r="BK17" s="362" t="str">
        <f t="shared" ref="BK17:BK106" si="22">IF($BI17="","",VLOOKUP($BI17,$BA$16:$BG$116,6,FALSE))</f>
        <v/>
      </c>
      <c r="BL17" s="362" t="str">
        <f t="shared" ref="BL17:BL106" si="23">IF($BI17="","",VLOOKUP($BI17,$BA$16:$BG$116,7,FALSE))</f>
        <v/>
      </c>
      <c r="BM17" s="413" t="str">
        <f t="shared" ref="BM17:BM80" si="24">IF($BI17="","",VLOOKUP($BI17,$BA$16:$BH$116,8,FALSE))</f>
        <v/>
      </c>
    </row>
    <row r="18" spans="2:65" x14ac:dyDescent="0.25">
      <c r="B18" s="95" t="s">
        <v>41</v>
      </c>
      <c r="H18" s="169">
        <v>3</v>
      </c>
      <c r="I18" s="1082"/>
      <c r="J18" s="1079"/>
      <c r="K18" s="1080"/>
      <c r="L18" s="1081" t="str">
        <f t="shared" si="0"/>
        <v/>
      </c>
      <c r="N18" s="169">
        <v>3</v>
      </c>
      <c r="O18" s="1082"/>
      <c r="P18" s="1079"/>
      <c r="Q18" s="1080"/>
      <c r="R18" s="1036" t="str">
        <f t="shared" si="15"/>
        <v/>
      </c>
      <c r="W18" s="43">
        <v>3</v>
      </c>
      <c r="X18" s="362" t="str">
        <f t="array" ref="X18">IF(ROWS(I$16:I18)&gt;COUNTA($I$16:$I$65),"",INDEX($H$16:$H$65,SMALL(IF($I$16:$I$65&lt;&gt;"",ROW($I$16:$I$65)-ROW($I$16)+1),ROWS(I$16:$I18))))</f>
        <v/>
      </c>
      <c r="Y18" s="349" t="str">
        <f t="shared" si="1"/>
        <v/>
      </c>
      <c r="Z18" s="349" t="str">
        <f t="shared" si="2"/>
        <v/>
      </c>
      <c r="AA18" s="349" t="str">
        <f t="shared" si="3"/>
        <v/>
      </c>
      <c r="AB18" s="362" t="str">
        <f t="shared" si="4"/>
        <v/>
      </c>
      <c r="AC18" s="745" t="str">
        <f t="shared" si="5"/>
        <v/>
      </c>
      <c r="AD18" s="134" t="s">
        <v>1209</v>
      </c>
      <c r="AE18" s="135" t="str">
        <f t="shared" si="6"/>
        <v/>
      </c>
      <c r="AF18" s="135" t="str">
        <f t="shared" si="7"/>
        <v/>
      </c>
      <c r="AG18" s="278" t="str">
        <f>IF(VLOOKUP(Y18,ExteriorTradableData!B$10:R$59,17,FALSE)&gt;0,AC18,0)</f>
        <v/>
      </c>
      <c r="AH18" s="135"/>
      <c r="AI18" s="43">
        <v>54</v>
      </c>
      <c r="AJ18" s="362" t="str">
        <f t="array" ref="AJ18">IF(ROWS(O$16:O18)&gt;COUNTA($O$16:$O$65),"",INDEX($N$16:$N$65,SMALL(IF($O$16:$O$65&lt;&gt;"",ROW($O$16:$O$65)-ROW($O$16)+1),ROWS($O$16:O18))))</f>
        <v/>
      </c>
      <c r="AK18" s="349" t="str">
        <f t="shared" si="8"/>
        <v/>
      </c>
      <c r="AL18" s="349" t="str">
        <f t="shared" si="9"/>
        <v/>
      </c>
      <c r="AM18" s="349" t="str">
        <f t="shared" si="10"/>
        <v/>
      </c>
      <c r="AN18" s="362" t="str">
        <f t="shared" si="11"/>
        <v/>
      </c>
      <c r="AO18" s="134" t="str">
        <f t="shared" si="12"/>
        <v/>
      </c>
      <c r="AP18" s="135" t="str">
        <f t="shared" si="13"/>
        <v/>
      </c>
      <c r="AR18" s="43">
        <v>3</v>
      </c>
      <c r="AS18" s="362" t="str">
        <f t="array" ref="AS18">IFERROR(IF(ROWS(Y$16:Y18)&gt;COUNTA($Y$16:$Y$116),"",INDEX($W$16:$W$116,SMALL(IF($Y$16:$Y$116&lt;&gt;"",ROW($Y$16:$Y$116)-ROW($Y$16)+1),ROWS($Y$16:Y18)))),"")</f>
        <v/>
      </c>
      <c r="AT18" s="349" t="str">
        <f t="shared" si="16"/>
        <v/>
      </c>
      <c r="AU18" s="349" t="str">
        <f t="shared" si="17"/>
        <v/>
      </c>
      <c r="AV18" s="349" t="str">
        <f t="shared" si="18"/>
        <v/>
      </c>
      <c r="AW18" s="362" t="str">
        <f t="shared" si="14"/>
        <v/>
      </c>
      <c r="AX18" s="362" t="str">
        <f t="shared" si="19"/>
        <v/>
      </c>
      <c r="AY18" s="1107" t="str">
        <f t="shared" si="20"/>
        <v/>
      </c>
      <c r="BA18" s="93">
        <v>3</v>
      </c>
      <c r="BB18" s="357" t="str">
        <f>'Int Room Schedule'!Y18</f>
        <v/>
      </c>
      <c r="BC18" s="358" t="str">
        <f>'Int Room Schedule'!Z18</f>
        <v/>
      </c>
      <c r="BD18" s="358" t="str">
        <f>'Int Room Schedule'!AA18</f>
        <v/>
      </c>
      <c r="BE18" s="358" t="str">
        <f>'Int Room Schedule'!AB18</f>
        <v/>
      </c>
      <c r="BF18" s="358" t="str">
        <f>'Int Room Schedule'!AC18</f>
        <v/>
      </c>
      <c r="BG18" s="417" t="str">
        <f>'Int Room Schedule'!AD18</f>
        <v/>
      </c>
      <c r="BH18" s="95" t="s">
        <v>14</v>
      </c>
      <c r="BI18" s="362" t="str">
        <f t="array" ref="BI18">IFERROR(IF(ROWS(BC$16:BC18)&gt;COUNTA($BC$16:$BC$116),"",INDEX($BA$16:$BA$116,SMALL(IF($BC$16:$BC$116&lt;&gt;"",ROW($BC$16:$BC$116)-ROW($BC$16)+1),ROWS($BC$16:BC18)))),"")</f>
        <v/>
      </c>
      <c r="BJ18" s="349" t="str">
        <f t="shared" si="21"/>
        <v/>
      </c>
      <c r="BK18" s="362" t="str">
        <f t="shared" si="22"/>
        <v/>
      </c>
      <c r="BL18" s="362" t="str">
        <f t="shared" si="23"/>
        <v/>
      </c>
      <c r="BM18" s="413" t="str">
        <f t="shared" si="24"/>
        <v/>
      </c>
    </row>
    <row r="19" spans="2:65" ht="13" x14ac:dyDescent="0.3">
      <c r="B19" s="1513" t="s">
        <v>44</v>
      </c>
      <c r="C19" s="1513"/>
      <c r="D19" s="1513"/>
      <c r="E19" s="1513"/>
      <c r="H19" s="169">
        <v>4</v>
      </c>
      <c r="I19" s="1082"/>
      <c r="J19" s="1079"/>
      <c r="K19" s="1080"/>
      <c r="L19" s="1081" t="str">
        <f t="shared" si="0"/>
        <v/>
      </c>
      <c r="N19" s="169">
        <v>4</v>
      </c>
      <c r="O19" s="1082"/>
      <c r="P19" s="1079"/>
      <c r="Q19" s="1080"/>
      <c r="R19" s="1036" t="str">
        <f t="shared" si="15"/>
        <v/>
      </c>
      <c r="W19" s="43">
        <v>4</v>
      </c>
      <c r="X19" s="362" t="str">
        <f t="array" ref="X19">IF(ROWS(I$16:I19)&gt;COUNTA($I$16:$I$65),"",INDEX($H$16:$H$65,SMALL(IF($I$16:$I$65&lt;&gt;"",ROW($I$16:$I$65)-ROW($I$16)+1),ROWS(I$16:$I19))))</f>
        <v/>
      </c>
      <c r="Y19" s="349" t="str">
        <f t="shared" si="1"/>
        <v/>
      </c>
      <c r="Z19" s="349" t="str">
        <f t="shared" si="2"/>
        <v/>
      </c>
      <c r="AA19" s="349" t="str">
        <f t="shared" si="3"/>
        <v/>
      </c>
      <c r="AB19" s="362" t="str">
        <f t="shared" si="4"/>
        <v/>
      </c>
      <c r="AC19" s="745" t="str">
        <f t="shared" si="5"/>
        <v/>
      </c>
      <c r="AD19" s="134" t="s">
        <v>1209</v>
      </c>
      <c r="AE19" s="135" t="str">
        <f t="shared" si="6"/>
        <v/>
      </c>
      <c r="AF19" s="135" t="str">
        <f t="shared" si="7"/>
        <v/>
      </c>
      <c r="AG19" s="278" t="str">
        <f>IF(VLOOKUP(Y19,ExteriorTradableData!B$10:R$59,17,FALSE)&gt;0,AC19,0)</f>
        <v/>
      </c>
      <c r="AH19" s="135"/>
      <c r="AI19" s="43">
        <v>55</v>
      </c>
      <c r="AJ19" s="362" t="str">
        <f t="array" ref="AJ19">IF(ROWS(O$16:O19)&gt;COUNTA($O$16:$O$65),"",INDEX($N$16:$N$65,SMALL(IF($O$16:$O$65&lt;&gt;"",ROW($O$16:$O$65)-ROW($O$16)+1),ROWS($O$16:O19))))</f>
        <v/>
      </c>
      <c r="AK19" s="349" t="str">
        <f t="shared" si="8"/>
        <v/>
      </c>
      <c r="AL19" s="349" t="str">
        <f t="shared" si="9"/>
        <v/>
      </c>
      <c r="AM19" s="349" t="str">
        <f t="shared" si="10"/>
        <v/>
      </c>
      <c r="AN19" s="362" t="str">
        <f t="shared" si="11"/>
        <v/>
      </c>
      <c r="AO19" s="134" t="str">
        <f t="shared" si="12"/>
        <v/>
      </c>
      <c r="AP19" s="135" t="str">
        <f t="shared" si="13"/>
        <v/>
      </c>
      <c r="AR19" s="43">
        <v>4</v>
      </c>
      <c r="AS19" s="362" t="str">
        <f t="array" ref="AS19">IFERROR(IF(ROWS(Y$16:Y19)&gt;COUNTA($Y$16:$Y$116),"",INDEX($W$16:$W$116,SMALL(IF($Y$16:$Y$116&lt;&gt;"",ROW($Y$16:$Y$116)-ROW($Y$16)+1),ROWS($Y$16:Y19)))),"")</f>
        <v/>
      </c>
      <c r="AT19" s="349" t="str">
        <f t="shared" si="16"/>
        <v/>
      </c>
      <c r="AU19" s="349" t="str">
        <f t="shared" si="17"/>
        <v/>
      </c>
      <c r="AV19" s="349" t="str">
        <f t="shared" si="18"/>
        <v/>
      </c>
      <c r="AW19" s="362" t="str">
        <f t="shared" si="14"/>
        <v/>
      </c>
      <c r="AX19" s="362" t="str">
        <f t="shared" si="19"/>
        <v/>
      </c>
      <c r="AY19" s="1107" t="str">
        <f t="shared" si="20"/>
        <v/>
      </c>
      <c r="BA19" s="42">
        <v>4</v>
      </c>
      <c r="BB19" s="357" t="str">
        <f>'Int Room Schedule'!Y19</f>
        <v/>
      </c>
      <c r="BC19" s="358" t="str">
        <f>'Int Room Schedule'!Z19</f>
        <v/>
      </c>
      <c r="BD19" s="358" t="str">
        <f>'Int Room Schedule'!AA19</f>
        <v/>
      </c>
      <c r="BE19" s="358" t="str">
        <f>'Int Room Schedule'!AB19</f>
        <v/>
      </c>
      <c r="BF19" s="358" t="str">
        <f>'Int Room Schedule'!AC19</f>
        <v/>
      </c>
      <c r="BG19" s="417" t="str">
        <f>'Int Room Schedule'!AD19</f>
        <v/>
      </c>
      <c r="BH19" s="95" t="s">
        <v>14</v>
      </c>
      <c r="BI19" s="362" t="str">
        <f t="array" ref="BI19">IFERROR(IF(ROWS(BC$16:BC19)&gt;COUNTA($BC$16:$BC$116),"",INDEX($BA$16:$BA$116,SMALL(IF($BC$16:$BC$116&lt;&gt;"",ROW($BC$16:$BC$116)-ROW($BC$16)+1),ROWS($BC$16:BC19)))),"")</f>
        <v/>
      </c>
      <c r="BJ19" s="349" t="str">
        <f t="shared" si="21"/>
        <v/>
      </c>
      <c r="BK19" s="362" t="str">
        <f t="shared" si="22"/>
        <v/>
      </c>
      <c r="BL19" s="362" t="str">
        <f t="shared" si="23"/>
        <v/>
      </c>
      <c r="BM19" s="413" t="str">
        <f t="shared" si="24"/>
        <v/>
      </c>
    </row>
    <row r="20" spans="2:65" ht="13" x14ac:dyDescent="0.3">
      <c r="B20" s="1515" t="s">
        <v>46</v>
      </c>
      <c r="C20" s="1515"/>
      <c r="D20" s="1515"/>
      <c r="E20" s="1515"/>
      <c r="H20" s="169">
        <v>5</v>
      </c>
      <c r="I20" s="1082"/>
      <c r="J20" s="1079"/>
      <c r="K20" s="1080"/>
      <c r="L20" s="1081" t="str">
        <f t="shared" si="0"/>
        <v/>
      </c>
      <c r="N20" s="169">
        <v>5</v>
      </c>
      <c r="O20" s="1082"/>
      <c r="P20" s="1079"/>
      <c r="Q20" s="1080"/>
      <c r="R20" s="1036" t="str">
        <f t="shared" si="15"/>
        <v/>
      </c>
      <c r="W20" s="43">
        <v>5</v>
      </c>
      <c r="X20" s="362" t="str">
        <f t="array" ref="X20">IF(ROWS(I$16:I20)&gt;COUNTA($I$16:$I$65),"",INDEX($H$16:$H$65,SMALL(IF($I$16:$I$65&lt;&gt;"",ROW($I$16:$I$65)-ROW($I$16)+1),ROWS(I$16:$I20))))</f>
        <v/>
      </c>
      <c r="Y20" s="349" t="str">
        <f t="shared" si="1"/>
        <v/>
      </c>
      <c r="Z20" s="349" t="str">
        <f t="shared" si="2"/>
        <v/>
      </c>
      <c r="AA20" s="349" t="str">
        <f t="shared" si="3"/>
        <v/>
      </c>
      <c r="AB20" s="362" t="str">
        <f t="shared" si="4"/>
        <v/>
      </c>
      <c r="AC20" s="745" t="str">
        <f t="shared" si="5"/>
        <v/>
      </c>
      <c r="AD20" s="134" t="s">
        <v>1209</v>
      </c>
      <c r="AE20" s="135" t="str">
        <f t="shared" si="6"/>
        <v/>
      </c>
      <c r="AF20" s="135" t="str">
        <f t="shared" si="7"/>
        <v/>
      </c>
      <c r="AG20" s="278" t="str">
        <f>IF(VLOOKUP(Y20,ExteriorTradableData!B$10:R$59,17,FALSE)&gt;0,AC20,0)</f>
        <v/>
      </c>
      <c r="AH20" s="135"/>
      <c r="AI20" s="43">
        <v>56</v>
      </c>
      <c r="AJ20" s="362" t="str">
        <f t="array" ref="AJ20">IF(ROWS(O$16:O20)&gt;COUNTA($O$16:$O$65),"",INDEX($N$16:$N$65,SMALL(IF($O$16:$O$65&lt;&gt;"",ROW($O$16:$O$65)-ROW($O$16)+1),ROWS($O$16:O20))))</f>
        <v/>
      </c>
      <c r="AK20" s="349" t="str">
        <f t="shared" si="8"/>
        <v/>
      </c>
      <c r="AL20" s="349" t="str">
        <f t="shared" si="9"/>
        <v/>
      </c>
      <c r="AM20" s="349" t="str">
        <f t="shared" si="10"/>
        <v/>
      </c>
      <c r="AN20" s="362" t="str">
        <f t="shared" si="11"/>
        <v/>
      </c>
      <c r="AO20" s="134" t="str">
        <f t="shared" si="12"/>
        <v/>
      </c>
      <c r="AP20" s="135" t="str">
        <f t="shared" si="13"/>
        <v/>
      </c>
      <c r="AR20" s="43">
        <v>5</v>
      </c>
      <c r="AS20" s="362" t="str">
        <f t="array" ref="AS20">IFERROR(IF(ROWS(Y$16:Y20)&gt;COUNTA($Y$16:$Y$116),"",INDEX($W$16:$W$116,SMALL(IF($Y$16:$Y$116&lt;&gt;"",ROW($Y$16:$Y$116)-ROW($Y$16)+1),ROWS($Y$16:Y20)))),"")</f>
        <v/>
      </c>
      <c r="AT20" s="349" t="str">
        <f t="shared" si="16"/>
        <v/>
      </c>
      <c r="AU20" s="349" t="str">
        <f t="shared" si="17"/>
        <v/>
      </c>
      <c r="AV20" s="349" t="str">
        <f t="shared" si="18"/>
        <v/>
      </c>
      <c r="AW20" s="362" t="str">
        <f t="shared" si="14"/>
        <v/>
      </c>
      <c r="AX20" s="362" t="str">
        <f t="shared" si="19"/>
        <v/>
      </c>
      <c r="AY20" s="1107" t="str">
        <f t="shared" si="20"/>
        <v/>
      </c>
      <c r="BA20" s="93">
        <v>5</v>
      </c>
      <c r="BB20" s="357" t="str">
        <f>'Int Room Schedule'!Y20</f>
        <v/>
      </c>
      <c r="BC20" s="358" t="str">
        <f>'Int Room Schedule'!Z20</f>
        <v/>
      </c>
      <c r="BD20" s="358" t="str">
        <f>'Int Room Schedule'!AA20</f>
        <v/>
      </c>
      <c r="BE20" s="358" t="str">
        <f>'Int Room Schedule'!AB20</f>
        <v/>
      </c>
      <c r="BF20" s="358" t="str">
        <f>'Int Room Schedule'!AC20</f>
        <v/>
      </c>
      <c r="BG20" s="417" t="str">
        <f>'Int Room Schedule'!AD20</f>
        <v/>
      </c>
      <c r="BH20" s="95" t="s">
        <v>14</v>
      </c>
      <c r="BI20" s="362" t="str">
        <f t="array" ref="BI20">IFERROR(IF(ROWS(BC$16:BC20)&gt;COUNTA($BC$16:$BC$116),"",INDEX($BA$16:$BA$116,SMALL(IF($BC$16:$BC$116&lt;&gt;"",ROW($BC$16:$BC$116)-ROW($BC$16)+1),ROWS($BC$16:BC20)))),"")</f>
        <v/>
      </c>
      <c r="BJ20" s="349" t="str">
        <f t="shared" si="21"/>
        <v/>
      </c>
      <c r="BK20" s="362" t="str">
        <f t="shared" si="22"/>
        <v/>
      </c>
      <c r="BL20" s="413" t="str">
        <f t="shared" si="23"/>
        <v/>
      </c>
      <c r="BM20" s="413" t="str">
        <f t="shared" si="24"/>
        <v/>
      </c>
    </row>
    <row r="21" spans="2:65" x14ac:dyDescent="0.25">
      <c r="H21" s="169">
        <v>6</v>
      </c>
      <c r="I21" s="1082"/>
      <c r="J21" s="1079"/>
      <c r="K21" s="1083"/>
      <c r="L21" s="1081" t="str">
        <f t="shared" si="0"/>
        <v/>
      </c>
      <c r="N21" s="169">
        <v>6</v>
      </c>
      <c r="O21" s="1082"/>
      <c r="P21" s="1079"/>
      <c r="Q21" s="1083"/>
      <c r="R21" s="1036" t="str">
        <f t="shared" si="15"/>
        <v/>
      </c>
      <c r="W21" s="43">
        <v>6</v>
      </c>
      <c r="X21" s="362" t="str">
        <f t="array" ref="X21">IF(ROWS(I$16:I21)&gt;COUNTA($I$16:$I$65),"",INDEX($H$16:$H$65,SMALL(IF($I$16:$I$65&lt;&gt;"",ROW($I$16:$I$65)-ROW($I$16)+1),ROWS(I$16:$I21))))</f>
        <v/>
      </c>
      <c r="Y21" s="349" t="str">
        <f t="shared" si="1"/>
        <v/>
      </c>
      <c r="Z21" s="349" t="str">
        <f t="shared" si="2"/>
        <v/>
      </c>
      <c r="AA21" s="349" t="str">
        <f t="shared" si="3"/>
        <v/>
      </c>
      <c r="AB21" s="362" t="str">
        <f t="shared" si="4"/>
        <v/>
      </c>
      <c r="AC21" s="745" t="str">
        <f t="shared" si="5"/>
        <v/>
      </c>
      <c r="AD21" s="134" t="s">
        <v>1209</v>
      </c>
      <c r="AE21" s="135" t="str">
        <f t="shared" si="6"/>
        <v/>
      </c>
      <c r="AF21" s="135" t="str">
        <f t="shared" si="7"/>
        <v/>
      </c>
      <c r="AG21" s="278" t="str">
        <f>IF(VLOOKUP(Y21,ExteriorTradableData!B$10:R$59,17,FALSE)&gt;0,AC21,0)</f>
        <v/>
      </c>
      <c r="AH21" s="135"/>
      <c r="AI21" s="43">
        <v>57</v>
      </c>
      <c r="AJ21" s="362" t="str">
        <f t="array" ref="AJ21">IF(ROWS(O$16:O21)&gt;COUNTA($O$16:$O$65),"",INDEX($N$16:$N$65,SMALL(IF($O$16:$O$65&lt;&gt;"",ROW($O$16:$O$65)-ROW($O$16)+1),ROWS($O$16:O21))))</f>
        <v/>
      </c>
      <c r="AK21" s="349" t="str">
        <f t="shared" si="8"/>
        <v/>
      </c>
      <c r="AL21" s="349" t="str">
        <f t="shared" si="9"/>
        <v/>
      </c>
      <c r="AM21" s="349" t="str">
        <f t="shared" si="10"/>
        <v/>
      </c>
      <c r="AN21" s="362" t="str">
        <f t="shared" si="11"/>
        <v/>
      </c>
      <c r="AO21" s="134" t="str">
        <f t="shared" si="12"/>
        <v/>
      </c>
      <c r="AP21" s="135" t="str">
        <f t="shared" si="13"/>
        <v/>
      </c>
      <c r="AR21" s="43">
        <v>6</v>
      </c>
      <c r="AS21" s="362" t="str">
        <f t="array" ref="AS21">IFERROR(IF(ROWS(Y$16:Y21)&gt;COUNTA($Y$16:$Y$116),"",INDEX($W$16:$W$116,SMALL(IF($Y$16:$Y$116&lt;&gt;"",ROW($Y$16:$Y$116)-ROW($Y$16)+1),ROWS($Y$16:Y21)))),"")</f>
        <v/>
      </c>
      <c r="AT21" s="349" t="str">
        <f t="shared" si="16"/>
        <v/>
      </c>
      <c r="AU21" s="349" t="str">
        <f t="shared" si="17"/>
        <v/>
      </c>
      <c r="AV21" s="349" t="str">
        <f t="shared" si="18"/>
        <v/>
      </c>
      <c r="AW21" s="362" t="str">
        <f t="shared" si="14"/>
        <v/>
      </c>
      <c r="AX21" s="362" t="str">
        <f t="shared" si="19"/>
        <v/>
      </c>
      <c r="AY21" s="1107" t="str">
        <f t="shared" si="20"/>
        <v/>
      </c>
      <c r="BA21" s="42">
        <v>6</v>
      </c>
      <c r="BB21" s="357" t="str">
        <f>'Int Room Schedule'!Y21</f>
        <v/>
      </c>
      <c r="BC21" s="358" t="str">
        <f>'Int Room Schedule'!Z21</f>
        <v/>
      </c>
      <c r="BD21" s="358" t="str">
        <f>'Int Room Schedule'!AA21</f>
        <v/>
      </c>
      <c r="BE21" s="358" t="str">
        <f>'Int Room Schedule'!AB21</f>
        <v/>
      </c>
      <c r="BF21" s="358" t="str">
        <f>'Int Room Schedule'!AC21</f>
        <v/>
      </c>
      <c r="BG21" s="417" t="str">
        <f>'Int Room Schedule'!AD21</f>
        <v/>
      </c>
      <c r="BH21" s="95" t="s">
        <v>14</v>
      </c>
      <c r="BI21" s="362" t="str">
        <f t="array" ref="BI21">IFERROR(IF(ROWS(BC$16:BC21)&gt;COUNTA($BC$16:$BC$116),"",INDEX($BA$16:$BA$116,SMALL(IF($BC$16:$BC$116&lt;&gt;"",ROW($BC$16:$BC$116)-ROW($BC$16)+1),ROWS($BC$16:BC21)))),"")</f>
        <v/>
      </c>
      <c r="BJ21" s="349" t="str">
        <f t="shared" si="21"/>
        <v/>
      </c>
      <c r="BK21" s="362" t="str">
        <f t="shared" si="22"/>
        <v/>
      </c>
      <c r="BL21" s="362" t="str">
        <f t="shared" si="23"/>
        <v/>
      </c>
      <c r="BM21" s="413" t="str">
        <f t="shared" si="24"/>
        <v/>
      </c>
    </row>
    <row r="22" spans="2:65" x14ac:dyDescent="0.25">
      <c r="B22" s="311"/>
      <c r="H22" s="169">
        <v>7</v>
      </c>
      <c r="I22" s="1082"/>
      <c r="J22" s="1079"/>
      <c r="K22" s="1083"/>
      <c r="L22" s="1081" t="str">
        <f t="shared" si="0"/>
        <v/>
      </c>
      <c r="N22" s="169">
        <v>7</v>
      </c>
      <c r="O22" s="1082"/>
      <c r="P22" s="1079"/>
      <c r="Q22" s="1083"/>
      <c r="R22" s="1036" t="str">
        <f t="shared" si="15"/>
        <v/>
      </c>
      <c r="W22" s="43">
        <v>7</v>
      </c>
      <c r="X22" s="362" t="str">
        <f t="array" ref="X22">IF(ROWS(I$16:I22)&gt;COUNTA($I$16:$I$65),"",INDEX($H$16:$H$65,SMALL(IF($I$16:$I$65&lt;&gt;"",ROW($I$16:$I$65)-ROW($I$16)+1),ROWS(I$16:$I22))))</f>
        <v/>
      </c>
      <c r="Y22" s="349" t="str">
        <f t="shared" si="1"/>
        <v/>
      </c>
      <c r="Z22" s="349" t="str">
        <f t="shared" si="2"/>
        <v/>
      </c>
      <c r="AA22" s="349" t="str">
        <f t="shared" si="3"/>
        <v/>
      </c>
      <c r="AB22" s="362" t="str">
        <f t="shared" si="4"/>
        <v/>
      </c>
      <c r="AC22" s="745" t="str">
        <f t="shared" si="5"/>
        <v/>
      </c>
      <c r="AD22" s="134" t="s">
        <v>1209</v>
      </c>
      <c r="AE22" s="135" t="str">
        <f t="shared" si="6"/>
        <v/>
      </c>
      <c r="AF22" s="135" t="str">
        <f t="shared" si="7"/>
        <v/>
      </c>
      <c r="AG22" s="278" t="str">
        <f>IF(VLOOKUP(Y22,ExteriorTradableData!B$10:R$59,17,FALSE)&gt;0,AC22,0)</f>
        <v/>
      </c>
      <c r="AH22" s="135"/>
      <c r="AI22" s="43">
        <v>58</v>
      </c>
      <c r="AJ22" s="362" t="str">
        <f t="array" ref="AJ22">IF(ROWS(O$16:O22)&gt;COUNTA($O$16:$O$65),"",INDEX($N$16:$N$65,SMALL(IF($O$16:$O$65&lt;&gt;"",ROW($O$16:$O$65)-ROW($O$16)+1),ROWS($O$16:O22))))</f>
        <v/>
      </c>
      <c r="AK22" s="349" t="str">
        <f t="shared" si="8"/>
        <v/>
      </c>
      <c r="AL22" s="349" t="str">
        <f t="shared" si="9"/>
        <v/>
      </c>
      <c r="AM22" s="349" t="str">
        <f t="shared" si="10"/>
        <v/>
      </c>
      <c r="AN22" s="362" t="str">
        <f t="shared" si="11"/>
        <v/>
      </c>
      <c r="AO22" s="134" t="str">
        <f t="shared" si="12"/>
        <v/>
      </c>
      <c r="AP22" s="135" t="str">
        <f t="shared" si="13"/>
        <v/>
      </c>
      <c r="AR22" s="43">
        <v>7</v>
      </c>
      <c r="AS22" s="362" t="str">
        <f t="array" ref="AS22">IFERROR(IF(ROWS(Y$16:Y22)&gt;COUNTA($Y$16:$Y$116),"",INDEX($W$16:$W$116,SMALL(IF($Y$16:$Y$116&lt;&gt;"",ROW($Y$16:$Y$116)-ROW($Y$16)+1),ROWS($Y$16:Y22)))),"")</f>
        <v/>
      </c>
      <c r="AT22" s="349" t="str">
        <f t="shared" si="16"/>
        <v/>
      </c>
      <c r="AU22" s="349" t="str">
        <f t="shared" si="17"/>
        <v/>
      </c>
      <c r="AV22" s="349" t="str">
        <f t="shared" si="18"/>
        <v/>
      </c>
      <c r="AW22" s="362" t="str">
        <f t="shared" ref="AW22:AW85" si="25">IF(AS22="","",VLOOKUP($AS22,$W22:$AB122,6,FALSE))</f>
        <v/>
      </c>
      <c r="AX22" s="362" t="str">
        <f t="shared" si="19"/>
        <v/>
      </c>
      <c r="AY22" s="1107" t="str">
        <f t="shared" si="20"/>
        <v/>
      </c>
      <c r="BA22" s="93">
        <v>7</v>
      </c>
      <c r="BB22" s="357" t="str">
        <f>'Int Room Schedule'!Y22</f>
        <v/>
      </c>
      <c r="BC22" s="358" t="str">
        <f>'Int Room Schedule'!Z22</f>
        <v/>
      </c>
      <c r="BD22" s="358" t="str">
        <f>'Int Room Schedule'!AA22</f>
        <v/>
      </c>
      <c r="BE22" s="358" t="str">
        <f>'Int Room Schedule'!AB22</f>
        <v/>
      </c>
      <c r="BF22" s="358" t="str">
        <f>'Int Room Schedule'!AC22</f>
        <v/>
      </c>
      <c r="BG22" s="417" t="str">
        <f>'Int Room Schedule'!AD22</f>
        <v/>
      </c>
      <c r="BH22" s="95" t="s">
        <v>14</v>
      </c>
      <c r="BI22" s="362" t="str">
        <f t="array" ref="BI22">IFERROR(IF(ROWS(BC$16:BC22)&gt;COUNTA($BC$16:$BC$116),"",INDEX($BA$16:$BA$116,SMALL(IF($BC$16:$BC$116&lt;&gt;"",ROW($BC$16:$BC$116)-ROW($BC$16)+1),ROWS($BC$16:BC22)))),"")</f>
        <v/>
      </c>
      <c r="BJ22" s="349" t="str">
        <f t="shared" si="21"/>
        <v/>
      </c>
      <c r="BK22" s="362" t="str">
        <f t="shared" si="22"/>
        <v/>
      </c>
      <c r="BL22" s="362" t="str">
        <f t="shared" si="23"/>
        <v/>
      </c>
      <c r="BM22" s="413" t="str">
        <f t="shared" si="24"/>
        <v/>
      </c>
    </row>
    <row r="23" spans="2:65" x14ac:dyDescent="0.25">
      <c r="B23" s="311"/>
      <c r="C23" s="95"/>
      <c r="H23" s="169">
        <v>8</v>
      </c>
      <c r="I23" s="1082"/>
      <c r="J23" s="1079"/>
      <c r="K23" s="1083"/>
      <c r="L23" s="1081" t="str">
        <f t="shared" si="0"/>
        <v/>
      </c>
      <c r="N23" s="169">
        <v>8</v>
      </c>
      <c r="O23" s="1082"/>
      <c r="P23" s="1079"/>
      <c r="Q23" s="1083"/>
      <c r="R23" s="1036" t="str">
        <f t="shared" si="15"/>
        <v/>
      </c>
      <c r="W23" s="43">
        <v>8</v>
      </c>
      <c r="X23" s="362" t="str">
        <f t="array" ref="X23">IF(ROWS(I$16:I23)&gt;COUNTA($I$16:$I$65),"",INDEX($H$16:$H$65,SMALL(IF($I$16:$I$65&lt;&gt;"",ROW($I$16:$I$65)-ROW($I$16)+1),ROWS(I$16:$I23))))</f>
        <v/>
      </c>
      <c r="Y23" s="349" t="str">
        <f t="shared" si="1"/>
        <v/>
      </c>
      <c r="Z23" s="349" t="str">
        <f t="shared" si="2"/>
        <v/>
      </c>
      <c r="AA23" s="349" t="str">
        <f t="shared" si="3"/>
        <v/>
      </c>
      <c r="AB23" s="362" t="str">
        <f t="shared" si="4"/>
        <v/>
      </c>
      <c r="AC23" s="745" t="str">
        <f t="shared" si="5"/>
        <v/>
      </c>
      <c r="AD23" s="134" t="s">
        <v>1209</v>
      </c>
      <c r="AE23" s="135" t="str">
        <f t="shared" si="6"/>
        <v/>
      </c>
      <c r="AF23" s="135" t="str">
        <f t="shared" si="7"/>
        <v/>
      </c>
      <c r="AG23" s="278" t="str">
        <f>IF(VLOOKUP(Y23,ExteriorTradableData!B$10:R$59,17,FALSE)&gt;0,AC23,0)</f>
        <v/>
      </c>
      <c r="AH23" s="135"/>
      <c r="AI23" s="43">
        <v>59</v>
      </c>
      <c r="AJ23" s="362" t="str">
        <f t="array" ref="AJ23">IF(ROWS(O$16:O23)&gt;COUNTA($O$16:$O$65),"",INDEX($N$16:$N$65,SMALL(IF($O$16:$O$65&lt;&gt;"",ROW($O$16:$O$65)-ROW($O$16)+1),ROWS($O$16:O23))))</f>
        <v/>
      </c>
      <c r="AK23" s="349" t="str">
        <f t="shared" si="8"/>
        <v/>
      </c>
      <c r="AL23" s="349" t="str">
        <f t="shared" si="9"/>
        <v/>
      </c>
      <c r="AM23" s="349" t="str">
        <f t="shared" si="10"/>
        <v/>
      </c>
      <c r="AN23" s="362" t="str">
        <f t="shared" si="11"/>
        <v/>
      </c>
      <c r="AO23" s="134" t="str">
        <f t="shared" si="12"/>
        <v/>
      </c>
      <c r="AP23" s="135" t="str">
        <f t="shared" si="13"/>
        <v/>
      </c>
      <c r="AR23" s="43">
        <v>8</v>
      </c>
      <c r="AS23" s="362" t="str">
        <f t="array" ref="AS23">IFERROR(IF(ROWS(Y$16:Y23)&gt;COUNTA($Y$16:$Y$116),"",INDEX($W$16:$W$116,SMALL(IF($Y$16:$Y$116&lt;&gt;"",ROW($Y$16:$Y$116)-ROW($Y$16)+1),ROWS($Y$16:Y23)))),"")</f>
        <v/>
      </c>
      <c r="AT23" s="349" t="str">
        <f t="shared" si="16"/>
        <v/>
      </c>
      <c r="AU23" s="349" t="str">
        <f t="shared" si="17"/>
        <v/>
      </c>
      <c r="AV23" s="349" t="str">
        <f t="shared" si="18"/>
        <v/>
      </c>
      <c r="AW23" s="362" t="str">
        <f t="shared" si="25"/>
        <v/>
      </c>
      <c r="AX23" s="362" t="str">
        <f t="shared" si="19"/>
        <v/>
      </c>
      <c r="AY23" s="1107" t="str">
        <f t="shared" si="20"/>
        <v/>
      </c>
      <c r="BA23" s="42">
        <v>8</v>
      </c>
      <c r="BB23" s="357" t="str">
        <f>'Int Room Schedule'!Y23</f>
        <v/>
      </c>
      <c r="BC23" s="358" t="str">
        <f>'Int Room Schedule'!Z23</f>
        <v/>
      </c>
      <c r="BD23" s="358" t="str">
        <f>'Int Room Schedule'!AA23</f>
        <v/>
      </c>
      <c r="BE23" s="358" t="str">
        <f>'Int Room Schedule'!AB23</f>
        <v/>
      </c>
      <c r="BF23" s="358" t="str">
        <f>'Int Room Schedule'!AC23</f>
        <v/>
      </c>
      <c r="BG23" s="417" t="str">
        <f>'Int Room Schedule'!AD23</f>
        <v/>
      </c>
      <c r="BH23" s="95" t="s">
        <v>14</v>
      </c>
      <c r="BI23" s="362" t="str">
        <f t="array" ref="BI23">IFERROR(IF(ROWS(BC$16:BC23)&gt;COUNTA($BC$16:$BC$116),"",INDEX($BA$16:$BA$116,SMALL(IF($BC$16:$BC$116&lt;&gt;"",ROW($BC$16:$BC$116)-ROW($BC$16)+1),ROWS($BC$16:BC23)))),"")</f>
        <v/>
      </c>
      <c r="BJ23" s="349" t="str">
        <f t="shared" si="21"/>
        <v/>
      </c>
      <c r="BK23" s="362" t="str">
        <f t="shared" si="22"/>
        <v/>
      </c>
      <c r="BL23" s="362" t="str">
        <f t="shared" si="23"/>
        <v/>
      </c>
      <c r="BM23" s="413" t="str">
        <f t="shared" si="24"/>
        <v/>
      </c>
    </row>
    <row r="24" spans="2:65" ht="12.75" customHeight="1" x14ac:dyDescent="0.25">
      <c r="B24" s="1748" t="s">
        <v>894</v>
      </c>
      <c r="C24" s="1748"/>
      <c r="D24" s="1748"/>
      <c r="E24" s="1748"/>
      <c r="H24" s="169">
        <v>9</v>
      </c>
      <c r="I24" s="1082"/>
      <c r="J24" s="1079"/>
      <c r="K24" s="1083"/>
      <c r="L24" s="1081" t="str">
        <f t="shared" si="0"/>
        <v/>
      </c>
      <c r="N24" s="169">
        <v>9</v>
      </c>
      <c r="O24" s="1082"/>
      <c r="P24" s="1079"/>
      <c r="Q24" s="1083"/>
      <c r="R24" s="1036" t="str">
        <f t="shared" si="15"/>
        <v/>
      </c>
      <c r="W24" s="43">
        <v>9</v>
      </c>
      <c r="X24" s="362" t="str">
        <f t="array" ref="X24">IF(ROWS(I$16:I24)&gt;COUNTA($I$16:$I$65),"",INDEX($H$16:$H$65,SMALL(IF($I$16:$I$65&lt;&gt;"",ROW($I$16:$I$65)-ROW($I$16)+1),ROWS(I$16:$I24))))</f>
        <v/>
      </c>
      <c r="Y24" s="349" t="str">
        <f t="shared" si="1"/>
        <v/>
      </c>
      <c r="Z24" s="349" t="str">
        <f t="shared" si="2"/>
        <v/>
      </c>
      <c r="AA24" s="349" t="str">
        <f t="shared" si="3"/>
        <v/>
      </c>
      <c r="AB24" s="362" t="str">
        <f t="shared" si="4"/>
        <v/>
      </c>
      <c r="AC24" s="745" t="str">
        <f t="shared" si="5"/>
        <v/>
      </c>
      <c r="AD24" s="134" t="s">
        <v>1209</v>
      </c>
      <c r="AE24" s="135" t="str">
        <f t="shared" si="6"/>
        <v/>
      </c>
      <c r="AF24" s="135" t="str">
        <f t="shared" si="7"/>
        <v/>
      </c>
      <c r="AG24" s="278" t="str">
        <f>IF(VLOOKUP(Y24,ExteriorTradableData!B$10:R$59,17,FALSE)&gt;0,AC24,0)</f>
        <v/>
      </c>
      <c r="AH24" s="135"/>
      <c r="AI24" s="43">
        <v>60</v>
      </c>
      <c r="AJ24" s="362" t="str">
        <f t="array" ref="AJ24">IF(ROWS(O$16:O24)&gt;COUNTA($O$16:$O$65),"",INDEX($N$16:$N$65,SMALL(IF($O$16:$O$65&lt;&gt;"",ROW($O$16:$O$65)-ROW($O$16)+1),ROWS($O$16:O24))))</f>
        <v/>
      </c>
      <c r="AK24" s="349" t="str">
        <f t="shared" si="8"/>
        <v/>
      </c>
      <c r="AL24" s="349" t="str">
        <f t="shared" si="9"/>
        <v/>
      </c>
      <c r="AM24" s="349" t="str">
        <f t="shared" si="10"/>
        <v/>
      </c>
      <c r="AN24" s="362" t="str">
        <f t="shared" si="11"/>
        <v/>
      </c>
      <c r="AO24" s="134" t="str">
        <f t="shared" si="12"/>
        <v/>
      </c>
      <c r="AP24" s="135" t="str">
        <f t="shared" si="13"/>
        <v/>
      </c>
      <c r="AR24" s="43">
        <v>9</v>
      </c>
      <c r="AS24" s="362" t="str">
        <f t="array" ref="AS24">IFERROR(IF(ROWS(Y$16:Y24)&gt;COUNTA($Y$16:$Y$116),"",INDEX($W$16:$W$116,SMALL(IF($Y$16:$Y$116&lt;&gt;"",ROW($Y$16:$Y$116)-ROW($Y$16)+1),ROWS($Y$16:Y24)))),"")</f>
        <v/>
      </c>
      <c r="AT24" s="349" t="str">
        <f t="shared" si="16"/>
        <v/>
      </c>
      <c r="AU24" s="349" t="str">
        <f t="shared" si="17"/>
        <v/>
      </c>
      <c r="AV24" s="349" t="str">
        <f t="shared" si="18"/>
        <v/>
      </c>
      <c r="AW24" s="362" t="str">
        <f t="shared" si="25"/>
        <v/>
      </c>
      <c r="AX24" s="362" t="str">
        <f t="shared" si="19"/>
        <v/>
      </c>
      <c r="AY24" s="1107" t="str">
        <f t="shared" si="20"/>
        <v/>
      </c>
      <c r="BA24" s="93">
        <v>9</v>
      </c>
      <c r="BB24" s="357" t="str">
        <f>'Int Room Schedule'!Y24</f>
        <v/>
      </c>
      <c r="BC24" s="358" t="str">
        <f>'Int Room Schedule'!Z24</f>
        <v/>
      </c>
      <c r="BD24" s="358" t="str">
        <f>'Int Room Schedule'!AA24</f>
        <v/>
      </c>
      <c r="BE24" s="358" t="str">
        <f>'Int Room Schedule'!AB24</f>
        <v/>
      </c>
      <c r="BF24" s="358" t="str">
        <f>'Int Room Schedule'!AC24</f>
        <v/>
      </c>
      <c r="BG24" s="417" t="str">
        <f>'Int Room Schedule'!AD24</f>
        <v/>
      </c>
      <c r="BH24" s="95" t="s">
        <v>14</v>
      </c>
      <c r="BI24" s="362" t="str">
        <f t="array" ref="BI24">IFERROR(IF(ROWS(BC$16:BC24)&gt;COUNTA($BC$16:$BC$116),"",INDEX($BA$16:$BA$116,SMALL(IF($BC$16:$BC$116&lt;&gt;"",ROW($BC$16:$BC$116)-ROW($BC$16)+1),ROWS($BC$16:BC24)))),"")</f>
        <v/>
      </c>
      <c r="BJ24" s="349" t="str">
        <f t="shared" si="21"/>
        <v/>
      </c>
      <c r="BK24" s="362" t="str">
        <f t="shared" si="22"/>
        <v/>
      </c>
      <c r="BL24" s="362" t="str">
        <f t="shared" si="23"/>
        <v/>
      </c>
      <c r="BM24" s="413" t="str">
        <f t="shared" si="24"/>
        <v/>
      </c>
    </row>
    <row r="25" spans="2:65" x14ac:dyDescent="0.25">
      <c r="B25" s="1748"/>
      <c r="C25" s="1748"/>
      <c r="D25" s="1748"/>
      <c r="E25" s="1748"/>
      <c r="H25" s="169">
        <v>10</v>
      </c>
      <c r="I25" s="1082"/>
      <c r="J25" s="1079"/>
      <c r="K25" s="1083"/>
      <c r="L25" s="1081" t="str">
        <f t="shared" si="0"/>
        <v/>
      </c>
      <c r="N25" s="169">
        <v>10</v>
      </c>
      <c r="O25" s="1082"/>
      <c r="P25" s="1079"/>
      <c r="Q25" s="1083"/>
      <c r="R25" s="1036" t="str">
        <f t="shared" si="15"/>
        <v/>
      </c>
      <c r="W25" s="43">
        <v>10</v>
      </c>
      <c r="X25" s="362" t="str">
        <f t="array" ref="X25">IF(ROWS(I$16:I25)&gt;COUNTA($I$16:$I$65),"",INDEX($H$16:$H$65,SMALL(IF($I$16:$I$65&lt;&gt;"",ROW($I$16:$I$65)-ROW($I$16)+1),ROWS(I$16:$I25))))</f>
        <v/>
      </c>
      <c r="Y25" s="349" t="str">
        <f t="shared" si="1"/>
        <v/>
      </c>
      <c r="Z25" s="349" t="str">
        <f t="shared" si="2"/>
        <v/>
      </c>
      <c r="AA25" s="349" t="str">
        <f t="shared" si="3"/>
        <v/>
      </c>
      <c r="AB25" s="362" t="str">
        <f t="shared" si="4"/>
        <v/>
      </c>
      <c r="AC25" s="745" t="str">
        <f t="shared" si="5"/>
        <v/>
      </c>
      <c r="AD25" s="134" t="s">
        <v>1209</v>
      </c>
      <c r="AE25" s="135" t="str">
        <f t="shared" si="6"/>
        <v/>
      </c>
      <c r="AF25" s="135" t="str">
        <f t="shared" si="7"/>
        <v/>
      </c>
      <c r="AG25" s="278" t="str">
        <f>IF(VLOOKUP(Y25,ExteriorTradableData!B$10:R$59,17,FALSE)&gt;0,AC25,0)</f>
        <v/>
      </c>
      <c r="AH25" s="135"/>
      <c r="AI25" s="43">
        <v>61</v>
      </c>
      <c r="AJ25" s="362" t="str">
        <f t="array" ref="AJ25">IF(ROWS(O$16:O25)&gt;COUNTA($O$16:$O$65),"",INDEX($N$16:$N$65,SMALL(IF($O$16:$O$65&lt;&gt;"",ROW($O$16:$O$65)-ROW($O$16)+1),ROWS($O$16:O25))))</f>
        <v/>
      </c>
      <c r="AK25" s="349" t="str">
        <f t="shared" si="8"/>
        <v/>
      </c>
      <c r="AL25" s="349" t="str">
        <f t="shared" si="9"/>
        <v/>
      </c>
      <c r="AM25" s="349" t="str">
        <f t="shared" si="10"/>
        <v/>
      </c>
      <c r="AN25" s="362" t="str">
        <f t="shared" si="11"/>
        <v/>
      </c>
      <c r="AO25" s="134" t="str">
        <f t="shared" si="12"/>
        <v/>
      </c>
      <c r="AP25" s="135" t="str">
        <f t="shared" si="13"/>
        <v/>
      </c>
      <c r="AR25" s="43">
        <v>10</v>
      </c>
      <c r="AS25" s="362" t="str">
        <f t="array" ref="AS25">IFERROR(IF(ROWS(Y$16:Y25)&gt;COUNTA($Y$16:$Y$116),"",INDEX($W$16:$W$116,SMALL(IF($Y$16:$Y$116&lt;&gt;"",ROW($Y$16:$Y$116)-ROW($Y$16)+1),ROWS($Y$16:Y25)))),"")</f>
        <v/>
      </c>
      <c r="AT25" s="349" t="str">
        <f t="shared" si="16"/>
        <v/>
      </c>
      <c r="AU25" s="349" t="str">
        <f t="shared" si="17"/>
        <v/>
      </c>
      <c r="AV25" s="349" t="str">
        <f t="shared" si="18"/>
        <v/>
      </c>
      <c r="AW25" s="362" t="str">
        <f t="shared" si="25"/>
        <v/>
      </c>
      <c r="AX25" s="362" t="str">
        <f t="shared" si="19"/>
        <v/>
      </c>
      <c r="AY25" s="1107" t="str">
        <f t="shared" si="20"/>
        <v/>
      </c>
      <c r="BA25" s="42">
        <v>10</v>
      </c>
      <c r="BB25" s="357" t="str">
        <f>'Int Room Schedule'!Y25</f>
        <v/>
      </c>
      <c r="BC25" s="358" t="str">
        <f>'Int Room Schedule'!Z25</f>
        <v/>
      </c>
      <c r="BD25" s="358" t="str">
        <f>'Int Room Schedule'!AA25</f>
        <v/>
      </c>
      <c r="BE25" s="358" t="str">
        <f>'Int Room Schedule'!AB25</f>
        <v/>
      </c>
      <c r="BF25" s="358" t="str">
        <f>'Int Room Schedule'!AC25</f>
        <v/>
      </c>
      <c r="BG25" s="417" t="str">
        <f>'Int Room Schedule'!AD25</f>
        <v/>
      </c>
      <c r="BH25" s="95" t="s">
        <v>14</v>
      </c>
      <c r="BI25" s="362" t="str">
        <f t="array" ref="BI25">IFERROR(IF(ROWS(BC$16:BC25)&gt;COUNTA($BC$16:$BC$116),"",INDEX($BA$16:$BA$116,SMALL(IF($BC$16:$BC$116&lt;&gt;"",ROW($BC$16:$BC$116)-ROW($BC$16)+1),ROWS($BC$16:BC25)))),"")</f>
        <v/>
      </c>
      <c r="BJ25" s="349" t="str">
        <f t="shared" si="21"/>
        <v/>
      </c>
      <c r="BK25" s="362" t="str">
        <f t="shared" si="22"/>
        <v/>
      </c>
      <c r="BL25" s="362" t="str">
        <f t="shared" si="23"/>
        <v/>
      </c>
      <c r="BM25" s="413" t="str">
        <f t="shared" si="24"/>
        <v/>
      </c>
    </row>
    <row r="26" spans="2:65" ht="13.15" customHeight="1" x14ac:dyDescent="0.25">
      <c r="F26" s="98"/>
      <c r="H26" s="169">
        <v>11</v>
      </c>
      <c r="I26" s="1082"/>
      <c r="J26" s="1079"/>
      <c r="K26" s="1083"/>
      <c r="L26" s="1081" t="str">
        <f t="shared" si="0"/>
        <v/>
      </c>
      <c r="N26" s="169">
        <v>11</v>
      </c>
      <c r="O26" s="1082"/>
      <c r="P26" s="1079"/>
      <c r="Q26" s="1083"/>
      <c r="R26" s="1036" t="str">
        <f t="shared" si="15"/>
        <v/>
      </c>
      <c r="W26" s="43">
        <v>11</v>
      </c>
      <c r="X26" s="362" t="str">
        <f t="array" ref="X26">IF(ROWS(I$16:I26)&gt;COUNTA($I$16:$I$65),"",INDEX($H$16:$H$65,SMALL(IF($I$16:$I$65&lt;&gt;"",ROW($I$16:$I$65)-ROW($I$16)+1),ROWS(I$16:$I26))))</f>
        <v/>
      </c>
      <c r="Y26" s="349" t="str">
        <f t="shared" si="1"/>
        <v/>
      </c>
      <c r="Z26" s="349" t="str">
        <f t="shared" si="2"/>
        <v/>
      </c>
      <c r="AA26" s="349" t="str">
        <f t="shared" si="3"/>
        <v/>
      </c>
      <c r="AB26" s="362" t="str">
        <f t="shared" si="4"/>
        <v/>
      </c>
      <c r="AC26" s="745" t="str">
        <f t="shared" si="5"/>
        <v/>
      </c>
      <c r="AD26" s="134" t="s">
        <v>1209</v>
      </c>
      <c r="AE26" s="135" t="str">
        <f t="shared" si="6"/>
        <v/>
      </c>
      <c r="AF26" s="135" t="str">
        <f t="shared" si="7"/>
        <v/>
      </c>
      <c r="AG26" s="278" t="str">
        <f>IF(VLOOKUP(Y26,ExteriorTradableData!B$10:R$59,17,FALSE)&gt;0,AC26,0)</f>
        <v/>
      </c>
      <c r="AH26" s="135"/>
      <c r="AI26" s="43">
        <v>62</v>
      </c>
      <c r="AJ26" s="362" t="str">
        <f t="array" ref="AJ26">IF(ROWS(O$16:O26)&gt;COUNTA($O$16:$O$65),"",INDEX($N$16:$N$65,SMALL(IF($O$16:$O$65&lt;&gt;"",ROW($O$16:$O$65)-ROW($O$16)+1),ROWS($O$16:O26))))</f>
        <v/>
      </c>
      <c r="AK26" s="349" t="str">
        <f t="shared" si="8"/>
        <v/>
      </c>
      <c r="AL26" s="349" t="str">
        <f t="shared" si="9"/>
        <v/>
      </c>
      <c r="AM26" s="349" t="str">
        <f t="shared" si="10"/>
        <v/>
      </c>
      <c r="AN26" s="362" t="str">
        <f t="shared" si="11"/>
        <v/>
      </c>
      <c r="AO26" s="134" t="str">
        <f t="shared" si="12"/>
        <v/>
      </c>
      <c r="AP26" s="135" t="str">
        <f t="shared" si="13"/>
        <v/>
      </c>
      <c r="AR26" s="43">
        <v>11</v>
      </c>
      <c r="AS26" s="362" t="str">
        <f t="array" ref="AS26">IFERROR(IF(ROWS(Y$16:Y26)&gt;COUNTA($Y$16:$Y$116),"",INDEX($W$16:$W$116,SMALL(IF($Y$16:$Y$116&lt;&gt;"",ROW($Y$16:$Y$116)-ROW($Y$16)+1),ROWS($Y$16:Y26)))),"")</f>
        <v/>
      </c>
      <c r="AT26" s="349" t="str">
        <f t="shared" si="16"/>
        <v/>
      </c>
      <c r="AU26" s="349" t="str">
        <f t="shared" si="17"/>
        <v/>
      </c>
      <c r="AV26" s="349" t="str">
        <f t="shared" si="18"/>
        <v/>
      </c>
      <c r="AW26" s="362" t="str">
        <f t="shared" si="25"/>
        <v/>
      </c>
      <c r="AX26" s="362" t="str">
        <f t="shared" si="19"/>
        <v/>
      </c>
      <c r="AY26" s="1107" t="str">
        <f t="shared" si="20"/>
        <v/>
      </c>
      <c r="BA26" s="93">
        <v>11</v>
      </c>
      <c r="BB26" s="357" t="str">
        <f>'Int Room Schedule'!Y26</f>
        <v/>
      </c>
      <c r="BC26" s="358" t="str">
        <f>'Int Room Schedule'!Z26</f>
        <v/>
      </c>
      <c r="BD26" s="358" t="str">
        <f>'Int Room Schedule'!AA26</f>
        <v/>
      </c>
      <c r="BE26" s="358" t="str">
        <f>'Int Room Schedule'!AB26</f>
        <v/>
      </c>
      <c r="BF26" s="358" t="str">
        <f>'Int Room Schedule'!AC26</f>
        <v/>
      </c>
      <c r="BG26" s="417" t="str">
        <f>'Int Room Schedule'!AD26</f>
        <v/>
      </c>
      <c r="BH26" s="95" t="s">
        <v>14</v>
      </c>
      <c r="BI26" s="362" t="str">
        <f t="array" ref="BI26">IFERROR(IF(ROWS(BC$16:BC26)&gt;COUNTA($BC$16:$BC$116),"",INDEX($BA$16:$BA$116,SMALL(IF($BC$16:$BC$116&lt;&gt;"",ROW($BC$16:$BC$116)-ROW($BC$16)+1),ROWS($BC$16:BC26)))),"")</f>
        <v/>
      </c>
      <c r="BJ26" s="349" t="str">
        <f t="shared" si="21"/>
        <v/>
      </c>
      <c r="BK26" s="362" t="str">
        <f t="shared" si="22"/>
        <v/>
      </c>
      <c r="BL26" s="362" t="str">
        <f t="shared" si="23"/>
        <v/>
      </c>
      <c r="BM26" s="413" t="str">
        <f t="shared" si="24"/>
        <v/>
      </c>
    </row>
    <row r="27" spans="2:65" ht="12.75" customHeight="1" x14ac:dyDescent="0.25">
      <c r="F27" s="136"/>
      <c r="H27" s="169">
        <v>12</v>
      </c>
      <c r="I27" s="1082"/>
      <c r="J27" s="1079"/>
      <c r="K27" s="1083"/>
      <c r="L27" s="1081" t="str">
        <f t="shared" si="0"/>
        <v/>
      </c>
      <c r="N27" s="169">
        <v>12</v>
      </c>
      <c r="O27" s="1082"/>
      <c r="P27" s="1079"/>
      <c r="Q27" s="1083"/>
      <c r="R27" s="1036" t="str">
        <f t="shared" si="15"/>
        <v/>
      </c>
      <c r="W27" s="43">
        <v>12</v>
      </c>
      <c r="X27" s="362" t="str">
        <f t="array" ref="X27">IF(ROWS(I$16:I27)&gt;COUNTA($I$16:$I$65),"",INDEX($H$16:$H$65,SMALL(IF($I$16:$I$65&lt;&gt;"",ROW($I$16:$I$65)-ROW($I$16)+1),ROWS(I$16:$I27))))</f>
        <v/>
      </c>
      <c r="Y27" s="349" t="str">
        <f t="shared" si="1"/>
        <v/>
      </c>
      <c r="Z27" s="349" t="str">
        <f t="shared" si="2"/>
        <v/>
      </c>
      <c r="AA27" s="349" t="str">
        <f t="shared" si="3"/>
        <v/>
      </c>
      <c r="AB27" s="362" t="str">
        <f t="shared" si="4"/>
        <v/>
      </c>
      <c r="AC27" s="745" t="str">
        <f t="shared" si="5"/>
        <v/>
      </c>
      <c r="AD27" s="134" t="s">
        <v>1209</v>
      </c>
      <c r="AE27" s="135" t="str">
        <f t="shared" si="6"/>
        <v/>
      </c>
      <c r="AF27" s="135" t="str">
        <f t="shared" si="7"/>
        <v/>
      </c>
      <c r="AG27" s="278" t="str">
        <f>IF(VLOOKUP(Y27,ExteriorTradableData!B$10:R$59,17,FALSE)&gt;0,AC27,0)</f>
        <v/>
      </c>
      <c r="AH27" s="135"/>
      <c r="AI27" s="43">
        <v>63</v>
      </c>
      <c r="AJ27" s="362" t="str">
        <f t="array" ref="AJ27">IF(ROWS(O$16:O27)&gt;COUNTA($O$16:$O$65),"",INDEX($N$16:$N$65,SMALL(IF($O$16:$O$65&lt;&gt;"",ROW($O$16:$O$65)-ROW($O$16)+1),ROWS($O$16:O27))))</f>
        <v/>
      </c>
      <c r="AK27" s="349" t="str">
        <f t="shared" si="8"/>
        <v/>
      </c>
      <c r="AL27" s="349" t="str">
        <f t="shared" si="9"/>
        <v/>
      </c>
      <c r="AM27" s="349" t="str">
        <f t="shared" si="10"/>
        <v/>
      </c>
      <c r="AN27" s="362" t="str">
        <f t="shared" si="11"/>
        <v/>
      </c>
      <c r="AO27" s="134" t="str">
        <f t="shared" si="12"/>
        <v/>
      </c>
      <c r="AP27" s="135" t="str">
        <f t="shared" si="13"/>
        <v/>
      </c>
      <c r="AR27" s="43">
        <v>12</v>
      </c>
      <c r="AS27" s="362" t="str">
        <f t="array" ref="AS27">IFERROR(IF(ROWS(Y$16:Y27)&gt;COUNTA($Y$16:$Y$116),"",INDEX($W$16:$W$116,SMALL(IF($Y$16:$Y$116&lt;&gt;"",ROW($Y$16:$Y$116)-ROW($Y$16)+1),ROWS($Y$16:Y27)))),"")</f>
        <v/>
      </c>
      <c r="AT27" s="349" t="str">
        <f t="shared" si="16"/>
        <v/>
      </c>
      <c r="AU27" s="349" t="str">
        <f t="shared" si="17"/>
        <v/>
      </c>
      <c r="AV27" s="349" t="str">
        <f t="shared" si="18"/>
        <v/>
      </c>
      <c r="AW27" s="362" t="str">
        <f t="shared" si="25"/>
        <v/>
      </c>
      <c r="AX27" s="362" t="str">
        <f t="shared" si="19"/>
        <v/>
      </c>
      <c r="AY27" s="1107" t="str">
        <f t="shared" si="20"/>
        <v/>
      </c>
      <c r="BA27" s="42">
        <v>12</v>
      </c>
      <c r="BB27" s="357" t="str">
        <f>'Int Room Schedule'!Y27</f>
        <v/>
      </c>
      <c r="BC27" s="358" t="str">
        <f>'Int Room Schedule'!Z27</f>
        <v/>
      </c>
      <c r="BD27" s="358" t="str">
        <f>'Int Room Schedule'!AA27</f>
        <v/>
      </c>
      <c r="BE27" s="358" t="str">
        <f>'Int Room Schedule'!AB27</f>
        <v/>
      </c>
      <c r="BF27" s="358" t="str">
        <f>'Int Room Schedule'!AC27</f>
        <v/>
      </c>
      <c r="BG27" s="417" t="str">
        <f>'Int Room Schedule'!AD27</f>
        <v/>
      </c>
      <c r="BH27" s="95" t="s">
        <v>14</v>
      </c>
      <c r="BI27" s="362" t="str">
        <f t="array" ref="BI27">IFERROR(IF(ROWS(BC$16:BC27)&gt;COUNTA($BC$16:$BC$116),"",INDEX($BA$16:$BA$116,SMALL(IF($BC$16:$BC$116&lt;&gt;"",ROW($BC$16:$BC$116)-ROW($BC$16)+1),ROWS($BC$16:BC27)))),"")</f>
        <v/>
      </c>
      <c r="BJ27" s="349" t="str">
        <f t="shared" si="21"/>
        <v/>
      </c>
      <c r="BK27" s="362" t="str">
        <f t="shared" si="22"/>
        <v/>
      </c>
      <c r="BL27" s="362" t="str">
        <f t="shared" si="23"/>
        <v/>
      </c>
      <c r="BM27" s="413" t="str">
        <f t="shared" si="24"/>
        <v/>
      </c>
    </row>
    <row r="28" spans="2:65" x14ac:dyDescent="0.25">
      <c r="B28" s="1499" t="s">
        <v>892</v>
      </c>
      <c r="C28" s="1499"/>
      <c r="D28" s="1499"/>
      <c r="E28" s="1499"/>
      <c r="F28" s="136"/>
      <c r="H28" s="169">
        <v>13</v>
      </c>
      <c r="I28" s="1082"/>
      <c r="J28" s="1079"/>
      <c r="K28" s="1083"/>
      <c r="L28" s="1081" t="str">
        <f t="shared" si="0"/>
        <v/>
      </c>
      <c r="N28" s="169">
        <v>13</v>
      </c>
      <c r="O28" s="1082"/>
      <c r="P28" s="1079"/>
      <c r="Q28" s="1083"/>
      <c r="R28" s="1036" t="str">
        <f t="shared" si="15"/>
        <v/>
      </c>
      <c r="W28" s="43">
        <v>13</v>
      </c>
      <c r="X28" s="362" t="str">
        <f t="array" ref="X28">IF(ROWS(I$16:I28)&gt;COUNTA($I$16:$I$65),"",INDEX($H$16:$H$65,SMALL(IF($I$16:$I$65&lt;&gt;"",ROW($I$16:$I$65)-ROW($I$16)+1),ROWS(I$16:$I28))))</f>
        <v/>
      </c>
      <c r="Y28" s="349" t="str">
        <f t="shared" si="1"/>
        <v/>
      </c>
      <c r="Z28" s="349" t="str">
        <f t="shared" si="2"/>
        <v/>
      </c>
      <c r="AA28" s="349" t="str">
        <f t="shared" si="3"/>
        <v/>
      </c>
      <c r="AB28" s="362" t="str">
        <f t="shared" si="4"/>
        <v/>
      </c>
      <c r="AC28" s="745" t="str">
        <f t="shared" si="5"/>
        <v/>
      </c>
      <c r="AD28" s="134" t="s">
        <v>1209</v>
      </c>
      <c r="AE28" s="135" t="str">
        <f t="shared" si="6"/>
        <v/>
      </c>
      <c r="AF28" s="135" t="str">
        <f t="shared" si="7"/>
        <v/>
      </c>
      <c r="AG28" s="278" t="str">
        <f>IF(VLOOKUP(Y28,ExteriorTradableData!B$10:R$59,17,FALSE)&gt;0,AC28,0)</f>
        <v/>
      </c>
      <c r="AH28" s="135"/>
      <c r="AI28" s="43">
        <v>64</v>
      </c>
      <c r="AJ28" s="362" t="str">
        <f t="array" ref="AJ28">IF(ROWS(O$16:O28)&gt;COUNTA($O$16:$O$65),"",INDEX($N$16:$N$65,SMALL(IF($O$16:$O$65&lt;&gt;"",ROW($O$16:$O$65)-ROW($O$16)+1),ROWS($O$16:O28))))</f>
        <v/>
      </c>
      <c r="AK28" s="349" t="str">
        <f t="shared" si="8"/>
        <v/>
      </c>
      <c r="AL28" s="349" t="str">
        <f t="shared" si="9"/>
        <v/>
      </c>
      <c r="AM28" s="349" t="str">
        <f t="shared" si="10"/>
        <v/>
      </c>
      <c r="AN28" s="362" t="str">
        <f t="shared" si="11"/>
        <v/>
      </c>
      <c r="AO28" s="134" t="str">
        <f t="shared" si="12"/>
        <v/>
      </c>
      <c r="AP28" s="135" t="str">
        <f t="shared" si="13"/>
        <v/>
      </c>
      <c r="AR28" s="43">
        <v>13</v>
      </c>
      <c r="AS28" s="362" t="str">
        <f t="array" ref="AS28">IFERROR(IF(ROWS(Y$16:Y28)&gt;COUNTA($Y$16:$Y$116),"",INDEX($W$16:$W$116,SMALL(IF($Y$16:$Y$116&lt;&gt;"",ROW($Y$16:$Y$116)-ROW($Y$16)+1),ROWS($Y$16:Y28)))),"")</f>
        <v/>
      </c>
      <c r="AT28" s="349" t="str">
        <f t="shared" si="16"/>
        <v/>
      </c>
      <c r="AU28" s="349" t="str">
        <f t="shared" si="17"/>
        <v/>
      </c>
      <c r="AV28" s="349" t="str">
        <f t="shared" si="18"/>
        <v/>
      </c>
      <c r="AW28" s="362" t="str">
        <f t="shared" si="25"/>
        <v/>
      </c>
      <c r="AX28" s="362" t="str">
        <f t="shared" si="19"/>
        <v/>
      </c>
      <c r="AY28" s="1107" t="str">
        <f t="shared" si="20"/>
        <v/>
      </c>
      <c r="BA28" s="93">
        <v>13</v>
      </c>
      <c r="BB28" s="357" t="str">
        <f>'Int Room Schedule'!Y28</f>
        <v/>
      </c>
      <c r="BC28" s="358" t="str">
        <f>'Int Room Schedule'!Z28</f>
        <v/>
      </c>
      <c r="BD28" s="358" t="str">
        <f>'Int Room Schedule'!AA28</f>
        <v/>
      </c>
      <c r="BE28" s="358" t="str">
        <f>'Int Room Schedule'!AB28</f>
        <v/>
      </c>
      <c r="BF28" s="358" t="str">
        <f>'Int Room Schedule'!AC28</f>
        <v/>
      </c>
      <c r="BG28" s="417" t="str">
        <f>'Int Room Schedule'!AD28</f>
        <v/>
      </c>
      <c r="BH28" s="95" t="s">
        <v>14</v>
      </c>
      <c r="BI28" s="362" t="str">
        <f t="array" ref="BI28">IFERROR(IF(ROWS(BC$16:BC28)&gt;COUNTA($BC$16:$BC$116),"",INDEX($BA$16:$BA$116,SMALL(IF($BC$16:$BC$116&lt;&gt;"",ROW($BC$16:$BC$116)-ROW($BC$16)+1),ROWS($BC$16:BC28)))),"")</f>
        <v/>
      </c>
      <c r="BJ28" s="349" t="str">
        <f t="shared" si="21"/>
        <v/>
      </c>
      <c r="BK28" s="362" t="str">
        <f t="shared" si="22"/>
        <v/>
      </c>
      <c r="BL28" s="362" t="str">
        <f t="shared" si="23"/>
        <v/>
      </c>
      <c r="BM28" s="413" t="str">
        <f t="shared" si="24"/>
        <v/>
      </c>
    </row>
    <row r="29" spans="2:65" x14ac:dyDescent="0.25">
      <c r="B29" s="1499"/>
      <c r="C29" s="1499"/>
      <c r="D29" s="1499"/>
      <c r="E29" s="1499"/>
      <c r="F29" s="136"/>
      <c r="H29" s="169">
        <v>14</v>
      </c>
      <c r="I29" s="1082"/>
      <c r="J29" s="1079"/>
      <c r="K29" s="1083"/>
      <c r="L29" s="1081" t="str">
        <f t="shared" si="0"/>
        <v/>
      </c>
      <c r="N29" s="169">
        <v>14</v>
      </c>
      <c r="O29" s="1082"/>
      <c r="P29" s="1079"/>
      <c r="Q29" s="1083"/>
      <c r="R29" s="1036" t="str">
        <f t="shared" si="15"/>
        <v/>
      </c>
      <c r="W29" s="43">
        <v>14</v>
      </c>
      <c r="X29" s="362" t="str">
        <f t="array" ref="X29">IF(ROWS(I$16:I29)&gt;COUNTA($I$16:$I$65),"",INDEX($H$16:$H$65,SMALL(IF($I$16:$I$65&lt;&gt;"",ROW($I$16:$I$65)-ROW($I$16)+1),ROWS(I$16:$I29))))</f>
        <v/>
      </c>
      <c r="Y29" s="349" t="str">
        <f t="shared" si="1"/>
        <v/>
      </c>
      <c r="Z29" s="349" t="str">
        <f t="shared" si="2"/>
        <v/>
      </c>
      <c r="AA29" s="349" t="str">
        <f t="shared" si="3"/>
        <v/>
      </c>
      <c r="AB29" s="362" t="str">
        <f t="shared" si="4"/>
        <v/>
      </c>
      <c r="AC29" s="745" t="str">
        <f t="shared" si="5"/>
        <v/>
      </c>
      <c r="AD29" s="134" t="s">
        <v>1209</v>
      </c>
      <c r="AE29" s="135" t="str">
        <f t="shared" si="6"/>
        <v/>
      </c>
      <c r="AF29" s="135" t="str">
        <f t="shared" si="7"/>
        <v/>
      </c>
      <c r="AG29" s="278" t="str">
        <f>IF(VLOOKUP(Y29,ExteriorTradableData!B$10:R$59,17,FALSE)&gt;0,AC29,0)</f>
        <v/>
      </c>
      <c r="AH29" s="135"/>
      <c r="AI29" s="43">
        <v>65</v>
      </c>
      <c r="AJ29" s="362" t="str">
        <f t="array" ref="AJ29">IF(ROWS(O$16:O29)&gt;COUNTA($O$16:$O$65),"",INDEX($N$16:$N$65,SMALL(IF($O$16:$O$65&lt;&gt;"",ROW($O$16:$O$65)-ROW($O$16)+1),ROWS($O$16:O29))))</f>
        <v/>
      </c>
      <c r="AK29" s="349" t="str">
        <f t="shared" si="8"/>
        <v/>
      </c>
      <c r="AL29" s="349" t="str">
        <f t="shared" si="9"/>
        <v/>
      </c>
      <c r="AM29" s="349" t="str">
        <f t="shared" si="10"/>
        <v/>
      </c>
      <c r="AN29" s="362" t="str">
        <f t="shared" si="11"/>
        <v/>
      </c>
      <c r="AO29" s="134" t="str">
        <f t="shared" si="12"/>
        <v/>
      </c>
      <c r="AP29" s="135" t="str">
        <f t="shared" si="13"/>
        <v/>
      </c>
      <c r="AR29" s="43">
        <v>14</v>
      </c>
      <c r="AS29" s="362" t="str">
        <f t="array" ref="AS29">IFERROR(IF(ROWS(Y$16:Y29)&gt;COUNTA($Y$16:$Y$116),"",INDEX($W$16:$W$116,SMALL(IF($Y$16:$Y$116&lt;&gt;"",ROW($Y$16:$Y$116)-ROW($Y$16)+1),ROWS($Y$16:Y29)))),"")</f>
        <v/>
      </c>
      <c r="AT29" s="349" t="str">
        <f t="shared" si="16"/>
        <v/>
      </c>
      <c r="AU29" s="349" t="str">
        <f t="shared" si="17"/>
        <v/>
      </c>
      <c r="AV29" s="349" t="str">
        <f t="shared" si="18"/>
        <v/>
      </c>
      <c r="AW29" s="362" t="str">
        <f t="shared" si="25"/>
        <v/>
      </c>
      <c r="AX29" s="362" t="str">
        <f t="shared" si="19"/>
        <v/>
      </c>
      <c r="AY29" s="1107" t="str">
        <f t="shared" si="20"/>
        <v/>
      </c>
      <c r="BA29" s="42">
        <v>14</v>
      </c>
      <c r="BB29" s="357" t="str">
        <f>'Int Room Schedule'!Y29</f>
        <v/>
      </c>
      <c r="BC29" s="358" t="str">
        <f>'Int Room Schedule'!Z29</f>
        <v/>
      </c>
      <c r="BD29" s="358" t="str">
        <f>'Int Room Schedule'!AA29</f>
        <v/>
      </c>
      <c r="BE29" s="358" t="str">
        <f>'Int Room Schedule'!AB29</f>
        <v/>
      </c>
      <c r="BF29" s="358" t="str">
        <f>'Int Room Schedule'!AC29</f>
        <v/>
      </c>
      <c r="BG29" s="417" t="str">
        <f>'Int Room Schedule'!AD29</f>
        <v/>
      </c>
      <c r="BH29" s="95" t="s">
        <v>14</v>
      </c>
      <c r="BI29" s="362" t="str">
        <f t="array" ref="BI29">IFERROR(IF(ROWS(BC$16:BC29)&gt;COUNTA($BC$16:$BC$116),"",INDEX($BA$16:$BA$116,SMALL(IF($BC$16:$BC$116&lt;&gt;"",ROW($BC$16:$BC$116)-ROW($BC$16)+1),ROWS($BC$16:BC29)))),"")</f>
        <v/>
      </c>
      <c r="BJ29" s="349" t="str">
        <f t="shared" si="21"/>
        <v/>
      </c>
      <c r="BK29" s="362" t="str">
        <f t="shared" si="22"/>
        <v/>
      </c>
      <c r="BL29" s="362" t="str">
        <f t="shared" si="23"/>
        <v/>
      </c>
      <c r="BM29" s="413" t="str">
        <f t="shared" si="24"/>
        <v/>
      </c>
    </row>
    <row r="30" spans="2:65" x14ac:dyDescent="0.25">
      <c r="B30" s="1499"/>
      <c r="C30" s="1499"/>
      <c r="D30" s="1499"/>
      <c r="E30" s="1499"/>
      <c r="F30" s="136"/>
      <c r="G30" s="142"/>
      <c r="H30" s="169">
        <v>15</v>
      </c>
      <c r="I30" s="1082"/>
      <c r="J30" s="1079"/>
      <c r="K30" s="1083"/>
      <c r="L30" s="1081" t="str">
        <f t="shared" si="0"/>
        <v/>
      </c>
      <c r="N30" s="169">
        <v>15</v>
      </c>
      <c r="O30" s="1082"/>
      <c r="P30" s="1079"/>
      <c r="Q30" s="1083"/>
      <c r="R30" s="1036" t="str">
        <f t="shared" si="15"/>
        <v/>
      </c>
      <c r="W30" s="43">
        <v>15</v>
      </c>
      <c r="X30" s="362" t="str">
        <f t="array" ref="X30">IF(ROWS(I$16:I30)&gt;COUNTA($I$16:$I$65),"",INDEX($H$16:$H$65,SMALL(IF($I$16:$I$65&lt;&gt;"",ROW($I$16:$I$65)-ROW($I$16)+1),ROWS(I$16:$I30))))</f>
        <v/>
      </c>
      <c r="Y30" s="349" t="str">
        <f t="shared" si="1"/>
        <v/>
      </c>
      <c r="Z30" s="349" t="str">
        <f t="shared" si="2"/>
        <v/>
      </c>
      <c r="AA30" s="349" t="str">
        <f t="shared" si="3"/>
        <v/>
      </c>
      <c r="AB30" s="362" t="str">
        <f t="shared" si="4"/>
        <v/>
      </c>
      <c r="AC30" s="745" t="str">
        <f t="shared" si="5"/>
        <v/>
      </c>
      <c r="AD30" s="134" t="s">
        <v>1209</v>
      </c>
      <c r="AE30" s="135" t="str">
        <f t="shared" si="6"/>
        <v/>
      </c>
      <c r="AF30" s="135" t="str">
        <f t="shared" si="7"/>
        <v/>
      </c>
      <c r="AG30" s="278" t="str">
        <f>IF(VLOOKUP(Y30,ExteriorTradableData!B$10:R$59,17,FALSE)&gt;0,AC30,0)</f>
        <v/>
      </c>
      <c r="AH30" s="135"/>
      <c r="AI30" s="43">
        <v>66</v>
      </c>
      <c r="AJ30" s="362" t="str">
        <f t="array" ref="AJ30">IF(ROWS(O$16:O30)&gt;COUNTA($O$16:$O$65),"",INDEX($N$16:$N$65,SMALL(IF($O$16:$O$65&lt;&gt;"",ROW($O$16:$O$65)-ROW($O$16)+1),ROWS($O$16:O30))))</f>
        <v/>
      </c>
      <c r="AK30" s="349" t="str">
        <f t="shared" si="8"/>
        <v/>
      </c>
      <c r="AL30" s="349" t="str">
        <f t="shared" si="9"/>
        <v/>
      </c>
      <c r="AM30" s="349" t="str">
        <f t="shared" si="10"/>
        <v/>
      </c>
      <c r="AN30" s="362" t="str">
        <f t="shared" si="11"/>
        <v/>
      </c>
      <c r="AO30" s="134" t="str">
        <f t="shared" si="12"/>
        <v/>
      </c>
      <c r="AP30" s="135" t="str">
        <f t="shared" si="13"/>
        <v/>
      </c>
      <c r="AR30" s="43">
        <v>15</v>
      </c>
      <c r="AS30" s="362" t="str">
        <f t="array" ref="AS30">IFERROR(IF(ROWS(Y$16:Y30)&gt;COUNTA($Y$16:$Y$116),"",INDEX($W$16:$W$116,SMALL(IF($Y$16:$Y$116&lt;&gt;"",ROW($Y$16:$Y$116)-ROW($Y$16)+1),ROWS($Y$16:Y30)))),"")</f>
        <v/>
      </c>
      <c r="AT30" s="349" t="str">
        <f t="shared" si="16"/>
        <v/>
      </c>
      <c r="AU30" s="349" t="str">
        <f t="shared" si="17"/>
        <v/>
      </c>
      <c r="AV30" s="349" t="str">
        <f t="shared" si="18"/>
        <v/>
      </c>
      <c r="AW30" s="362" t="str">
        <f t="shared" si="25"/>
        <v/>
      </c>
      <c r="AX30" s="362" t="str">
        <f t="shared" si="19"/>
        <v/>
      </c>
      <c r="AY30" s="1107" t="str">
        <f t="shared" si="20"/>
        <v/>
      </c>
      <c r="BA30" s="93">
        <v>15</v>
      </c>
      <c r="BB30" s="357" t="str">
        <f>'Int Room Schedule'!Y30</f>
        <v/>
      </c>
      <c r="BC30" s="358" t="str">
        <f>'Int Room Schedule'!Z30</f>
        <v/>
      </c>
      <c r="BD30" s="358" t="str">
        <f>'Int Room Schedule'!AA30</f>
        <v/>
      </c>
      <c r="BE30" s="358" t="str">
        <f>'Int Room Schedule'!AB30</f>
        <v/>
      </c>
      <c r="BF30" s="358" t="str">
        <f>'Int Room Schedule'!AC30</f>
        <v/>
      </c>
      <c r="BG30" s="417" t="str">
        <f>'Int Room Schedule'!AD30</f>
        <v/>
      </c>
      <c r="BH30" s="95" t="s">
        <v>14</v>
      </c>
      <c r="BI30" s="362" t="str">
        <f t="array" ref="BI30">IFERROR(IF(ROWS(BC$16:BC30)&gt;COUNTA($BC$16:$BC$116),"",INDEX($BA$16:$BA$116,SMALL(IF($BC$16:$BC$116&lt;&gt;"",ROW($BC$16:$BC$116)-ROW($BC$16)+1),ROWS($BC$16:BC30)))),"")</f>
        <v/>
      </c>
      <c r="BJ30" s="349" t="str">
        <f t="shared" si="21"/>
        <v/>
      </c>
      <c r="BK30" s="362" t="str">
        <f t="shared" si="22"/>
        <v/>
      </c>
      <c r="BL30" s="362" t="str">
        <f t="shared" si="23"/>
        <v/>
      </c>
      <c r="BM30" s="413" t="str">
        <f t="shared" si="24"/>
        <v/>
      </c>
    </row>
    <row r="31" spans="2:65" ht="13.15" customHeight="1" x14ac:dyDescent="0.25">
      <c r="B31" s="1499"/>
      <c r="C31" s="1499"/>
      <c r="D31" s="1499"/>
      <c r="E31" s="1499"/>
      <c r="F31" s="98"/>
      <c r="G31" s="317"/>
      <c r="H31" s="169">
        <v>16</v>
      </c>
      <c r="I31" s="1082"/>
      <c r="J31" s="1079"/>
      <c r="K31" s="1083"/>
      <c r="L31" s="1081" t="str">
        <f t="shared" si="0"/>
        <v/>
      </c>
      <c r="N31" s="169">
        <v>16</v>
      </c>
      <c r="O31" s="1082"/>
      <c r="P31" s="1079"/>
      <c r="Q31" s="1083"/>
      <c r="R31" s="1036" t="str">
        <f t="shared" si="15"/>
        <v/>
      </c>
      <c r="W31" s="43">
        <v>16</v>
      </c>
      <c r="X31" s="362" t="str">
        <f t="array" ref="X31">IF(ROWS(I$16:I31)&gt;COUNTA($I$16:$I$65),"",INDEX($H$16:$H$65,SMALL(IF($I$16:$I$65&lt;&gt;"",ROW($I$16:$I$65)-ROW($I$16)+1),ROWS(I$16:$I31))))</f>
        <v/>
      </c>
      <c r="Y31" s="349" t="str">
        <f t="shared" si="1"/>
        <v/>
      </c>
      <c r="Z31" s="349" t="str">
        <f t="shared" si="2"/>
        <v/>
      </c>
      <c r="AA31" s="349" t="str">
        <f t="shared" si="3"/>
        <v/>
      </c>
      <c r="AB31" s="362" t="str">
        <f t="shared" si="4"/>
        <v/>
      </c>
      <c r="AC31" s="745" t="str">
        <f t="shared" si="5"/>
        <v/>
      </c>
      <c r="AD31" s="134" t="s">
        <v>1209</v>
      </c>
      <c r="AE31" s="135" t="str">
        <f t="shared" si="6"/>
        <v/>
      </c>
      <c r="AF31" s="135" t="str">
        <f t="shared" si="7"/>
        <v/>
      </c>
      <c r="AG31" s="278" t="str">
        <f>IF(VLOOKUP(Y31,ExteriorTradableData!B$10:R$59,17,FALSE)&gt;0,AC31,0)</f>
        <v/>
      </c>
      <c r="AH31" s="135"/>
      <c r="AI31" s="43">
        <v>67</v>
      </c>
      <c r="AJ31" s="362" t="str">
        <f t="array" ref="AJ31">IF(ROWS(O$16:O31)&gt;COUNTA($O$16:$O$65),"",INDEX($N$16:$N$65,SMALL(IF($O$16:$O$65&lt;&gt;"",ROW($O$16:$O$65)-ROW($O$16)+1),ROWS($O$16:O31))))</f>
        <v/>
      </c>
      <c r="AK31" s="349" t="str">
        <f t="shared" si="8"/>
        <v/>
      </c>
      <c r="AL31" s="349" t="str">
        <f t="shared" si="9"/>
        <v/>
      </c>
      <c r="AM31" s="349" t="str">
        <f t="shared" si="10"/>
        <v/>
      </c>
      <c r="AN31" s="362" t="str">
        <f t="shared" si="11"/>
        <v/>
      </c>
      <c r="AO31" s="134" t="str">
        <f t="shared" si="12"/>
        <v/>
      </c>
      <c r="AP31" s="135" t="str">
        <f t="shared" si="13"/>
        <v/>
      </c>
      <c r="AR31" s="43">
        <v>16</v>
      </c>
      <c r="AS31" s="362" t="str">
        <f t="array" ref="AS31">IFERROR(IF(ROWS(Y$16:Y31)&gt;COUNTA($Y$16:$Y$116),"",INDEX($W$16:$W$116,SMALL(IF($Y$16:$Y$116&lt;&gt;"",ROW($Y$16:$Y$116)-ROW($Y$16)+1),ROWS($Y$16:Y31)))),"")</f>
        <v/>
      </c>
      <c r="AT31" s="349" t="str">
        <f t="shared" si="16"/>
        <v/>
      </c>
      <c r="AU31" s="349" t="str">
        <f t="shared" si="17"/>
        <v/>
      </c>
      <c r="AV31" s="349" t="str">
        <f t="shared" si="18"/>
        <v/>
      </c>
      <c r="AW31" s="362" t="str">
        <f t="shared" si="25"/>
        <v/>
      </c>
      <c r="AX31" s="362" t="str">
        <f t="shared" si="19"/>
        <v/>
      </c>
      <c r="AY31" s="1107" t="str">
        <f t="shared" si="20"/>
        <v/>
      </c>
      <c r="BA31" s="42">
        <v>16</v>
      </c>
      <c r="BB31" s="357" t="str">
        <f>'Int Room Schedule'!Y31</f>
        <v/>
      </c>
      <c r="BC31" s="358" t="str">
        <f>'Int Room Schedule'!Z31</f>
        <v/>
      </c>
      <c r="BD31" s="358" t="str">
        <f>'Int Room Schedule'!AA31</f>
        <v/>
      </c>
      <c r="BE31" s="358" t="str">
        <f>'Int Room Schedule'!AB31</f>
        <v/>
      </c>
      <c r="BF31" s="358" t="str">
        <f>'Int Room Schedule'!AC31</f>
        <v/>
      </c>
      <c r="BG31" s="417" t="str">
        <f>'Int Room Schedule'!AD31</f>
        <v/>
      </c>
      <c r="BH31" s="95" t="s">
        <v>14</v>
      </c>
      <c r="BI31" s="362" t="str">
        <f t="array" ref="BI31">IFERROR(IF(ROWS(BC$16:BC31)&gt;COUNTA($BC$16:$BC$116),"",INDEX($BA$16:$BA$116,SMALL(IF($BC$16:$BC$116&lt;&gt;"",ROW($BC$16:$BC$116)-ROW($BC$16)+1),ROWS($BC$16:BC31)))),"")</f>
        <v/>
      </c>
      <c r="BJ31" s="349" t="str">
        <f t="shared" si="21"/>
        <v/>
      </c>
      <c r="BK31" s="362" t="str">
        <f t="shared" si="22"/>
        <v/>
      </c>
      <c r="BL31" s="362" t="str">
        <f t="shared" si="23"/>
        <v/>
      </c>
      <c r="BM31" s="413" t="str">
        <f t="shared" si="24"/>
        <v/>
      </c>
    </row>
    <row r="32" spans="2:65" ht="12.75" customHeight="1" x14ac:dyDescent="0.25">
      <c r="F32" s="587"/>
      <c r="G32" s="317"/>
      <c r="H32" s="169">
        <v>17</v>
      </c>
      <c r="I32" s="1082"/>
      <c r="J32" s="1079"/>
      <c r="K32" s="1083"/>
      <c r="L32" s="1081" t="str">
        <f t="shared" si="0"/>
        <v/>
      </c>
      <c r="N32" s="169">
        <v>17</v>
      </c>
      <c r="O32" s="1082"/>
      <c r="P32" s="1079"/>
      <c r="Q32" s="1083"/>
      <c r="R32" s="1036" t="str">
        <f t="shared" si="15"/>
        <v/>
      </c>
      <c r="W32" s="43">
        <v>17</v>
      </c>
      <c r="X32" s="362" t="str">
        <f t="array" ref="X32">IF(ROWS(I$16:I32)&gt;COUNTA($I$16:$I$65),"",INDEX($H$16:$H$65,SMALL(IF($I$16:$I$65&lt;&gt;"",ROW($I$16:$I$65)-ROW($I$16)+1),ROWS(I$16:$I32))))</f>
        <v/>
      </c>
      <c r="Y32" s="349" t="str">
        <f t="shared" si="1"/>
        <v/>
      </c>
      <c r="Z32" s="349" t="str">
        <f t="shared" si="2"/>
        <v/>
      </c>
      <c r="AA32" s="349" t="str">
        <f t="shared" si="3"/>
        <v/>
      </c>
      <c r="AB32" s="362" t="str">
        <f t="shared" si="4"/>
        <v/>
      </c>
      <c r="AC32" s="745" t="str">
        <f t="shared" si="5"/>
        <v/>
      </c>
      <c r="AD32" s="134" t="s">
        <v>1209</v>
      </c>
      <c r="AE32" s="135" t="str">
        <f t="shared" si="6"/>
        <v/>
      </c>
      <c r="AF32" s="135" t="str">
        <f t="shared" si="7"/>
        <v/>
      </c>
      <c r="AG32" s="278" t="str">
        <f>IF(VLOOKUP(Y32,ExteriorTradableData!B$10:R$59,17,FALSE)&gt;0,AC32,0)</f>
        <v/>
      </c>
      <c r="AH32" s="135"/>
      <c r="AI32" s="43">
        <v>68</v>
      </c>
      <c r="AJ32" s="362" t="str">
        <f t="array" ref="AJ32">IF(ROWS(O$16:O32)&gt;COUNTA($O$16:$O$65),"",INDEX($N$16:$N$65,SMALL(IF($O$16:$O$65&lt;&gt;"",ROW($O$16:$O$65)-ROW($O$16)+1),ROWS($O$16:O32))))</f>
        <v/>
      </c>
      <c r="AK32" s="349" t="str">
        <f t="shared" si="8"/>
        <v/>
      </c>
      <c r="AL32" s="349" t="str">
        <f t="shared" si="9"/>
        <v/>
      </c>
      <c r="AM32" s="349" t="str">
        <f t="shared" si="10"/>
        <v/>
      </c>
      <c r="AN32" s="362" t="str">
        <f t="shared" si="11"/>
        <v/>
      </c>
      <c r="AO32" s="134" t="str">
        <f t="shared" si="12"/>
        <v/>
      </c>
      <c r="AP32" s="135" t="str">
        <f t="shared" si="13"/>
        <v/>
      </c>
      <c r="AR32" s="43">
        <v>17</v>
      </c>
      <c r="AS32" s="362" t="str">
        <f t="array" ref="AS32">IFERROR(IF(ROWS(Y$16:Y32)&gt;COUNTA($Y$16:$Y$116),"",INDEX($W$16:$W$116,SMALL(IF($Y$16:$Y$116&lt;&gt;"",ROW($Y$16:$Y$116)-ROW($Y$16)+1),ROWS($Y$16:Y32)))),"")</f>
        <v/>
      </c>
      <c r="AT32" s="349" t="str">
        <f t="shared" si="16"/>
        <v/>
      </c>
      <c r="AU32" s="349" t="str">
        <f t="shared" si="17"/>
        <v/>
      </c>
      <c r="AV32" s="349" t="str">
        <f t="shared" si="18"/>
        <v/>
      </c>
      <c r="AW32" s="362" t="str">
        <f t="shared" si="25"/>
        <v/>
      </c>
      <c r="AX32" s="362" t="str">
        <f t="shared" si="19"/>
        <v/>
      </c>
      <c r="AY32" s="1107" t="str">
        <f t="shared" si="20"/>
        <v/>
      </c>
      <c r="BA32" s="93">
        <v>17</v>
      </c>
      <c r="BB32" s="357" t="str">
        <f>'Int Room Schedule'!Y32</f>
        <v/>
      </c>
      <c r="BC32" s="358" t="str">
        <f>'Int Room Schedule'!Z32</f>
        <v/>
      </c>
      <c r="BD32" s="358" t="str">
        <f>'Int Room Schedule'!AA32</f>
        <v/>
      </c>
      <c r="BE32" s="358" t="str">
        <f>'Int Room Schedule'!AB32</f>
        <v/>
      </c>
      <c r="BF32" s="358" t="str">
        <f>'Int Room Schedule'!AC32</f>
        <v/>
      </c>
      <c r="BG32" s="417" t="str">
        <f>'Int Room Schedule'!AD32</f>
        <v/>
      </c>
      <c r="BH32" s="95" t="s">
        <v>14</v>
      </c>
      <c r="BI32" s="362" t="str">
        <f t="array" ref="BI32">IFERROR(IF(ROWS(BC$16:BC32)&gt;COUNTA($BC$16:$BC$116),"",INDEX($BA$16:$BA$116,SMALL(IF($BC$16:$BC$116&lt;&gt;"",ROW($BC$16:$BC$116)-ROW($BC$16)+1),ROWS($BC$16:BC32)))),"")</f>
        <v/>
      </c>
      <c r="BJ32" s="349" t="str">
        <f t="shared" si="21"/>
        <v/>
      </c>
      <c r="BK32" s="362" t="str">
        <f t="shared" si="22"/>
        <v/>
      </c>
      <c r="BL32" s="362" t="str">
        <f t="shared" si="23"/>
        <v/>
      </c>
      <c r="BM32" s="413" t="str">
        <f t="shared" si="24"/>
        <v/>
      </c>
    </row>
    <row r="33" spans="2:65" x14ac:dyDescent="0.25">
      <c r="B33" s="1499" t="s">
        <v>893</v>
      </c>
      <c r="C33" s="1499"/>
      <c r="D33" s="1499"/>
      <c r="E33" s="1499"/>
      <c r="F33" s="587"/>
      <c r="G33" s="317"/>
      <c r="H33" s="169">
        <v>18</v>
      </c>
      <c r="I33" s="1082"/>
      <c r="J33" s="1079"/>
      <c r="K33" s="1083"/>
      <c r="L33" s="1081" t="str">
        <f t="shared" si="0"/>
        <v/>
      </c>
      <c r="N33" s="169">
        <v>18</v>
      </c>
      <c r="O33" s="1082"/>
      <c r="P33" s="1079"/>
      <c r="Q33" s="1083"/>
      <c r="R33" s="1036" t="str">
        <f t="shared" si="15"/>
        <v/>
      </c>
      <c r="W33" s="43">
        <v>18</v>
      </c>
      <c r="X33" s="362" t="str">
        <f t="array" ref="X33">IF(ROWS(I$16:I33)&gt;COUNTA($I$16:$I$65),"",INDEX($H$16:$H$65,SMALL(IF($I$16:$I$65&lt;&gt;"",ROW($I$16:$I$65)-ROW($I$16)+1),ROWS(I$16:$I33))))</f>
        <v/>
      </c>
      <c r="Y33" s="349" t="str">
        <f t="shared" si="1"/>
        <v/>
      </c>
      <c r="Z33" s="349" t="str">
        <f t="shared" si="2"/>
        <v/>
      </c>
      <c r="AA33" s="349" t="str">
        <f t="shared" si="3"/>
        <v/>
      </c>
      <c r="AB33" s="362" t="str">
        <f t="shared" si="4"/>
        <v/>
      </c>
      <c r="AC33" s="745" t="str">
        <f t="shared" si="5"/>
        <v/>
      </c>
      <c r="AD33" s="134" t="s">
        <v>1209</v>
      </c>
      <c r="AE33" s="135" t="str">
        <f t="shared" si="6"/>
        <v/>
      </c>
      <c r="AF33" s="135" t="str">
        <f t="shared" si="7"/>
        <v/>
      </c>
      <c r="AG33" s="278" t="str">
        <f>IF(VLOOKUP(Y33,ExteriorTradableData!B$10:R$59,17,FALSE)&gt;0,AC33,0)</f>
        <v/>
      </c>
      <c r="AH33" s="135"/>
      <c r="AI33" s="43">
        <v>69</v>
      </c>
      <c r="AJ33" s="362" t="str">
        <f t="array" ref="AJ33">IF(ROWS(O$16:O33)&gt;COUNTA($O$16:$O$65),"",INDEX($N$16:$N$65,SMALL(IF($O$16:$O$65&lt;&gt;"",ROW($O$16:$O$65)-ROW($O$16)+1),ROWS($O$16:O33))))</f>
        <v/>
      </c>
      <c r="AK33" s="349" t="str">
        <f t="shared" si="8"/>
        <v/>
      </c>
      <c r="AL33" s="349" t="str">
        <f t="shared" si="9"/>
        <v/>
      </c>
      <c r="AM33" s="349" t="str">
        <f t="shared" si="10"/>
        <v/>
      </c>
      <c r="AN33" s="362" t="str">
        <f t="shared" si="11"/>
        <v/>
      </c>
      <c r="AO33" s="134" t="str">
        <f t="shared" si="12"/>
        <v/>
      </c>
      <c r="AP33" s="135" t="str">
        <f t="shared" si="13"/>
        <v/>
      </c>
      <c r="AR33" s="43">
        <v>18</v>
      </c>
      <c r="AS33" s="362" t="str">
        <f t="array" ref="AS33">IFERROR(IF(ROWS(Y$16:Y33)&gt;COUNTA($Y$16:$Y$116),"",INDEX($W$16:$W$116,SMALL(IF($Y$16:$Y$116&lt;&gt;"",ROW($Y$16:$Y$116)-ROW($Y$16)+1),ROWS($Y$16:Y33)))),"")</f>
        <v/>
      </c>
      <c r="AT33" s="349" t="str">
        <f t="shared" si="16"/>
        <v/>
      </c>
      <c r="AU33" s="349" t="str">
        <f t="shared" si="17"/>
        <v/>
      </c>
      <c r="AV33" s="349" t="str">
        <f t="shared" si="18"/>
        <v/>
      </c>
      <c r="AW33" s="362" t="str">
        <f t="shared" si="25"/>
        <v/>
      </c>
      <c r="AX33" s="362" t="str">
        <f t="shared" si="19"/>
        <v/>
      </c>
      <c r="AY33" s="1107" t="str">
        <f t="shared" si="20"/>
        <v/>
      </c>
      <c r="BA33" s="42">
        <v>18</v>
      </c>
      <c r="BB33" s="357" t="str">
        <f>'Int Room Schedule'!Y33</f>
        <v/>
      </c>
      <c r="BC33" s="358" t="str">
        <f>'Int Room Schedule'!Z33</f>
        <v/>
      </c>
      <c r="BD33" s="358" t="str">
        <f>'Int Room Schedule'!AA33</f>
        <v/>
      </c>
      <c r="BE33" s="358" t="str">
        <f>'Int Room Schedule'!AB33</f>
        <v/>
      </c>
      <c r="BF33" s="358" t="str">
        <f>'Int Room Schedule'!AC33</f>
        <v/>
      </c>
      <c r="BG33" s="417" t="str">
        <f>'Int Room Schedule'!AD33</f>
        <v/>
      </c>
      <c r="BH33" s="95" t="s">
        <v>14</v>
      </c>
      <c r="BI33" s="362" t="str">
        <f t="array" ref="BI33">IFERROR(IF(ROWS(BC$16:BC33)&gt;COUNTA($BC$16:$BC$116),"",INDEX($BA$16:$BA$116,SMALL(IF($BC$16:$BC$116&lt;&gt;"",ROW($BC$16:$BC$116)-ROW($BC$16)+1),ROWS($BC$16:BC33)))),"")</f>
        <v/>
      </c>
      <c r="BJ33" s="349" t="str">
        <f t="shared" si="21"/>
        <v/>
      </c>
      <c r="BK33" s="362" t="str">
        <f t="shared" si="22"/>
        <v/>
      </c>
      <c r="BL33" s="362" t="str">
        <f t="shared" si="23"/>
        <v/>
      </c>
      <c r="BM33" s="413" t="str">
        <f t="shared" si="24"/>
        <v/>
      </c>
    </row>
    <row r="34" spans="2:65" x14ac:dyDescent="0.25">
      <c r="B34" s="1499"/>
      <c r="C34" s="1499"/>
      <c r="D34" s="1499"/>
      <c r="E34" s="1499"/>
      <c r="F34" s="587"/>
      <c r="G34" s="317"/>
      <c r="H34" s="169">
        <v>19</v>
      </c>
      <c r="I34" s="1082"/>
      <c r="J34" s="1079"/>
      <c r="K34" s="1083"/>
      <c r="L34" s="1081" t="str">
        <f t="shared" si="0"/>
        <v/>
      </c>
      <c r="N34" s="169">
        <v>19</v>
      </c>
      <c r="O34" s="1082"/>
      <c r="P34" s="1079"/>
      <c r="Q34" s="1083"/>
      <c r="R34" s="1036" t="str">
        <f t="shared" si="15"/>
        <v/>
      </c>
      <c r="W34" s="43">
        <v>19</v>
      </c>
      <c r="X34" s="362" t="str">
        <f t="array" ref="X34">IF(ROWS(I$16:I34)&gt;COUNTA($I$16:$I$65),"",INDEX($H$16:$H$65,SMALL(IF($I$16:$I$65&lt;&gt;"",ROW($I$16:$I$65)-ROW($I$16)+1),ROWS(I$16:$I34))))</f>
        <v/>
      </c>
      <c r="Y34" s="349" t="str">
        <f t="shared" si="1"/>
        <v/>
      </c>
      <c r="Z34" s="349" t="str">
        <f t="shared" si="2"/>
        <v/>
      </c>
      <c r="AA34" s="349" t="str">
        <f t="shared" si="3"/>
        <v/>
      </c>
      <c r="AB34" s="362" t="str">
        <f t="shared" si="4"/>
        <v/>
      </c>
      <c r="AC34" s="745" t="str">
        <f t="shared" si="5"/>
        <v/>
      </c>
      <c r="AD34" s="134" t="s">
        <v>1209</v>
      </c>
      <c r="AE34" s="135" t="str">
        <f t="shared" si="6"/>
        <v/>
      </c>
      <c r="AF34" s="135" t="str">
        <f t="shared" si="7"/>
        <v/>
      </c>
      <c r="AG34" s="278" t="str">
        <f>IF(VLOOKUP(Y34,ExteriorTradableData!B$10:R$59,17,FALSE)&gt;0,AC34,0)</f>
        <v/>
      </c>
      <c r="AH34" s="135"/>
      <c r="AI34" s="43">
        <v>70</v>
      </c>
      <c r="AJ34" s="362" t="str">
        <f t="array" ref="AJ34">IF(ROWS(O$16:O34)&gt;COUNTA($O$16:$O$65),"",INDEX($N$16:$N$65,SMALL(IF($O$16:$O$65&lt;&gt;"",ROW($O$16:$O$65)-ROW($O$16)+1),ROWS($O$16:O34))))</f>
        <v/>
      </c>
      <c r="AK34" s="349" t="str">
        <f t="shared" si="8"/>
        <v/>
      </c>
      <c r="AL34" s="349" t="str">
        <f t="shared" si="9"/>
        <v/>
      </c>
      <c r="AM34" s="349" t="str">
        <f t="shared" si="10"/>
        <v/>
      </c>
      <c r="AN34" s="362" t="str">
        <f t="shared" si="11"/>
        <v/>
      </c>
      <c r="AO34" s="134" t="str">
        <f t="shared" si="12"/>
        <v/>
      </c>
      <c r="AP34" s="135" t="str">
        <f t="shared" si="13"/>
        <v/>
      </c>
      <c r="AR34" s="43">
        <v>19</v>
      </c>
      <c r="AS34" s="362" t="str">
        <f t="array" ref="AS34">IFERROR(IF(ROWS(Y$16:Y34)&gt;COUNTA($Y$16:$Y$116),"",INDEX($W$16:$W$116,SMALL(IF($Y$16:$Y$116&lt;&gt;"",ROW($Y$16:$Y$116)-ROW($Y$16)+1),ROWS($Y$16:Y34)))),"")</f>
        <v/>
      </c>
      <c r="AT34" s="349" t="str">
        <f t="shared" si="16"/>
        <v/>
      </c>
      <c r="AU34" s="349" t="str">
        <f t="shared" si="17"/>
        <v/>
      </c>
      <c r="AV34" s="349" t="str">
        <f t="shared" si="18"/>
        <v/>
      </c>
      <c r="AW34" s="362" t="str">
        <f t="shared" si="25"/>
        <v/>
      </c>
      <c r="AX34" s="362" t="str">
        <f t="shared" si="19"/>
        <v/>
      </c>
      <c r="AY34" s="1107" t="str">
        <f t="shared" si="20"/>
        <v/>
      </c>
      <c r="BA34" s="93">
        <v>19</v>
      </c>
      <c r="BB34" s="357" t="str">
        <f>'Int Room Schedule'!Y34</f>
        <v/>
      </c>
      <c r="BC34" s="358" t="str">
        <f>'Int Room Schedule'!Z34</f>
        <v/>
      </c>
      <c r="BD34" s="358" t="str">
        <f>'Int Room Schedule'!AA34</f>
        <v/>
      </c>
      <c r="BE34" s="358" t="str">
        <f>'Int Room Schedule'!AB34</f>
        <v/>
      </c>
      <c r="BF34" s="358" t="str">
        <f>'Int Room Schedule'!AC34</f>
        <v/>
      </c>
      <c r="BG34" s="417" t="str">
        <f>'Int Room Schedule'!AD34</f>
        <v/>
      </c>
      <c r="BH34" s="95" t="s">
        <v>14</v>
      </c>
      <c r="BI34" s="362" t="str">
        <f t="array" ref="BI34">IFERROR(IF(ROWS(BC$16:BC34)&gt;COUNTA($BC$16:$BC$116),"",INDEX($BA$16:$BA$116,SMALL(IF($BC$16:$BC$116&lt;&gt;"",ROW($BC$16:$BC$116)-ROW($BC$16)+1),ROWS($BC$16:BC34)))),"")</f>
        <v/>
      </c>
      <c r="BJ34" s="349" t="str">
        <f t="shared" si="21"/>
        <v/>
      </c>
      <c r="BK34" s="362" t="str">
        <f t="shared" si="22"/>
        <v/>
      </c>
      <c r="BL34" s="362" t="str">
        <f t="shared" si="23"/>
        <v/>
      </c>
      <c r="BM34" s="413" t="str">
        <f t="shared" si="24"/>
        <v/>
      </c>
    </row>
    <row r="35" spans="2:65" x14ac:dyDescent="0.25">
      <c r="B35" s="1499"/>
      <c r="C35" s="1499"/>
      <c r="D35" s="1499"/>
      <c r="E35" s="1499"/>
      <c r="F35" s="587"/>
      <c r="G35" s="142"/>
      <c r="H35" s="169">
        <v>20</v>
      </c>
      <c r="I35" s="1082"/>
      <c r="J35" s="1079"/>
      <c r="K35" s="1083"/>
      <c r="L35" s="1081" t="str">
        <f t="shared" si="0"/>
        <v/>
      </c>
      <c r="N35" s="169">
        <v>20</v>
      </c>
      <c r="O35" s="1082"/>
      <c r="P35" s="1079"/>
      <c r="Q35" s="1083"/>
      <c r="R35" s="1036" t="str">
        <f t="shared" si="15"/>
        <v/>
      </c>
      <c r="W35" s="43">
        <v>20</v>
      </c>
      <c r="X35" s="362" t="str">
        <f t="array" ref="X35">IF(ROWS(I$16:I35)&gt;COUNTA($I$16:$I$65),"",INDEX($H$16:$H$65,SMALL(IF($I$16:$I$65&lt;&gt;"",ROW($I$16:$I$65)-ROW($I$16)+1),ROWS(I$16:$I35))))</f>
        <v/>
      </c>
      <c r="Y35" s="349" t="str">
        <f t="shared" si="1"/>
        <v/>
      </c>
      <c r="Z35" s="349" t="str">
        <f t="shared" si="2"/>
        <v/>
      </c>
      <c r="AA35" s="349" t="str">
        <f t="shared" si="3"/>
        <v/>
      </c>
      <c r="AB35" s="362" t="str">
        <f t="shared" si="4"/>
        <v/>
      </c>
      <c r="AC35" s="745" t="str">
        <f t="shared" si="5"/>
        <v/>
      </c>
      <c r="AD35" s="134" t="s">
        <v>1209</v>
      </c>
      <c r="AE35" s="135" t="str">
        <f t="shared" si="6"/>
        <v/>
      </c>
      <c r="AF35" s="135" t="str">
        <f t="shared" si="7"/>
        <v/>
      </c>
      <c r="AG35" s="278" t="str">
        <f>IF(VLOOKUP(Y35,ExteriorTradableData!B$10:R$59,17,FALSE)&gt;0,AC35,0)</f>
        <v/>
      </c>
      <c r="AH35" s="135"/>
      <c r="AI35" s="43">
        <v>71</v>
      </c>
      <c r="AJ35" s="362" t="str">
        <f t="array" ref="AJ35">IF(ROWS(O$16:O35)&gt;COUNTA($O$16:$O$65),"",INDEX($N$16:$N$65,SMALL(IF($O$16:$O$65&lt;&gt;"",ROW($O$16:$O$65)-ROW($O$16)+1),ROWS($O$16:O35))))</f>
        <v/>
      </c>
      <c r="AK35" s="349" t="str">
        <f t="shared" si="8"/>
        <v/>
      </c>
      <c r="AL35" s="349" t="str">
        <f t="shared" si="9"/>
        <v/>
      </c>
      <c r="AM35" s="349" t="str">
        <f t="shared" si="10"/>
        <v/>
      </c>
      <c r="AN35" s="362" t="str">
        <f t="shared" si="11"/>
        <v/>
      </c>
      <c r="AO35" s="134" t="str">
        <f t="shared" si="12"/>
        <v/>
      </c>
      <c r="AP35" s="135" t="str">
        <f t="shared" si="13"/>
        <v/>
      </c>
      <c r="AR35" s="43">
        <v>20</v>
      </c>
      <c r="AS35" s="362" t="str">
        <f t="array" ref="AS35">IFERROR(IF(ROWS(Y$16:Y35)&gt;COUNTA($Y$16:$Y$116),"",INDEX($W$16:$W$116,SMALL(IF($Y$16:$Y$116&lt;&gt;"",ROW($Y$16:$Y$116)-ROW($Y$16)+1),ROWS($Y$16:Y35)))),"")</f>
        <v/>
      </c>
      <c r="AT35" s="349" t="str">
        <f t="shared" si="16"/>
        <v/>
      </c>
      <c r="AU35" s="349" t="str">
        <f t="shared" si="17"/>
        <v/>
      </c>
      <c r="AV35" s="349" t="str">
        <f t="shared" si="18"/>
        <v/>
      </c>
      <c r="AW35" s="362" t="str">
        <f t="shared" si="25"/>
        <v/>
      </c>
      <c r="AX35" s="362" t="str">
        <f t="shared" si="19"/>
        <v/>
      </c>
      <c r="AY35" s="1107" t="str">
        <f t="shared" si="20"/>
        <v/>
      </c>
      <c r="BA35" s="42">
        <v>20</v>
      </c>
      <c r="BB35" s="357" t="str">
        <f>'Int Room Schedule'!Y35</f>
        <v/>
      </c>
      <c r="BC35" s="358" t="str">
        <f>'Int Room Schedule'!Z35</f>
        <v/>
      </c>
      <c r="BD35" s="358" t="str">
        <f>'Int Room Schedule'!AA35</f>
        <v/>
      </c>
      <c r="BE35" s="358" t="str">
        <f>'Int Room Schedule'!AB35</f>
        <v/>
      </c>
      <c r="BF35" s="358" t="str">
        <f>'Int Room Schedule'!AC35</f>
        <v/>
      </c>
      <c r="BG35" s="417" t="str">
        <f>'Int Room Schedule'!AD35</f>
        <v/>
      </c>
      <c r="BH35" s="95" t="s">
        <v>14</v>
      </c>
      <c r="BI35" s="362" t="str">
        <f t="array" ref="BI35">IFERROR(IF(ROWS(BC$16:BC35)&gt;COUNTA($BC$16:$BC$116),"",INDEX($BA$16:$BA$116,SMALL(IF($BC$16:$BC$116&lt;&gt;"",ROW($BC$16:$BC$116)-ROW($BC$16)+1),ROWS($BC$16:BC35)))),"")</f>
        <v/>
      </c>
      <c r="BJ35" s="349" t="str">
        <f t="shared" si="21"/>
        <v/>
      </c>
      <c r="BK35" s="362" t="str">
        <f t="shared" si="22"/>
        <v/>
      </c>
      <c r="BL35" s="362" t="str">
        <f t="shared" si="23"/>
        <v/>
      </c>
      <c r="BM35" s="413" t="str">
        <f t="shared" si="24"/>
        <v/>
      </c>
    </row>
    <row r="36" spans="2:65" x14ac:dyDescent="0.25">
      <c r="B36" s="1499"/>
      <c r="C36" s="1499"/>
      <c r="D36" s="1499"/>
      <c r="E36" s="1499"/>
      <c r="G36" s="317"/>
      <c r="H36" s="169">
        <v>21</v>
      </c>
      <c r="I36" s="1082"/>
      <c r="J36" s="1079"/>
      <c r="K36" s="1083"/>
      <c r="L36" s="1081" t="str">
        <f t="shared" si="0"/>
        <v/>
      </c>
      <c r="N36" s="169">
        <v>21</v>
      </c>
      <c r="O36" s="1082"/>
      <c r="P36" s="1079"/>
      <c r="Q36" s="1083"/>
      <c r="R36" s="1036" t="str">
        <f t="shared" si="15"/>
        <v/>
      </c>
      <c r="W36" s="43">
        <v>21</v>
      </c>
      <c r="X36" s="362" t="str">
        <f t="array" ref="X36">IF(ROWS(I$16:I36)&gt;COUNTA($I$16:$I$65),"",INDEX($H$16:$H$65,SMALL(IF($I$16:$I$65&lt;&gt;"",ROW($I$16:$I$65)-ROW($I$16)+1),ROWS(I$16:$I36))))</f>
        <v/>
      </c>
      <c r="Y36" s="349" t="str">
        <f t="shared" si="1"/>
        <v/>
      </c>
      <c r="Z36" s="349" t="str">
        <f t="shared" si="2"/>
        <v/>
      </c>
      <c r="AA36" s="349" t="str">
        <f t="shared" si="3"/>
        <v/>
      </c>
      <c r="AB36" s="362" t="str">
        <f t="shared" si="4"/>
        <v/>
      </c>
      <c r="AC36" s="745" t="str">
        <f t="shared" si="5"/>
        <v/>
      </c>
      <c r="AD36" s="134" t="s">
        <v>1209</v>
      </c>
      <c r="AE36" s="135" t="str">
        <f t="shared" si="6"/>
        <v/>
      </c>
      <c r="AF36" s="135" t="str">
        <f t="shared" si="7"/>
        <v/>
      </c>
      <c r="AG36" s="278" t="str">
        <f>IF(VLOOKUP(Y36,ExteriorTradableData!B$10:R$59,17,FALSE)&gt;0,AC36,0)</f>
        <v/>
      </c>
      <c r="AH36" s="135"/>
      <c r="AI36" s="43">
        <v>72</v>
      </c>
      <c r="AJ36" s="362" t="str">
        <f t="array" ref="AJ36">IF(ROWS(O$16:O36)&gt;COUNTA($O$16:$O$65),"",INDEX($N$16:$N$65,SMALL(IF($O$16:$O$65&lt;&gt;"",ROW($O$16:$O$65)-ROW($O$16)+1),ROWS($O$16:O36))))</f>
        <v/>
      </c>
      <c r="AK36" s="349" t="str">
        <f t="shared" si="8"/>
        <v/>
      </c>
      <c r="AL36" s="349" t="str">
        <f t="shared" si="9"/>
        <v/>
      </c>
      <c r="AM36" s="349" t="str">
        <f t="shared" si="10"/>
        <v/>
      </c>
      <c r="AN36" s="362" t="str">
        <f t="shared" si="11"/>
        <v/>
      </c>
      <c r="AO36" s="134" t="str">
        <f t="shared" si="12"/>
        <v/>
      </c>
      <c r="AP36" s="135" t="str">
        <f t="shared" si="13"/>
        <v/>
      </c>
      <c r="AR36" s="43">
        <v>21</v>
      </c>
      <c r="AS36" s="362" t="str">
        <f t="array" ref="AS36">IFERROR(IF(ROWS(Y$16:Y36)&gt;COUNTA($Y$16:$Y$116),"",INDEX($W$16:$W$116,SMALL(IF($Y$16:$Y$116&lt;&gt;"",ROW($Y$16:$Y$116)-ROW($Y$16)+1),ROWS($Y$16:Y36)))),"")</f>
        <v/>
      </c>
      <c r="AT36" s="349" t="str">
        <f t="shared" si="16"/>
        <v/>
      </c>
      <c r="AU36" s="349" t="str">
        <f t="shared" si="17"/>
        <v/>
      </c>
      <c r="AV36" s="349" t="str">
        <f t="shared" si="18"/>
        <v/>
      </c>
      <c r="AW36" s="362" t="str">
        <f t="shared" si="25"/>
        <v/>
      </c>
      <c r="AX36" s="362" t="str">
        <f t="shared" si="19"/>
        <v/>
      </c>
      <c r="AY36" s="1107" t="str">
        <f t="shared" si="20"/>
        <v/>
      </c>
      <c r="BA36" s="93">
        <v>21</v>
      </c>
      <c r="BB36" s="357" t="str">
        <f>'Int Room Schedule'!Y36</f>
        <v/>
      </c>
      <c r="BC36" s="358" t="str">
        <f>'Int Room Schedule'!Z36</f>
        <v/>
      </c>
      <c r="BD36" s="358" t="str">
        <f>'Int Room Schedule'!AA36</f>
        <v/>
      </c>
      <c r="BE36" s="358" t="str">
        <f>'Int Room Schedule'!AB36</f>
        <v/>
      </c>
      <c r="BF36" s="358" t="str">
        <f>'Int Room Schedule'!AC36</f>
        <v/>
      </c>
      <c r="BG36" s="417" t="str">
        <f>'Int Room Schedule'!AD36</f>
        <v/>
      </c>
      <c r="BH36" s="95" t="s">
        <v>14</v>
      </c>
      <c r="BI36" s="362" t="str">
        <f t="array" ref="BI36">IFERROR(IF(ROWS(BC$16:BC36)&gt;COUNTA($BC$16:$BC$116),"",INDEX($BA$16:$BA$116,SMALL(IF($BC$16:$BC$116&lt;&gt;"",ROW($BC$16:$BC$116)-ROW($BC$16)+1),ROWS($BC$16:BC36)))),"")</f>
        <v/>
      </c>
      <c r="BJ36" s="349" t="str">
        <f t="shared" si="21"/>
        <v/>
      </c>
      <c r="BK36" s="362" t="str">
        <f t="shared" si="22"/>
        <v/>
      </c>
      <c r="BL36" s="362" t="str">
        <f t="shared" si="23"/>
        <v/>
      </c>
      <c r="BM36" s="413" t="str">
        <f t="shared" si="24"/>
        <v/>
      </c>
    </row>
    <row r="37" spans="2:65" x14ac:dyDescent="0.25">
      <c r="C37" s="136"/>
      <c r="D37" s="136"/>
      <c r="E37" s="136"/>
      <c r="F37" s="136"/>
      <c r="G37" s="317"/>
      <c r="H37" s="169">
        <v>22</v>
      </c>
      <c r="I37" s="1082"/>
      <c r="J37" s="1079"/>
      <c r="K37" s="1083"/>
      <c r="L37" s="1081" t="str">
        <f t="shared" si="0"/>
        <v/>
      </c>
      <c r="N37" s="169">
        <v>22</v>
      </c>
      <c r="O37" s="1082"/>
      <c r="P37" s="1079"/>
      <c r="Q37" s="1083"/>
      <c r="R37" s="1036" t="str">
        <f t="shared" si="15"/>
        <v/>
      </c>
      <c r="W37" s="43">
        <v>22</v>
      </c>
      <c r="X37" s="362" t="str">
        <f t="array" ref="X37">IF(ROWS(I$16:I37)&gt;COUNTA($I$16:$I$65),"",INDEX($H$16:$H$65,SMALL(IF($I$16:$I$65&lt;&gt;"",ROW($I$16:$I$65)-ROW($I$16)+1),ROWS(I$16:$I37))))</f>
        <v/>
      </c>
      <c r="Y37" s="349" t="str">
        <f t="shared" si="1"/>
        <v/>
      </c>
      <c r="Z37" s="349" t="str">
        <f t="shared" si="2"/>
        <v/>
      </c>
      <c r="AA37" s="349" t="str">
        <f t="shared" si="3"/>
        <v/>
      </c>
      <c r="AB37" s="362" t="str">
        <f t="shared" si="4"/>
        <v/>
      </c>
      <c r="AC37" s="745" t="str">
        <f t="shared" si="5"/>
        <v/>
      </c>
      <c r="AD37" s="134" t="s">
        <v>1209</v>
      </c>
      <c r="AE37" s="135" t="str">
        <f t="shared" si="6"/>
        <v/>
      </c>
      <c r="AF37" s="135" t="str">
        <f t="shared" si="7"/>
        <v/>
      </c>
      <c r="AG37" s="278" t="str">
        <f>IF(VLOOKUP(Y37,ExteriorTradableData!B$10:R$59,17,FALSE)&gt;0,AC37,0)</f>
        <v/>
      </c>
      <c r="AH37" s="135"/>
      <c r="AI37" s="43">
        <v>73</v>
      </c>
      <c r="AJ37" s="362" t="str">
        <f t="array" ref="AJ37">IF(ROWS(O$16:O37)&gt;COUNTA($O$16:$O$65),"",INDEX($N$16:$N$65,SMALL(IF($O$16:$O$65&lt;&gt;"",ROW($O$16:$O$65)-ROW($O$16)+1),ROWS($O$16:O37))))</f>
        <v/>
      </c>
      <c r="AK37" s="349" t="str">
        <f t="shared" si="8"/>
        <v/>
      </c>
      <c r="AL37" s="349" t="str">
        <f t="shared" si="9"/>
        <v/>
      </c>
      <c r="AM37" s="349" t="str">
        <f t="shared" si="10"/>
        <v/>
      </c>
      <c r="AN37" s="362" t="str">
        <f t="shared" si="11"/>
        <v/>
      </c>
      <c r="AO37" s="134" t="str">
        <f t="shared" si="12"/>
        <v/>
      </c>
      <c r="AP37" s="135" t="str">
        <f t="shared" si="13"/>
        <v/>
      </c>
      <c r="AR37" s="43">
        <v>22</v>
      </c>
      <c r="AS37" s="362" t="str">
        <f t="array" ref="AS37">IFERROR(IF(ROWS(Y$16:Y37)&gt;COUNTA($Y$16:$Y$116),"",INDEX($W$16:$W$116,SMALL(IF($Y$16:$Y$116&lt;&gt;"",ROW($Y$16:$Y$116)-ROW($Y$16)+1),ROWS($Y$16:Y37)))),"")</f>
        <v/>
      </c>
      <c r="AT37" s="349" t="str">
        <f t="shared" si="16"/>
        <v/>
      </c>
      <c r="AU37" s="349" t="str">
        <f t="shared" si="17"/>
        <v/>
      </c>
      <c r="AV37" s="349" t="str">
        <f t="shared" si="18"/>
        <v/>
      </c>
      <c r="AW37" s="362" t="str">
        <f t="shared" si="25"/>
        <v/>
      </c>
      <c r="AX37" s="362" t="str">
        <f t="shared" si="19"/>
        <v/>
      </c>
      <c r="AY37" s="1107" t="str">
        <f t="shared" si="20"/>
        <v/>
      </c>
      <c r="BA37" s="42">
        <v>22</v>
      </c>
      <c r="BB37" s="357" t="str">
        <f>'Int Room Schedule'!Y37</f>
        <v/>
      </c>
      <c r="BC37" s="358" t="str">
        <f>'Int Room Schedule'!Z37</f>
        <v/>
      </c>
      <c r="BD37" s="358" t="str">
        <f>'Int Room Schedule'!AA37</f>
        <v/>
      </c>
      <c r="BE37" s="358" t="str">
        <f>'Int Room Schedule'!AB37</f>
        <v/>
      </c>
      <c r="BF37" s="358" t="str">
        <f>'Int Room Schedule'!AC37</f>
        <v/>
      </c>
      <c r="BG37" s="417" t="str">
        <f>'Int Room Schedule'!AD37</f>
        <v/>
      </c>
      <c r="BH37" s="95" t="s">
        <v>14</v>
      </c>
      <c r="BI37" s="362" t="str">
        <f t="array" ref="BI37">IFERROR(IF(ROWS(BC$16:BC37)&gt;COUNTA($BC$16:$BC$116),"",INDEX($BA$16:$BA$116,SMALL(IF($BC$16:$BC$116&lt;&gt;"",ROW($BC$16:$BC$116)-ROW($BC$16)+1),ROWS($BC$16:BC37)))),"")</f>
        <v/>
      </c>
      <c r="BJ37" s="349" t="str">
        <f t="shared" si="21"/>
        <v/>
      </c>
      <c r="BK37" s="362" t="str">
        <f t="shared" si="22"/>
        <v/>
      </c>
      <c r="BL37" s="362" t="str">
        <f t="shared" si="23"/>
        <v/>
      </c>
      <c r="BM37" s="413" t="str">
        <f t="shared" si="24"/>
        <v/>
      </c>
    </row>
    <row r="38" spans="2:65" x14ac:dyDescent="0.25">
      <c r="C38" s="136"/>
      <c r="D38" s="136"/>
      <c r="E38" s="136"/>
      <c r="F38" s="136"/>
      <c r="G38" s="317"/>
      <c r="H38" s="169">
        <v>23</v>
      </c>
      <c r="I38" s="1082"/>
      <c r="J38" s="1079"/>
      <c r="K38" s="1083"/>
      <c r="L38" s="1081" t="str">
        <f t="shared" si="0"/>
        <v/>
      </c>
      <c r="N38" s="169">
        <v>23</v>
      </c>
      <c r="O38" s="1082"/>
      <c r="P38" s="1079"/>
      <c r="Q38" s="1083"/>
      <c r="R38" s="1036" t="str">
        <f t="shared" si="15"/>
        <v/>
      </c>
      <c r="W38" s="43">
        <v>23</v>
      </c>
      <c r="X38" s="362" t="str">
        <f t="array" ref="X38">IF(ROWS(I$16:I38)&gt;COUNTA($I$16:$I$65),"",INDEX($H$16:$H$65,SMALL(IF($I$16:$I$65&lt;&gt;"",ROW($I$16:$I$65)-ROW($I$16)+1),ROWS(I$16:$I38))))</f>
        <v/>
      </c>
      <c r="Y38" s="349" t="str">
        <f t="shared" si="1"/>
        <v/>
      </c>
      <c r="Z38" s="349" t="str">
        <f t="shared" si="2"/>
        <v/>
      </c>
      <c r="AA38" s="349" t="str">
        <f t="shared" si="3"/>
        <v/>
      </c>
      <c r="AB38" s="362" t="str">
        <f t="shared" si="4"/>
        <v/>
      </c>
      <c r="AC38" s="745" t="str">
        <f t="shared" si="5"/>
        <v/>
      </c>
      <c r="AD38" s="134" t="s">
        <v>1209</v>
      </c>
      <c r="AE38" s="135" t="str">
        <f t="shared" si="6"/>
        <v/>
      </c>
      <c r="AF38" s="135" t="str">
        <f t="shared" si="7"/>
        <v/>
      </c>
      <c r="AG38" s="278" t="str">
        <f>IF(VLOOKUP(Y38,ExteriorTradableData!B$10:R$59,17,FALSE)&gt;0,AC38,0)</f>
        <v/>
      </c>
      <c r="AH38" s="135"/>
      <c r="AI38" s="43">
        <v>74</v>
      </c>
      <c r="AJ38" s="362" t="str">
        <f t="array" ref="AJ38">IF(ROWS(O$16:O38)&gt;COUNTA($O$16:$O$65),"",INDEX($N$16:$N$65,SMALL(IF($O$16:$O$65&lt;&gt;"",ROW($O$16:$O$65)-ROW($O$16)+1),ROWS($O$16:O38))))</f>
        <v/>
      </c>
      <c r="AK38" s="349" t="str">
        <f t="shared" si="8"/>
        <v/>
      </c>
      <c r="AL38" s="349" t="str">
        <f t="shared" si="9"/>
        <v/>
      </c>
      <c r="AM38" s="349" t="str">
        <f t="shared" si="10"/>
        <v/>
      </c>
      <c r="AN38" s="362" t="str">
        <f t="shared" si="11"/>
        <v/>
      </c>
      <c r="AO38" s="134" t="str">
        <f t="shared" si="12"/>
        <v/>
      </c>
      <c r="AP38" s="135" t="str">
        <f t="shared" si="13"/>
        <v/>
      </c>
      <c r="AR38" s="43">
        <v>23</v>
      </c>
      <c r="AS38" s="362" t="str">
        <f t="array" ref="AS38">IFERROR(IF(ROWS(Y$16:Y38)&gt;COUNTA($Y$16:$Y$116),"",INDEX($W$16:$W$116,SMALL(IF($Y$16:$Y$116&lt;&gt;"",ROW($Y$16:$Y$116)-ROW($Y$16)+1),ROWS($Y$16:Y38)))),"")</f>
        <v/>
      </c>
      <c r="AT38" s="349" t="str">
        <f t="shared" si="16"/>
        <v/>
      </c>
      <c r="AU38" s="349" t="str">
        <f t="shared" si="17"/>
        <v/>
      </c>
      <c r="AV38" s="349" t="str">
        <f t="shared" si="18"/>
        <v/>
      </c>
      <c r="AW38" s="362" t="str">
        <f t="shared" si="25"/>
        <v/>
      </c>
      <c r="AX38" s="362" t="str">
        <f t="shared" si="19"/>
        <v/>
      </c>
      <c r="AY38" s="1107" t="str">
        <f t="shared" si="20"/>
        <v/>
      </c>
      <c r="BA38" s="93">
        <v>23</v>
      </c>
      <c r="BB38" s="357" t="str">
        <f>'Int Room Schedule'!Y38</f>
        <v/>
      </c>
      <c r="BC38" s="358" t="str">
        <f>'Int Room Schedule'!Z38</f>
        <v/>
      </c>
      <c r="BD38" s="358" t="str">
        <f>'Int Room Schedule'!AA38</f>
        <v/>
      </c>
      <c r="BE38" s="358" t="str">
        <f>'Int Room Schedule'!AB38</f>
        <v/>
      </c>
      <c r="BF38" s="358" t="str">
        <f>'Int Room Schedule'!AC38</f>
        <v/>
      </c>
      <c r="BG38" s="417" t="str">
        <f>'Int Room Schedule'!AD38</f>
        <v/>
      </c>
      <c r="BH38" s="95" t="s">
        <v>14</v>
      </c>
      <c r="BI38" s="362" t="str">
        <f t="array" ref="BI38">IFERROR(IF(ROWS(BC$16:BC38)&gt;COUNTA($BC$16:$BC$116),"",INDEX($BA$16:$BA$116,SMALL(IF($BC$16:$BC$116&lt;&gt;"",ROW($BC$16:$BC$116)-ROW($BC$16)+1),ROWS($BC$16:BC38)))),"")</f>
        <v/>
      </c>
      <c r="BJ38" s="349" t="str">
        <f t="shared" si="21"/>
        <v/>
      </c>
      <c r="BK38" s="362" t="str">
        <f t="shared" si="22"/>
        <v/>
      </c>
      <c r="BL38" s="362" t="str">
        <f t="shared" si="23"/>
        <v/>
      </c>
      <c r="BM38" s="413" t="str">
        <f t="shared" si="24"/>
        <v/>
      </c>
    </row>
    <row r="39" spans="2:65" x14ac:dyDescent="0.25">
      <c r="C39" s="136"/>
      <c r="D39" s="136"/>
      <c r="E39" s="136"/>
      <c r="F39" s="136"/>
      <c r="G39" s="317"/>
      <c r="H39" s="169">
        <v>24</v>
      </c>
      <c r="I39" s="1082"/>
      <c r="J39" s="1079"/>
      <c r="K39" s="1083"/>
      <c r="L39" s="1081" t="str">
        <f t="shared" si="0"/>
        <v/>
      </c>
      <c r="N39" s="169">
        <v>24</v>
      </c>
      <c r="O39" s="1082"/>
      <c r="P39" s="1079"/>
      <c r="Q39" s="1083"/>
      <c r="R39" s="1036" t="str">
        <f t="shared" si="15"/>
        <v/>
      </c>
      <c r="W39" s="43">
        <v>24</v>
      </c>
      <c r="X39" s="362" t="str">
        <f t="array" ref="X39">IF(ROWS(I$16:I39)&gt;COUNTA($I$16:$I$65),"",INDEX($H$16:$H$65,SMALL(IF($I$16:$I$65&lt;&gt;"",ROW($I$16:$I$65)-ROW($I$16)+1),ROWS(I$16:$I39))))</f>
        <v/>
      </c>
      <c r="Y39" s="349" t="str">
        <f t="shared" si="1"/>
        <v/>
      </c>
      <c r="Z39" s="349" t="str">
        <f t="shared" si="2"/>
        <v/>
      </c>
      <c r="AA39" s="349" t="str">
        <f t="shared" si="3"/>
        <v/>
      </c>
      <c r="AB39" s="362" t="str">
        <f t="shared" si="4"/>
        <v/>
      </c>
      <c r="AC39" s="745" t="str">
        <f t="shared" si="5"/>
        <v/>
      </c>
      <c r="AD39" s="134" t="s">
        <v>1209</v>
      </c>
      <c r="AE39" s="135" t="str">
        <f t="shared" si="6"/>
        <v/>
      </c>
      <c r="AF39" s="135" t="str">
        <f t="shared" si="7"/>
        <v/>
      </c>
      <c r="AG39" s="278" t="str">
        <f>IF(VLOOKUP(Y39,ExteriorTradableData!B$10:R$59,17,FALSE)&gt;0,AC39,0)</f>
        <v/>
      </c>
      <c r="AH39" s="135"/>
      <c r="AI39" s="43">
        <v>75</v>
      </c>
      <c r="AJ39" s="362" t="str">
        <f t="array" ref="AJ39">IF(ROWS(O$16:O39)&gt;COUNTA($O$16:$O$65),"",INDEX($N$16:$N$65,SMALL(IF($O$16:$O$65&lt;&gt;"",ROW($O$16:$O$65)-ROW($O$16)+1),ROWS($O$16:O39))))</f>
        <v/>
      </c>
      <c r="AK39" s="349" t="str">
        <f t="shared" si="8"/>
        <v/>
      </c>
      <c r="AL39" s="349" t="str">
        <f t="shared" si="9"/>
        <v/>
      </c>
      <c r="AM39" s="349" t="str">
        <f t="shared" si="10"/>
        <v/>
      </c>
      <c r="AN39" s="362" t="str">
        <f t="shared" si="11"/>
        <v/>
      </c>
      <c r="AO39" s="134" t="str">
        <f t="shared" si="12"/>
        <v/>
      </c>
      <c r="AP39" s="135" t="str">
        <f t="shared" si="13"/>
        <v/>
      </c>
      <c r="AR39" s="43">
        <v>24</v>
      </c>
      <c r="AS39" s="362" t="str">
        <f t="array" ref="AS39">IFERROR(IF(ROWS(Y$16:Y39)&gt;COUNTA($Y$16:$Y$116),"",INDEX($W$16:$W$116,SMALL(IF($Y$16:$Y$116&lt;&gt;"",ROW($Y$16:$Y$116)-ROW($Y$16)+1),ROWS($Y$16:Y39)))),"")</f>
        <v/>
      </c>
      <c r="AT39" s="349" t="str">
        <f t="shared" si="16"/>
        <v/>
      </c>
      <c r="AU39" s="349" t="str">
        <f t="shared" si="17"/>
        <v/>
      </c>
      <c r="AV39" s="349" t="str">
        <f t="shared" si="18"/>
        <v/>
      </c>
      <c r="AW39" s="362" t="str">
        <f t="shared" si="25"/>
        <v/>
      </c>
      <c r="AX39" s="362" t="str">
        <f t="shared" si="19"/>
        <v/>
      </c>
      <c r="AY39" s="1107" t="str">
        <f t="shared" si="20"/>
        <v/>
      </c>
      <c r="BA39" s="42">
        <v>24</v>
      </c>
      <c r="BB39" s="357" t="str">
        <f>'Int Room Schedule'!Y39</f>
        <v/>
      </c>
      <c r="BC39" s="358" t="str">
        <f>'Int Room Schedule'!Z39</f>
        <v/>
      </c>
      <c r="BD39" s="358" t="str">
        <f>'Int Room Schedule'!AA39</f>
        <v/>
      </c>
      <c r="BE39" s="358" t="str">
        <f>'Int Room Schedule'!AB39</f>
        <v/>
      </c>
      <c r="BF39" s="358" t="str">
        <f>'Int Room Schedule'!AC39</f>
        <v/>
      </c>
      <c r="BG39" s="417" t="str">
        <f>'Int Room Schedule'!AD39</f>
        <v/>
      </c>
      <c r="BH39" s="95" t="s">
        <v>14</v>
      </c>
      <c r="BI39" s="362" t="str">
        <f t="array" ref="BI39">IFERROR(IF(ROWS(BC$16:BC39)&gt;COUNTA($BC$16:$BC$116),"",INDEX($BA$16:$BA$116,SMALL(IF($BC$16:$BC$116&lt;&gt;"",ROW($BC$16:$BC$116)-ROW($BC$16)+1),ROWS($BC$16:BC39)))),"")</f>
        <v/>
      </c>
      <c r="BJ39" s="349" t="str">
        <f t="shared" si="21"/>
        <v/>
      </c>
      <c r="BK39" s="362" t="str">
        <f t="shared" si="22"/>
        <v/>
      </c>
      <c r="BL39" s="362" t="str">
        <f t="shared" si="23"/>
        <v/>
      </c>
      <c r="BM39" s="413" t="str">
        <f t="shared" si="24"/>
        <v/>
      </c>
    </row>
    <row r="40" spans="2:65" ht="13" x14ac:dyDescent="0.3">
      <c r="B40" s="84"/>
      <c r="G40" s="142"/>
      <c r="H40" s="169">
        <v>25</v>
      </c>
      <c r="I40" s="1082"/>
      <c r="J40" s="1079"/>
      <c r="K40" s="1083"/>
      <c r="L40" s="1081" t="str">
        <f t="shared" si="0"/>
        <v/>
      </c>
      <c r="N40" s="169">
        <v>25</v>
      </c>
      <c r="O40" s="1082"/>
      <c r="P40" s="1079"/>
      <c r="Q40" s="1083"/>
      <c r="R40" s="1036" t="str">
        <f t="shared" si="15"/>
        <v/>
      </c>
      <c r="W40" s="43">
        <v>25</v>
      </c>
      <c r="X40" s="362" t="str">
        <f t="array" ref="X40">IF(ROWS(I$16:I40)&gt;COUNTA($I$16:$I$65),"",INDEX($H$16:$H$65,SMALL(IF($I$16:$I$65&lt;&gt;"",ROW($I$16:$I$65)-ROW($I$16)+1),ROWS(I$16:$I40))))</f>
        <v/>
      </c>
      <c r="Y40" s="349" t="str">
        <f t="shared" si="1"/>
        <v/>
      </c>
      <c r="Z40" s="349" t="str">
        <f t="shared" si="2"/>
        <v/>
      </c>
      <c r="AA40" s="349" t="str">
        <f t="shared" si="3"/>
        <v/>
      </c>
      <c r="AB40" s="362" t="str">
        <f t="shared" si="4"/>
        <v/>
      </c>
      <c r="AC40" s="745" t="str">
        <f t="shared" si="5"/>
        <v/>
      </c>
      <c r="AD40" s="134" t="s">
        <v>1209</v>
      </c>
      <c r="AE40" s="135" t="str">
        <f t="shared" si="6"/>
        <v/>
      </c>
      <c r="AF40" s="135" t="str">
        <f t="shared" si="7"/>
        <v/>
      </c>
      <c r="AG40" s="278" t="str">
        <f>IF(VLOOKUP(Y40,ExteriorTradableData!B$10:R$59,17,FALSE)&gt;0,AC40,0)</f>
        <v/>
      </c>
      <c r="AH40" s="135"/>
      <c r="AI40" s="43">
        <v>76</v>
      </c>
      <c r="AJ40" s="362" t="str">
        <f t="array" ref="AJ40">IF(ROWS(O$16:O40)&gt;COUNTA($O$16:$O$65),"",INDEX($N$16:$N$65,SMALL(IF($O$16:$O$65&lt;&gt;"",ROW($O$16:$O$65)-ROW($O$16)+1),ROWS($O$16:O40))))</f>
        <v/>
      </c>
      <c r="AK40" s="349" t="str">
        <f t="shared" si="8"/>
        <v/>
      </c>
      <c r="AL40" s="349" t="str">
        <f t="shared" si="9"/>
        <v/>
      </c>
      <c r="AM40" s="349" t="str">
        <f t="shared" si="10"/>
        <v/>
      </c>
      <c r="AN40" s="362" t="str">
        <f t="shared" si="11"/>
        <v/>
      </c>
      <c r="AO40" s="134" t="str">
        <f t="shared" si="12"/>
        <v/>
      </c>
      <c r="AP40" s="135" t="str">
        <f t="shared" si="13"/>
        <v/>
      </c>
      <c r="AR40" s="43">
        <v>25</v>
      </c>
      <c r="AS40" s="362" t="str">
        <f t="array" ref="AS40">IFERROR(IF(ROWS(Y$16:Y40)&gt;COUNTA($Y$16:$Y$116),"",INDEX($W$16:$W$116,SMALL(IF($Y$16:$Y$116&lt;&gt;"",ROW($Y$16:$Y$116)-ROW($Y$16)+1),ROWS($Y$16:Y40)))),"")</f>
        <v/>
      </c>
      <c r="AT40" s="349" t="str">
        <f t="shared" si="16"/>
        <v/>
      </c>
      <c r="AU40" s="349" t="str">
        <f t="shared" si="17"/>
        <v/>
      </c>
      <c r="AV40" s="349" t="str">
        <f t="shared" si="18"/>
        <v/>
      </c>
      <c r="AW40" s="362" t="str">
        <f t="shared" si="25"/>
        <v/>
      </c>
      <c r="AX40" s="362" t="str">
        <f t="shared" si="19"/>
        <v/>
      </c>
      <c r="AY40" s="1107" t="str">
        <f t="shared" si="20"/>
        <v/>
      </c>
      <c r="BA40" s="93">
        <v>25</v>
      </c>
      <c r="BB40" s="357" t="str">
        <f>'Int Room Schedule'!Y40</f>
        <v/>
      </c>
      <c r="BC40" s="358" t="str">
        <f>'Int Room Schedule'!Z40</f>
        <v/>
      </c>
      <c r="BD40" s="358" t="str">
        <f>'Int Room Schedule'!AA40</f>
        <v/>
      </c>
      <c r="BE40" s="358" t="str">
        <f>'Int Room Schedule'!AB40</f>
        <v/>
      </c>
      <c r="BF40" s="358" t="str">
        <f>'Int Room Schedule'!AC40</f>
        <v/>
      </c>
      <c r="BG40" s="417" t="str">
        <f>'Int Room Schedule'!AD40</f>
        <v/>
      </c>
      <c r="BH40" s="95" t="s">
        <v>14</v>
      </c>
      <c r="BI40" s="362" t="str">
        <f t="array" ref="BI40">IFERROR(IF(ROWS(BC$16:BC40)&gt;COUNTA($BC$16:$BC$116),"",INDEX($BA$16:$BA$116,SMALL(IF($BC$16:$BC$116&lt;&gt;"",ROW($BC$16:$BC$116)-ROW($BC$16)+1),ROWS($BC$16:BC40)))),"")</f>
        <v/>
      </c>
      <c r="BJ40" s="349" t="str">
        <f t="shared" si="21"/>
        <v/>
      </c>
      <c r="BK40" s="362" t="str">
        <f t="shared" si="22"/>
        <v/>
      </c>
      <c r="BL40" s="362" t="str">
        <f t="shared" si="23"/>
        <v/>
      </c>
      <c r="BM40" s="413" t="str">
        <f t="shared" si="24"/>
        <v/>
      </c>
    </row>
    <row r="41" spans="2:65" x14ac:dyDescent="0.25">
      <c r="C41" s="136"/>
      <c r="D41" s="136"/>
      <c r="E41" s="136"/>
      <c r="F41" s="136"/>
      <c r="G41" s="317"/>
      <c r="H41" s="169">
        <v>26</v>
      </c>
      <c r="I41" s="1082"/>
      <c r="J41" s="1079"/>
      <c r="K41" s="1083"/>
      <c r="L41" s="1081" t="str">
        <f t="shared" si="0"/>
        <v/>
      </c>
      <c r="N41" s="169">
        <v>26</v>
      </c>
      <c r="O41" s="1082"/>
      <c r="P41" s="1079"/>
      <c r="Q41" s="1083"/>
      <c r="R41" s="1036" t="str">
        <f t="shared" si="15"/>
        <v/>
      </c>
      <c r="W41" s="43">
        <v>26</v>
      </c>
      <c r="X41" s="362" t="str">
        <f t="array" ref="X41">IF(ROWS(I$16:I41)&gt;COUNTA($I$16:$I$65),"",INDEX($H$16:$H$65,SMALL(IF($I$16:$I$65&lt;&gt;"",ROW($I$16:$I$65)-ROW($I$16)+1),ROWS(I$16:$I41))))</f>
        <v/>
      </c>
      <c r="Y41" s="349" t="str">
        <f t="shared" si="1"/>
        <v/>
      </c>
      <c r="Z41" s="349" t="str">
        <f t="shared" si="2"/>
        <v/>
      </c>
      <c r="AA41" s="349" t="str">
        <f t="shared" si="3"/>
        <v/>
      </c>
      <c r="AB41" s="362" t="str">
        <f t="shared" si="4"/>
        <v/>
      </c>
      <c r="AC41" s="745" t="str">
        <f t="shared" si="5"/>
        <v/>
      </c>
      <c r="AD41" s="134" t="s">
        <v>1209</v>
      </c>
      <c r="AE41" s="135" t="str">
        <f t="shared" si="6"/>
        <v/>
      </c>
      <c r="AF41" s="135" t="str">
        <f t="shared" si="7"/>
        <v/>
      </c>
      <c r="AG41" s="278" t="str">
        <f>IF(VLOOKUP(Y41,ExteriorTradableData!B$10:R$59,17,FALSE)&gt;0,AC41,0)</f>
        <v/>
      </c>
      <c r="AH41" s="135"/>
      <c r="AI41" s="43">
        <v>77</v>
      </c>
      <c r="AJ41" s="362" t="str">
        <f t="array" ref="AJ41">IF(ROWS(O$16:O41)&gt;COUNTA($O$16:$O$65),"",INDEX($N$16:$N$65,SMALL(IF($O$16:$O$65&lt;&gt;"",ROW($O$16:$O$65)-ROW($O$16)+1),ROWS($O$16:O41))))</f>
        <v/>
      </c>
      <c r="AK41" s="349" t="str">
        <f t="shared" si="8"/>
        <v/>
      </c>
      <c r="AL41" s="349" t="str">
        <f t="shared" si="9"/>
        <v/>
      </c>
      <c r="AM41" s="349" t="str">
        <f t="shared" si="10"/>
        <v/>
      </c>
      <c r="AN41" s="362" t="str">
        <f t="shared" si="11"/>
        <v/>
      </c>
      <c r="AO41" s="134" t="str">
        <f t="shared" si="12"/>
        <v/>
      </c>
      <c r="AP41" s="135" t="str">
        <f t="shared" si="13"/>
        <v/>
      </c>
      <c r="AR41" s="43">
        <v>26</v>
      </c>
      <c r="AS41" s="362" t="str">
        <f t="array" ref="AS41">IFERROR(IF(ROWS(Y$16:Y41)&gt;COUNTA($Y$16:$Y$116),"",INDEX($W$16:$W$116,SMALL(IF($Y$16:$Y$116&lt;&gt;"",ROW($Y$16:$Y$116)-ROW($Y$16)+1),ROWS($Y$16:Y41)))),"")</f>
        <v/>
      </c>
      <c r="AT41" s="349" t="str">
        <f t="shared" si="16"/>
        <v/>
      </c>
      <c r="AU41" s="349" t="str">
        <f t="shared" si="17"/>
        <v/>
      </c>
      <c r="AV41" s="349" t="str">
        <f t="shared" si="18"/>
        <v/>
      </c>
      <c r="AW41" s="362" t="str">
        <f t="shared" si="25"/>
        <v/>
      </c>
      <c r="AX41" s="362" t="str">
        <f t="shared" si="19"/>
        <v/>
      </c>
      <c r="AY41" s="1107" t="str">
        <f t="shared" si="20"/>
        <v/>
      </c>
      <c r="BA41" s="42">
        <v>26</v>
      </c>
      <c r="BB41" s="357" t="str">
        <f>'Int Room Schedule'!Y41</f>
        <v/>
      </c>
      <c r="BC41" s="358" t="str">
        <f>'Int Room Schedule'!Z41</f>
        <v/>
      </c>
      <c r="BD41" s="358" t="str">
        <f>'Int Room Schedule'!AA41</f>
        <v/>
      </c>
      <c r="BE41" s="358" t="str">
        <f>'Int Room Schedule'!AB41</f>
        <v/>
      </c>
      <c r="BF41" s="358" t="str">
        <f>'Int Room Schedule'!AC41</f>
        <v/>
      </c>
      <c r="BG41" s="417" t="str">
        <f>'Int Room Schedule'!AD41</f>
        <v/>
      </c>
      <c r="BH41" s="95" t="s">
        <v>14</v>
      </c>
      <c r="BI41" s="362" t="str">
        <f t="array" ref="BI41">IFERROR(IF(ROWS(BC$16:BC41)&gt;COUNTA($BC$16:$BC$116),"",INDEX($BA$16:$BA$116,SMALL(IF($BC$16:$BC$116&lt;&gt;"",ROW($BC$16:$BC$116)-ROW($BC$16)+1),ROWS($BC$16:BC41)))),"")</f>
        <v/>
      </c>
      <c r="BJ41" s="349" t="str">
        <f t="shared" si="21"/>
        <v/>
      </c>
      <c r="BK41" s="362" t="str">
        <f t="shared" si="22"/>
        <v/>
      </c>
      <c r="BL41" s="362" t="str">
        <f t="shared" si="23"/>
        <v/>
      </c>
      <c r="BM41" s="413" t="str">
        <f t="shared" si="24"/>
        <v/>
      </c>
    </row>
    <row r="42" spans="2:65" x14ac:dyDescent="0.25">
      <c r="C42" s="136"/>
      <c r="D42" s="136"/>
      <c r="E42" s="136"/>
      <c r="F42" s="136"/>
      <c r="G42" s="317"/>
      <c r="H42" s="169">
        <v>27</v>
      </c>
      <c r="I42" s="1082"/>
      <c r="J42" s="1079"/>
      <c r="K42" s="1083"/>
      <c r="L42" s="1081" t="str">
        <f t="shared" si="0"/>
        <v/>
      </c>
      <c r="N42" s="169">
        <v>27</v>
      </c>
      <c r="O42" s="1082"/>
      <c r="P42" s="1079"/>
      <c r="Q42" s="1083"/>
      <c r="R42" s="1036" t="str">
        <f t="shared" si="15"/>
        <v/>
      </c>
      <c r="W42" s="43">
        <v>27</v>
      </c>
      <c r="X42" s="362" t="str">
        <f t="array" ref="X42">IF(ROWS(I$16:I42)&gt;COUNTA($I$16:$I$65),"",INDEX($H$16:$H$65,SMALL(IF($I$16:$I$65&lt;&gt;"",ROW($I$16:$I$65)-ROW($I$16)+1),ROWS(I$16:$I42))))</f>
        <v/>
      </c>
      <c r="Y42" s="349" t="str">
        <f t="shared" si="1"/>
        <v/>
      </c>
      <c r="Z42" s="349" t="str">
        <f t="shared" si="2"/>
        <v/>
      </c>
      <c r="AA42" s="349" t="str">
        <f t="shared" si="3"/>
        <v/>
      </c>
      <c r="AB42" s="362" t="str">
        <f t="shared" si="4"/>
        <v/>
      </c>
      <c r="AC42" s="745" t="str">
        <f t="shared" si="5"/>
        <v/>
      </c>
      <c r="AD42" s="134" t="s">
        <v>1209</v>
      </c>
      <c r="AE42" s="135" t="str">
        <f t="shared" si="6"/>
        <v/>
      </c>
      <c r="AF42" s="135" t="str">
        <f t="shared" si="7"/>
        <v/>
      </c>
      <c r="AG42" s="278" t="str">
        <f>IF(VLOOKUP(Y42,ExteriorTradableData!B$10:R$59,17,FALSE)&gt;0,AC42,0)</f>
        <v/>
      </c>
      <c r="AH42" s="135"/>
      <c r="AI42" s="43">
        <v>78</v>
      </c>
      <c r="AJ42" s="362" t="str">
        <f t="array" ref="AJ42">IF(ROWS(O$16:O42)&gt;COUNTA($O$16:$O$65),"",INDEX($N$16:$N$65,SMALL(IF($O$16:$O$65&lt;&gt;"",ROW($O$16:$O$65)-ROW($O$16)+1),ROWS($O$16:O42))))</f>
        <v/>
      </c>
      <c r="AK42" s="349" t="str">
        <f t="shared" si="8"/>
        <v/>
      </c>
      <c r="AL42" s="349" t="str">
        <f t="shared" si="9"/>
        <v/>
      </c>
      <c r="AM42" s="349" t="str">
        <f t="shared" si="10"/>
        <v/>
      </c>
      <c r="AN42" s="362" t="str">
        <f t="shared" si="11"/>
        <v/>
      </c>
      <c r="AO42" s="134" t="str">
        <f t="shared" si="12"/>
        <v/>
      </c>
      <c r="AP42" s="135" t="str">
        <f t="shared" si="13"/>
        <v/>
      </c>
      <c r="AR42" s="43">
        <v>27</v>
      </c>
      <c r="AS42" s="362" t="str">
        <f t="array" ref="AS42">IFERROR(IF(ROWS(Y$16:Y42)&gt;COUNTA($Y$16:$Y$116),"",INDEX($W$16:$W$116,SMALL(IF($Y$16:$Y$116&lt;&gt;"",ROW($Y$16:$Y$116)-ROW($Y$16)+1),ROWS($Y$16:Y42)))),"")</f>
        <v/>
      </c>
      <c r="AT42" s="349" t="str">
        <f t="shared" si="16"/>
        <v/>
      </c>
      <c r="AU42" s="349" t="str">
        <f t="shared" si="17"/>
        <v/>
      </c>
      <c r="AV42" s="349" t="str">
        <f t="shared" si="18"/>
        <v/>
      </c>
      <c r="AW42" s="362" t="str">
        <f t="shared" si="25"/>
        <v/>
      </c>
      <c r="AX42" s="362" t="str">
        <f t="shared" si="19"/>
        <v/>
      </c>
      <c r="AY42" s="1107" t="str">
        <f t="shared" si="20"/>
        <v/>
      </c>
      <c r="BA42" s="93">
        <v>27</v>
      </c>
      <c r="BB42" s="357" t="str">
        <f>'Int Room Schedule'!Y42</f>
        <v/>
      </c>
      <c r="BC42" s="358" t="str">
        <f>'Int Room Schedule'!Z42</f>
        <v/>
      </c>
      <c r="BD42" s="358" t="str">
        <f>'Int Room Schedule'!AA42</f>
        <v/>
      </c>
      <c r="BE42" s="358" t="str">
        <f>'Int Room Schedule'!AB42</f>
        <v/>
      </c>
      <c r="BF42" s="358" t="str">
        <f>'Int Room Schedule'!AC42</f>
        <v/>
      </c>
      <c r="BG42" s="417" t="str">
        <f>'Int Room Schedule'!AD42</f>
        <v/>
      </c>
      <c r="BH42" s="95" t="s">
        <v>14</v>
      </c>
      <c r="BI42" s="362" t="str">
        <f t="array" ref="BI42">IFERROR(IF(ROWS(BC$16:BC42)&gt;COUNTA($BC$16:$BC$116),"",INDEX($BA$16:$BA$116,SMALL(IF($BC$16:$BC$116&lt;&gt;"",ROW($BC$16:$BC$116)-ROW($BC$16)+1),ROWS($BC$16:BC42)))),"")</f>
        <v/>
      </c>
      <c r="BJ42" s="349" t="str">
        <f t="shared" si="21"/>
        <v/>
      </c>
      <c r="BK42" s="362" t="str">
        <f t="shared" si="22"/>
        <v/>
      </c>
      <c r="BL42" s="362" t="str">
        <f t="shared" si="23"/>
        <v/>
      </c>
      <c r="BM42" s="413" t="str">
        <f t="shared" si="24"/>
        <v/>
      </c>
    </row>
    <row r="43" spans="2:65" ht="12.75" customHeight="1" x14ac:dyDescent="0.25">
      <c r="C43" s="136"/>
      <c r="D43" s="136"/>
      <c r="E43" s="136"/>
      <c r="F43" s="136"/>
      <c r="G43" s="317"/>
      <c r="H43" s="169">
        <v>28</v>
      </c>
      <c r="I43" s="1082"/>
      <c r="J43" s="1079"/>
      <c r="K43" s="1083"/>
      <c r="L43" s="1081" t="str">
        <f t="shared" si="0"/>
        <v/>
      </c>
      <c r="N43" s="169">
        <v>28</v>
      </c>
      <c r="O43" s="1082"/>
      <c r="P43" s="1079"/>
      <c r="Q43" s="1083"/>
      <c r="R43" s="1036" t="str">
        <f t="shared" si="15"/>
        <v/>
      </c>
      <c r="W43" s="43">
        <v>28</v>
      </c>
      <c r="X43" s="362" t="str">
        <f t="array" ref="X43">IF(ROWS(I$16:I43)&gt;COUNTA($I$16:$I$65),"",INDEX($H$16:$H$65,SMALL(IF($I$16:$I$65&lt;&gt;"",ROW($I$16:$I$65)-ROW($I$16)+1),ROWS(I$16:$I43))))</f>
        <v/>
      </c>
      <c r="Y43" s="349" t="str">
        <f t="shared" si="1"/>
        <v/>
      </c>
      <c r="Z43" s="349" t="str">
        <f t="shared" si="2"/>
        <v/>
      </c>
      <c r="AA43" s="349" t="str">
        <f t="shared" si="3"/>
        <v/>
      </c>
      <c r="AB43" s="362" t="str">
        <f t="shared" si="4"/>
        <v/>
      </c>
      <c r="AC43" s="745" t="str">
        <f t="shared" si="5"/>
        <v/>
      </c>
      <c r="AD43" s="134" t="s">
        <v>1209</v>
      </c>
      <c r="AE43" s="135" t="str">
        <f t="shared" si="6"/>
        <v/>
      </c>
      <c r="AF43" s="135" t="str">
        <f t="shared" si="7"/>
        <v/>
      </c>
      <c r="AG43" s="278" t="str">
        <f>IF(VLOOKUP(Y43,ExteriorTradableData!B$10:R$59,17,FALSE)&gt;0,AC43,0)</f>
        <v/>
      </c>
      <c r="AH43" s="135"/>
      <c r="AI43" s="43">
        <v>79</v>
      </c>
      <c r="AJ43" s="362" t="str">
        <f t="array" ref="AJ43">IF(ROWS(O$16:O43)&gt;COUNTA($O$16:$O$65),"",INDEX($N$16:$N$65,SMALL(IF($O$16:$O$65&lt;&gt;"",ROW($O$16:$O$65)-ROW($O$16)+1),ROWS($O$16:O43))))</f>
        <v/>
      </c>
      <c r="AK43" s="349" t="str">
        <f t="shared" si="8"/>
        <v/>
      </c>
      <c r="AL43" s="349" t="str">
        <f t="shared" si="9"/>
        <v/>
      </c>
      <c r="AM43" s="349" t="str">
        <f t="shared" si="10"/>
        <v/>
      </c>
      <c r="AN43" s="362" t="str">
        <f t="shared" si="11"/>
        <v/>
      </c>
      <c r="AO43" s="134" t="str">
        <f t="shared" si="12"/>
        <v/>
      </c>
      <c r="AP43" s="135" t="str">
        <f t="shared" si="13"/>
        <v/>
      </c>
      <c r="AR43" s="43">
        <v>28</v>
      </c>
      <c r="AS43" s="362" t="str">
        <f t="array" ref="AS43">IFERROR(IF(ROWS(Y$16:Y43)&gt;COUNTA($Y$16:$Y$116),"",INDEX($W$16:$W$116,SMALL(IF($Y$16:$Y$116&lt;&gt;"",ROW($Y$16:$Y$116)-ROW($Y$16)+1),ROWS($Y$16:Y43)))),"")</f>
        <v/>
      </c>
      <c r="AT43" s="349" t="str">
        <f t="shared" si="16"/>
        <v/>
      </c>
      <c r="AU43" s="349" t="str">
        <f t="shared" si="17"/>
        <v/>
      </c>
      <c r="AV43" s="349" t="str">
        <f t="shared" si="18"/>
        <v/>
      </c>
      <c r="AW43" s="362" t="str">
        <f t="shared" si="25"/>
        <v/>
      </c>
      <c r="AX43" s="362" t="str">
        <f t="shared" si="19"/>
        <v/>
      </c>
      <c r="AY43" s="1107" t="str">
        <f t="shared" si="20"/>
        <v/>
      </c>
      <c r="BA43" s="42">
        <v>28</v>
      </c>
      <c r="BB43" s="357" t="str">
        <f>'Int Room Schedule'!Y43</f>
        <v/>
      </c>
      <c r="BC43" s="358" t="str">
        <f>'Int Room Schedule'!Z43</f>
        <v/>
      </c>
      <c r="BD43" s="358" t="str">
        <f>'Int Room Schedule'!AA43</f>
        <v/>
      </c>
      <c r="BE43" s="358" t="str">
        <f>'Int Room Schedule'!AB43</f>
        <v/>
      </c>
      <c r="BF43" s="358" t="str">
        <f>'Int Room Schedule'!AC43</f>
        <v/>
      </c>
      <c r="BG43" s="417" t="str">
        <f>'Int Room Schedule'!AD43</f>
        <v/>
      </c>
      <c r="BH43" s="95" t="s">
        <v>14</v>
      </c>
      <c r="BI43" s="362" t="str">
        <f t="array" ref="BI43">IFERROR(IF(ROWS(BC$16:BC43)&gt;COUNTA($BC$16:$BC$116),"",INDEX($BA$16:$BA$116,SMALL(IF($BC$16:$BC$116&lt;&gt;"",ROW($BC$16:$BC$116)-ROW($BC$16)+1),ROWS($BC$16:BC43)))),"")</f>
        <v/>
      </c>
      <c r="BJ43" s="349" t="str">
        <f t="shared" si="21"/>
        <v/>
      </c>
      <c r="BK43" s="362" t="str">
        <f t="shared" si="22"/>
        <v/>
      </c>
      <c r="BL43" s="362" t="str">
        <f t="shared" si="23"/>
        <v/>
      </c>
      <c r="BM43" s="413" t="str">
        <f t="shared" si="24"/>
        <v/>
      </c>
    </row>
    <row r="44" spans="2:65" x14ac:dyDescent="0.25">
      <c r="C44" s="136"/>
      <c r="D44" s="136"/>
      <c r="E44" s="136"/>
      <c r="F44" s="136"/>
      <c r="G44" s="317"/>
      <c r="H44" s="169">
        <v>29</v>
      </c>
      <c r="I44" s="1082"/>
      <c r="J44" s="1079"/>
      <c r="K44" s="1083"/>
      <c r="L44" s="1081" t="str">
        <f t="shared" si="0"/>
        <v/>
      </c>
      <c r="N44" s="169">
        <v>29</v>
      </c>
      <c r="O44" s="1082"/>
      <c r="P44" s="1079"/>
      <c r="Q44" s="1083"/>
      <c r="R44" s="1036" t="str">
        <f t="shared" si="15"/>
        <v/>
      </c>
      <c r="W44" s="43">
        <v>29</v>
      </c>
      <c r="X44" s="362" t="str">
        <f t="array" ref="X44">IF(ROWS(I$16:I44)&gt;COUNTA($I$16:$I$65),"",INDEX($H$16:$H$65,SMALL(IF($I$16:$I$65&lt;&gt;"",ROW($I$16:$I$65)-ROW($I$16)+1),ROWS(I$16:$I44))))</f>
        <v/>
      </c>
      <c r="Y44" s="349" t="str">
        <f t="shared" si="1"/>
        <v/>
      </c>
      <c r="Z44" s="349" t="str">
        <f t="shared" si="2"/>
        <v/>
      </c>
      <c r="AA44" s="349" t="str">
        <f t="shared" si="3"/>
        <v/>
      </c>
      <c r="AB44" s="362" t="str">
        <f t="shared" si="4"/>
        <v/>
      </c>
      <c r="AC44" s="745" t="str">
        <f t="shared" si="5"/>
        <v/>
      </c>
      <c r="AD44" s="134" t="s">
        <v>1209</v>
      </c>
      <c r="AE44" s="135" t="str">
        <f t="shared" si="6"/>
        <v/>
      </c>
      <c r="AF44" s="135" t="str">
        <f t="shared" si="7"/>
        <v/>
      </c>
      <c r="AG44" s="278" t="str">
        <f>IF(VLOOKUP(Y44,ExteriorTradableData!B$10:R$59,17,FALSE)&gt;0,AC44,0)</f>
        <v/>
      </c>
      <c r="AH44" s="135"/>
      <c r="AI44" s="43">
        <v>80</v>
      </c>
      <c r="AJ44" s="362" t="str">
        <f t="array" ref="AJ44">IF(ROWS(O$16:O44)&gt;COUNTA($O$16:$O$65),"",INDEX($N$16:$N$65,SMALL(IF($O$16:$O$65&lt;&gt;"",ROW($O$16:$O$65)-ROW($O$16)+1),ROWS($O$16:O44))))</f>
        <v/>
      </c>
      <c r="AK44" s="349" t="str">
        <f t="shared" si="8"/>
        <v/>
      </c>
      <c r="AL44" s="349" t="str">
        <f t="shared" si="9"/>
        <v/>
      </c>
      <c r="AM44" s="349" t="str">
        <f t="shared" si="10"/>
        <v/>
      </c>
      <c r="AN44" s="362" t="str">
        <f t="shared" si="11"/>
        <v/>
      </c>
      <c r="AO44" s="134" t="str">
        <f t="shared" si="12"/>
        <v/>
      </c>
      <c r="AP44" s="135" t="str">
        <f t="shared" si="13"/>
        <v/>
      </c>
      <c r="AR44" s="43">
        <v>29</v>
      </c>
      <c r="AS44" s="362" t="str">
        <f t="array" ref="AS44">IFERROR(IF(ROWS(Y$16:Y44)&gt;COUNTA($Y$16:$Y$116),"",INDEX($W$16:$W$116,SMALL(IF($Y$16:$Y$116&lt;&gt;"",ROW($Y$16:$Y$116)-ROW($Y$16)+1),ROWS($Y$16:Y44)))),"")</f>
        <v/>
      </c>
      <c r="AT44" s="349" t="str">
        <f t="shared" si="16"/>
        <v/>
      </c>
      <c r="AU44" s="349" t="str">
        <f t="shared" si="17"/>
        <v/>
      </c>
      <c r="AV44" s="349" t="str">
        <f t="shared" si="18"/>
        <v/>
      </c>
      <c r="AW44" s="362" t="str">
        <f t="shared" si="25"/>
        <v/>
      </c>
      <c r="AX44" s="362" t="str">
        <f t="shared" si="19"/>
        <v/>
      </c>
      <c r="AY44" s="1107" t="str">
        <f t="shared" si="20"/>
        <v/>
      </c>
      <c r="BA44" s="93">
        <v>29</v>
      </c>
      <c r="BB44" s="357" t="str">
        <f>'Int Room Schedule'!Y44</f>
        <v/>
      </c>
      <c r="BC44" s="358" t="str">
        <f>'Int Room Schedule'!Z44</f>
        <v/>
      </c>
      <c r="BD44" s="358" t="str">
        <f>'Int Room Schedule'!AA44</f>
        <v/>
      </c>
      <c r="BE44" s="358" t="str">
        <f>'Int Room Schedule'!AB44</f>
        <v/>
      </c>
      <c r="BF44" s="358" t="str">
        <f>'Int Room Schedule'!AC44</f>
        <v/>
      </c>
      <c r="BG44" s="417" t="str">
        <f>'Int Room Schedule'!AD44</f>
        <v/>
      </c>
      <c r="BH44" s="95" t="s">
        <v>14</v>
      </c>
      <c r="BI44" s="362" t="str">
        <f t="array" ref="BI44">IFERROR(IF(ROWS(BC$16:BC44)&gt;COUNTA($BC$16:$BC$116),"",INDEX($BA$16:$BA$116,SMALL(IF($BC$16:$BC$116&lt;&gt;"",ROW($BC$16:$BC$116)-ROW($BC$16)+1),ROWS($BC$16:BC44)))),"")</f>
        <v/>
      </c>
      <c r="BJ44" s="349" t="str">
        <f t="shared" si="21"/>
        <v/>
      </c>
      <c r="BK44" s="362" t="str">
        <f t="shared" si="22"/>
        <v/>
      </c>
      <c r="BL44" s="362" t="str">
        <f t="shared" si="23"/>
        <v/>
      </c>
      <c r="BM44" s="413" t="str">
        <f t="shared" si="24"/>
        <v/>
      </c>
    </row>
    <row r="45" spans="2:65" x14ac:dyDescent="0.25">
      <c r="H45" s="169">
        <v>30</v>
      </c>
      <c r="I45" s="1082"/>
      <c r="J45" s="1079"/>
      <c r="K45" s="1083"/>
      <c r="L45" s="1081" t="str">
        <f t="shared" si="0"/>
        <v/>
      </c>
      <c r="N45" s="169">
        <v>30</v>
      </c>
      <c r="O45" s="1082"/>
      <c r="P45" s="1079"/>
      <c r="Q45" s="1083"/>
      <c r="R45" s="1036" t="str">
        <f t="shared" si="15"/>
        <v/>
      </c>
      <c r="W45" s="43">
        <v>30</v>
      </c>
      <c r="X45" s="362" t="str">
        <f t="array" ref="X45">IF(ROWS(I$16:I45)&gt;COUNTA($I$16:$I$65),"",INDEX($H$16:$H$65,SMALL(IF($I$16:$I$65&lt;&gt;"",ROW($I$16:$I$65)-ROW($I$16)+1),ROWS(I$16:$I45))))</f>
        <v/>
      </c>
      <c r="Y45" s="349" t="str">
        <f t="shared" si="1"/>
        <v/>
      </c>
      <c r="Z45" s="349" t="str">
        <f t="shared" si="2"/>
        <v/>
      </c>
      <c r="AA45" s="349" t="str">
        <f t="shared" si="3"/>
        <v/>
      </c>
      <c r="AB45" s="362" t="str">
        <f t="shared" si="4"/>
        <v/>
      </c>
      <c r="AC45" s="745" t="str">
        <f t="shared" si="5"/>
        <v/>
      </c>
      <c r="AD45" s="134" t="s">
        <v>1209</v>
      </c>
      <c r="AE45" s="135" t="str">
        <f t="shared" si="6"/>
        <v/>
      </c>
      <c r="AF45" s="135" t="str">
        <f t="shared" si="7"/>
        <v/>
      </c>
      <c r="AG45" s="278" t="str">
        <f>IF(VLOOKUP(Y45,ExteriorTradableData!B$10:R$59,17,FALSE)&gt;0,AC45,0)</f>
        <v/>
      </c>
      <c r="AH45" s="135"/>
      <c r="AI45" s="43">
        <v>81</v>
      </c>
      <c r="AJ45" s="362" t="str">
        <f t="array" ref="AJ45">IF(ROWS(O$16:O45)&gt;COUNTA($O$16:$O$65),"",INDEX($N$16:$N$65,SMALL(IF($O$16:$O$65&lt;&gt;"",ROW($O$16:$O$65)-ROW($O$16)+1),ROWS($O$16:O45))))</f>
        <v/>
      </c>
      <c r="AK45" s="349" t="str">
        <f t="shared" si="8"/>
        <v/>
      </c>
      <c r="AL45" s="349" t="str">
        <f t="shared" si="9"/>
        <v/>
      </c>
      <c r="AM45" s="349" t="str">
        <f t="shared" si="10"/>
        <v/>
      </c>
      <c r="AN45" s="362" t="str">
        <f t="shared" si="11"/>
        <v/>
      </c>
      <c r="AO45" s="134" t="str">
        <f t="shared" si="12"/>
        <v/>
      </c>
      <c r="AP45" s="135" t="str">
        <f t="shared" si="13"/>
        <v/>
      </c>
      <c r="AR45" s="43">
        <v>30</v>
      </c>
      <c r="AS45" s="362" t="str">
        <f t="array" ref="AS45">IFERROR(IF(ROWS(Y$16:Y45)&gt;COUNTA($Y$16:$Y$116),"",INDEX($W$16:$W$116,SMALL(IF($Y$16:$Y$116&lt;&gt;"",ROW($Y$16:$Y$116)-ROW($Y$16)+1),ROWS($Y$16:Y45)))),"")</f>
        <v/>
      </c>
      <c r="AT45" s="349" t="str">
        <f t="shared" si="16"/>
        <v/>
      </c>
      <c r="AU45" s="349" t="str">
        <f t="shared" si="17"/>
        <v/>
      </c>
      <c r="AV45" s="349" t="str">
        <f t="shared" si="18"/>
        <v/>
      </c>
      <c r="AW45" s="362" t="str">
        <f t="shared" si="25"/>
        <v/>
      </c>
      <c r="AX45" s="362" t="str">
        <f t="shared" si="19"/>
        <v/>
      </c>
      <c r="AY45" s="1107" t="str">
        <f t="shared" si="20"/>
        <v/>
      </c>
      <c r="BA45" s="42">
        <v>30</v>
      </c>
      <c r="BB45" s="357" t="str">
        <f>'Int Room Schedule'!Y45</f>
        <v/>
      </c>
      <c r="BC45" s="358" t="str">
        <f>'Int Room Schedule'!Z45</f>
        <v/>
      </c>
      <c r="BD45" s="358" t="str">
        <f>'Int Room Schedule'!AA45</f>
        <v/>
      </c>
      <c r="BE45" s="358" t="str">
        <f>'Int Room Schedule'!AB45</f>
        <v/>
      </c>
      <c r="BF45" s="358" t="str">
        <f>'Int Room Schedule'!AC45</f>
        <v/>
      </c>
      <c r="BG45" s="417" t="str">
        <f>'Int Room Schedule'!AD45</f>
        <v/>
      </c>
      <c r="BH45" s="95" t="s">
        <v>14</v>
      </c>
      <c r="BI45" s="362" t="str">
        <f t="array" ref="BI45">IFERROR(IF(ROWS(BC$16:BC45)&gt;COUNTA($BC$16:$BC$116),"",INDEX($BA$16:$BA$116,SMALL(IF($BC$16:$BC$116&lt;&gt;"",ROW($BC$16:$BC$116)-ROW($BC$16)+1),ROWS($BC$16:BC45)))),"")</f>
        <v/>
      </c>
      <c r="BJ45" s="349" t="str">
        <f t="shared" si="21"/>
        <v/>
      </c>
      <c r="BK45" s="362" t="str">
        <f t="shared" si="22"/>
        <v/>
      </c>
      <c r="BL45" s="362" t="str">
        <f t="shared" si="23"/>
        <v/>
      </c>
      <c r="BM45" s="413" t="str">
        <f t="shared" si="24"/>
        <v/>
      </c>
    </row>
    <row r="46" spans="2:65" x14ac:dyDescent="0.25">
      <c r="H46" s="169">
        <v>31</v>
      </c>
      <c r="I46" s="1082"/>
      <c r="J46" s="1079"/>
      <c r="K46" s="1083"/>
      <c r="L46" s="1081" t="str">
        <f t="shared" si="0"/>
        <v/>
      </c>
      <c r="N46" s="169">
        <v>31</v>
      </c>
      <c r="O46" s="1082"/>
      <c r="P46" s="1079"/>
      <c r="Q46" s="1083"/>
      <c r="R46" s="1036" t="str">
        <f t="shared" si="15"/>
        <v/>
      </c>
      <c r="W46" s="43">
        <v>31</v>
      </c>
      <c r="X46" s="362" t="str">
        <f t="array" ref="X46">IF(ROWS(I$16:I46)&gt;COUNTA($I$16:$I$65),"",INDEX($H$16:$H$65,SMALL(IF($I$16:$I$65&lt;&gt;"",ROW($I$16:$I$65)-ROW($I$16)+1),ROWS(I$16:$I46))))</f>
        <v/>
      </c>
      <c r="Y46" s="349" t="str">
        <f t="shared" si="1"/>
        <v/>
      </c>
      <c r="Z46" s="349" t="str">
        <f t="shared" si="2"/>
        <v/>
      </c>
      <c r="AA46" s="349" t="str">
        <f t="shared" si="3"/>
        <v/>
      </c>
      <c r="AB46" s="362" t="str">
        <f t="shared" si="4"/>
        <v/>
      </c>
      <c r="AC46" s="745" t="str">
        <f t="shared" si="5"/>
        <v/>
      </c>
      <c r="AD46" s="134" t="s">
        <v>1209</v>
      </c>
      <c r="AE46" s="135" t="str">
        <f t="shared" si="6"/>
        <v/>
      </c>
      <c r="AF46" s="135" t="str">
        <f t="shared" si="7"/>
        <v/>
      </c>
      <c r="AG46" s="278" t="str">
        <f>IF(VLOOKUP(Y46,ExteriorTradableData!B$10:R$59,17,FALSE)&gt;0,AC46,0)</f>
        <v/>
      </c>
      <c r="AH46" s="135"/>
      <c r="AI46" s="43">
        <v>82</v>
      </c>
      <c r="AJ46" s="362" t="str">
        <f t="array" ref="AJ46">IF(ROWS(O$16:O46)&gt;COUNTA($O$16:$O$65),"",INDEX($N$16:$N$65,SMALL(IF($O$16:$O$65&lt;&gt;"",ROW($O$16:$O$65)-ROW($O$16)+1),ROWS($O$16:O46))))</f>
        <v/>
      </c>
      <c r="AK46" s="349" t="str">
        <f t="shared" si="8"/>
        <v/>
      </c>
      <c r="AL46" s="349" t="str">
        <f t="shared" si="9"/>
        <v/>
      </c>
      <c r="AM46" s="349" t="str">
        <f t="shared" si="10"/>
        <v/>
      </c>
      <c r="AN46" s="362" t="str">
        <f t="shared" si="11"/>
        <v/>
      </c>
      <c r="AO46" s="134" t="str">
        <f t="shared" si="12"/>
        <v/>
      </c>
      <c r="AP46" s="135" t="str">
        <f t="shared" si="13"/>
        <v/>
      </c>
      <c r="AR46" s="43">
        <v>31</v>
      </c>
      <c r="AS46" s="362" t="str">
        <f t="array" ref="AS46">IFERROR(IF(ROWS(Y$16:Y46)&gt;COUNTA($Y$16:$Y$116),"",INDEX($W$16:$W$116,SMALL(IF($Y$16:$Y$116&lt;&gt;"",ROW($Y$16:$Y$116)-ROW($Y$16)+1),ROWS($Y$16:Y46)))),"")</f>
        <v/>
      </c>
      <c r="AT46" s="349" t="str">
        <f t="shared" si="16"/>
        <v/>
      </c>
      <c r="AU46" s="349" t="str">
        <f t="shared" si="17"/>
        <v/>
      </c>
      <c r="AV46" s="349" t="str">
        <f t="shared" si="18"/>
        <v/>
      </c>
      <c r="AW46" s="362" t="str">
        <f t="shared" si="25"/>
        <v/>
      </c>
      <c r="AX46" s="362" t="str">
        <f t="shared" si="19"/>
        <v/>
      </c>
      <c r="AY46" s="1107" t="str">
        <f t="shared" si="20"/>
        <v/>
      </c>
      <c r="BA46" s="93">
        <v>31</v>
      </c>
      <c r="BB46" s="357" t="str">
        <f>'Int Room Schedule'!Y46</f>
        <v/>
      </c>
      <c r="BC46" s="358" t="str">
        <f>'Int Room Schedule'!Z46</f>
        <v/>
      </c>
      <c r="BD46" s="358" t="str">
        <f>'Int Room Schedule'!AA46</f>
        <v/>
      </c>
      <c r="BE46" s="358" t="str">
        <f>'Int Room Schedule'!AB46</f>
        <v/>
      </c>
      <c r="BF46" s="358" t="str">
        <f>'Int Room Schedule'!AC46</f>
        <v/>
      </c>
      <c r="BG46" s="417" t="str">
        <f>'Int Room Schedule'!AD46</f>
        <v/>
      </c>
      <c r="BH46" s="95" t="s">
        <v>14</v>
      </c>
      <c r="BI46" s="362" t="str">
        <f t="array" ref="BI46">IFERROR(IF(ROWS(BC$16:BC46)&gt;COUNTA($BC$16:$BC$116),"",INDEX($BA$16:$BA$116,SMALL(IF($BC$16:$BC$116&lt;&gt;"",ROW($BC$16:$BC$116)-ROW($BC$16)+1),ROWS($BC$16:BC46)))),"")</f>
        <v/>
      </c>
      <c r="BJ46" s="349" t="str">
        <f t="shared" si="21"/>
        <v/>
      </c>
      <c r="BK46" s="362" t="str">
        <f t="shared" si="22"/>
        <v/>
      </c>
      <c r="BL46" s="362" t="str">
        <f t="shared" si="23"/>
        <v/>
      </c>
      <c r="BM46" s="413" t="str">
        <f t="shared" si="24"/>
        <v/>
      </c>
    </row>
    <row r="47" spans="2:65" x14ac:dyDescent="0.25">
      <c r="B47" s="1749"/>
      <c r="C47" s="1749"/>
      <c r="D47" s="1749"/>
      <c r="E47" s="1749"/>
      <c r="F47" s="1749"/>
      <c r="H47" s="169">
        <v>32</v>
      </c>
      <c r="I47" s="1082"/>
      <c r="J47" s="1079"/>
      <c r="K47" s="1083"/>
      <c r="L47" s="1081" t="str">
        <f t="shared" si="0"/>
        <v/>
      </c>
      <c r="N47" s="169">
        <v>32</v>
      </c>
      <c r="O47" s="1082"/>
      <c r="P47" s="1079"/>
      <c r="Q47" s="1083"/>
      <c r="R47" s="1036" t="str">
        <f t="shared" si="15"/>
        <v/>
      </c>
      <c r="W47" s="43">
        <v>32</v>
      </c>
      <c r="X47" s="362" t="str">
        <f t="array" ref="X47">IF(ROWS(I$16:I47)&gt;COUNTA($I$16:$I$65),"",INDEX($H$16:$H$65,SMALL(IF($I$16:$I$65&lt;&gt;"",ROW($I$16:$I$65)-ROW($I$16)+1),ROWS(I$16:$I47))))</f>
        <v/>
      </c>
      <c r="Y47" s="349" t="str">
        <f t="shared" si="1"/>
        <v/>
      </c>
      <c r="Z47" s="349" t="str">
        <f t="shared" si="2"/>
        <v/>
      </c>
      <c r="AA47" s="349" t="str">
        <f t="shared" si="3"/>
        <v/>
      </c>
      <c r="AB47" s="362" t="str">
        <f t="shared" si="4"/>
        <v/>
      </c>
      <c r="AC47" s="745" t="str">
        <f t="shared" si="5"/>
        <v/>
      </c>
      <c r="AD47" s="134" t="s">
        <v>1209</v>
      </c>
      <c r="AE47" s="135" t="str">
        <f t="shared" si="6"/>
        <v/>
      </c>
      <c r="AF47" s="135" t="str">
        <f t="shared" si="7"/>
        <v/>
      </c>
      <c r="AG47" s="278" t="str">
        <f>IF(VLOOKUP(Y47,ExteriorTradableData!B$10:R$59,17,FALSE)&gt;0,AC47,0)</f>
        <v/>
      </c>
      <c r="AH47" s="135"/>
      <c r="AI47" s="43">
        <v>83</v>
      </c>
      <c r="AJ47" s="362" t="str">
        <f t="array" ref="AJ47">IF(ROWS(O$16:O47)&gt;COUNTA($O$16:$O$65),"",INDEX($N$16:$N$65,SMALL(IF($O$16:$O$65&lt;&gt;"",ROW($O$16:$O$65)-ROW($O$16)+1),ROWS($O$16:O47))))</f>
        <v/>
      </c>
      <c r="AK47" s="349" t="str">
        <f t="shared" si="8"/>
        <v/>
      </c>
      <c r="AL47" s="349" t="str">
        <f t="shared" si="9"/>
        <v/>
      </c>
      <c r="AM47" s="349" t="str">
        <f t="shared" si="10"/>
        <v/>
      </c>
      <c r="AN47" s="362" t="str">
        <f t="shared" si="11"/>
        <v/>
      </c>
      <c r="AO47" s="134" t="str">
        <f t="shared" si="12"/>
        <v/>
      </c>
      <c r="AP47" s="135" t="str">
        <f t="shared" si="13"/>
        <v/>
      </c>
      <c r="AR47" s="43">
        <v>32</v>
      </c>
      <c r="AS47" s="362" t="str">
        <f t="array" ref="AS47">IFERROR(IF(ROWS(Y$16:Y47)&gt;COUNTA($Y$16:$Y$116),"",INDEX($W$16:$W$116,SMALL(IF($Y$16:$Y$116&lt;&gt;"",ROW($Y$16:$Y$116)-ROW($Y$16)+1),ROWS($Y$16:Y47)))),"")</f>
        <v/>
      </c>
      <c r="AT47" s="349" t="str">
        <f t="shared" si="16"/>
        <v/>
      </c>
      <c r="AU47" s="349" t="str">
        <f t="shared" si="17"/>
        <v/>
      </c>
      <c r="AV47" s="349" t="str">
        <f t="shared" si="18"/>
        <v/>
      </c>
      <c r="AW47" s="362" t="str">
        <f t="shared" si="25"/>
        <v/>
      </c>
      <c r="AX47" s="362" t="str">
        <f t="shared" si="19"/>
        <v/>
      </c>
      <c r="AY47" s="1107" t="str">
        <f t="shared" si="20"/>
        <v/>
      </c>
      <c r="BA47" s="42">
        <v>32</v>
      </c>
      <c r="BB47" s="357" t="str">
        <f>'Int Room Schedule'!Y47</f>
        <v/>
      </c>
      <c r="BC47" s="358" t="str">
        <f>'Int Room Schedule'!Z47</f>
        <v/>
      </c>
      <c r="BD47" s="358" t="str">
        <f>'Int Room Schedule'!AA47</f>
        <v/>
      </c>
      <c r="BE47" s="358" t="str">
        <f>'Int Room Schedule'!AB47</f>
        <v/>
      </c>
      <c r="BF47" s="358" t="str">
        <f>'Int Room Schedule'!AC47</f>
        <v/>
      </c>
      <c r="BG47" s="417" t="str">
        <f>'Int Room Schedule'!AD47</f>
        <v/>
      </c>
      <c r="BH47" s="95" t="s">
        <v>14</v>
      </c>
      <c r="BI47" s="362" t="str">
        <f t="array" ref="BI47">IFERROR(IF(ROWS(BC$16:BC47)&gt;COUNTA($BC$16:$BC$116),"",INDEX($BA$16:$BA$116,SMALL(IF($BC$16:$BC$116&lt;&gt;"",ROW($BC$16:$BC$116)-ROW($BC$16)+1),ROWS($BC$16:BC47)))),"")</f>
        <v/>
      </c>
      <c r="BJ47" s="349" t="str">
        <f t="shared" si="21"/>
        <v/>
      </c>
      <c r="BK47" s="362" t="str">
        <f t="shared" si="22"/>
        <v/>
      </c>
      <c r="BL47" s="362" t="str">
        <f t="shared" si="23"/>
        <v/>
      </c>
      <c r="BM47" s="413" t="str">
        <f t="shared" si="24"/>
        <v/>
      </c>
    </row>
    <row r="48" spans="2:65" x14ac:dyDescent="0.25">
      <c r="B48" s="1749"/>
      <c r="C48" s="1749"/>
      <c r="D48" s="1749"/>
      <c r="E48" s="1749"/>
      <c r="F48" s="1749"/>
      <c r="H48" s="169">
        <v>33</v>
      </c>
      <c r="I48" s="1082"/>
      <c r="J48" s="1079"/>
      <c r="K48" s="1083"/>
      <c r="L48" s="1081" t="str">
        <f t="shared" ref="L48:L65" si="26">IF(J48="","",VLOOKUP(J48,_TradableTableAllowed,RIGHT(_Exterior_LZ,1)+2,FALSE)*K48)</f>
        <v/>
      </c>
      <c r="N48" s="169">
        <v>33</v>
      </c>
      <c r="O48" s="1082"/>
      <c r="P48" s="1079"/>
      <c r="Q48" s="1083"/>
      <c r="R48" s="1036" t="str">
        <f t="shared" ref="R48:R65" si="27">IF(P48="","",VLOOKUP(P48,_NonTradableTableAllowed,RIGHT(_Exterior_LZ,1)+2,FALSE)*Q48)</f>
        <v/>
      </c>
      <c r="W48" s="43">
        <v>33</v>
      </c>
      <c r="X48" s="362" t="str">
        <f t="array" ref="X48">IF(ROWS(I$16:I48)&gt;COUNTA($I$16:$I$65),"",INDEX($H$16:$H$65,SMALL(IF($I$16:$I$65&lt;&gt;"",ROW($I$16:$I$65)-ROW($I$16)+1),ROWS(I$16:$I48))))</f>
        <v/>
      </c>
      <c r="Y48" s="349" t="str">
        <f t="shared" si="1"/>
        <v/>
      </c>
      <c r="Z48" s="349" t="str">
        <f t="shared" ref="Z48:Z65" si="28">IF($X48="","",VLOOKUP($X48,_TradableTable,2,FALSE))</f>
        <v/>
      </c>
      <c r="AA48" s="349" t="str">
        <f t="shared" ref="AA48:AA65" si="29">IF($X48="","",VLOOKUP($X48,_TradableTable,3,FALSE))</f>
        <v/>
      </c>
      <c r="AB48" s="362" t="str">
        <f t="shared" ref="AB48:AB65" si="30">IF($X48="","",VLOOKUP($X48,_TradableTable,4,FALSE))</f>
        <v/>
      </c>
      <c r="AC48" s="745" t="str">
        <f t="shared" ref="AC48:AC65" si="31">IF($X48="","",VLOOKUP($X48,_TradableTable,5,FALSE))</f>
        <v/>
      </c>
      <c r="AD48" s="134" t="s">
        <v>1209</v>
      </c>
      <c r="AE48" s="135" t="str">
        <f t="shared" ref="AE48:AE66" si="32">IF(AA48&lt;&gt;"",VLOOKUP(AA48,_TradableTableAllowed,RIGHT(AE$14,1)+2,FALSE),"")</f>
        <v/>
      </c>
      <c r="AF48" s="135" t="str">
        <f t="shared" ref="AF48:AF65" si="33">IF(AA48&lt;&gt;"",VLOOKUP(AA48,_TradableTableAllowed,7,FALSE),"")</f>
        <v/>
      </c>
      <c r="AG48" s="278" t="str">
        <f>IF(VLOOKUP(Y48,ExteriorTradableData!B$10:R$59,17,FALSE)&gt;0,AC48,0)</f>
        <v/>
      </c>
      <c r="AH48" s="135"/>
      <c r="AI48" s="43">
        <v>84</v>
      </c>
      <c r="AJ48" s="362" t="str">
        <f t="array" ref="AJ48">IF(ROWS(O$16:O48)&gt;COUNTA($O$16:$O$65),"",INDEX($N$16:$N$65,SMALL(IF($O$16:$O$65&lt;&gt;"",ROW($O$16:$O$65)-ROW($O$16)+1),ROWS($O$16:O48))))</f>
        <v/>
      </c>
      <c r="AK48" s="349" t="str">
        <f t="shared" si="8"/>
        <v/>
      </c>
      <c r="AL48" s="349" t="str">
        <f t="shared" ref="AL48:AL65" si="34">IF($AJ48="","",VLOOKUP($AJ48,_NonTradableTable,2,FALSE))</f>
        <v/>
      </c>
      <c r="AM48" s="349" t="str">
        <f t="shared" ref="AM48:AM65" si="35">IF($AJ48="","",VLOOKUP($AJ48,_NonTradableTable,3,FALSE))</f>
        <v/>
      </c>
      <c r="AN48" s="362" t="str">
        <f t="shared" ref="AN48:AN65" si="36">IF($AJ48="","",VLOOKUP($AJ48,_NonTradableTable,4,FALSE))</f>
        <v/>
      </c>
      <c r="AO48" s="134" t="str">
        <f t="shared" ref="AO48:AO65" si="37">IF(AM48&lt;&gt;"",VLOOKUP(AM48,_NonTradableTableAllowed,RIGHT(AP$14,1)+2,FALSE),"")</f>
        <v/>
      </c>
      <c r="AP48" s="135" t="str">
        <f t="shared" ref="AP48:AP65" si="38">IF(AM48&lt;&gt;"",VLOOKUP(AM48,_NonTradableTableAllowed,RIGHT(AP$14,1)+2,FALSE),"")</f>
        <v/>
      </c>
      <c r="AR48" s="43">
        <v>33</v>
      </c>
      <c r="AS48" s="362" t="str">
        <f t="array" ref="AS48">IFERROR(IF(ROWS(Y$16:Y48)&gt;COUNTA($Y$16:$Y$116),"",INDEX($W$16:$W$116,SMALL(IF($Y$16:$Y$116&lt;&gt;"",ROW($Y$16:$Y$116)-ROW($Y$16)+1),ROWS($Y$16:Y48)))),"")</f>
        <v/>
      </c>
      <c r="AT48" s="349" t="str">
        <f t="shared" si="16"/>
        <v/>
      </c>
      <c r="AU48" s="349" t="str">
        <f t="shared" si="17"/>
        <v/>
      </c>
      <c r="AV48" s="349" t="str">
        <f t="shared" si="18"/>
        <v/>
      </c>
      <c r="AW48" s="362" t="str">
        <f t="shared" si="25"/>
        <v/>
      </c>
      <c r="AX48" s="362" t="str">
        <f t="shared" si="19"/>
        <v/>
      </c>
      <c r="AY48" s="1107" t="str">
        <f t="shared" si="20"/>
        <v/>
      </c>
      <c r="BA48" s="93">
        <v>33</v>
      </c>
      <c r="BB48" s="357" t="str">
        <f>'Int Room Schedule'!Y48</f>
        <v/>
      </c>
      <c r="BC48" s="358" t="str">
        <f>'Int Room Schedule'!Z48</f>
        <v/>
      </c>
      <c r="BD48" s="358" t="str">
        <f>'Int Room Schedule'!AA48</f>
        <v/>
      </c>
      <c r="BE48" s="358" t="str">
        <f>'Int Room Schedule'!AB48</f>
        <v/>
      </c>
      <c r="BF48" s="358" t="str">
        <f>'Int Room Schedule'!AC48</f>
        <v/>
      </c>
      <c r="BG48" s="417" t="str">
        <f>'Int Room Schedule'!AD48</f>
        <v/>
      </c>
      <c r="BH48" s="95" t="s">
        <v>14</v>
      </c>
      <c r="BI48" s="362" t="str">
        <f t="array" ref="BI48">IFERROR(IF(ROWS(BC$16:BC48)&gt;COUNTA($BC$16:$BC$116),"",INDEX($BA$16:$BA$116,SMALL(IF($BC$16:$BC$116&lt;&gt;"",ROW($BC$16:$BC$116)-ROW($BC$16)+1),ROWS($BC$16:BC48)))),"")</f>
        <v/>
      </c>
      <c r="BJ48" s="349" t="str">
        <f t="shared" si="21"/>
        <v/>
      </c>
      <c r="BK48" s="362" t="str">
        <f t="shared" si="22"/>
        <v/>
      </c>
      <c r="BL48" s="362" t="str">
        <f t="shared" si="23"/>
        <v/>
      </c>
      <c r="BM48" s="413" t="str">
        <f t="shared" si="24"/>
        <v/>
      </c>
    </row>
    <row r="49" spans="8:65" x14ac:dyDescent="0.25">
      <c r="H49" s="169">
        <v>34</v>
      </c>
      <c r="I49" s="1082"/>
      <c r="J49" s="1079"/>
      <c r="K49" s="1083"/>
      <c r="L49" s="1081" t="str">
        <f t="shared" si="26"/>
        <v/>
      </c>
      <c r="N49" s="169">
        <v>34</v>
      </c>
      <c r="O49" s="1082"/>
      <c r="P49" s="1079"/>
      <c r="Q49" s="1083"/>
      <c r="R49" s="1036" t="str">
        <f t="shared" si="27"/>
        <v/>
      </c>
      <c r="W49" s="43">
        <v>34</v>
      </c>
      <c r="X49" s="362" t="str">
        <f t="array" ref="X49">IF(ROWS(I$16:I49)&gt;COUNTA($I$16:$I$65),"",INDEX($H$16:$H$65,SMALL(IF($I$16:$I$65&lt;&gt;"",ROW($I$16:$I$65)-ROW($I$16)+1),ROWS(I$16:$I49))))</f>
        <v/>
      </c>
      <c r="Y49" s="349" t="str">
        <f t="shared" si="1"/>
        <v/>
      </c>
      <c r="Z49" s="349" t="str">
        <f t="shared" si="28"/>
        <v/>
      </c>
      <c r="AA49" s="349" t="str">
        <f t="shared" si="29"/>
        <v/>
      </c>
      <c r="AB49" s="362" t="str">
        <f t="shared" si="30"/>
        <v/>
      </c>
      <c r="AC49" s="745" t="str">
        <f t="shared" si="31"/>
        <v/>
      </c>
      <c r="AD49" s="134" t="s">
        <v>1209</v>
      </c>
      <c r="AE49" s="135" t="str">
        <f t="shared" si="32"/>
        <v/>
      </c>
      <c r="AF49" s="135" t="str">
        <f t="shared" si="33"/>
        <v/>
      </c>
      <c r="AG49" s="278" t="str">
        <f>IF(VLOOKUP(Y49,ExteriorTradableData!B$10:R$59,17,FALSE)&gt;0,AC49,0)</f>
        <v/>
      </c>
      <c r="AH49" s="135"/>
      <c r="AI49" s="43">
        <v>85</v>
      </c>
      <c r="AJ49" s="362" t="str">
        <f t="array" ref="AJ49">IF(ROWS(O$16:O49)&gt;COUNTA($O$16:$O$65),"",INDEX($N$16:$N$65,SMALL(IF($O$16:$O$65&lt;&gt;"",ROW($O$16:$O$65)-ROW($O$16)+1),ROWS($O$16:O49))))</f>
        <v/>
      </c>
      <c r="AK49" s="349" t="str">
        <f t="shared" si="8"/>
        <v/>
      </c>
      <c r="AL49" s="349" t="str">
        <f t="shared" si="34"/>
        <v/>
      </c>
      <c r="AM49" s="349" t="str">
        <f t="shared" si="35"/>
        <v/>
      </c>
      <c r="AN49" s="362" t="str">
        <f t="shared" si="36"/>
        <v/>
      </c>
      <c r="AO49" s="134" t="str">
        <f t="shared" si="37"/>
        <v/>
      </c>
      <c r="AP49" s="135" t="str">
        <f t="shared" si="38"/>
        <v/>
      </c>
      <c r="AR49" s="43">
        <v>34</v>
      </c>
      <c r="AS49" s="362" t="str">
        <f t="array" ref="AS49">IFERROR(IF(ROWS(Y$16:Y49)&gt;COUNTA($Y$16:$Y$116),"",INDEX($W$16:$W$116,SMALL(IF($Y$16:$Y$116&lt;&gt;"",ROW($Y$16:$Y$116)-ROW($Y$16)+1),ROWS($Y$16:Y49)))),"")</f>
        <v/>
      </c>
      <c r="AT49" s="349" t="str">
        <f t="shared" si="16"/>
        <v/>
      </c>
      <c r="AU49" s="349" t="str">
        <f t="shared" si="17"/>
        <v/>
      </c>
      <c r="AV49" s="349" t="str">
        <f t="shared" si="18"/>
        <v/>
      </c>
      <c r="AW49" s="362" t="str">
        <f t="shared" si="25"/>
        <v/>
      </c>
      <c r="AX49" s="362" t="str">
        <f t="shared" si="19"/>
        <v/>
      </c>
      <c r="AY49" s="1107" t="str">
        <f t="shared" si="20"/>
        <v/>
      </c>
      <c r="BA49" s="42">
        <v>34</v>
      </c>
      <c r="BB49" s="357" t="str">
        <f>'Int Room Schedule'!Y49</f>
        <v/>
      </c>
      <c r="BC49" s="358" t="str">
        <f>'Int Room Schedule'!Z49</f>
        <v/>
      </c>
      <c r="BD49" s="358" t="str">
        <f>'Int Room Schedule'!AA49</f>
        <v/>
      </c>
      <c r="BE49" s="358" t="str">
        <f>'Int Room Schedule'!AB49</f>
        <v/>
      </c>
      <c r="BF49" s="358" t="str">
        <f>'Int Room Schedule'!AC49</f>
        <v/>
      </c>
      <c r="BG49" s="417" t="str">
        <f>'Int Room Schedule'!AD49</f>
        <v/>
      </c>
      <c r="BH49" s="95" t="s">
        <v>14</v>
      </c>
      <c r="BI49" s="362" t="str">
        <f t="array" ref="BI49">IFERROR(IF(ROWS(BC$16:BC49)&gt;COUNTA($BC$16:$BC$116),"",INDEX($BA$16:$BA$116,SMALL(IF($BC$16:$BC$116&lt;&gt;"",ROW($BC$16:$BC$116)-ROW($BC$16)+1),ROWS($BC$16:BC49)))),"")</f>
        <v/>
      </c>
      <c r="BJ49" s="349" t="str">
        <f t="shared" si="21"/>
        <v/>
      </c>
      <c r="BK49" s="362" t="str">
        <f t="shared" si="22"/>
        <v/>
      </c>
      <c r="BL49" s="362" t="str">
        <f t="shared" si="23"/>
        <v/>
      </c>
      <c r="BM49" s="413" t="str">
        <f t="shared" si="24"/>
        <v/>
      </c>
    </row>
    <row r="50" spans="8:65" x14ac:dyDescent="0.25">
      <c r="H50" s="169">
        <v>35</v>
      </c>
      <c r="I50" s="1082"/>
      <c r="J50" s="1079"/>
      <c r="K50" s="1083"/>
      <c r="L50" s="1081" t="str">
        <f t="shared" si="26"/>
        <v/>
      </c>
      <c r="N50" s="169">
        <v>35</v>
      </c>
      <c r="O50" s="1082"/>
      <c r="P50" s="1079"/>
      <c r="Q50" s="1083"/>
      <c r="R50" s="1036" t="str">
        <f t="shared" si="27"/>
        <v/>
      </c>
      <c r="W50" s="43">
        <v>35</v>
      </c>
      <c r="X50" s="362" t="str">
        <f t="array" ref="X50">IF(ROWS(I$16:I50)&gt;COUNTA($I$16:$I$65),"",INDEX($H$16:$H$65,SMALL(IF($I$16:$I$65&lt;&gt;"",ROW($I$16:$I$65)-ROW($I$16)+1),ROWS(I$16:$I50))))</f>
        <v/>
      </c>
      <c r="Y50" s="349" t="str">
        <f t="shared" si="1"/>
        <v/>
      </c>
      <c r="Z50" s="349" t="str">
        <f t="shared" si="28"/>
        <v/>
      </c>
      <c r="AA50" s="349" t="str">
        <f t="shared" si="29"/>
        <v/>
      </c>
      <c r="AB50" s="362" t="str">
        <f t="shared" si="30"/>
        <v/>
      </c>
      <c r="AC50" s="745" t="str">
        <f t="shared" si="31"/>
        <v/>
      </c>
      <c r="AD50" s="134" t="s">
        <v>1209</v>
      </c>
      <c r="AE50" s="135" t="str">
        <f t="shared" si="32"/>
        <v/>
      </c>
      <c r="AF50" s="135" t="str">
        <f t="shared" si="33"/>
        <v/>
      </c>
      <c r="AG50" s="278" t="str">
        <f>IF(VLOOKUP(Y50,ExteriorTradableData!B$10:R$59,17,FALSE)&gt;0,AC50,0)</f>
        <v/>
      </c>
      <c r="AH50" s="135"/>
      <c r="AI50" s="43">
        <v>86</v>
      </c>
      <c r="AJ50" s="362" t="str">
        <f t="array" ref="AJ50">IF(ROWS(O$16:O50)&gt;COUNTA($O$16:$O$65),"",INDEX($N$16:$N$65,SMALL(IF($O$16:$O$65&lt;&gt;"",ROW($O$16:$O$65)-ROW($O$16)+1),ROWS($O$16:O50))))</f>
        <v/>
      </c>
      <c r="AK50" s="349" t="str">
        <f t="shared" si="8"/>
        <v/>
      </c>
      <c r="AL50" s="349" t="str">
        <f t="shared" si="34"/>
        <v/>
      </c>
      <c r="AM50" s="349" t="str">
        <f t="shared" si="35"/>
        <v/>
      </c>
      <c r="AN50" s="362" t="str">
        <f t="shared" si="36"/>
        <v/>
      </c>
      <c r="AO50" s="134" t="str">
        <f t="shared" si="37"/>
        <v/>
      </c>
      <c r="AP50" s="135" t="str">
        <f t="shared" si="38"/>
        <v/>
      </c>
      <c r="AR50" s="43">
        <v>35</v>
      </c>
      <c r="AS50" s="362" t="str">
        <f t="array" ref="AS50">IFERROR(IF(ROWS(Y$16:Y50)&gt;COUNTA($Y$16:$Y$116),"",INDEX($W$16:$W$116,SMALL(IF($Y$16:$Y$116&lt;&gt;"",ROW($Y$16:$Y$116)-ROW($Y$16)+1),ROWS($Y$16:Y50)))),"")</f>
        <v/>
      </c>
      <c r="AT50" s="349" t="str">
        <f t="shared" si="16"/>
        <v/>
      </c>
      <c r="AU50" s="349" t="str">
        <f t="shared" si="17"/>
        <v/>
      </c>
      <c r="AV50" s="349" t="str">
        <f t="shared" si="18"/>
        <v/>
      </c>
      <c r="AW50" s="362" t="str">
        <f t="shared" si="25"/>
        <v/>
      </c>
      <c r="AX50" s="362" t="str">
        <f t="shared" si="19"/>
        <v/>
      </c>
      <c r="AY50" s="1107" t="str">
        <f t="shared" si="20"/>
        <v/>
      </c>
      <c r="BA50" s="93">
        <v>35</v>
      </c>
      <c r="BB50" s="357" t="str">
        <f>'Int Room Schedule'!Y50</f>
        <v/>
      </c>
      <c r="BC50" s="358" t="str">
        <f>'Int Room Schedule'!Z50</f>
        <v/>
      </c>
      <c r="BD50" s="358" t="str">
        <f>'Int Room Schedule'!AA50</f>
        <v/>
      </c>
      <c r="BE50" s="358" t="str">
        <f>'Int Room Schedule'!AB50</f>
        <v/>
      </c>
      <c r="BF50" s="358" t="str">
        <f>'Int Room Schedule'!AC50</f>
        <v/>
      </c>
      <c r="BG50" s="417" t="str">
        <f>'Int Room Schedule'!AD50</f>
        <v/>
      </c>
      <c r="BH50" s="95" t="s">
        <v>14</v>
      </c>
      <c r="BI50" s="362" t="str">
        <f t="array" ref="BI50">IFERROR(IF(ROWS(BC$16:BC50)&gt;COUNTA($BC$16:$BC$116),"",INDEX($BA$16:$BA$116,SMALL(IF($BC$16:$BC$116&lt;&gt;"",ROW($BC$16:$BC$116)-ROW($BC$16)+1),ROWS($BC$16:BC50)))),"")</f>
        <v/>
      </c>
      <c r="BJ50" s="349" t="str">
        <f t="shared" si="21"/>
        <v/>
      </c>
      <c r="BK50" s="362" t="str">
        <f t="shared" si="22"/>
        <v/>
      </c>
      <c r="BL50" s="362" t="str">
        <f t="shared" si="23"/>
        <v/>
      </c>
      <c r="BM50" s="413" t="str">
        <f t="shared" si="24"/>
        <v/>
      </c>
    </row>
    <row r="51" spans="8:65" x14ac:dyDescent="0.25">
      <c r="H51" s="169">
        <v>36</v>
      </c>
      <c r="I51" s="1082"/>
      <c r="J51" s="1079"/>
      <c r="K51" s="1083"/>
      <c r="L51" s="1081" t="str">
        <f t="shared" si="26"/>
        <v/>
      </c>
      <c r="N51" s="169">
        <v>36</v>
      </c>
      <c r="O51" s="1082"/>
      <c r="P51" s="1079"/>
      <c r="Q51" s="1083"/>
      <c r="R51" s="1036" t="str">
        <f t="shared" si="27"/>
        <v/>
      </c>
      <c r="W51" s="43">
        <v>36</v>
      </c>
      <c r="X51" s="362" t="str">
        <f t="array" ref="X51">IF(ROWS(I$16:I51)&gt;COUNTA($I$16:$I$65),"",INDEX($H$16:$H$65,SMALL(IF($I$16:$I$65&lt;&gt;"",ROW($I$16:$I$65)-ROW($I$16)+1),ROWS(I$16:$I51))))</f>
        <v/>
      </c>
      <c r="Y51" s="349" t="str">
        <f t="shared" si="1"/>
        <v/>
      </c>
      <c r="Z51" s="349" t="str">
        <f t="shared" si="28"/>
        <v/>
      </c>
      <c r="AA51" s="349" t="str">
        <f t="shared" si="29"/>
        <v/>
      </c>
      <c r="AB51" s="362" t="str">
        <f t="shared" si="30"/>
        <v/>
      </c>
      <c r="AC51" s="745" t="str">
        <f t="shared" si="31"/>
        <v/>
      </c>
      <c r="AD51" s="134" t="s">
        <v>1209</v>
      </c>
      <c r="AE51" s="135" t="str">
        <f t="shared" si="32"/>
        <v/>
      </c>
      <c r="AF51" s="135" t="str">
        <f t="shared" si="33"/>
        <v/>
      </c>
      <c r="AG51" s="278" t="str">
        <f>IF(VLOOKUP(Y51,ExteriorTradableData!B$10:R$59,17,FALSE)&gt;0,AC51,0)</f>
        <v/>
      </c>
      <c r="AH51" s="135"/>
      <c r="AI51" s="43">
        <v>87</v>
      </c>
      <c r="AJ51" s="362" t="str">
        <f t="array" ref="AJ51">IF(ROWS(O$16:O51)&gt;COUNTA($O$16:$O$65),"",INDEX($N$16:$N$65,SMALL(IF($O$16:$O$65&lt;&gt;"",ROW($O$16:$O$65)-ROW($O$16)+1),ROWS($O$16:O51))))</f>
        <v/>
      </c>
      <c r="AK51" s="349" t="str">
        <f t="shared" si="8"/>
        <v/>
      </c>
      <c r="AL51" s="349" t="str">
        <f t="shared" si="34"/>
        <v/>
      </c>
      <c r="AM51" s="349" t="str">
        <f t="shared" si="35"/>
        <v/>
      </c>
      <c r="AN51" s="362" t="str">
        <f t="shared" si="36"/>
        <v/>
      </c>
      <c r="AO51" s="134" t="str">
        <f t="shared" si="37"/>
        <v/>
      </c>
      <c r="AP51" s="135" t="str">
        <f t="shared" si="38"/>
        <v/>
      </c>
      <c r="AR51" s="43">
        <v>36</v>
      </c>
      <c r="AS51" s="362" t="str">
        <f t="array" ref="AS51">IFERROR(IF(ROWS(Y$16:Y51)&gt;COUNTA($Y$16:$Y$116),"",INDEX($W$16:$W$116,SMALL(IF($Y$16:$Y$116&lt;&gt;"",ROW($Y$16:$Y$116)-ROW($Y$16)+1),ROWS($Y$16:Y51)))),"")</f>
        <v/>
      </c>
      <c r="AT51" s="349" t="str">
        <f t="shared" si="16"/>
        <v/>
      </c>
      <c r="AU51" s="349" t="str">
        <f t="shared" si="17"/>
        <v/>
      </c>
      <c r="AV51" s="349" t="str">
        <f t="shared" si="18"/>
        <v/>
      </c>
      <c r="AW51" s="362" t="str">
        <f t="shared" si="25"/>
        <v/>
      </c>
      <c r="AX51" s="362" t="str">
        <f t="shared" si="19"/>
        <v/>
      </c>
      <c r="AY51" s="1107" t="str">
        <f t="shared" si="20"/>
        <v/>
      </c>
      <c r="BA51" s="42">
        <v>36</v>
      </c>
      <c r="BB51" s="357" t="str">
        <f>'Int Room Schedule'!Y51</f>
        <v/>
      </c>
      <c r="BC51" s="358" t="str">
        <f>'Int Room Schedule'!Z51</f>
        <v/>
      </c>
      <c r="BD51" s="358" t="str">
        <f>'Int Room Schedule'!AA51</f>
        <v/>
      </c>
      <c r="BE51" s="358" t="str">
        <f>'Int Room Schedule'!AB51</f>
        <v/>
      </c>
      <c r="BF51" s="358" t="str">
        <f>'Int Room Schedule'!AC51</f>
        <v/>
      </c>
      <c r="BG51" s="417" t="str">
        <f>'Int Room Schedule'!AD51</f>
        <v/>
      </c>
      <c r="BH51" s="95" t="s">
        <v>14</v>
      </c>
      <c r="BI51" s="362" t="str">
        <f t="array" ref="BI51">IFERROR(IF(ROWS(BC$16:BC51)&gt;COUNTA($BC$16:$BC$116),"",INDEX($BA$16:$BA$116,SMALL(IF($BC$16:$BC$116&lt;&gt;"",ROW($BC$16:$BC$116)-ROW($BC$16)+1),ROWS($BC$16:BC51)))),"")</f>
        <v/>
      </c>
      <c r="BJ51" s="349" t="str">
        <f t="shared" si="21"/>
        <v/>
      </c>
      <c r="BK51" s="362" t="str">
        <f t="shared" si="22"/>
        <v/>
      </c>
      <c r="BL51" s="362" t="str">
        <f t="shared" si="23"/>
        <v/>
      </c>
      <c r="BM51" s="413" t="str">
        <f t="shared" si="24"/>
        <v/>
      </c>
    </row>
    <row r="52" spans="8:65" x14ac:dyDescent="0.25">
      <c r="H52" s="169">
        <v>37</v>
      </c>
      <c r="I52" s="1082"/>
      <c r="J52" s="1079"/>
      <c r="K52" s="1083"/>
      <c r="L52" s="1081" t="str">
        <f t="shared" si="26"/>
        <v/>
      </c>
      <c r="N52" s="169">
        <v>37</v>
      </c>
      <c r="O52" s="1082"/>
      <c r="P52" s="1079"/>
      <c r="Q52" s="1083"/>
      <c r="R52" s="1036" t="str">
        <f t="shared" si="27"/>
        <v/>
      </c>
      <c r="W52" s="43">
        <v>37</v>
      </c>
      <c r="X52" s="362" t="str">
        <f t="array" ref="X52">IF(ROWS(I$16:I52)&gt;COUNTA($I$16:$I$65),"",INDEX($H$16:$H$65,SMALL(IF($I$16:$I$65&lt;&gt;"",ROW($I$16:$I$65)-ROW($I$16)+1),ROWS(I$16:$I52))))</f>
        <v/>
      </c>
      <c r="Y52" s="349" t="str">
        <f t="shared" si="1"/>
        <v/>
      </c>
      <c r="Z52" s="349" t="str">
        <f t="shared" si="28"/>
        <v/>
      </c>
      <c r="AA52" s="349" t="str">
        <f t="shared" si="29"/>
        <v/>
      </c>
      <c r="AB52" s="362" t="str">
        <f t="shared" si="30"/>
        <v/>
      </c>
      <c r="AC52" s="745" t="str">
        <f t="shared" si="31"/>
        <v/>
      </c>
      <c r="AD52" s="134" t="s">
        <v>1209</v>
      </c>
      <c r="AE52" s="135" t="str">
        <f t="shared" si="32"/>
        <v/>
      </c>
      <c r="AF52" s="135" t="str">
        <f t="shared" si="33"/>
        <v/>
      </c>
      <c r="AG52" s="278" t="str">
        <f>IF(VLOOKUP(Y52,ExteriorTradableData!B$10:R$59,17,FALSE)&gt;0,AC52,0)</f>
        <v/>
      </c>
      <c r="AH52" s="135"/>
      <c r="AI52" s="43">
        <v>88</v>
      </c>
      <c r="AJ52" s="362" t="str">
        <f t="array" ref="AJ52">IF(ROWS(O$16:O52)&gt;COUNTA($O$16:$O$65),"",INDEX($N$16:$N$65,SMALL(IF($O$16:$O$65&lt;&gt;"",ROW($O$16:$O$65)-ROW($O$16)+1),ROWS($O$16:O52))))</f>
        <v/>
      </c>
      <c r="AK52" s="349" t="str">
        <f t="shared" si="8"/>
        <v/>
      </c>
      <c r="AL52" s="349" t="str">
        <f t="shared" si="34"/>
        <v/>
      </c>
      <c r="AM52" s="349" t="str">
        <f t="shared" si="35"/>
        <v/>
      </c>
      <c r="AN52" s="362" t="str">
        <f t="shared" si="36"/>
        <v/>
      </c>
      <c r="AO52" s="134" t="str">
        <f t="shared" si="37"/>
        <v/>
      </c>
      <c r="AP52" s="135" t="str">
        <f t="shared" si="38"/>
        <v/>
      </c>
      <c r="AR52" s="43">
        <v>37</v>
      </c>
      <c r="AS52" s="362" t="str">
        <f t="array" ref="AS52">IFERROR(IF(ROWS(Y$16:Y52)&gt;COUNTA($Y$16:$Y$116),"",INDEX($W$16:$W$116,SMALL(IF($Y$16:$Y$116&lt;&gt;"",ROW($Y$16:$Y$116)-ROW($Y$16)+1),ROWS($Y$16:Y52)))),"")</f>
        <v/>
      </c>
      <c r="AT52" s="349" t="str">
        <f t="shared" si="16"/>
        <v/>
      </c>
      <c r="AU52" s="349" t="str">
        <f t="shared" si="17"/>
        <v/>
      </c>
      <c r="AV52" s="349" t="str">
        <f t="shared" si="18"/>
        <v/>
      </c>
      <c r="AW52" s="362" t="str">
        <f t="shared" si="25"/>
        <v/>
      </c>
      <c r="AX52" s="362" t="str">
        <f t="shared" si="19"/>
        <v/>
      </c>
      <c r="AY52" s="1107" t="str">
        <f t="shared" si="20"/>
        <v/>
      </c>
      <c r="BA52" s="93">
        <v>37</v>
      </c>
      <c r="BB52" s="357" t="str">
        <f>'Int Room Schedule'!Y52</f>
        <v/>
      </c>
      <c r="BC52" s="358" t="str">
        <f>'Int Room Schedule'!Z52</f>
        <v/>
      </c>
      <c r="BD52" s="358" t="str">
        <f>'Int Room Schedule'!AA52</f>
        <v/>
      </c>
      <c r="BE52" s="358" t="str">
        <f>'Int Room Schedule'!AB52</f>
        <v/>
      </c>
      <c r="BF52" s="358" t="str">
        <f>'Int Room Schedule'!AC52</f>
        <v/>
      </c>
      <c r="BG52" s="417" t="str">
        <f>'Int Room Schedule'!AD52</f>
        <v/>
      </c>
      <c r="BH52" s="95" t="s">
        <v>14</v>
      </c>
      <c r="BI52" s="362" t="str">
        <f t="array" ref="BI52">IFERROR(IF(ROWS(BC$16:BC52)&gt;COUNTA($BC$16:$BC$116),"",INDEX($BA$16:$BA$116,SMALL(IF($BC$16:$BC$116&lt;&gt;"",ROW($BC$16:$BC$116)-ROW($BC$16)+1),ROWS($BC$16:BC52)))),"")</f>
        <v/>
      </c>
      <c r="BJ52" s="349" t="str">
        <f t="shared" si="21"/>
        <v/>
      </c>
      <c r="BK52" s="362" t="str">
        <f t="shared" si="22"/>
        <v/>
      </c>
      <c r="BL52" s="362" t="str">
        <f t="shared" si="23"/>
        <v/>
      </c>
      <c r="BM52" s="413" t="str">
        <f t="shared" si="24"/>
        <v/>
      </c>
    </row>
    <row r="53" spans="8:65" x14ac:dyDescent="0.25">
      <c r="H53" s="169">
        <v>38</v>
      </c>
      <c r="I53" s="1082"/>
      <c r="J53" s="1079"/>
      <c r="K53" s="1083"/>
      <c r="L53" s="1081" t="str">
        <f t="shared" si="26"/>
        <v/>
      </c>
      <c r="N53" s="169">
        <v>38</v>
      </c>
      <c r="O53" s="1082"/>
      <c r="P53" s="1079"/>
      <c r="Q53" s="1083"/>
      <c r="R53" s="1036" t="str">
        <f t="shared" si="27"/>
        <v/>
      </c>
      <c r="W53" s="43">
        <v>38</v>
      </c>
      <c r="X53" s="362" t="str">
        <f t="array" ref="X53">IF(ROWS(I$16:I53)&gt;COUNTA($I$16:$I$65),"",INDEX($H$16:$H$65,SMALL(IF($I$16:$I$65&lt;&gt;"",ROW($I$16:$I$65)-ROW($I$16)+1),ROWS(I$16:$I53))))</f>
        <v/>
      </c>
      <c r="Y53" s="349" t="str">
        <f t="shared" si="1"/>
        <v/>
      </c>
      <c r="Z53" s="349" t="str">
        <f t="shared" si="28"/>
        <v/>
      </c>
      <c r="AA53" s="349" t="str">
        <f t="shared" si="29"/>
        <v/>
      </c>
      <c r="AB53" s="362" t="str">
        <f t="shared" si="30"/>
        <v/>
      </c>
      <c r="AC53" s="745" t="str">
        <f t="shared" si="31"/>
        <v/>
      </c>
      <c r="AD53" s="134" t="s">
        <v>1209</v>
      </c>
      <c r="AE53" s="135" t="str">
        <f t="shared" si="32"/>
        <v/>
      </c>
      <c r="AF53" s="135" t="str">
        <f t="shared" si="33"/>
        <v/>
      </c>
      <c r="AG53" s="278" t="str">
        <f>IF(VLOOKUP(Y53,ExteriorTradableData!B$10:R$59,17,FALSE)&gt;0,AC53,0)</f>
        <v/>
      </c>
      <c r="AH53" s="135"/>
      <c r="AI53" s="43">
        <v>89</v>
      </c>
      <c r="AJ53" s="362" t="str">
        <f t="array" ref="AJ53">IF(ROWS(O$16:O53)&gt;COUNTA($O$16:$O$65),"",INDEX($N$16:$N$65,SMALL(IF($O$16:$O$65&lt;&gt;"",ROW($O$16:$O$65)-ROW($O$16)+1),ROWS($O$16:O53))))</f>
        <v/>
      </c>
      <c r="AK53" s="349" t="str">
        <f t="shared" si="8"/>
        <v/>
      </c>
      <c r="AL53" s="349" t="str">
        <f t="shared" si="34"/>
        <v/>
      </c>
      <c r="AM53" s="349" t="str">
        <f t="shared" si="35"/>
        <v/>
      </c>
      <c r="AN53" s="362" t="str">
        <f t="shared" si="36"/>
        <v/>
      </c>
      <c r="AO53" s="134" t="str">
        <f t="shared" si="37"/>
        <v/>
      </c>
      <c r="AP53" s="135" t="str">
        <f t="shared" si="38"/>
        <v/>
      </c>
      <c r="AR53" s="43">
        <v>38</v>
      </c>
      <c r="AS53" s="362" t="str">
        <f t="array" ref="AS53">IFERROR(IF(ROWS(Y$16:Y53)&gt;COUNTA($Y$16:$Y$116),"",INDEX($W$16:$W$116,SMALL(IF($Y$16:$Y$116&lt;&gt;"",ROW($Y$16:$Y$116)-ROW($Y$16)+1),ROWS($Y$16:Y53)))),"")</f>
        <v/>
      </c>
      <c r="AT53" s="349" t="str">
        <f t="shared" si="16"/>
        <v/>
      </c>
      <c r="AU53" s="349" t="str">
        <f t="shared" si="17"/>
        <v/>
      </c>
      <c r="AV53" s="349" t="str">
        <f t="shared" si="18"/>
        <v/>
      </c>
      <c r="AW53" s="362" t="str">
        <f t="shared" si="25"/>
        <v/>
      </c>
      <c r="AX53" s="362" t="str">
        <f t="shared" si="19"/>
        <v/>
      </c>
      <c r="AY53" s="1107" t="str">
        <f t="shared" si="20"/>
        <v/>
      </c>
      <c r="BA53" s="42">
        <v>38</v>
      </c>
      <c r="BB53" s="357" t="str">
        <f>'Int Room Schedule'!Y53</f>
        <v/>
      </c>
      <c r="BC53" s="358" t="str">
        <f>'Int Room Schedule'!Z53</f>
        <v/>
      </c>
      <c r="BD53" s="358" t="str">
        <f>'Int Room Schedule'!AA53</f>
        <v/>
      </c>
      <c r="BE53" s="358" t="str">
        <f>'Int Room Schedule'!AB53</f>
        <v/>
      </c>
      <c r="BF53" s="358" t="str">
        <f>'Int Room Schedule'!AC53</f>
        <v/>
      </c>
      <c r="BG53" s="417" t="str">
        <f>'Int Room Schedule'!AD53</f>
        <v/>
      </c>
      <c r="BH53" s="95" t="s">
        <v>14</v>
      </c>
      <c r="BI53" s="362" t="str">
        <f t="array" ref="BI53">IFERROR(IF(ROWS(BC$16:BC53)&gt;COUNTA($BC$16:$BC$116),"",INDEX($BA$16:$BA$116,SMALL(IF($BC$16:$BC$116&lt;&gt;"",ROW($BC$16:$BC$116)-ROW($BC$16)+1),ROWS($BC$16:BC53)))),"")</f>
        <v/>
      </c>
      <c r="BJ53" s="349" t="str">
        <f t="shared" si="21"/>
        <v/>
      </c>
      <c r="BK53" s="362" t="str">
        <f t="shared" si="22"/>
        <v/>
      </c>
      <c r="BL53" s="362" t="str">
        <f t="shared" si="23"/>
        <v/>
      </c>
      <c r="BM53" s="413" t="str">
        <f t="shared" si="24"/>
        <v/>
      </c>
    </row>
    <row r="54" spans="8:65" x14ac:dyDescent="0.25">
      <c r="H54" s="169">
        <v>39</v>
      </c>
      <c r="I54" s="1082"/>
      <c r="J54" s="1079"/>
      <c r="K54" s="1083"/>
      <c r="L54" s="1081" t="str">
        <f t="shared" si="26"/>
        <v/>
      </c>
      <c r="N54" s="169">
        <v>39</v>
      </c>
      <c r="O54" s="1082"/>
      <c r="P54" s="1079"/>
      <c r="Q54" s="1083"/>
      <c r="R54" s="1036" t="str">
        <f t="shared" si="27"/>
        <v/>
      </c>
      <c r="W54" s="43">
        <v>39</v>
      </c>
      <c r="X54" s="362" t="str">
        <f t="array" ref="X54">IF(ROWS(I$16:I54)&gt;COUNTA($I$16:$I$65),"",INDEX($H$16:$H$65,SMALL(IF($I$16:$I$65&lt;&gt;"",ROW($I$16:$I$65)-ROW($I$16)+1),ROWS(I$16:$I54))))</f>
        <v/>
      </c>
      <c r="Y54" s="349" t="str">
        <f t="shared" si="1"/>
        <v/>
      </c>
      <c r="Z54" s="349" t="str">
        <f t="shared" si="28"/>
        <v/>
      </c>
      <c r="AA54" s="349" t="str">
        <f t="shared" si="29"/>
        <v/>
      </c>
      <c r="AB54" s="362" t="str">
        <f t="shared" si="30"/>
        <v/>
      </c>
      <c r="AC54" s="745" t="str">
        <f t="shared" si="31"/>
        <v/>
      </c>
      <c r="AD54" s="134" t="s">
        <v>1209</v>
      </c>
      <c r="AE54" s="135" t="str">
        <f t="shared" si="32"/>
        <v/>
      </c>
      <c r="AF54" s="135" t="str">
        <f t="shared" si="33"/>
        <v/>
      </c>
      <c r="AG54" s="278" t="str">
        <f>IF(VLOOKUP(Y54,ExteriorTradableData!B$10:R$59,17,FALSE)&gt;0,AC54,0)</f>
        <v/>
      </c>
      <c r="AH54" s="135"/>
      <c r="AI54" s="43">
        <v>90</v>
      </c>
      <c r="AJ54" s="362" t="str">
        <f t="array" ref="AJ54">IF(ROWS(O$16:O54)&gt;COUNTA($O$16:$O$65),"",INDEX($N$16:$N$65,SMALL(IF($O$16:$O$65&lt;&gt;"",ROW($O$16:$O$65)-ROW($O$16)+1),ROWS($O$16:O54))))</f>
        <v/>
      </c>
      <c r="AK54" s="349" t="str">
        <f t="shared" si="8"/>
        <v/>
      </c>
      <c r="AL54" s="349" t="str">
        <f t="shared" si="34"/>
        <v/>
      </c>
      <c r="AM54" s="349" t="str">
        <f t="shared" si="35"/>
        <v/>
      </c>
      <c r="AN54" s="362" t="str">
        <f t="shared" si="36"/>
        <v/>
      </c>
      <c r="AO54" s="134" t="str">
        <f t="shared" si="37"/>
        <v/>
      </c>
      <c r="AP54" s="135" t="str">
        <f t="shared" si="38"/>
        <v/>
      </c>
      <c r="AR54" s="43">
        <v>39</v>
      </c>
      <c r="AS54" s="362" t="str">
        <f t="array" ref="AS54">IFERROR(IF(ROWS(Y$16:Y54)&gt;COUNTA($Y$16:$Y$116),"",INDEX($W$16:$W$116,SMALL(IF($Y$16:$Y$116&lt;&gt;"",ROW($Y$16:$Y$116)-ROW($Y$16)+1),ROWS($Y$16:Y54)))),"")</f>
        <v/>
      </c>
      <c r="AT54" s="349" t="str">
        <f t="shared" si="16"/>
        <v/>
      </c>
      <c r="AU54" s="349" t="str">
        <f t="shared" si="17"/>
        <v/>
      </c>
      <c r="AV54" s="349" t="str">
        <f t="shared" si="18"/>
        <v/>
      </c>
      <c r="AW54" s="362" t="str">
        <f t="shared" si="25"/>
        <v/>
      </c>
      <c r="AX54" s="362" t="str">
        <f t="shared" si="19"/>
        <v/>
      </c>
      <c r="AY54" s="1107" t="str">
        <f t="shared" si="20"/>
        <v/>
      </c>
      <c r="BA54" s="93">
        <v>39</v>
      </c>
      <c r="BB54" s="357" t="str">
        <f>'Int Room Schedule'!Y54</f>
        <v/>
      </c>
      <c r="BC54" s="358" t="str">
        <f>'Int Room Schedule'!Z54</f>
        <v/>
      </c>
      <c r="BD54" s="358" t="str">
        <f>'Int Room Schedule'!AA54</f>
        <v/>
      </c>
      <c r="BE54" s="358" t="str">
        <f>'Int Room Schedule'!AB54</f>
        <v/>
      </c>
      <c r="BF54" s="358" t="str">
        <f>'Int Room Schedule'!AC54</f>
        <v/>
      </c>
      <c r="BG54" s="417" t="str">
        <f>'Int Room Schedule'!AD54</f>
        <v/>
      </c>
      <c r="BH54" s="95" t="s">
        <v>14</v>
      </c>
      <c r="BI54" s="362" t="str">
        <f t="array" ref="BI54">IFERROR(IF(ROWS(BC$16:BC54)&gt;COUNTA($BC$16:$BC$116),"",INDEX($BA$16:$BA$116,SMALL(IF($BC$16:$BC$116&lt;&gt;"",ROW($BC$16:$BC$116)-ROW($BC$16)+1),ROWS($BC$16:BC54)))),"")</f>
        <v/>
      </c>
      <c r="BJ54" s="349" t="str">
        <f t="shared" si="21"/>
        <v/>
      </c>
      <c r="BK54" s="362" t="str">
        <f t="shared" si="22"/>
        <v/>
      </c>
      <c r="BL54" s="362" t="str">
        <f t="shared" si="23"/>
        <v/>
      </c>
      <c r="BM54" s="413" t="str">
        <f t="shared" si="24"/>
        <v/>
      </c>
    </row>
    <row r="55" spans="8:65" x14ac:dyDescent="0.25">
      <c r="H55" s="169">
        <v>40</v>
      </c>
      <c r="I55" s="1082"/>
      <c r="J55" s="1079"/>
      <c r="K55" s="1083"/>
      <c r="L55" s="1081" t="str">
        <f t="shared" si="26"/>
        <v/>
      </c>
      <c r="N55" s="169">
        <v>40</v>
      </c>
      <c r="O55" s="1082"/>
      <c r="P55" s="1079"/>
      <c r="Q55" s="1083"/>
      <c r="R55" s="1036" t="str">
        <f t="shared" si="27"/>
        <v/>
      </c>
      <c r="W55" s="43">
        <v>40</v>
      </c>
      <c r="X55" s="362" t="str">
        <f t="array" ref="X55">IF(ROWS(I$16:I55)&gt;COUNTA($I$16:$I$65),"",INDEX($H$16:$H$65,SMALL(IF($I$16:$I$65&lt;&gt;"",ROW($I$16:$I$65)-ROW($I$16)+1),ROWS(I$16:$I55))))</f>
        <v/>
      </c>
      <c r="Y55" s="349" t="str">
        <f t="shared" si="1"/>
        <v/>
      </c>
      <c r="Z55" s="349" t="str">
        <f t="shared" si="28"/>
        <v/>
      </c>
      <c r="AA55" s="349" t="str">
        <f t="shared" si="29"/>
        <v/>
      </c>
      <c r="AB55" s="362" t="str">
        <f t="shared" si="30"/>
        <v/>
      </c>
      <c r="AC55" s="745" t="str">
        <f t="shared" si="31"/>
        <v/>
      </c>
      <c r="AD55" s="134" t="s">
        <v>1209</v>
      </c>
      <c r="AE55" s="135" t="str">
        <f t="shared" si="32"/>
        <v/>
      </c>
      <c r="AF55" s="135" t="str">
        <f t="shared" si="33"/>
        <v/>
      </c>
      <c r="AG55" s="278" t="str">
        <f>IF(VLOOKUP(Y55,ExteriorTradableData!B$10:R$59,17,FALSE)&gt;0,AC55,0)</f>
        <v/>
      </c>
      <c r="AH55" s="135"/>
      <c r="AI55" s="43">
        <v>91</v>
      </c>
      <c r="AJ55" s="362" t="str">
        <f t="array" ref="AJ55">IF(ROWS(O$16:O55)&gt;COUNTA($O$16:$O$65),"",INDEX($N$16:$N$65,SMALL(IF($O$16:$O$65&lt;&gt;"",ROW($O$16:$O$65)-ROW($O$16)+1),ROWS($O$16:O55))))</f>
        <v/>
      </c>
      <c r="AK55" s="349" t="str">
        <f t="shared" si="8"/>
        <v/>
      </c>
      <c r="AL55" s="349" t="str">
        <f t="shared" si="34"/>
        <v/>
      </c>
      <c r="AM55" s="349" t="str">
        <f t="shared" si="35"/>
        <v/>
      </c>
      <c r="AN55" s="362" t="str">
        <f t="shared" si="36"/>
        <v/>
      </c>
      <c r="AO55" s="134" t="str">
        <f t="shared" si="37"/>
        <v/>
      </c>
      <c r="AP55" s="135" t="str">
        <f t="shared" si="38"/>
        <v/>
      </c>
      <c r="AR55" s="43">
        <v>40</v>
      </c>
      <c r="AS55" s="362" t="str">
        <f t="array" ref="AS55">IFERROR(IF(ROWS(Y$16:Y55)&gt;COUNTA($Y$16:$Y$116),"",INDEX($W$16:$W$116,SMALL(IF($Y$16:$Y$116&lt;&gt;"",ROW($Y$16:$Y$116)-ROW($Y$16)+1),ROWS($Y$16:Y55)))),"")</f>
        <v/>
      </c>
      <c r="AT55" s="349" t="str">
        <f t="shared" si="16"/>
        <v/>
      </c>
      <c r="AU55" s="349" t="str">
        <f t="shared" si="17"/>
        <v/>
      </c>
      <c r="AV55" s="349" t="str">
        <f t="shared" si="18"/>
        <v/>
      </c>
      <c r="AW55" s="362" t="str">
        <f t="shared" si="25"/>
        <v/>
      </c>
      <c r="AX55" s="362" t="str">
        <f t="shared" si="19"/>
        <v/>
      </c>
      <c r="AY55" s="1107" t="str">
        <f t="shared" si="20"/>
        <v/>
      </c>
      <c r="BA55" s="42">
        <v>40</v>
      </c>
      <c r="BB55" s="357" t="str">
        <f>'Int Room Schedule'!Y55</f>
        <v/>
      </c>
      <c r="BC55" s="358" t="str">
        <f>'Int Room Schedule'!Z55</f>
        <v/>
      </c>
      <c r="BD55" s="358" t="str">
        <f>'Int Room Schedule'!AA55</f>
        <v/>
      </c>
      <c r="BE55" s="358" t="str">
        <f>'Int Room Schedule'!AB55</f>
        <v/>
      </c>
      <c r="BF55" s="358" t="str">
        <f>'Int Room Schedule'!AC55</f>
        <v/>
      </c>
      <c r="BG55" s="417" t="str">
        <f>'Int Room Schedule'!AD55</f>
        <v/>
      </c>
      <c r="BH55" s="95" t="s">
        <v>14</v>
      </c>
      <c r="BI55" s="362" t="str">
        <f t="array" ref="BI55">IFERROR(IF(ROWS(BC$16:BC55)&gt;COUNTA($BC$16:$BC$116),"",INDEX($BA$16:$BA$116,SMALL(IF($BC$16:$BC$116&lt;&gt;"",ROW($BC$16:$BC$116)-ROW($BC$16)+1),ROWS($BC$16:BC55)))),"")</f>
        <v/>
      </c>
      <c r="BJ55" s="349" t="str">
        <f t="shared" si="21"/>
        <v/>
      </c>
      <c r="BK55" s="362" t="str">
        <f t="shared" si="22"/>
        <v/>
      </c>
      <c r="BL55" s="362" t="str">
        <f t="shared" si="23"/>
        <v/>
      </c>
      <c r="BM55" s="413" t="str">
        <f t="shared" si="24"/>
        <v/>
      </c>
    </row>
    <row r="56" spans="8:65" x14ac:dyDescent="0.25">
      <c r="H56" s="169">
        <v>41</v>
      </c>
      <c r="I56" s="1082"/>
      <c r="J56" s="1079"/>
      <c r="K56" s="1083"/>
      <c r="L56" s="1081" t="str">
        <f t="shared" si="26"/>
        <v/>
      </c>
      <c r="N56" s="169">
        <v>41</v>
      </c>
      <c r="O56" s="1082"/>
      <c r="P56" s="1079"/>
      <c r="Q56" s="1083"/>
      <c r="R56" s="1036" t="str">
        <f t="shared" si="27"/>
        <v/>
      </c>
      <c r="W56" s="43">
        <v>41</v>
      </c>
      <c r="X56" s="362" t="str">
        <f t="array" ref="X56">IF(ROWS(I$16:I56)&gt;COUNTA($I$16:$I$65),"",INDEX($H$16:$H$65,SMALL(IF($I$16:$I$65&lt;&gt;"",ROW($I$16:$I$65)-ROW($I$16)+1),ROWS(I$16:$I56))))</f>
        <v/>
      </c>
      <c r="Y56" s="349" t="str">
        <f t="shared" si="1"/>
        <v/>
      </c>
      <c r="Z56" s="349" t="str">
        <f t="shared" si="28"/>
        <v/>
      </c>
      <c r="AA56" s="349" t="str">
        <f t="shared" si="29"/>
        <v/>
      </c>
      <c r="AB56" s="362" t="str">
        <f t="shared" si="30"/>
        <v/>
      </c>
      <c r="AC56" s="745" t="str">
        <f t="shared" si="31"/>
        <v/>
      </c>
      <c r="AD56" s="134" t="s">
        <v>1209</v>
      </c>
      <c r="AE56" s="135" t="str">
        <f t="shared" si="32"/>
        <v/>
      </c>
      <c r="AF56" s="135" t="str">
        <f t="shared" si="33"/>
        <v/>
      </c>
      <c r="AG56" s="278" t="str">
        <f>IF(VLOOKUP(Y56,ExteriorTradableData!B$10:R$59,17,FALSE)&gt;0,AC56,0)</f>
        <v/>
      </c>
      <c r="AH56" s="135"/>
      <c r="AI56" s="43">
        <v>92</v>
      </c>
      <c r="AJ56" s="362" t="str">
        <f t="array" ref="AJ56">IF(ROWS(O$16:O56)&gt;COUNTA($O$16:$O$65),"",INDEX($N$16:$N$65,SMALL(IF($O$16:$O$65&lt;&gt;"",ROW($O$16:$O$65)-ROW($O$16)+1),ROWS($O$16:O56))))</f>
        <v/>
      </c>
      <c r="AK56" s="349" t="str">
        <f t="shared" si="8"/>
        <v/>
      </c>
      <c r="AL56" s="349" t="str">
        <f t="shared" si="34"/>
        <v/>
      </c>
      <c r="AM56" s="349" t="str">
        <f t="shared" si="35"/>
        <v/>
      </c>
      <c r="AN56" s="362" t="str">
        <f t="shared" si="36"/>
        <v/>
      </c>
      <c r="AO56" s="134" t="str">
        <f t="shared" si="37"/>
        <v/>
      </c>
      <c r="AP56" s="135" t="str">
        <f t="shared" si="38"/>
        <v/>
      </c>
      <c r="AR56" s="43">
        <v>41</v>
      </c>
      <c r="AS56" s="362" t="str">
        <f t="array" ref="AS56">IFERROR(IF(ROWS(Y$16:Y56)&gt;COUNTA($Y$16:$Y$116),"",INDEX($W$16:$W$116,SMALL(IF($Y$16:$Y$116&lt;&gt;"",ROW($Y$16:$Y$116)-ROW($Y$16)+1),ROWS($Y$16:Y56)))),"")</f>
        <v/>
      </c>
      <c r="AT56" s="349" t="str">
        <f t="shared" si="16"/>
        <v/>
      </c>
      <c r="AU56" s="349" t="str">
        <f t="shared" si="17"/>
        <v/>
      </c>
      <c r="AV56" s="349" t="str">
        <f t="shared" si="18"/>
        <v/>
      </c>
      <c r="AW56" s="362" t="str">
        <f t="shared" si="25"/>
        <v/>
      </c>
      <c r="AX56" s="362" t="str">
        <f t="shared" si="19"/>
        <v/>
      </c>
      <c r="AY56" s="1107" t="str">
        <f t="shared" si="20"/>
        <v/>
      </c>
      <c r="BA56" s="93">
        <v>41</v>
      </c>
      <c r="BB56" s="357" t="str">
        <f>'Int Room Schedule'!Y56</f>
        <v/>
      </c>
      <c r="BC56" s="358" t="str">
        <f>'Int Room Schedule'!Z56</f>
        <v/>
      </c>
      <c r="BD56" s="358" t="str">
        <f>'Int Room Schedule'!AA56</f>
        <v/>
      </c>
      <c r="BE56" s="358" t="str">
        <f>'Int Room Schedule'!AB56</f>
        <v/>
      </c>
      <c r="BF56" s="358" t="str">
        <f>'Int Room Schedule'!AC56</f>
        <v/>
      </c>
      <c r="BG56" s="417" t="str">
        <f>'Int Room Schedule'!AD56</f>
        <v/>
      </c>
      <c r="BH56" s="95" t="s">
        <v>14</v>
      </c>
      <c r="BI56" s="362" t="str">
        <f t="array" ref="BI56">IFERROR(IF(ROWS(BC$16:BC56)&gt;COUNTA($BC$16:$BC$116),"",INDEX($BA$16:$BA$116,SMALL(IF($BC$16:$BC$116&lt;&gt;"",ROW($BC$16:$BC$116)-ROW($BC$16)+1),ROWS($BC$16:BC56)))),"")</f>
        <v/>
      </c>
      <c r="BJ56" s="349" t="str">
        <f t="shared" si="21"/>
        <v/>
      </c>
      <c r="BK56" s="362" t="str">
        <f t="shared" si="22"/>
        <v/>
      </c>
      <c r="BL56" s="362" t="str">
        <f t="shared" si="23"/>
        <v/>
      </c>
      <c r="BM56" s="413" t="str">
        <f t="shared" si="24"/>
        <v/>
      </c>
    </row>
    <row r="57" spans="8:65" x14ac:dyDescent="0.25">
      <c r="H57" s="169">
        <v>42</v>
      </c>
      <c r="I57" s="1082"/>
      <c r="J57" s="1079"/>
      <c r="K57" s="1083"/>
      <c r="L57" s="1081" t="str">
        <f t="shared" si="26"/>
        <v/>
      </c>
      <c r="N57" s="169">
        <v>42</v>
      </c>
      <c r="O57" s="1082"/>
      <c r="P57" s="1079"/>
      <c r="Q57" s="1083"/>
      <c r="R57" s="1036" t="str">
        <f t="shared" si="27"/>
        <v/>
      </c>
      <c r="W57" s="43">
        <v>42</v>
      </c>
      <c r="X57" s="362" t="str">
        <f t="array" ref="X57">IF(ROWS(I$16:I57)&gt;COUNTA($I$16:$I$65),"",INDEX($H$16:$H$65,SMALL(IF($I$16:$I$65&lt;&gt;"",ROW($I$16:$I$65)-ROW($I$16)+1),ROWS(I$16:$I57))))</f>
        <v/>
      </c>
      <c r="Y57" s="349" t="str">
        <f t="shared" si="1"/>
        <v/>
      </c>
      <c r="Z57" s="349" t="str">
        <f t="shared" si="28"/>
        <v/>
      </c>
      <c r="AA57" s="349" t="str">
        <f t="shared" si="29"/>
        <v/>
      </c>
      <c r="AB57" s="362" t="str">
        <f t="shared" si="30"/>
        <v/>
      </c>
      <c r="AC57" s="745" t="str">
        <f t="shared" si="31"/>
        <v/>
      </c>
      <c r="AD57" s="134" t="s">
        <v>1209</v>
      </c>
      <c r="AE57" s="135" t="str">
        <f t="shared" si="32"/>
        <v/>
      </c>
      <c r="AF57" s="135" t="str">
        <f t="shared" si="33"/>
        <v/>
      </c>
      <c r="AG57" s="278" t="str">
        <f>IF(VLOOKUP(Y57,ExteriorTradableData!B$10:R$59,17,FALSE)&gt;0,AC57,0)</f>
        <v/>
      </c>
      <c r="AH57" s="135"/>
      <c r="AI57" s="43">
        <v>93</v>
      </c>
      <c r="AJ57" s="362" t="str">
        <f t="array" ref="AJ57">IF(ROWS(O$16:O57)&gt;COUNTA($O$16:$O$65),"",INDEX($N$16:$N$65,SMALL(IF($O$16:$O$65&lt;&gt;"",ROW($O$16:$O$65)-ROW($O$16)+1),ROWS($O$16:O57))))</f>
        <v/>
      </c>
      <c r="AK57" s="349" t="str">
        <f t="shared" si="8"/>
        <v/>
      </c>
      <c r="AL57" s="349" t="str">
        <f t="shared" si="34"/>
        <v/>
      </c>
      <c r="AM57" s="349" t="str">
        <f t="shared" si="35"/>
        <v/>
      </c>
      <c r="AN57" s="362" t="str">
        <f t="shared" si="36"/>
        <v/>
      </c>
      <c r="AO57" s="134" t="str">
        <f t="shared" si="37"/>
        <v/>
      </c>
      <c r="AP57" s="135" t="str">
        <f t="shared" si="38"/>
        <v/>
      </c>
      <c r="AR57" s="43">
        <v>42</v>
      </c>
      <c r="AS57" s="362" t="str">
        <f t="array" ref="AS57">IFERROR(IF(ROWS(Y$16:Y57)&gt;COUNTA($Y$16:$Y$116),"",INDEX($W$16:$W$116,SMALL(IF($Y$16:$Y$116&lt;&gt;"",ROW($Y$16:$Y$116)-ROW($Y$16)+1),ROWS($Y$16:Y57)))),"")</f>
        <v/>
      </c>
      <c r="AT57" s="349" t="str">
        <f t="shared" si="16"/>
        <v/>
      </c>
      <c r="AU57" s="349" t="str">
        <f t="shared" si="17"/>
        <v/>
      </c>
      <c r="AV57" s="349" t="str">
        <f t="shared" si="18"/>
        <v/>
      </c>
      <c r="AW57" s="362" t="str">
        <f t="shared" si="25"/>
        <v/>
      </c>
      <c r="AX57" s="362" t="str">
        <f t="shared" si="19"/>
        <v/>
      </c>
      <c r="AY57" s="1107" t="str">
        <f t="shared" si="20"/>
        <v/>
      </c>
      <c r="BA57" s="42">
        <v>42</v>
      </c>
      <c r="BB57" s="357" t="str">
        <f>'Int Room Schedule'!Y57</f>
        <v/>
      </c>
      <c r="BC57" s="358" t="str">
        <f>'Int Room Schedule'!Z57</f>
        <v/>
      </c>
      <c r="BD57" s="358" t="str">
        <f>'Int Room Schedule'!AA57</f>
        <v/>
      </c>
      <c r="BE57" s="358" t="str">
        <f>'Int Room Schedule'!AB57</f>
        <v/>
      </c>
      <c r="BF57" s="358" t="str">
        <f>'Int Room Schedule'!AC57</f>
        <v/>
      </c>
      <c r="BG57" s="417" t="str">
        <f>'Int Room Schedule'!AD57</f>
        <v/>
      </c>
      <c r="BH57" s="95" t="s">
        <v>14</v>
      </c>
      <c r="BI57" s="362" t="str">
        <f t="array" ref="BI57">IFERROR(IF(ROWS(BC$16:BC57)&gt;COUNTA($BC$16:$BC$116),"",INDEX($BA$16:$BA$116,SMALL(IF($BC$16:$BC$116&lt;&gt;"",ROW($BC$16:$BC$116)-ROW($BC$16)+1),ROWS($BC$16:BC57)))),"")</f>
        <v/>
      </c>
      <c r="BJ57" s="349" t="str">
        <f t="shared" si="21"/>
        <v/>
      </c>
      <c r="BK57" s="362" t="str">
        <f t="shared" si="22"/>
        <v/>
      </c>
      <c r="BL57" s="362" t="str">
        <f t="shared" si="23"/>
        <v/>
      </c>
      <c r="BM57" s="413" t="str">
        <f t="shared" si="24"/>
        <v/>
      </c>
    </row>
    <row r="58" spans="8:65" x14ac:dyDescent="0.25">
      <c r="H58" s="169">
        <v>43</v>
      </c>
      <c r="I58" s="1082"/>
      <c r="J58" s="1079"/>
      <c r="K58" s="1083"/>
      <c r="L58" s="1081" t="str">
        <f t="shared" si="26"/>
        <v/>
      </c>
      <c r="N58" s="169">
        <v>43</v>
      </c>
      <c r="O58" s="1082"/>
      <c r="P58" s="1079"/>
      <c r="Q58" s="1083"/>
      <c r="R58" s="1036" t="str">
        <f t="shared" si="27"/>
        <v/>
      </c>
      <c r="W58" s="43">
        <v>43</v>
      </c>
      <c r="X58" s="362" t="str">
        <f t="array" ref="X58">IF(ROWS(I$16:I58)&gt;COUNTA($I$16:$I$65),"",INDEX($H$16:$H$65,SMALL(IF($I$16:$I$65&lt;&gt;"",ROW($I$16:$I$65)-ROW($I$16)+1),ROWS(I$16:$I58))))</f>
        <v/>
      </c>
      <c r="Y58" s="349" t="str">
        <f t="shared" si="1"/>
        <v/>
      </c>
      <c r="Z58" s="349" t="str">
        <f t="shared" si="28"/>
        <v/>
      </c>
      <c r="AA58" s="349" t="str">
        <f t="shared" si="29"/>
        <v/>
      </c>
      <c r="AB58" s="362" t="str">
        <f t="shared" si="30"/>
        <v/>
      </c>
      <c r="AC58" s="745" t="str">
        <f t="shared" si="31"/>
        <v/>
      </c>
      <c r="AD58" s="134" t="s">
        <v>1209</v>
      </c>
      <c r="AE58" s="135" t="str">
        <f t="shared" si="32"/>
        <v/>
      </c>
      <c r="AF58" s="135" t="str">
        <f t="shared" si="33"/>
        <v/>
      </c>
      <c r="AG58" s="278" t="str">
        <f>IF(VLOOKUP(Y58,ExteriorTradableData!B$10:R$59,17,FALSE)&gt;0,AC58,0)</f>
        <v/>
      </c>
      <c r="AH58" s="135"/>
      <c r="AI58" s="43">
        <v>94</v>
      </c>
      <c r="AJ58" s="362" t="str">
        <f t="array" ref="AJ58">IF(ROWS(O$16:O58)&gt;COUNTA($O$16:$O$65),"",INDEX($N$16:$N$65,SMALL(IF($O$16:$O$65&lt;&gt;"",ROW($O$16:$O$65)-ROW($O$16)+1),ROWS($O$16:O58))))</f>
        <v/>
      </c>
      <c r="AK58" s="349" t="str">
        <f t="shared" si="8"/>
        <v/>
      </c>
      <c r="AL58" s="349" t="str">
        <f t="shared" si="34"/>
        <v/>
      </c>
      <c r="AM58" s="349" t="str">
        <f t="shared" si="35"/>
        <v/>
      </c>
      <c r="AN58" s="362" t="str">
        <f t="shared" si="36"/>
        <v/>
      </c>
      <c r="AO58" s="134" t="str">
        <f t="shared" si="37"/>
        <v/>
      </c>
      <c r="AP58" s="135" t="str">
        <f t="shared" si="38"/>
        <v/>
      </c>
      <c r="AR58" s="43">
        <v>43</v>
      </c>
      <c r="AS58" s="362" t="str">
        <f t="array" ref="AS58">IFERROR(IF(ROWS(Y$16:Y58)&gt;COUNTA($Y$16:$Y$116),"",INDEX($W$16:$W$116,SMALL(IF($Y$16:$Y$116&lt;&gt;"",ROW($Y$16:$Y$116)-ROW($Y$16)+1),ROWS($Y$16:Y58)))),"")</f>
        <v/>
      </c>
      <c r="AT58" s="349" t="str">
        <f t="shared" si="16"/>
        <v/>
      </c>
      <c r="AU58" s="349" t="str">
        <f t="shared" si="17"/>
        <v/>
      </c>
      <c r="AV58" s="349" t="str">
        <f t="shared" si="18"/>
        <v/>
      </c>
      <c r="AW58" s="362" t="str">
        <f t="shared" si="25"/>
        <v/>
      </c>
      <c r="AX58" s="362" t="str">
        <f t="shared" si="19"/>
        <v/>
      </c>
      <c r="AY58" s="1107" t="str">
        <f t="shared" si="20"/>
        <v/>
      </c>
      <c r="BA58" s="93">
        <v>43</v>
      </c>
      <c r="BB58" s="357" t="str">
        <f>'Int Room Schedule'!Y58</f>
        <v/>
      </c>
      <c r="BC58" s="358" t="str">
        <f>'Int Room Schedule'!Z58</f>
        <v/>
      </c>
      <c r="BD58" s="358" t="str">
        <f>'Int Room Schedule'!AA58</f>
        <v/>
      </c>
      <c r="BE58" s="358" t="str">
        <f>'Int Room Schedule'!AB58</f>
        <v/>
      </c>
      <c r="BF58" s="358" t="str">
        <f>'Int Room Schedule'!AC58</f>
        <v/>
      </c>
      <c r="BG58" s="417" t="str">
        <f>'Int Room Schedule'!AD58</f>
        <v/>
      </c>
      <c r="BH58" s="95" t="s">
        <v>14</v>
      </c>
      <c r="BI58" s="362" t="str">
        <f t="array" ref="BI58">IFERROR(IF(ROWS(BC$16:BC58)&gt;COUNTA($BC$16:$BC$116),"",INDEX($BA$16:$BA$116,SMALL(IF($BC$16:$BC$116&lt;&gt;"",ROW($BC$16:$BC$116)-ROW($BC$16)+1),ROWS($BC$16:BC58)))),"")</f>
        <v/>
      </c>
      <c r="BJ58" s="349" t="str">
        <f t="shared" si="21"/>
        <v/>
      </c>
      <c r="BK58" s="362" t="str">
        <f t="shared" si="22"/>
        <v/>
      </c>
      <c r="BL58" s="362" t="str">
        <f t="shared" si="23"/>
        <v/>
      </c>
      <c r="BM58" s="413" t="str">
        <f t="shared" si="24"/>
        <v/>
      </c>
    </row>
    <row r="59" spans="8:65" x14ac:dyDescent="0.25">
      <c r="H59" s="169">
        <v>44</v>
      </c>
      <c r="I59" s="1082"/>
      <c r="J59" s="1079"/>
      <c r="K59" s="1083"/>
      <c r="L59" s="1081" t="str">
        <f t="shared" si="26"/>
        <v/>
      </c>
      <c r="N59" s="169">
        <v>44</v>
      </c>
      <c r="O59" s="1082"/>
      <c r="P59" s="1079"/>
      <c r="Q59" s="1083"/>
      <c r="R59" s="1036" t="str">
        <f t="shared" si="27"/>
        <v/>
      </c>
      <c r="W59" s="43">
        <v>44</v>
      </c>
      <c r="X59" s="362" t="str">
        <f t="array" ref="X59">IF(ROWS(I$16:I59)&gt;COUNTA($I$16:$I$65),"",INDEX($H$16:$H$65,SMALL(IF($I$16:$I$65&lt;&gt;"",ROW($I$16:$I$65)-ROW($I$16)+1),ROWS(I$16:$I59))))</f>
        <v/>
      </c>
      <c r="Y59" s="349" t="str">
        <f t="shared" si="1"/>
        <v/>
      </c>
      <c r="Z59" s="349" t="str">
        <f t="shared" si="28"/>
        <v/>
      </c>
      <c r="AA59" s="349" t="str">
        <f t="shared" si="29"/>
        <v/>
      </c>
      <c r="AB59" s="362" t="str">
        <f t="shared" si="30"/>
        <v/>
      </c>
      <c r="AC59" s="745" t="str">
        <f t="shared" si="31"/>
        <v/>
      </c>
      <c r="AD59" s="134" t="s">
        <v>1209</v>
      </c>
      <c r="AE59" s="135" t="str">
        <f t="shared" si="32"/>
        <v/>
      </c>
      <c r="AF59" s="135" t="str">
        <f t="shared" si="33"/>
        <v/>
      </c>
      <c r="AG59" s="278" t="str">
        <f>IF(VLOOKUP(Y59,ExteriorTradableData!B$10:R$59,17,FALSE)&gt;0,AC59,0)</f>
        <v/>
      </c>
      <c r="AH59" s="135"/>
      <c r="AI59" s="43">
        <v>95</v>
      </c>
      <c r="AJ59" s="362" t="str">
        <f t="array" ref="AJ59">IF(ROWS(O$16:O59)&gt;COUNTA($O$16:$O$65),"",INDEX($N$16:$N$65,SMALL(IF($O$16:$O$65&lt;&gt;"",ROW($O$16:$O$65)-ROW($O$16)+1),ROWS($O$16:O59))))</f>
        <v/>
      </c>
      <c r="AK59" s="349" t="str">
        <f t="shared" si="8"/>
        <v/>
      </c>
      <c r="AL59" s="349" t="str">
        <f t="shared" si="34"/>
        <v/>
      </c>
      <c r="AM59" s="349" t="str">
        <f t="shared" si="35"/>
        <v/>
      </c>
      <c r="AN59" s="362" t="str">
        <f t="shared" si="36"/>
        <v/>
      </c>
      <c r="AO59" s="134" t="str">
        <f t="shared" si="37"/>
        <v/>
      </c>
      <c r="AP59" s="135" t="str">
        <f t="shared" si="38"/>
        <v/>
      </c>
      <c r="AR59" s="43">
        <v>44</v>
      </c>
      <c r="AS59" s="362" t="str">
        <f t="array" ref="AS59">IFERROR(IF(ROWS(Y$16:Y59)&gt;COUNTA($Y$16:$Y$116),"",INDEX($W$16:$W$116,SMALL(IF($Y$16:$Y$116&lt;&gt;"",ROW($Y$16:$Y$116)-ROW($Y$16)+1),ROWS($Y$16:Y59)))),"")</f>
        <v/>
      </c>
      <c r="AT59" s="349" t="str">
        <f t="shared" si="16"/>
        <v/>
      </c>
      <c r="AU59" s="349" t="str">
        <f t="shared" si="17"/>
        <v/>
      </c>
      <c r="AV59" s="349" t="str">
        <f t="shared" si="18"/>
        <v/>
      </c>
      <c r="AW59" s="362" t="str">
        <f t="shared" si="25"/>
        <v/>
      </c>
      <c r="AX59" s="362" t="str">
        <f t="shared" si="19"/>
        <v/>
      </c>
      <c r="AY59" s="1107" t="str">
        <f t="shared" si="20"/>
        <v/>
      </c>
      <c r="BA59" s="42">
        <v>44</v>
      </c>
      <c r="BB59" s="357" t="str">
        <f>'Int Room Schedule'!Y59</f>
        <v/>
      </c>
      <c r="BC59" s="358" t="str">
        <f>'Int Room Schedule'!Z59</f>
        <v/>
      </c>
      <c r="BD59" s="358" t="str">
        <f>'Int Room Schedule'!AA59</f>
        <v/>
      </c>
      <c r="BE59" s="358" t="str">
        <f>'Int Room Schedule'!AB59</f>
        <v/>
      </c>
      <c r="BF59" s="358" t="str">
        <f>'Int Room Schedule'!AC59</f>
        <v/>
      </c>
      <c r="BG59" s="417" t="str">
        <f>'Int Room Schedule'!AD59</f>
        <v/>
      </c>
      <c r="BH59" s="95" t="s">
        <v>14</v>
      </c>
      <c r="BI59" s="362" t="str">
        <f t="array" ref="BI59">IFERROR(IF(ROWS(BC$16:BC59)&gt;COUNTA($BC$16:$BC$116),"",INDEX($BA$16:$BA$116,SMALL(IF($BC$16:$BC$116&lt;&gt;"",ROW($BC$16:$BC$116)-ROW($BC$16)+1),ROWS($BC$16:BC59)))),"")</f>
        <v/>
      </c>
      <c r="BJ59" s="349" t="str">
        <f t="shared" si="21"/>
        <v/>
      </c>
      <c r="BK59" s="362" t="str">
        <f t="shared" si="22"/>
        <v/>
      </c>
      <c r="BL59" s="362" t="str">
        <f t="shared" si="23"/>
        <v/>
      </c>
      <c r="BM59" s="413" t="str">
        <f t="shared" si="24"/>
        <v/>
      </c>
    </row>
    <row r="60" spans="8:65" x14ac:dyDescent="0.25">
      <c r="H60" s="169">
        <v>45</v>
      </c>
      <c r="I60" s="1082"/>
      <c r="J60" s="1079"/>
      <c r="K60" s="1083"/>
      <c r="L60" s="1081" t="str">
        <f t="shared" si="26"/>
        <v/>
      </c>
      <c r="N60" s="169">
        <v>45</v>
      </c>
      <c r="O60" s="1082"/>
      <c r="P60" s="1079"/>
      <c r="Q60" s="1083"/>
      <c r="R60" s="1036" t="str">
        <f t="shared" si="27"/>
        <v/>
      </c>
      <c r="W60" s="43">
        <v>45</v>
      </c>
      <c r="X60" s="362" t="str">
        <f t="array" ref="X60">IF(ROWS(I$16:I60)&gt;COUNTA($I$16:$I$65),"",INDEX($H$16:$H$65,SMALL(IF($I$16:$I$65&lt;&gt;"",ROW($I$16:$I$65)-ROW($I$16)+1),ROWS(I$16:$I60))))</f>
        <v/>
      </c>
      <c r="Y60" s="349" t="str">
        <f t="shared" si="1"/>
        <v/>
      </c>
      <c r="Z60" s="349" t="str">
        <f t="shared" si="28"/>
        <v/>
      </c>
      <c r="AA60" s="349" t="str">
        <f t="shared" si="29"/>
        <v/>
      </c>
      <c r="AB60" s="362" t="str">
        <f t="shared" si="30"/>
        <v/>
      </c>
      <c r="AC60" s="745" t="str">
        <f t="shared" si="31"/>
        <v/>
      </c>
      <c r="AD60" s="134" t="s">
        <v>1209</v>
      </c>
      <c r="AE60" s="135" t="str">
        <f t="shared" si="32"/>
        <v/>
      </c>
      <c r="AF60" s="135" t="str">
        <f t="shared" si="33"/>
        <v/>
      </c>
      <c r="AG60" s="278" t="str">
        <f>IF(VLOOKUP(Y60,ExteriorTradableData!B$10:R$59,17,FALSE)&gt;0,AC60,0)</f>
        <v/>
      </c>
      <c r="AH60" s="135"/>
      <c r="AI60" s="43">
        <v>96</v>
      </c>
      <c r="AJ60" s="362" t="str">
        <f t="array" ref="AJ60">IF(ROWS(O$16:O60)&gt;COUNTA($O$16:$O$65),"",INDEX($N$16:$N$65,SMALL(IF($O$16:$O$65&lt;&gt;"",ROW($O$16:$O$65)-ROW($O$16)+1),ROWS($O$16:O60))))</f>
        <v/>
      </c>
      <c r="AK60" s="349" t="str">
        <f t="shared" si="8"/>
        <v/>
      </c>
      <c r="AL60" s="349" t="str">
        <f t="shared" si="34"/>
        <v/>
      </c>
      <c r="AM60" s="349" t="str">
        <f t="shared" si="35"/>
        <v/>
      </c>
      <c r="AN60" s="362" t="str">
        <f t="shared" si="36"/>
        <v/>
      </c>
      <c r="AO60" s="134" t="str">
        <f t="shared" si="37"/>
        <v/>
      </c>
      <c r="AP60" s="135" t="str">
        <f t="shared" si="38"/>
        <v/>
      </c>
      <c r="AR60" s="43">
        <v>45</v>
      </c>
      <c r="AS60" s="362" t="str">
        <f t="array" ref="AS60">IFERROR(IF(ROWS(Y$16:Y60)&gt;COUNTA($Y$16:$Y$116),"",INDEX($W$16:$W$116,SMALL(IF($Y$16:$Y$116&lt;&gt;"",ROW($Y$16:$Y$116)-ROW($Y$16)+1),ROWS($Y$16:Y60)))),"")</f>
        <v/>
      </c>
      <c r="AT60" s="349" t="str">
        <f t="shared" si="16"/>
        <v/>
      </c>
      <c r="AU60" s="349" t="str">
        <f t="shared" si="17"/>
        <v/>
      </c>
      <c r="AV60" s="349" t="str">
        <f t="shared" si="18"/>
        <v/>
      </c>
      <c r="AW60" s="362" t="str">
        <f t="shared" si="25"/>
        <v/>
      </c>
      <c r="AX60" s="362" t="str">
        <f t="shared" si="19"/>
        <v/>
      </c>
      <c r="AY60" s="1107" t="str">
        <f t="shared" si="20"/>
        <v/>
      </c>
      <c r="BA60" s="93">
        <v>45</v>
      </c>
      <c r="BB60" s="357" t="str">
        <f>'Int Room Schedule'!Y60</f>
        <v/>
      </c>
      <c r="BC60" s="358" t="str">
        <f>'Int Room Schedule'!Z60</f>
        <v/>
      </c>
      <c r="BD60" s="358" t="str">
        <f>'Int Room Schedule'!AA60</f>
        <v/>
      </c>
      <c r="BE60" s="358" t="str">
        <f>'Int Room Schedule'!AB60</f>
        <v/>
      </c>
      <c r="BF60" s="358" t="str">
        <f>'Int Room Schedule'!AC60</f>
        <v/>
      </c>
      <c r="BG60" s="417" t="str">
        <f>'Int Room Schedule'!AD60</f>
        <v/>
      </c>
      <c r="BH60" s="95" t="s">
        <v>14</v>
      </c>
      <c r="BI60" s="362" t="str">
        <f t="array" ref="BI60">IFERROR(IF(ROWS(BC$16:BC60)&gt;COUNTA($BC$16:$BC$116),"",INDEX($BA$16:$BA$116,SMALL(IF($BC$16:$BC$116&lt;&gt;"",ROW($BC$16:$BC$116)-ROW($BC$16)+1),ROWS($BC$16:BC60)))),"")</f>
        <v/>
      </c>
      <c r="BJ60" s="349" t="str">
        <f t="shared" si="21"/>
        <v/>
      </c>
      <c r="BK60" s="362" t="str">
        <f t="shared" si="22"/>
        <v/>
      </c>
      <c r="BL60" s="362" t="str">
        <f t="shared" si="23"/>
        <v/>
      </c>
      <c r="BM60" s="413" t="str">
        <f t="shared" si="24"/>
        <v/>
      </c>
    </row>
    <row r="61" spans="8:65" x14ac:dyDescent="0.25">
      <c r="H61" s="169">
        <v>46</v>
      </c>
      <c r="I61" s="1082"/>
      <c r="J61" s="1079"/>
      <c r="K61" s="1083"/>
      <c r="L61" s="1081" t="str">
        <f t="shared" si="26"/>
        <v/>
      </c>
      <c r="N61" s="169">
        <v>46</v>
      </c>
      <c r="O61" s="1082"/>
      <c r="P61" s="1079"/>
      <c r="Q61" s="1083"/>
      <c r="R61" s="1036" t="str">
        <f t="shared" si="27"/>
        <v/>
      </c>
      <c r="W61" s="43">
        <v>46</v>
      </c>
      <c r="X61" s="362" t="str">
        <f t="array" ref="X61">IF(ROWS(I$16:I61)&gt;COUNTA($I$16:$I$65),"",INDEX($H$16:$H$65,SMALL(IF($I$16:$I$65&lt;&gt;"",ROW($I$16:$I$65)-ROW($I$16)+1),ROWS(I$16:$I61))))</f>
        <v/>
      </c>
      <c r="Y61" s="349" t="str">
        <f t="shared" si="1"/>
        <v/>
      </c>
      <c r="Z61" s="349" t="str">
        <f t="shared" si="28"/>
        <v/>
      </c>
      <c r="AA61" s="349" t="str">
        <f t="shared" si="29"/>
        <v/>
      </c>
      <c r="AB61" s="362" t="str">
        <f t="shared" si="30"/>
        <v/>
      </c>
      <c r="AC61" s="745" t="str">
        <f t="shared" si="31"/>
        <v/>
      </c>
      <c r="AD61" s="134" t="s">
        <v>1209</v>
      </c>
      <c r="AE61" s="135" t="str">
        <f t="shared" si="32"/>
        <v/>
      </c>
      <c r="AF61" s="135" t="str">
        <f t="shared" si="33"/>
        <v/>
      </c>
      <c r="AG61" s="278" t="str">
        <f>IF(VLOOKUP(Y61,ExteriorTradableData!B$10:R$59,17,FALSE)&gt;0,AC61,0)</f>
        <v/>
      </c>
      <c r="AH61" s="135"/>
      <c r="AI61" s="43">
        <v>97</v>
      </c>
      <c r="AJ61" s="362" t="str">
        <f t="array" ref="AJ61">IF(ROWS(O$16:O61)&gt;COUNTA($O$16:$O$65),"",INDEX($N$16:$N$65,SMALL(IF($O$16:$O$65&lt;&gt;"",ROW($O$16:$O$65)-ROW($O$16)+1),ROWS($O$16:O61))))</f>
        <v/>
      </c>
      <c r="AK61" s="349" t="str">
        <f t="shared" si="8"/>
        <v/>
      </c>
      <c r="AL61" s="349" t="str">
        <f t="shared" si="34"/>
        <v/>
      </c>
      <c r="AM61" s="349" t="str">
        <f t="shared" si="35"/>
        <v/>
      </c>
      <c r="AN61" s="362" t="str">
        <f t="shared" si="36"/>
        <v/>
      </c>
      <c r="AO61" s="134" t="str">
        <f t="shared" si="37"/>
        <v/>
      </c>
      <c r="AP61" s="135" t="str">
        <f t="shared" si="38"/>
        <v/>
      </c>
      <c r="AR61" s="43">
        <v>46</v>
      </c>
      <c r="AS61" s="362" t="str">
        <f t="array" ref="AS61">IFERROR(IF(ROWS(Y$16:Y61)&gt;COUNTA($Y$16:$Y$116),"",INDEX($W$16:$W$116,SMALL(IF($Y$16:$Y$116&lt;&gt;"",ROW($Y$16:$Y$116)-ROW($Y$16)+1),ROWS($Y$16:Y61)))),"")</f>
        <v/>
      </c>
      <c r="AT61" s="349" t="str">
        <f t="shared" si="16"/>
        <v/>
      </c>
      <c r="AU61" s="349" t="str">
        <f t="shared" si="17"/>
        <v/>
      </c>
      <c r="AV61" s="349" t="str">
        <f t="shared" si="18"/>
        <v/>
      </c>
      <c r="AW61" s="362" t="str">
        <f t="shared" si="25"/>
        <v/>
      </c>
      <c r="AX61" s="362" t="str">
        <f t="shared" si="19"/>
        <v/>
      </c>
      <c r="AY61" s="1107" t="str">
        <f t="shared" si="20"/>
        <v/>
      </c>
      <c r="BA61" s="42">
        <v>46</v>
      </c>
      <c r="BB61" s="357" t="str">
        <f>'Int Room Schedule'!Y61</f>
        <v/>
      </c>
      <c r="BC61" s="358" t="str">
        <f>'Int Room Schedule'!Z61</f>
        <v/>
      </c>
      <c r="BD61" s="358" t="str">
        <f>'Int Room Schedule'!AA61</f>
        <v/>
      </c>
      <c r="BE61" s="358" t="str">
        <f>'Int Room Schedule'!AB61</f>
        <v/>
      </c>
      <c r="BF61" s="358" t="str">
        <f>'Int Room Schedule'!AC61</f>
        <v/>
      </c>
      <c r="BG61" s="417" t="str">
        <f>'Int Room Schedule'!AD61</f>
        <v/>
      </c>
      <c r="BH61" s="95" t="s">
        <v>14</v>
      </c>
      <c r="BI61" s="362" t="str">
        <f t="array" ref="BI61">IFERROR(IF(ROWS(BC$16:BC61)&gt;COUNTA($BC$16:$BC$116),"",INDEX($BA$16:$BA$116,SMALL(IF($BC$16:$BC$116&lt;&gt;"",ROW($BC$16:$BC$116)-ROW($BC$16)+1),ROWS($BC$16:BC61)))),"")</f>
        <v/>
      </c>
      <c r="BJ61" s="349" t="str">
        <f t="shared" si="21"/>
        <v/>
      </c>
      <c r="BK61" s="362" t="str">
        <f t="shared" si="22"/>
        <v/>
      </c>
      <c r="BL61" s="362" t="str">
        <f t="shared" si="23"/>
        <v/>
      </c>
      <c r="BM61" s="413" t="str">
        <f t="shared" si="24"/>
        <v/>
      </c>
    </row>
    <row r="62" spans="8:65" x14ac:dyDescent="0.25">
      <c r="H62" s="169">
        <v>47</v>
      </c>
      <c r="I62" s="1082"/>
      <c r="J62" s="1079"/>
      <c r="K62" s="1083"/>
      <c r="L62" s="1081" t="str">
        <f t="shared" si="26"/>
        <v/>
      </c>
      <c r="N62" s="169">
        <v>47</v>
      </c>
      <c r="O62" s="1082"/>
      <c r="P62" s="1079"/>
      <c r="Q62" s="1083"/>
      <c r="R62" s="1036" t="str">
        <f t="shared" si="27"/>
        <v/>
      </c>
      <c r="W62" s="43">
        <v>47</v>
      </c>
      <c r="X62" s="362" t="str">
        <f t="array" ref="X62">IF(ROWS(I$16:I62)&gt;COUNTA($I$16:$I$65),"",INDEX($H$16:$H$65,SMALL(IF($I$16:$I$65&lt;&gt;"",ROW($I$16:$I$65)-ROW($I$16)+1),ROWS(I$16:$I62))))</f>
        <v/>
      </c>
      <c r="Y62" s="349" t="str">
        <f t="shared" si="1"/>
        <v/>
      </c>
      <c r="Z62" s="349" t="str">
        <f t="shared" si="28"/>
        <v/>
      </c>
      <c r="AA62" s="349" t="str">
        <f t="shared" si="29"/>
        <v/>
      </c>
      <c r="AB62" s="362" t="str">
        <f t="shared" si="30"/>
        <v/>
      </c>
      <c r="AC62" s="745" t="str">
        <f t="shared" si="31"/>
        <v/>
      </c>
      <c r="AD62" s="134" t="s">
        <v>1209</v>
      </c>
      <c r="AE62" s="135" t="str">
        <f t="shared" si="32"/>
        <v/>
      </c>
      <c r="AF62" s="135" t="str">
        <f t="shared" si="33"/>
        <v/>
      </c>
      <c r="AG62" s="278" t="str">
        <f>IF(VLOOKUP(Y62,ExteriorTradableData!B$10:R$59,17,FALSE)&gt;0,AC62,0)</f>
        <v/>
      </c>
      <c r="AH62" s="135"/>
      <c r="AI62" s="43">
        <v>98</v>
      </c>
      <c r="AJ62" s="362" t="str">
        <f t="array" ref="AJ62">IF(ROWS(O$16:O62)&gt;COUNTA($O$16:$O$65),"",INDEX($N$16:$N$65,SMALL(IF($O$16:$O$65&lt;&gt;"",ROW($O$16:$O$65)-ROW($O$16)+1),ROWS($O$16:O62))))</f>
        <v/>
      </c>
      <c r="AK62" s="349" t="str">
        <f t="shared" si="8"/>
        <v/>
      </c>
      <c r="AL62" s="349" t="str">
        <f t="shared" si="34"/>
        <v/>
      </c>
      <c r="AM62" s="349" t="str">
        <f t="shared" si="35"/>
        <v/>
      </c>
      <c r="AN62" s="362" t="str">
        <f t="shared" si="36"/>
        <v/>
      </c>
      <c r="AO62" s="134" t="str">
        <f t="shared" si="37"/>
        <v/>
      </c>
      <c r="AP62" s="135" t="str">
        <f t="shared" si="38"/>
        <v/>
      </c>
      <c r="AR62" s="43">
        <v>47</v>
      </c>
      <c r="AS62" s="362" t="str">
        <f t="array" ref="AS62">IFERROR(IF(ROWS(Y$16:Y62)&gt;COUNTA($Y$16:$Y$116),"",INDEX($W$16:$W$116,SMALL(IF($Y$16:$Y$116&lt;&gt;"",ROW($Y$16:$Y$116)-ROW($Y$16)+1),ROWS($Y$16:Y62)))),"")</f>
        <v/>
      </c>
      <c r="AT62" s="349" t="str">
        <f t="shared" si="16"/>
        <v/>
      </c>
      <c r="AU62" s="349" t="str">
        <f t="shared" si="17"/>
        <v/>
      </c>
      <c r="AV62" s="349" t="str">
        <f t="shared" si="18"/>
        <v/>
      </c>
      <c r="AW62" s="362" t="str">
        <f t="shared" si="25"/>
        <v/>
      </c>
      <c r="AX62" s="362" t="str">
        <f t="shared" si="19"/>
        <v/>
      </c>
      <c r="AY62" s="1107" t="str">
        <f t="shared" si="20"/>
        <v/>
      </c>
      <c r="BA62" s="93">
        <v>47</v>
      </c>
      <c r="BB62" s="357" t="str">
        <f>'Int Room Schedule'!Y62</f>
        <v/>
      </c>
      <c r="BC62" s="358" t="str">
        <f>'Int Room Schedule'!Z62</f>
        <v/>
      </c>
      <c r="BD62" s="358" t="str">
        <f>'Int Room Schedule'!AA62</f>
        <v/>
      </c>
      <c r="BE62" s="358" t="str">
        <f>'Int Room Schedule'!AB62</f>
        <v/>
      </c>
      <c r="BF62" s="358" t="str">
        <f>'Int Room Schedule'!AC62</f>
        <v/>
      </c>
      <c r="BG62" s="417" t="str">
        <f>'Int Room Schedule'!AD62</f>
        <v/>
      </c>
      <c r="BH62" s="95" t="s">
        <v>14</v>
      </c>
      <c r="BI62" s="362" t="str">
        <f t="array" ref="BI62">IFERROR(IF(ROWS(BC$16:BC62)&gt;COUNTA($BC$16:$BC$116),"",INDEX($BA$16:$BA$116,SMALL(IF($BC$16:$BC$116&lt;&gt;"",ROW($BC$16:$BC$116)-ROW($BC$16)+1),ROWS($BC$16:BC62)))),"")</f>
        <v/>
      </c>
      <c r="BJ62" s="349" t="str">
        <f t="shared" si="21"/>
        <v/>
      </c>
      <c r="BK62" s="362" t="str">
        <f t="shared" si="22"/>
        <v/>
      </c>
      <c r="BL62" s="362" t="str">
        <f t="shared" si="23"/>
        <v/>
      </c>
      <c r="BM62" s="413" t="str">
        <f t="shared" si="24"/>
        <v/>
      </c>
    </row>
    <row r="63" spans="8:65" x14ac:dyDescent="0.25">
      <c r="H63" s="169">
        <v>48</v>
      </c>
      <c r="I63" s="1082"/>
      <c r="J63" s="1079"/>
      <c r="K63" s="1083"/>
      <c r="L63" s="1081" t="str">
        <f t="shared" si="26"/>
        <v/>
      </c>
      <c r="N63" s="169">
        <v>48</v>
      </c>
      <c r="O63" s="1082"/>
      <c r="P63" s="1079"/>
      <c r="Q63" s="1083"/>
      <c r="R63" s="1036" t="str">
        <f t="shared" si="27"/>
        <v/>
      </c>
      <c r="W63" s="43">
        <v>48</v>
      </c>
      <c r="X63" s="362" t="str">
        <f t="array" ref="X63">IF(ROWS(I$16:I63)&gt;COUNTA($I$16:$I$65),"",INDEX($H$16:$H$65,SMALL(IF($I$16:$I$65&lt;&gt;"",ROW($I$16:$I$65)-ROW($I$16)+1),ROWS(I$16:$I63))))</f>
        <v/>
      </c>
      <c r="Y63" s="349" t="str">
        <f t="shared" si="1"/>
        <v/>
      </c>
      <c r="Z63" s="349" t="str">
        <f t="shared" si="28"/>
        <v/>
      </c>
      <c r="AA63" s="349" t="str">
        <f t="shared" si="29"/>
        <v/>
      </c>
      <c r="AB63" s="362" t="str">
        <f t="shared" si="30"/>
        <v/>
      </c>
      <c r="AC63" s="745" t="str">
        <f t="shared" si="31"/>
        <v/>
      </c>
      <c r="AD63" s="134" t="s">
        <v>1209</v>
      </c>
      <c r="AE63" s="135" t="str">
        <f t="shared" si="32"/>
        <v/>
      </c>
      <c r="AF63" s="135" t="str">
        <f t="shared" si="33"/>
        <v/>
      </c>
      <c r="AG63" s="278" t="str">
        <f>IF(VLOOKUP(Y63,ExteriorTradableData!B$10:R$59,17,FALSE)&gt;0,AC63,0)</f>
        <v/>
      </c>
      <c r="AH63" s="135"/>
      <c r="AI63" s="43">
        <v>99</v>
      </c>
      <c r="AJ63" s="362" t="str">
        <f t="array" ref="AJ63">IF(ROWS(O$16:O63)&gt;COUNTA($O$16:$O$65),"",INDEX($N$16:$N$65,SMALL(IF($O$16:$O$65&lt;&gt;"",ROW($O$16:$O$65)-ROW($O$16)+1),ROWS($O$16:O63))))</f>
        <v/>
      </c>
      <c r="AK63" s="349" t="str">
        <f t="shared" si="8"/>
        <v/>
      </c>
      <c r="AL63" s="349" t="str">
        <f t="shared" si="34"/>
        <v/>
      </c>
      <c r="AM63" s="349" t="str">
        <f t="shared" si="35"/>
        <v/>
      </c>
      <c r="AN63" s="362" t="str">
        <f t="shared" si="36"/>
        <v/>
      </c>
      <c r="AO63" s="134" t="str">
        <f t="shared" si="37"/>
        <v/>
      </c>
      <c r="AP63" s="135" t="str">
        <f t="shared" si="38"/>
        <v/>
      </c>
      <c r="AR63" s="43">
        <v>48</v>
      </c>
      <c r="AS63" s="362" t="str">
        <f t="array" ref="AS63">IFERROR(IF(ROWS(Y$16:Y63)&gt;COUNTA($Y$16:$Y$116),"",INDEX($W$16:$W$116,SMALL(IF($Y$16:$Y$116&lt;&gt;"",ROW($Y$16:$Y$116)-ROW($Y$16)+1),ROWS($Y$16:Y63)))),"")</f>
        <v/>
      </c>
      <c r="AT63" s="349" t="str">
        <f t="shared" si="16"/>
        <v/>
      </c>
      <c r="AU63" s="349" t="str">
        <f t="shared" si="17"/>
        <v/>
      </c>
      <c r="AV63" s="349" t="str">
        <f t="shared" si="18"/>
        <v/>
      </c>
      <c r="AW63" s="362" t="str">
        <f t="shared" si="25"/>
        <v/>
      </c>
      <c r="AX63" s="362" t="str">
        <f t="shared" si="19"/>
        <v/>
      </c>
      <c r="AY63" s="1107" t="str">
        <f t="shared" si="20"/>
        <v/>
      </c>
      <c r="BA63" s="42">
        <v>48</v>
      </c>
      <c r="BB63" s="357" t="str">
        <f>'Int Room Schedule'!Y63</f>
        <v/>
      </c>
      <c r="BC63" s="358" t="str">
        <f>'Int Room Schedule'!Z63</f>
        <v/>
      </c>
      <c r="BD63" s="358" t="str">
        <f>'Int Room Schedule'!AA63</f>
        <v/>
      </c>
      <c r="BE63" s="358" t="str">
        <f>'Int Room Schedule'!AB63</f>
        <v/>
      </c>
      <c r="BF63" s="358" t="str">
        <f>'Int Room Schedule'!AC63</f>
        <v/>
      </c>
      <c r="BG63" s="417" t="str">
        <f>'Int Room Schedule'!AD63</f>
        <v/>
      </c>
      <c r="BH63" s="95" t="s">
        <v>14</v>
      </c>
      <c r="BI63" s="362" t="str">
        <f t="array" ref="BI63">IFERROR(IF(ROWS(BC$16:BC63)&gt;COUNTA($BC$16:$BC$116),"",INDEX($BA$16:$BA$116,SMALL(IF($BC$16:$BC$116&lt;&gt;"",ROW($BC$16:$BC$116)-ROW($BC$16)+1),ROWS($BC$16:BC63)))),"")</f>
        <v/>
      </c>
      <c r="BJ63" s="349" t="str">
        <f t="shared" si="21"/>
        <v/>
      </c>
      <c r="BK63" s="362" t="str">
        <f t="shared" si="22"/>
        <v/>
      </c>
      <c r="BL63" s="362" t="str">
        <f t="shared" si="23"/>
        <v/>
      </c>
      <c r="BM63" s="413" t="str">
        <f t="shared" si="24"/>
        <v/>
      </c>
    </row>
    <row r="64" spans="8:65" x14ac:dyDescent="0.25">
      <c r="H64" s="169">
        <v>49</v>
      </c>
      <c r="I64" s="1082"/>
      <c r="J64" s="1079"/>
      <c r="K64" s="1083"/>
      <c r="L64" s="1081" t="str">
        <f t="shared" si="26"/>
        <v/>
      </c>
      <c r="N64" s="169">
        <v>49</v>
      </c>
      <c r="O64" s="1082"/>
      <c r="P64" s="1079"/>
      <c r="Q64" s="1083"/>
      <c r="R64" s="1036" t="str">
        <f t="shared" si="27"/>
        <v/>
      </c>
      <c r="W64" s="43">
        <v>49</v>
      </c>
      <c r="X64" s="362" t="str">
        <f t="array" ref="X64">IF(ROWS(I$16:I64)&gt;COUNTA($I$16:$I$65),"",INDEX($H$16:$H$65,SMALL(IF($I$16:$I$65&lt;&gt;"",ROW($I$16:$I$65)-ROW($I$16)+1),ROWS(I$16:$I64))))</f>
        <v/>
      </c>
      <c r="Y64" s="349" t="str">
        <f t="shared" si="1"/>
        <v/>
      </c>
      <c r="Z64" s="349" t="str">
        <f t="shared" si="28"/>
        <v/>
      </c>
      <c r="AA64" s="349" t="str">
        <f t="shared" si="29"/>
        <v/>
      </c>
      <c r="AB64" s="362" t="str">
        <f t="shared" si="30"/>
        <v/>
      </c>
      <c r="AC64" s="745" t="str">
        <f t="shared" si="31"/>
        <v/>
      </c>
      <c r="AD64" s="134" t="s">
        <v>1209</v>
      </c>
      <c r="AE64" s="135" t="str">
        <f t="shared" si="32"/>
        <v/>
      </c>
      <c r="AF64" s="135" t="str">
        <f t="shared" si="33"/>
        <v/>
      </c>
      <c r="AG64" s="278" t="str">
        <f>IF(VLOOKUP(Y64,ExteriorTradableData!B$10:R$59,17,FALSE)&gt;0,AC64,0)</f>
        <v/>
      </c>
      <c r="AH64" s="135"/>
      <c r="AI64" s="43">
        <v>100</v>
      </c>
      <c r="AJ64" s="362" t="str">
        <f t="array" ref="AJ64">IF(ROWS(O$16:O64)&gt;COUNTA($O$16:$O$65),"",INDEX($N$16:$N$65,SMALL(IF($O$16:$O$65&lt;&gt;"",ROW($O$16:$O$65)-ROW($O$16)+1),ROWS($O$16:O64))))</f>
        <v/>
      </c>
      <c r="AK64" s="349" t="str">
        <f t="shared" si="8"/>
        <v/>
      </c>
      <c r="AL64" s="349" t="str">
        <f t="shared" si="34"/>
        <v/>
      </c>
      <c r="AM64" s="349" t="str">
        <f t="shared" si="35"/>
        <v/>
      </c>
      <c r="AN64" s="362" t="str">
        <f t="shared" si="36"/>
        <v/>
      </c>
      <c r="AO64" s="134" t="str">
        <f t="shared" si="37"/>
        <v/>
      </c>
      <c r="AP64" s="135" t="str">
        <f t="shared" si="38"/>
        <v/>
      </c>
      <c r="AR64" s="43">
        <v>49</v>
      </c>
      <c r="AS64" s="362" t="str">
        <f t="array" ref="AS64">IFERROR(IF(ROWS(Y$16:Y64)&gt;COUNTA($Y$16:$Y$116),"",INDEX($W$16:$W$116,SMALL(IF($Y$16:$Y$116&lt;&gt;"",ROW($Y$16:$Y$116)-ROW($Y$16)+1),ROWS($Y$16:Y64)))),"")</f>
        <v/>
      </c>
      <c r="AT64" s="349" t="str">
        <f t="shared" si="16"/>
        <v/>
      </c>
      <c r="AU64" s="349" t="str">
        <f t="shared" si="17"/>
        <v/>
      </c>
      <c r="AV64" s="349" t="str">
        <f t="shared" si="18"/>
        <v/>
      </c>
      <c r="AW64" s="362" t="str">
        <f t="shared" si="25"/>
        <v/>
      </c>
      <c r="AX64" s="362" t="str">
        <f t="shared" si="19"/>
        <v/>
      </c>
      <c r="AY64" s="1107" t="str">
        <f t="shared" si="20"/>
        <v/>
      </c>
      <c r="BA64" s="93">
        <v>49</v>
      </c>
      <c r="BB64" s="357" t="str">
        <f>'Int Room Schedule'!Y64</f>
        <v/>
      </c>
      <c r="BC64" s="358" t="str">
        <f>'Int Room Schedule'!Z64</f>
        <v/>
      </c>
      <c r="BD64" s="358" t="str">
        <f>'Int Room Schedule'!AA64</f>
        <v/>
      </c>
      <c r="BE64" s="358" t="str">
        <f>'Int Room Schedule'!AB64</f>
        <v/>
      </c>
      <c r="BF64" s="358" t="str">
        <f>'Int Room Schedule'!AC64</f>
        <v/>
      </c>
      <c r="BG64" s="417" t="str">
        <f>'Int Room Schedule'!AD64</f>
        <v/>
      </c>
      <c r="BH64" s="95" t="s">
        <v>14</v>
      </c>
      <c r="BI64" s="362" t="str">
        <f t="array" ref="BI64">IFERROR(IF(ROWS(BC$16:BC64)&gt;COUNTA($BC$16:$BC$116),"",INDEX($BA$16:$BA$116,SMALL(IF($BC$16:$BC$116&lt;&gt;"",ROW($BC$16:$BC$116)-ROW($BC$16)+1),ROWS($BC$16:BC64)))),"")</f>
        <v/>
      </c>
      <c r="BJ64" s="349" t="str">
        <f t="shared" si="21"/>
        <v/>
      </c>
      <c r="BK64" s="362" t="str">
        <f t="shared" si="22"/>
        <v/>
      </c>
      <c r="BL64" s="362" t="str">
        <f t="shared" si="23"/>
        <v/>
      </c>
      <c r="BM64" s="413" t="str">
        <f t="shared" si="24"/>
        <v/>
      </c>
    </row>
    <row r="65" spans="8:65" ht="13" thickBot="1" x14ac:dyDescent="0.3">
      <c r="H65" s="170">
        <v>50</v>
      </c>
      <c r="I65" s="1084"/>
      <c r="J65" s="1085"/>
      <c r="K65" s="1086"/>
      <c r="L65" s="1087" t="str">
        <f t="shared" si="26"/>
        <v/>
      </c>
      <c r="N65" s="170">
        <v>50</v>
      </c>
      <c r="O65" s="1084"/>
      <c r="P65" s="1085"/>
      <c r="Q65" s="1086"/>
      <c r="R65" s="1089" t="str">
        <f t="shared" si="27"/>
        <v/>
      </c>
      <c r="W65" s="43">
        <v>50</v>
      </c>
      <c r="X65" s="362" t="str">
        <f t="array" ref="X65">IF(ROWS(I$16:I65)&gt;COUNTA($I$16:$I$65),"",INDEX($H$16:$H$65,SMALL(IF($I$16:$I$65&lt;&gt;"",ROW($I$16:$I$65)-ROW($I$16)+1),ROWS(I$16:$I65))))</f>
        <v/>
      </c>
      <c r="Y65" s="349" t="str">
        <f t="shared" si="1"/>
        <v/>
      </c>
      <c r="Z65" s="349" t="str">
        <f t="shared" si="28"/>
        <v/>
      </c>
      <c r="AA65" s="349" t="str">
        <f t="shared" si="29"/>
        <v/>
      </c>
      <c r="AB65" s="362" t="str">
        <f t="shared" si="30"/>
        <v/>
      </c>
      <c r="AC65" s="745" t="str">
        <f t="shared" si="31"/>
        <v/>
      </c>
      <c r="AD65" s="134" t="s">
        <v>1209</v>
      </c>
      <c r="AE65" s="135" t="str">
        <f t="shared" si="32"/>
        <v/>
      </c>
      <c r="AF65" s="135" t="str">
        <f t="shared" si="33"/>
        <v/>
      </c>
      <c r="AG65" s="278" t="str">
        <f>IF(VLOOKUP(Y65,ExteriorTradableData!B$10:R$59,17,FALSE)&gt;0,AC65,0)</f>
        <v/>
      </c>
      <c r="AH65" s="135"/>
      <c r="AI65" s="43">
        <v>101</v>
      </c>
      <c r="AJ65" s="362" t="str">
        <f t="array" ref="AJ65">IF(ROWS(O$16:O65)&gt;COUNTA($O$16:$O$65),"",INDEX($N$16:$N$65,SMALL(IF($O$16:$O$65&lt;&gt;"",ROW($O$16:$O$65)-ROW($O$16)+1),ROWS($O$16:O65))))</f>
        <v/>
      </c>
      <c r="AK65" s="349" t="str">
        <f t="shared" si="8"/>
        <v/>
      </c>
      <c r="AL65" s="349" t="str">
        <f t="shared" si="34"/>
        <v/>
      </c>
      <c r="AM65" s="349" t="str">
        <f t="shared" si="35"/>
        <v/>
      </c>
      <c r="AN65" s="362" t="str">
        <f t="shared" si="36"/>
        <v/>
      </c>
      <c r="AO65" s="134" t="str">
        <f t="shared" si="37"/>
        <v/>
      </c>
      <c r="AP65" s="135" t="str">
        <f t="shared" si="38"/>
        <v/>
      </c>
      <c r="AR65" s="43">
        <v>50</v>
      </c>
      <c r="AS65" s="362" t="str">
        <f t="array" ref="AS65">IFERROR(IF(ROWS(Y$16:Y65)&gt;COUNTA($Y$16:$Y$116),"",INDEX($W$16:$W$116,SMALL(IF($Y$16:$Y$116&lt;&gt;"",ROW($Y$16:$Y$116)-ROW($Y$16)+1),ROWS($Y$16:Y65)))),"")</f>
        <v/>
      </c>
      <c r="AT65" s="349" t="str">
        <f t="shared" si="16"/>
        <v/>
      </c>
      <c r="AU65" s="349" t="str">
        <f t="shared" si="17"/>
        <v/>
      </c>
      <c r="AV65" s="349" t="str">
        <f t="shared" si="18"/>
        <v/>
      </c>
      <c r="AW65" s="362" t="str">
        <f t="shared" si="25"/>
        <v/>
      </c>
      <c r="AX65" s="362" t="str">
        <f t="shared" si="19"/>
        <v/>
      </c>
      <c r="AY65" s="1107" t="str">
        <f t="shared" si="20"/>
        <v/>
      </c>
      <c r="BA65" s="42">
        <v>50</v>
      </c>
      <c r="BB65" s="357" t="str">
        <f>'Int Room Schedule'!Y65</f>
        <v/>
      </c>
      <c r="BC65" s="358" t="str">
        <f>'Int Room Schedule'!Z65</f>
        <v/>
      </c>
      <c r="BD65" s="358" t="str">
        <f>'Int Room Schedule'!AA65</f>
        <v/>
      </c>
      <c r="BE65" s="358" t="str">
        <f>'Int Room Schedule'!AB65</f>
        <v/>
      </c>
      <c r="BF65" s="358" t="str">
        <f>'Int Room Schedule'!AC65</f>
        <v/>
      </c>
      <c r="BG65" s="417" t="str">
        <f>'Int Room Schedule'!AD65</f>
        <v/>
      </c>
      <c r="BH65" s="95" t="s">
        <v>14</v>
      </c>
      <c r="BI65" s="362" t="str">
        <f t="array" ref="BI65">IFERROR(IF(ROWS(BC$16:BC65)&gt;COUNTA($BC$16:$BC$116),"",INDEX($BA$16:$BA$116,SMALL(IF($BC$16:$BC$116&lt;&gt;"",ROW($BC$16:$BC$116)-ROW($BC$16)+1),ROWS($BC$16:BC65)))),"")</f>
        <v/>
      </c>
      <c r="BJ65" s="349" t="str">
        <f t="shared" si="21"/>
        <v/>
      </c>
      <c r="BK65" s="362" t="str">
        <f t="shared" si="22"/>
        <v/>
      </c>
      <c r="BL65" s="362" t="str">
        <f t="shared" si="23"/>
        <v/>
      </c>
      <c r="BM65" s="413" t="str">
        <f t="shared" si="24"/>
        <v/>
      </c>
    </row>
    <row r="66" spans="8:65" x14ac:dyDescent="0.25">
      <c r="W66" s="43">
        <v>51</v>
      </c>
      <c r="AC66" s="121"/>
      <c r="AD66" s="121"/>
      <c r="AE66" s="135" t="str">
        <f t="shared" si="32"/>
        <v/>
      </c>
      <c r="AF66" s="135" t="str">
        <f t="shared" ref="AF66:AF79" si="39">IF(AA66&lt;&gt;"",VLOOKUP(AA66,_TradableTableAllowed,RIGHT(AE$14,1)+4,FALSE),"")</f>
        <v/>
      </c>
      <c r="AG66" s="135"/>
      <c r="AH66" s="135"/>
      <c r="AR66" s="43">
        <v>51</v>
      </c>
      <c r="AS66" s="362" t="str">
        <f t="array" ref="AS66">IFERROR(IF(ROWS(Y$16:Y66)&gt;COUNTA($Y$16:$Y$116),"",INDEX($W$16:$W$116,SMALL(IF($Y$16:$Y$116&lt;&gt;"",ROW($Y$16:$Y$116)-ROW($Y$16)+1),ROWS($Y$16:Y66)))),"")</f>
        <v/>
      </c>
      <c r="AT66" s="349" t="str">
        <f t="shared" si="16"/>
        <v/>
      </c>
      <c r="AU66" s="349" t="str">
        <f t="shared" si="17"/>
        <v/>
      </c>
      <c r="AV66" s="349" t="str">
        <f t="shared" si="18"/>
        <v/>
      </c>
      <c r="AW66" s="362" t="str">
        <f t="shared" si="25"/>
        <v/>
      </c>
      <c r="AX66" s="362" t="str">
        <f t="shared" si="19"/>
        <v/>
      </c>
      <c r="AY66" s="1107" t="str">
        <f t="shared" si="20"/>
        <v/>
      </c>
      <c r="AZ66" s="93" t="s">
        <v>65</v>
      </c>
      <c r="BA66" s="93">
        <v>51</v>
      </c>
      <c r="BB66" s="357" t="str">
        <f t="shared" ref="BB66:BG69" si="40">AS16</f>
        <v/>
      </c>
      <c r="BC66" s="357" t="str">
        <f t="shared" si="40"/>
        <v/>
      </c>
      <c r="BD66" s="357" t="str">
        <f t="shared" si="40"/>
        <v/>
      </c>
      <c r="BE66" s="357" t="str">
        <f t="shared" si="40"/>
        <v/>
      </c>
      <c r="BF66" s="357" t="str">
        <f t="shared" si="40"/>
        <v/>
      </c>
      <c r="BG66" s="357" t="str">
        <f t="shared" si="40"/>
        <v/>
      </c>
      <c r="BH66" s="95" t="s">
        <v>16</v>
      </c>
      <c r="BI66" s="362" t="str">
        <f t="array" ref="BI66">IFERROR(IF(ROWS(BC$16:BC66)&gt;COUNTA($BC$16:$BC$116),"",INDEX($BA$16:$BA$116,SMALL(IF($BC$16:$BC$116&lt;&gt;"",ROW($BC$16:$BC$116)-ROW($BC$16)+1),ROWS($BC$16:BC66)))),"")</f>
        <v/>
      </c>
      <c r="BJ66" s="349" t="str">
        <f t="shared" si="21"/>
        <v/>
      </c>
      <c r="BK66" s="362" t="str">
        <f t="shared" si="22"/>
        <v/>
      </c>
      <c r="BL66" s="362" t="str">
        <f t="shared" si="23"/>
        <v/>
      </c>
      <c r="BM66" s="413" t="str">
        <f t="shared" si="24"/>
        <v/>
      </c>
    </row>
    <row r="67" spans="8:65" x14ac:dyDescent="0.25">
      <c r="W67" s="43">
        <v>52</v>
      </c>
      <c r="X67" s="364" t="str">
        <f>AJ16</f>
        <v/>
      </c>
      <c r="Y67" s="364" t="str">
        <f>AK16</f>
        <v/>
      </c>
      <c r="Z67" s="364" t="str">
        <f>AL16</f>
        <v/>
      </c>
      <c r="AA67" s="364" t="str">
        <f>AM16</f>
        <v/>
      </c>
      <c r="AB67" s="364" t="str">
        <f>AN16</f>
        <v/>
      </c>
      <c r="AC67" s="121"/>
      <c r="AD67" s="121" t="s">
        <v>1210</v>
      </c>
      <c r="AE67" s="278" t="str">
        <f t="shared" ref="AE67:AE98" si="41">IF(AA67&lt;&gt;"",VLOOKUP(AA67,_NonTradableTableAllowed,RIGHT(AE$14,1)+2,FALSE),"")</f>
        <v/>
      </c>
      <c r="AF67" s="135" t="str">
        <f>IF(AA67&lt;&gt;"",VLOOKUP(AA67,_NonTradableTableAllowed,7,FALSE),"")</f>
        <v/>
      </c>
      <c r="AG67" s="135"/>
      <c r="AH67" s="135"/>
      <c r="AR67" s="43">
        <v>52</v>
      </c>
      <c r="AS67" s="362" t="str">
        <f t="array" ref="AS67">IFERROR(IF(ROWS(Y$16:Y67)&gt;COUNTA($Y$16:$Y$116),"",INDEX($W$16:$W$116,SMALL(IF($Y$16:$Y$116&lt;&gt;"",ROW($Y$16:$Y$116)-ROW($Y$16)+1),ROWS($Y$16:Y67)))),"")</f>
        <v/>
      </c>
      <c r="AT67" s="349" t="str">
        <f t="shared" si="16"/>
        <v/>
      </c>
      <c r="AU67" s="349" t="str">
        <f t="shared" si="17"/>
        <v/>
      </c>
      <c r="AV67" s="349" t="str">
        <f t="shared" si="18"/>
        <v/>
      </c>
      <c r="AW67" s="362" t="str">
        <f t="shared" si="25"/>
        <v/>
      </c>
      <c r="AX67" s="362" t="str">
        <f t="shared" si="19"/>
        <v/>
      </c>
      <c r="AY67" s="1107" t="str">
        <f t="shared" si="20"/>
        <v/>
      </c>
      <c r="BA67" s="42">
        <v>52</v>
      </c>
      <c r="BB67" s="357" t="str">
        <f t="shared" si="40"/>
        <v/>
      </c>
      <c r="BC67" s="357" t="str">
        <f t="shared" si="40"/>
        <v/>
      </c>
      <c r="BD67" s="357" t="str">
        <f t="shared" si="40"/>
        <v/>
      </c>
      <c r="BE67" s="357" t="str">
        <f t="shared" si="40"/>
        <v/>
      </c>
      <c r="BF67" s="357" t="str">
        <f t="shared" si="40"/>
        <v/>
      </c>
      <c r="BG67" s="357" t="str">
        <f t="shared" si="40"/>
        <v/>
      </c>
      <c r="BH67" s="95" t="s">
        <v>16</v>
      </c>
      <c r="BI67" s="362" t="str">
        <f t="array" ref="BI67">IFERROR(IF(ROWS(BC$16:BC67)&gt;COUNTA($BC$16:$BC$116),"",INDEX($BA$16:$BA$116,SMALL(IF($BC$16:$BC$116&lt;&gt;"",ROW($BC$16:$BC$116)-ROW($BC$16)+1),ROWS($BC$16:BC67)))),"")</f>
        <v/>
      </c>
      <c r="BJ67" s="349" t="str">
        <f t="shared" si="21"/>
        <v/>
      </c>
      <c r="BK67" s="362" t="str">
        <f t="shared" si="22"/>
        <v/>
      </c>
      <c r="BL67" s="362" t="str">
        <f t="shared" si="23"/>
        <v/>
      </c>
      <c r="BM67" s="413" t="str">
        <f t="shared" si="24"/>
        <v/>
      </c>
    </row>
    <row r="68" spans="8:65" x14ac:dyDescent="0.25">
      <c r="W68" s="43">
        <v>53</v>
      </c>
      <c r="X68" s="364" t="str">
        <f t="shared" ref="X68:X116" si="42">AJ17</f>
        <v/>
      </c>
      <c r="Y68" s="364" t="str">
        <f t="shared" ref="Y68:Y116" si="43">AK17</f>
        <v/>
      </c>
      <c r="Z68" s="364" t="str">
        <f t="shared" ref="Z68:Z116" si="44">AL17</f>
        <v/>
      </c>
      <c r="AA68" s="364" t="str">
        <f t="shared" ref="AA68:AA116" si="45">AM17</f>
        <v/>
      </c>
      <c r="AB68" s="364" t="str">
        <f t="shared" ref="AB68:AB116" si="46">AN17</f>
        <v/>
      </c>
      <c r="AC68" s="121"/>
      <c r="AD68" s="121" t="s">
        <v>1210</v>
      </c>
      <c r="AE68" s="278" t="str">
        <f t="shared" si="41"/>
        <v/>
      </c>
      <c r="AF68" s="135" t="str">
        <f>IF(AA68&lt;&gt;"",VLOOKUP(AA68,_NonTradableTableAllowed,7,FALSE),"")</f>
        <v/>
      </c>
      <c r="AG68" s="135"/>
      <c r="AH68" s="135"/>
      <c r="AR68" s="43">
        <v>53</v>
      </c>
      <c r="AS68" s="362" t="str">
        <f t="array" ref="AS68">IFERROR(IF(ROWS(Y$16:Y68)&gt;COUNTA($Y$16:$Y$116),"",INDEX($W$16:$W$116,SMALL(IF($Y$16:$Y$116&lt;&gt;"",ROW($Y$16:$Y$116)-ROW($Y$16)+1),ROWS($Y$16:Y68)))),"")</f>
        <v/>
      </c>
      <c r="AT68" s="349" t="str">
        <f t="shared" si="16"/>
        <v/>
      </c>
      <c r="AU68" s="349" t="str">
        <f t="shared" si="17"/>
        <v/>
      </c>
      <c r="AV68" s="349" t="str">
        <f t="shared" si="18"/>
        <v/>
      </c>
      <c r="AW68" s="362" t="str">
        <f t="shared" si="25"/>
        <v/>
      </c>
      <c r="AX68" s="362" t="str">
        <f t="shared" si="19"/>
        <v/>
      </c>
      <c r="AY68" s="1107" t="str">
        <f t="shared" si="20"/>
        <v/>
      </c>
      <c r="BA68" s="93">
        <v>53</v>
      </c>
      <c r="BB68" s="357" t="str">
        <f t="shared" si="40"/>
        <v/>
      </c>
      <c r="BC68" s="357" t="str">
        <f t="shared" si="40"/>
        <v/>
      </c>
      <c r="BD68" s="357" t="str">
        <f t="shared" si="40"/>
        <v/>
      </c>
      <c r="BE68" s="357" t="str">
        <f t="shared" si="40"/>
        <v/>
      </c>
      <c r="BF68" s="357" t="str">
        <f t="shared" si="40"/>
        <v/>
      </c>
      <c r="BG68" s="357" t="str">
        <f t="shared" si="40"/>
        <v/>
      </c>
      <c r="BH68" s="95" t="s">
        <v>16</v>
      </c>
      <c r="BI68" s="362" t="str">
        <f t="array" ref="BI68">IFERROR(IF(ROWS(BC$16:BC68)&gt;COUNTA($BC$16:$BC$116),"",INDEX($BA$16:$BA$116,SMALL(IF($BC$16:$BC$116&lt;&gt;"",ROW($BC$16:$BC$116)-ROW($BC$16)+1),ROWS($BC$16:BC68)))),"")</f>
        <v/>
      </c>
      <c r="BJ68" s="349" t="str">
        <f t="shared" si="21"/>
        <v/>
      </c>
      <c r="BK68" s="362" t="str">
        <f t="shared" si="22"/>
        <v/>
      </c>
      <c r="BL68" s="362" t="str">
        <f t="shared" si="23"/>
        <v/>
      </c>
      <c r="BM68" s="413" t="str">
        <f t="shared" si="24"/>
        <v/>
      </c>
    </row>
    <row r="69" spans="8:65" x14ac:dyDescent="0.25">
      <c r="W69" s="43">
        <v>54</v>
      </c>
      <c r="X69" s="364" t="str">
        <f t="shared" si="42"/>
        <v/>
      </c>
      <c r="Y69" s="364" t="str">
        <f t="shared" si="43"/>
        <v/>
      </c>
      <c r="Z69" s="364" t="str">
        <f t="shared" si="44"/>
        <v/>
      </c>
      <c r="AA69" s="364" t="str">
        <f t="shared" si="45"/>
        <v/>
      </c>
      <c r="AB69" s="364" t="str">
        <f t="shared" si="46"/>
        <v/>
      </c>
      <c r="AC69" s="121"/>
      <c r="AD69" s="121" t="s">
        <v>1210</v>
      </c>
      <c r="AE69" s="278" t="str">
        <f t="shared" si="41"/>
        <v/>
      </c>
      <c r="AF69" s="135" t="str">
        <f>IF(AA69&lt;&gt;"",VLOOKUP(AA69,_NonTradableTableAllowed,7,FALSE),"")</f>
        <v/>
      </c>
      <c r="AG69" s="135"/>
      <c r="AH69" s="135"/>
      <c r="AR69" s="43">
        <v>54</v>
      </c>
      <c r="AS69" s="362" t="str">
        <f t="array" ref="AS69">IFERROR(IF(ROWS(Y$16:Y69)&gt;COUNTA($Y$16:$Y$116),"",INDEX($W$16:$W$116,SMALL(IF($Y$16:$Y$116&lt;&gt;"",ROW($Y$16:$Y$116)-ROW($Y$16)+1),ROWS($Y$16:Y69)))),"")</f>
        <v/>
      </c>
      <c r="AT69" s="349" t="str">
        <f t="shared" si="16"/>
        <v/>
      </c>
      <c r="AU69" s="349" t="str">
        <f t="shared" si="17"/>
        <v/>
      </c>
      <c r="AV69" s="349" t="str">
        <f t="shared" si="18"/>
        <v/>
      </c>
      <c r="AW69" s="362" t="str">
        <f t="shared" si="25"/>
        <v/>
      </c>
      <c r="AX69" s="362" t="str">
        <f t="shared" si="19"/>
        <v/>
      </c>
      <c r="AY69" s="1107" t="str">
        <f t="shared" si="20"/>
        <v/>
      </c>
      <c r="BA69" s="42">
        <v>54</v>
      </c>
      <c r="BB69" s="357" t="str">
        <f t="shared" si="40"/>
        <v/>
      </c>
      <c r="BC69" s="357" t="str">
        <f t="shared" si="40"/>
        <v/>
      </c>
      <c r="BD69" s="357" t="str">
        <f t="shared" si="40"/>
        <v/>
      </c>
      <c r="BE69" s="357" t="str">
        <f t="shared" si="40"/>
        <v/>
      </c>
      <c r="BF69" s="357" t="str">
        <f t="shared" si="40"/>
        <v/>
      </c>
      <c r="BG69" s="357" t="str">
        <f t="shared" si="40"/>
        <v/>
      </c>
      <c r="BH69" s="95" t="s">
        <v>16</v>
      </c>
      <c r="BI69" s="362" t="str">
        <f t="array" ref="BI69">IFERROR(IF(ROWS(BC$16:BC69)&gt;COUNTA($BC$16:$BC$116),"",INDEX($BA$16:$BA$116,SMALL(IF($BC$16:$BC$116&lt;&gt;"",ROW($BC$16:$BC$116)-ROW($BC$16)+1),ROWS($BC$16:BC69)))),"")</f>
        <v/>
      </c>
      <c r="BJ69" s="349" t="str">
        <f t="shared" si="21"/>
        <v/>
      </c>
      <c r="BK69" s="362" t="str">
        <f t="shared" si="22"/>
        <v/>
      </c>
      <c r="BL69" s="362" t="str">
        <f t="shared" si="23"/>
        <v/>
      </c>
      <c r="BM69" s="413" t="str">
        <f t="shared" si="24"/>
        <v/>
      </c>
    </row>
    <row r="70" spans="8:65" x14ac:dyDescent="0.25">
      <c r="W70" s="43">
        <v>55</v>
      </c>
      <c r="X70" s="364" t="str">
        <f t="shared" si="42"/>
        <v/>
      </c>
      <c r="Y70" s="364" t="str">
        <f t="shared" si="43"/>
        <v/>
      </c>
      <c r="Z70" s="364" t="str">
        <f t="shared" si="44"/>
        <v/>
      </c>
      <c r="AA70" s="364" t="str">
        <f t="shared" si="45"/>
        <v/>
      </c>
      <c r="AB70" s="364" t="str">
        <f t="shared" si="46"/>
        <v/>
      </c>
      <c r="AC70" s="121"/>
      <c r="AD70" s="121" t="s">
        <v>1210</v>
      </c>
      <c r="AE70" s="278" t="str">
        <f t="shared" si="41"/>
        <v/>
      </c>
      <c r="AF70" s="135" t="str">
        <f t="shared" si="39"/>
        <v/>
      </c>
      <c r="AG70" s="135"/>
      <c r="AH70" s="135"/>
      <c r="AR70" s="43">
        <v>55</v>
      </c>
      <c r="AS70" s="362" t="str">
        <f t="array" ref="AS70">IFERROR(IF(ROWS(Y$16:Y70)&gt;COUNTA($Y$16:$Y$116),"",INDEX($W$16:$W$116,SMALL(IF($Y$16:$Y$116&lt;&gt;"",ROW($Y$16:$Y$116)-ROW($Y$16)+1),ROWS($Y$16:Y70)))),"")</f>
        <v/>
      </c>
      <c r="AT70" s="349" t="str">
        <f t="shared" si="16"/>
        <v/>
      </c>
      <c r="AU70" s="349" t="str">
        <f t="shared" si="17"/>
        <v/>
      </c>
      <c r="AV70" s="349" t="str">
        <f t="shared" si="18"/>
        <v/>
      </c>
      <c r="AW70" s="362" t="str">
        <f t="shared" si="25"/>
        <v/>
      </c>
      <c r="AX70" s="362" t="str">
        <f t="shared" si="19"/>
        <v/>
      </c>
      <c r="AY70" s="1107" t="str">
        <f t="shared" si="20"/>
        <v/>
      </c>
      <c r="BA70" s="93">
        <v>55</v>
      </c>
      <c r="BB70" s="357" t="str">
        <f t="shared" ref="BB70:BB115" si="47">AS20</f>
        <v/>
      </c>
      <c r="BC70" s="357" t="str">
        <f t="shared" ref="BC70:BC115" si="48">AT20</f>
        <v/>
      </c>
      <c r="BD70" s="357" t="str">
        <f t="shared" ref="BD70:BD115" si="49">AU20</f>
        <v/>
      </c>
      <c r="BE70" s="357" t="str">
        <f t="shared" ref="BE70:BE115" si="50">AV20</f>
        <v/>
      </c>
      <c r="BF70" s="357" t="str">
        <f t="shared" ref="BF70:BF115" si="51">AW20</f>
        <v/>
      </c>
      <c r="BG70" s="357" t="str">
        <f t="shared" ref="BG70:BG115" si="52">AX20</f>
        <v/>
      </c>
      <c r="BH70" s="95" t="s">
        <v>16</v>
      </c>
      <c r="BI70" s="362" t="str">
        <f t="array" ref="BI70">IFERROR(IF(ROWS(BC$16:BC70)&gt;COUNTA($BC$16:$BC$116),"",INDEX($BA$16:$BA$116,SMALL(IF($BC$16:$BC$116&lt;&gt;"",ROW($BC$16:$BC$116)-ROW($BC$16)+1),ROWS($BC$16:BC70)))),"")</f>
        <v/>
      </c>
      <c r="BJ70" s="349" t="str">
        <f t="shared" si="21"/>
        <v/>
      </c>
      <c r="BK70" s="362" t="str">
        <f t="shared" si="22"/>
        <v/>
      </c>
      <c r="BL70" s="362" t="str">
        <f t="shared" si="23"/>
        <v/>
      </c>
      <c r="BM70" s="413" t="str">
        <f t="shared" si="24"/>
        <v/>
      </c>
    </row>
    <row r="71" spans="8:65" x14ac:dyDescent="0.25">
      <c r="W71" s="43">
        <v>56</v>
      </c>
      <c r="X71" s="364" t="str">
        <f t="shared" si="42"/>
        <v/>
      </c>
      <c r="Y71" s="364" t="str">
        <f t="shared" si="43"/>
        <v/>
      </c>
      <c r="Z71" s="364" t="str">
        <f t="shared" si="44"/>
        <v/>
      </c>
      <c r="AA71" s="364" t="str">
        <f t="shared" si="45"/>
        <v/>
      </c>
      <c r="AB71" s="364" t="str">
        <f t="shared" si="46"/>
        <v/>
      </c>
      <c r="AC71" s="121"/>
      <c r="AD71" s="121" t="s">
        <v>1210</v>
      </c>
      <c r="AE71" s="278" t="str">
        <f t="shared" si="41"/>
        <v/>
      </c>
      <c r="AF71" s="135" t="str">
        <f t="shared" si="39"/>
        <v/>
      </c>
      <c r="AG71" s="135"/>
      <c r="AH71" s="135"/>
      <c r="AR71" s="43">
        <v>56</v>
      </c>
      <c r="AS71" s="362" t="str">
        <f t="array" ref="AS71">IFERROR(IF(ROWS(Y$16:Y71)&gt;COUNTA($Y$16:$Y$116),"",INDEX($W$16:$W$116,SMALL(IF($Y$16:$Y$116&lt;&gt;"",ROW($Y$16:$Y$116)-ROW($Y$16)+1),ROWS($Y$16:Y71)))),"")</f>
        <v/>
      </c>
      <c r="AT71" s="349" t="str">
        <f t="shared" si="16"/>
        <v/>
      </c>
      <c r="AU71" s="349" t="str">
        <f t="shared" si="17"/>
        <v/>
      </c>
      <c r="AV71" s="349" t="str">
        <f t="shared" si="18"/>
        <v/>
      </c>
      <c r="AW71" s="362" t="str">
        <f t="shared" si="25"/>
        <v/>
      </c>
      <c r="AX71" s="362" t="str">
        <f t="shared" si="19"/>
        <v/>
      </c>
      <c r="AY71" s="1107" t="str">
        <f t="shared" si="20"/>
        <v/>
      </c>
      <c r="BA71" s="42">
        <v>56</v>
      </c>
      <c r="BB71" s="357" t="str">
        <f t="shared" si="47"/>
        <v/>
      </c>
      <c r="BC71" s="357" t="str">
        <f t="shared" si="48"/>
        <v/>
      </c>
      <c r="BD71" s="357" t="str">
        <f t="shared" si="49"/>
        <v/>
      </c>
      <c r="BE71" s="357" t="str">
        <f t="shared" si="50"/>
        <v/>
      </c>
      <c r="BF71" s="357" t="str">
        <f t="shared" si="51"/>
        <v/>
      </c>
      <c r="BG71" s="357" t="str">
        <f t="shared" si="52"/>
        <v/>
      </c>
      <c r="BH71" s="95" t="s">
        <v>16</v>
      </c>
      <c r="BI71" s="362" t="str">
        <f t="array" ref="BI71">IFERROR(IF(ROWS(BC$16:BC71)&gt;COUNTA($BC$16:$BC$116),"",INDEX($BA$16:$BA$116,SMALL(IF($BC$16:$BC$116&lt;&gt;"",ROW($BC$16:$BC$116)-ROW($BC$16)+1),ROWS($BC$16:BC71)))),"")</f>
        <v/>
      </c>
      <c r="BJ71" s="349" t="str">
        <f t="shared" si="21"/>
        <v/>
      </c>
      <c r="BK71" s="362" t="str">
        <f t="shared" si="22"/>
        <v/>
      </c>
      <c r="BL71" s="362" t="str">
        <f t="shared" si="23"/>
        <v/>
      </c>
      <c r="BM71" s="413" t="str">
        <f t="shared" si="24"/>
        <v/>
      </c>
    </row>
    <row r="72" spans="8:65" x14ac:dyDescent="0.25">
      <c r="W72" s="43">
        <v>57</v>
      </c>
      <c r="X72" s="364" t="str">
        <f t="shared" si="42"/>
        <v/>
      </c>
      <c r="Y72" s="364" t="str">
        <f t="shared" si="43"/>
        <v/>
      </c>
      <c r="Z72" s="364" t="str">
        <f t="shared" si="44"/>
        <v/>
      </c>
      <c r="AA72" s="364" t="str">
        <f t="shared" si="45"/>
        <v/>
      </c>
      <c r="AB72" s="364" t="str">
        <f t="shared" si="46"/>
        <v/>
      </c>
      <c r="AC72" s="121"/>
      <c r="AD72" s="121" t="s">
        <v>1210</v>
      </c>
      <c r="AE72" s="278" t="str">
        <f t="shared" si="41"/>
        <v/>
      </c>
      <c r="AF72" s="135" t="str">
        <f t="shared" si="39"/>
        <v/>
      </c>
      <c r="AG72" s="135"/>
      <c r="AH72" s="135"/>
      <c r="AR72" s="43">
        <v>57</v>
      </c>
      <c r="AS72" s="362" t="str">
        <f t="array" ref="AS72">IFERROR(IF(ROWS(Y$16:Y72)&gt;COUNTA($Y$16:$Y$116),"",INDEX($W$16:$W$116,SMALL(IF($Y$16:$Y$116&lt;&gt;"",ROW($Y$16:$Y$116)-ROW($Y$16)+1),ROWS($Y$16:Y72)))),"")</f>
        <v/>
      </c>
      <c r="AT72" s="349" t="str">
        <f t="shared" si="16"/>
        <v/>
      </c>
      <c r="AU72" s="349" t="str">
        <f t="shared" si="17"/>
        <v/>
      </c>
      <c r="AV72" s="349" t="str">
        <f t="shared" si="18"/>
        <v/>
      </c>
      <c r="AW72" s="362" t="str">
        <f t="shared" si="25"/>
        <v/>
      </c>
      <c r="AX72" s="362" t="str">
        <f t="shared" si="19"/>
        <v/>
      </c>
      <c r="AY72" s="1107" t="str">
        <f t="shared" si="20"/>
        <v/>
      </c>
      <c r="BA72" s="93">
        <v>57</v>
      </c>
      <c r="BB72" s="357" t="str">
        <f t="shared" si="47"/>
        <v/>
      </c>
      <c r="BC72" s="357" t="str">
        <f t="shared" si="48"/>
        <v/>
      </c>
      <c r="BD72" s="357" t="str">
        <f t="shared" si="49"/>
        <v/>
      </c>
      <c r="BE72" s="357" t="str">
        <f t="shared" si="50"/>
        <v/>
      </c>
      <c r="BF72" s="357" t="str">
        <f t="shared" si="51"/>
        <v/>
      </c>
      <c r="BG72" s="357" t="str">
        <f t="shared" si="52"/>
        <v/>
      </c>
      <c r="BH72" s="95" t="s">
        <v>16</v>
      </c>
      <c r="BI72" s="362" t="str">
        <f t="array" ref="BI72">IFERROR(IF(ROWS(BC$16:BC72)&gt;COUNTA($BC$16:$BC$116),"",INDEX($BA$16:$BA$116,SMALL(IF($BC$16:$BC$116&lt;&gt;"",ROW($BC$16:$BC$116)-ROW($BC$16)+1),ROWS($BC$16:BC72)))),"")</f>
        <v/>
      </c>
      <c r="BJ72" s="349" t="str">
        <f t="shared" si="21"/>
        <v/>
      </c>
      <c r="BK72" s="362" t="str">
        <f t="shared" si="22"/>
        <v/>
      </c>
      <c r="BL72" s="362" t="str">
        <f t="shared" si="23"/>
        <v/>
      </c>
      <c r="BM72" s="413" t="str">
        <f t="shared" si="24"/>
        <v/>
      </c>
    </row>
    <row r="73" spans="8:65" x14ac:dyDescent="0.25">
      <c r="W73" s="43">
        <v>58</v>
      </c>
      <c r="X73" s="364" t="str">
        <f t="shared" si="42"/>
        <v/>
      </c>
      <c r="Y73" s="364" t="str">
        <f t="shared" si="43"/>
        <v/>
      </c>
      <c r="Z73" s="364" t="str">
        <f t="shared" si="44"/>
        <v/>
      </c>
      <c r="AA73" s="364" t="str">
        <f t="shared" si="45"/>
        <v/>
      </c>
      <c r="AB73" s="364" t="str">
        <f t="shared" si="46"/>
        <v/>
      </c>
      <c r="AC73" s="121"/>
      <c r="AD73" s="121" t="s">
        <v>1210</v>
      </c>
      <c r="AE73" s="278" t="str">
        <f t="shared" si="41"/>
        <v/>
      </c>
      <c r="AF73" s="135" t="str">
        <f t="shared" si="39"/>
        <v/>
      </c>
      <c r="AG73" s="135"/>
      <c r="AH73" s="135"/>
      <c r="AR73" s="43">
        <v>58</v>
      </c>
      <c r="AS73" s="362" t="str">
        <f t="array" ref="AS73">IFERROR(IF(ROWS(Y$16:Y73)&gt;COUNTA($Y$16:$Y$116),"",INDEX($W$16:$W$116,SMALL(IF($Y$16:$Y$116&lt;&gt;"",ROW($Y$16:$Y$116)-ROW($Y$16)+1),ROWS($Y$16:Y73)))),"")</f>
        <v/>
      </c>
      <c r="AT73" s="349" t="str">
        <f t="shared" si="16"/>
        <v/>
      </c>
      <c r="AU73" s="349" t="str">
        <f t="shared" si="17"/>
        <v/>
      </c>
      <c r="AV73" s="349" t="str">
        <f t="shared" si="18"/>
        <v/>
      </c>
      <c r="AW73" s="362" t="str">
        <f t="shared" si="25"/>
        <v/>
      </c>
      <c r="AX73" s="362" t="str">
        <f t="shared" si="19"/>
        <v/>
      </c>
      <c r="AY73" s="1107" t="str">
        <f t="shared" si="20"/>
        <v/>
      </c>
      <c r="BA73" s="42">
        <v>58</v>
      </c>
      <c r="BB73" s="357" t="str">
        <f t="shared" si="47"/>
        <v/>
      </c>
      <c r="BC73" s="357" t="str">
        <f t="shared" si="48"/>
        <v/>
      </c>
      <c r="BD73" s="357" t="str">
        <f t="shared" si="49"/>
        <v/>
      </c>
      <c r="BE73" s="357" t="str">
        <f t="shared" si="50"/>
        <v/>
      </c>
      <c r="BF73" s="357" t="str">
        <f t="shared" si="51"/>
        <v/>
      </c>
      <c r="BG73" s="357" t="str">
        <f t="shared" si="52"/>
        <v/>
      </c>
      <c r="BH73" s="95" t="s">
        <v>16</v>
      </c>
      <c r="BI73" s="362" t="str">
        <f t="array" ref="BI73">IFERROR(IF(ROWS(BC$16:BC73)&gt;COUNTA($BC$16:$BC$116),"",INDEX($BA$16:$BA$116,SMALL(IF($BC$16:$BC$116&lt;&gt;"",ROW($BC$16:$BC$116)-ROW($BC$16)+1),ROWS($BC$16:BC73)))),"")</f>
        <v/>
      </c>
      <c r="BJ73" s="349" t="str">
        <f t="shared" si="21"/>
        <v/>
      </c>
      <c r="BK73" s="362" t="str">
        <f t="shared" si="22"/>
        <v/>
      </c>
      <c r="BL73" s="362" t="str">
        <f t="shared" si="23"/>
        <v/>
      </c>
      <c r="BM73" s="413" t="str">
        <f t="shared" si="24"/>
        <v/>
      </c>
    </row>
    <row r="74" spans="8:65" x14ac:dyDescent="0.25">
      <c r="W74" s="43">
        <v>59</v>
      </c>
      <c r="X74" s="364" t="str">
        <f t="shared" si="42"/>
        <v/>
      </c>
      <c r="Y74" s="364" t="str">
        <f t="shared" si="43"/>
        <v/>
      </c>
      <c r="Z74" s="364" t="str">
        <f t="shared" si="44"/>
        <v/>
      </c>
      <c r="AA74" s="364" t="str">
        <f t="shared" si="45"/>
        <v/>
      </c>
      <c r="AB74" s="364" t="str">
        <f t="shared" si="46"/>
        <v/>
      </c>
      <c r="AC74" s="121"/>
      <c r="AD74" s="121" t="s">
        <v>1210</v>
      </c>
      <c r="AE74" s="278" t="str">
        <f t="shared" si="41"/>
        <v/>
      </c>
      <c r="AF74" s="135" t="str">
        <f t="shared" si="39"/>
        <v/>
      </c>
      <c r="AG74" s="135"/>
      <c r="AH74" s="135"/>
      <c r="AR74" s="43">
        <v>59</v>
      </c>
      <c r="AS74" s="362" t="str">
        <f t="array" ref="AS74">IFERROR(IF(ROWS(Y$16:Y74)&gt;COUNTA($Y$16:$Y$116),"",INDEX($W$16:$W$116,SMALL(IF($Y$16:$Y$116&lt;&gt;"",ROW($Y$16:$Y$116)-ROW($Y$16)+1),ROWS($Y$16:Y74)))),"")</f>
        <v/>
      </c>
      <c r="AT74" s="349" t="str">
        <f t="shared" si="16"/>
        <v/>
      </c>
      <c r="AU74" s="349" t="str">
        <f t="shared" si="17"/>
        <v/>
      </c>
      <c r="AV74" s="349" t="str">
        <f t="shared" si="18"/>
        <v/>
      </c>
      <c r="AW74" s="362" t="str">
        <f t="shared" si="25"/>
        <v/>
      </c>
      <c r="AX74" s="362" t="str">
        <f t="shared" si="19"/>
        <v/>
      </c>
      <c r="AY74" s="1107" t="str">
        <f t="shared" si="20"/>
        <v/>
      </c>
      <c r="BA74" s="93">
        <v>59</v>
      </c>
      <c r="BB74" s="357" t="str">
        <f t="shared" si="47"/>
        <v/>
      </c>
      <c r="BC74" s="357" t="str">
        <f t="shared" si="48"/>
        <v/>
      </c>
      <c r="BD74" s="357" t="str">
        <f t="shared" si="49"/>
        <v/>
      </c>
      <c r="BE74" s="357" t="str">
        <f t="shared" si="50"/>
        <v/>
      </c>
      <c r="BF74" s="357" t="str">
        <f t="shared" si="51"/>
        <v/>
      </c>
      <c r="BG74" s="357" t="str">
        <f t="shared" si="52"/>
        <v/>
      </c>
      <c r="BH74" s="95" t="s">
        <v>16</v>
      </c>
      <c r="BI74" s="362" t="str">
        <f t="array" ref="BI74">IFERROR(IF(ROWS(BC$16:BC74)&gt;COUNTA($BC$16:$BC$116),"",INDEX($BA$16:$BA$116,SMALL(IF($BC$16:$BC$116&lt;&gt;"",ROW($BC$16:$BC$116)-ROW($BC$16)+1),ROWS($BC$16:BC74)))),"")</f>
        <v/>
      </c>
      <c r="BJ74" s="349" t="str">
        <f t="shared" si="21"/>
        <v/>
      </c>
      <c r="BK74" s="362" t="str">
        <f t="shared" si="22"/>
        <v/>
      </c>
      <c r="BL74" s="362" t="str">
        <f t="shared" si="23"/>
        <v/>
      </c>
      <c r="BM74" s="413" t="str">
        <f t="shared" si="24"/>
        <v/>
      </c>
    </row>
    <row r="75" spans="8:65" x14ac:dyDescent="0.25">
      <c r="W75" s="43">
        <v>60</v>
      </c>
      <c r="X75" s="364" t="str">
        <f t="shared" si="42"/>
        <v/>
      </c>
      <c r="Y75" s="364" t="str">
        <f t="shared" si="43"/>
        <v/>
      </c>
      <c r="Z75" s="364" t="str">
        <f t="shared" si="44"/>
        <v/>
      </c>
      <c r="AA75" s="364" t="str">
        <f t="shared" si="45"/>
        <v/>
      </c>
      <c r="AB75" s="364" t="str">
        <f t="shared" si="46"/>
        <v/>
      </c>
      <c r="AC75" s="121"/>
      <c r="AD75" s="121" t="s">
        <v>1210</v>
      </c>
      <c r="AE75" s="278" t="str">
        <f t="shared" si="41"/>
        <v/>
      </c>
      <c r="AF75" s="135" t="str">
        <f t="shared" si="39"/>
        <v/>
      </c>
      <c r="AG75" s="135"/>
      <c r="AH75" s="135"/>
      <c r="AR75" s="43">
        <v>60</v>
      </c>
      <c r="AS75" s="362" t="str">
        <f t="array" ref="AS75">IFERROR(IF(ROWS(Y$16:Y75)&gt;COUNTA($Y$16:$Y$116),"",INDEX($W$16:$W$116,SMALL(IF($Y$16:$Y$116&lt;&gt;"",ROW($Y$16:$Y$116)-ROW($Y$16)+1),ROWS($Y$16:Y75)))),"")</f>
        <v/>
      </c>
      <c r="AT75" s="349" t="str">
        <f t="shared" si="16"/>
        <v/>
      </c>
      <c r="AU75" s="349" t="str">
        <f t="shared" si="17"/>
        <v/>
      </c>
      <c r="AV75" s="349" t="str">
        <f t="shared" si="18"/>
        <v/>
      </c>
      <c r="AW75" s="362" t="str">
        <f t="shared" si="25"/>
        <v/>
      </c>
      <c r="AX75" s="362" t="str">
        <f t="shared" si="19"/>
        <v/>
      </c>
      <c r="AY75" s="1107" t="str">
        <f t="shared" si="20"/>
        <v/>
      </c>
      <c r="BA75" s="42">
        <v>60</v>
      </c>
      <c r="BB75" s="357" t="str">
        <f t="shared" si="47"/>
        <v/>
      </c>
      <c r="BC75" s="357" t="str">
        <f t="shared" si="48"/>
        <v/>
      </c>
      <c r="BD75" s="357" t="str">
        <f t="shared" si="49"/>
        <v/>
      </c>
      <c r="BE75" s="357" t="str">
        <f t="shared" si="50"/>
        <v/>
      </c>
      <c r="BF75" s="357" t="str">
        <f t="shared" si="51"/>
        <v/>
      </c>
      <c r="BG75" s="357" t="str">
        <f t="shared" si="52"/>
        <v/>
      </c>
      <c r="BH75" s="95" t="s">
        <v>16</v>
      </c>
      <c r="BI75" s="362" t="str">
        <f t="array" ref="BI75">IFERROR(IF(ROWS(BC$16:BC75)&gt;COUNTA($BC$16:$BC$116),"",INDEX($BA$16:$BA$116,SMALL(IF($BC$16:$BC$116&lt;&gt;"",ROW($BC$16:$BC$116)-ROW($BC$16)+1),ROWS($BC$16:BC75)))),"")</f>
        <v/>
      </c>
      <c r="BJ75" s="349" t="str">
        <f t="shared" si="21"/>
        <v/>
      </c>
      <c r="BK75" s="362" t="str">
        <f t="shared" si="22"/>
        <v/>
      </c>
      <c r="BL75" s="362" t="str">
        <f t="shared" si="23"/>
        <v/>
      </c>
      <c r="BM75" s="413" t="str">
        <f t="shared" si="24"/>
        <v/>
      </c>
    </row>
    <row r="76" spans="8:65" x14ac:dyDescent="0.25">
      <c r="W76" s="43">
        <v>61</v>
      </c>
      <c r="X76" s="364" t="str">
        <f t="shared" si="42"/>
        <v/>
      </c>
      <c r="Y76" s="364" t="str">
        <f t="shared" si="43"/>
        <v/>
      </c>
      <c r="Z76" s="364" t="str">
        <f t="shared" si="44"/>
        <v/>
      </c>
      <c r="AA76" s="364" t="str">
        <f t="shared" si="45"/>
        <v/>
      </c>
      <c r="AB76" s="364" t="str">
        <f t="shared" si="46"/>
        <v/>
      </c>
      <c r="AC76" s="121"/>
      <c r="AD76" s="121" t="s">
        <v>1210</v>
      </c>
      <c r="AE76" s="278" t="str">
        <f t="shared" si="41"/>
        <v/>
      </c>
      <c r="AF76" s="135" t="str">
        <f t="shared" si="39"/>
        <v/>
      </c>
      <c r="AG76" s="135"/>
      <c r="AH76" s="135"/>
      <c r="AR76" s="43">
        <v>61</v>
      </c>
      <c r="AS76" s="362" t="str">
        <f t="array" ref="AS76">IFERROR(IF(ROWS(Y$16:Y76)&gt;COUNTA($Y$16:$Y$116),"",INDEX($W$16:$W$116,SMALL(IF($Y$16:$Y$116&lt;&gt;"",ROW($Y$16:$Y$116)-ROW($Y$16)+1),ROWS($Y$16:Y76)))),"")</f>
        <v/>
      </c>
      <c r="AT76" s="349" t="str">
        <f t="shared" si="16"/>
        <v/>
      </c>
      <c r="AU76" s="349" t="str">
        <f t="shared" si="17"/>
        <v/>
      </c>
      <c r="AV76" s="349" t="str">
        <f t="shared" si="18"/>
        <v/>
      </c>
      <c r="AW76" s="362" t="str">
        <f t="shared" si="25"/>
        <v/>
      </c>
      <c r="AX76" s="362" t="str">
        <f t="shared" si="19"/>
        <v/>
      </c>
      <c r="AY76" s="1107" t="str">
        <f t="shared" si="20"/>
        <v/>
      </c>
      <c r="BA76" s="93">
        <v>61</v>
      </c>
      <c r="BB76" s="357" t="str">
        <f t="shared" si="47"/>
        <v/>
      </c>
      <c r="BC76" s="357" t="str">
        <f t="shared" si="48"/>
        <v/>
      </c>
      <c r="BD76" s="357" t="str">
        <f t="shared" si="49"/>
        <v/>
      </c>
      <c r="BE76" s="357" t="str">
        <f t="shared" si="50"/>
        <v/>
      </c>
      <c r="BF76" s="357" t="str">
        <f t="shared" si="51"/>
        <v/>
      </c>
      <c r="BG76" s="357" t="str">
        <f t="shared" si="52"/>
        <v/>
      </c>
      <c r="BH76" s="95" t="s">
        <v>16</v>
      </c>
      <c r="BI76" s="362" t="str">
        <f t="array" ref="BI76">IFERROR(IF(ROWS(BC$16:BC76)&gt;COUNTA($BC$16:$BC$116),"",INDEX($BA$16:$BA$116,SMALL(IF($BC$16:$BC$116&lt;&gt;"",ROW($BC$16:$BC$116)-ROW($BC$16)+1),ROWS($BC$16:BC76)))),"")</f>
        <v/>
      </c>
      <c r="BJ76" s="349" t="str">
        <f t="shared" si="21"/>
        <v/>
      </c>
      <c r="BK76" s="362" t="str">
        <f t="shared" si="22"/>
        <v/>
      </c>
      <c r="BL76" s="362" t="str">
        <f t="shared" si="23"/>
        <v/>
      </c>
      <c r="BM76" s="413" t="str">
        <f t="shared" si="24"/>
        <v/>
      </c>
    </row>
    <row r="77" spans="8:65" x14ac:dyDescent="0.25">
      <c r="W77" s="43">
        <v>62</v>
      </c>
      <c r="X77" s="364" t="str">
        <f t="shared" si="42"/>
        <v/>
      </c>
      <c r="Y77" s="364" t="str">
        <f t="shared" si="43"/>
        <v/>
      </c>
      <c r="Z77" s="364" t="str">
        <f t="shared" si="44"/>
        <v/>
      </c>
      <c r="AA77" s="364" t="str">
        <f t="shared" si="45"/>
        <v/>
      </c>
      <c r="AB77" s="364" t="str">
        <f t="shared" si="46"/>
        <v/>
      </c>
      <c r="AC77" s="121"/>
      <c r="AD77" s="121" t="s">
        <v>1210</v>
      </c>
      <c r="AE77" s="278" t="str">
        <f t="shared" si="41"/>
        <v/>
      </c>
      <c r="AF77" s="135" t="str">
        <f t="shared" si="39"/>
        <v/>
      </c>
      <c r="AG77" s="135"/>
      <c r="AH77" s="135"/>
      <c r="AR77" s="43">
        <v>62</v>
      </c>
      <c r="AS77" s="362" t="str">
        <f t="array" ref="AS77">IFERROR(IF(ROWS(Y$16:Y77)&gt;COUNTA($Y$16:$Y$116),"",INDEX($W$16:$W$116,SMALL(IF($Y$16:$Y$116&lt;&gt;"",ROW($Y$16:$Y$116)-ROW($Y$16)+1),ROWS($Y$16:Y77)))),"")</f>
        <v/>
      </c>
      <c r="AT77" s="349" t="str">
        <f t="shared" si="16"/>
        <v/>
      </c>
      <c r="AU77" s="349" t="str">
        <f t="shared" si="17"/>
        <v/>
      </c>
      <c r="AV77" s="349" t="str">
        <f t="shared" si="18"/>
        <v/>
      </c>
      <c r="AW77" s="362" t="str">
        <f t="shared" si="25"/>
        <v/>
      </c>
      <c r="AX77" s="362" t="str">
        <f t="shared" si="19"/>
        <v/>
      </c>
      <c r="AY77" s="1107" t="str">
        <f t="shared" si="20"/>
        <v/>
      </c>
      <c r="BA77" s="42">
        <v>62</v>
      </c>
      <c r="BB77" s="357" t="str">
        <f t="shared" si="47"/>
        <v/>
      </c>
      <c r="BC77" s="357" t="str">
        <f t="shared" si="48"/>
        <v/>
      </c>
      <c r="BD77" s="357" t="str">
        <f t="shared" si="49"/>
        <v/>
      </c>
      <c r="BE77" s="357" t="str">
        <f t="shared" si="50"/>
        <v/>
      </c>
      <c r="BF77" s="357" t="str">
        <f t="shared" si="51"/>
        <v/>
      </c>
      <c r="BG77" s="357" t="str">
        <f t="shared" si="52"/>
        <v/>
      </c>
      <c r="BH77" s="95" t="s">
        <v>16</v>
      </c>
      <c r="BI77" s="362" t="str">
        <f t="array" ref="BI77">IFERROR(IF(ROWS(BC$16:BC77)&gt;COUNTA($BC$16:$BC$116),"",INDEX($BA$16:$BA$116,SMALL(IF($BC$16:$BC$116&lt;&gt;"",ROW($BC$16:$BC$116)-ROW($BC$16)+1),ROWS($BC$16:BC77)))),"")</f>
        <v/>
      </c>
      <c r="BJ77" s="349" t="str">
        <f t="shared" si="21"/>
        <v/>
      </c>
      <c r="BK77" s="362" t="str">
        <f t="shared" si="22"/>
        <v/>
      </c>
      <c r="BL77" s="362" t="str">
        <f t="shared" si="23"/>
        <v/>
      </c>
      <c r="BM77" s="413" t="str">
        <f t="shared" si="24"/>
        <v/>
      </c>
    </row>
    <row r="78" spans="8:65" x14ac:dyDescent="0.25">
      <c r="W78" s="43">
        <v>63</v>
      </c>
      <c r="X78" s="364" t="str">
        <f t="shared" si="42"/>
        <v/>
      </c>
      <c r="Y78" s="364" t="str">
        <f t="shared" si="43"/>
        <v/>
      </c>
      <c r="Z78" s="364" t="str">
        <f t="shared" si="44"/>
        <v/>
      </c>
      <c r="AA78" s="364" t="str">
        <f t="shared" si="45"/>
        <v/>
      </c>
      <c r="AB78" s="364" t="str">
        <f t="shared" si="46"/>
        <v/>
      </c>
      <c r="AC78" s="121"/>
      <c r="AD78" s="121" t="s">
        <v>1210</v>
      </c>
      <c r="AE78" s="278" t="str">
        <f t="shared" si="41"/>
        <v/>
      </c>
      <c r="AF78" s="135" t="str">
        <f t="shared" si="39"/>
        <v/>
      </c>
      <c r="AG78" s="135"/>
      <c r="AH78" s="135"/>
      <c r="AR78" s="43">
        <v>63</v>
      </c>
      <c r="AS78" s="362" t="str">
        <f t="array" ref="AS78">IFERROR(IF(ROWS(Y$16:Y78)&gt;COUNTA($Y$16:$Y$116),"",INDEX($W$16:$W$116,SMALL(IF($Y$16:$Y$116&lt;&gt;"",ROW($Y$16:$Y$116)-ROW($Y$16)+1),ROWS($Y$16:Y78)))),"")</f>
        <v/>
      </c>
      <c r="AT78" s="349" t="str">
        <f t="shared" si="16"/>
        <v/>
      </c>
      <c r="AU78" s="349" t="str">
        <f t="shared" si="17"/>
        <v/>
      </c>
      <c r="AV78" s="349" t="str">
        <f t="shared" si="18"/>
        <v/>
      </c>
      <c r="AW78" s="362" t="str">
        <f t="shared" si="25"/>
        <v/>
      </c>
      <c r="AX78" s="362" t="str">
        <f t="shared" si="19"/>
        <v/>
      </c>
      <c r="AY78" s="1107" t="str">
        <f t="shared" si="20"/>
        <v/>
      </c>
      <c r="BA78" s="93">
        <v>63</v>
      </c>
      <c r="BB78" s="357" t="str">
        <f t="shared" si="47"/>
        <v/>
      </c>
      <c r="BC78" s="357" t="str">
        <f t="shared" si="48"/>
        <v/>
      </c>
      <c r="BD78" s="357" t="str">
        <f t="shared" si="49"/>
        <v/>
      </c>
      <c r="BE78" s="357" t="str">
        <f t="shared" si="50"/>
        <v/>
      </c>
      <c r="BF78" s="357" t="str">
        <f t="shared" si="51"/>
        <v/>
      </c>
      <c r="BG78" s="357" t="str">
        <f t="shared" si="52"/>
        <v/>
      </c>
      <c r="BH78" s="95" t="s">
        <v>16</v>
      </c>
      <c r="BI78" s="362" t="str">
        <f t="array" ref="BI78">IFERROR(IF(ROWS(BC$16:BC78)&gt;COUNTA($BC$16:$BC$116),"",INDEX($BA$16:$BA$116,SMALL(IF($BC$16:$BC$116&lt;&gt;"",ROW($BC$16:$BC$116)-ROW($BC$16)+1),ROWS($BC$16:BC78)))),"")</f>
        <v/>
      </c>
      <c r="BJ78" s="349" t="str">
        <f t="shared" si="21"/>
        <v/>
      </c>
      <c r="BK78" s="362" t="str">
        <f t="shared" si="22"/>
        <v/>
      </c>
      <c r="BL78" s="362" t="str">
        <f t="shared" si="23"/>
        <v/>
      </c>
      <c r="BM78" s="413" t="str">
        <f t="shared" si="24"/>
        <v/>
      </c>
    </row>
    <row r="79" spans="8:65" x14ac:dyDescent="0.25">
      <c r="W79" s="43">
        <v>64</v>
      </c>
      <c r="X79" s="364" t="str">
        <f t="shared" si="42"/>
        <v/>
      </c>
      <c r="Y79" s="364" t="str">
        <f t="shared" si="43"/>
        <v/>
      </c>
      <c r="Z79" s="364" t="str">
        <f t="shared" si="44"/>
        <v/>
      </c>
      <c r="AA79" s="364" t="str">
        <f t="shared" si="45"/>
        <v/>
      </c>
      <c r="AB79" s="364" t="str">
        <f t="shared" si="46"/>
        <v/>
      </c>
      <c r="AC79" s="121"/>
      <c r="AD79" s="121" t="s">
        <v>1210</v>
      </c>
      <c r="AE79" s="278" t="str">
        <f t="shared" si="41"/>
        <v/>
      </c>
      <c r="AF79" s="135" t="str">
        <f t="shared" si="39"/>
        <v/>
      </c>
      <c r="AG79" s="135"/>
      <c r="AH79" s="135"/>
      <c r="AR79" s="43">
        <v>64</v>
      </c>
      <c r="AS79" s="362" t="str">
        <f t="array" ref="AS79">IFERROR(IF(ROWS(Y$16:Y79)&gt;COUNTA($Y$16:$Y$116),"",INDEX($W$16:$W$116,SMALL(IF($Y$16:$Y$116&lt;&gt;"",ROW($Y$16:$Y$116)-ROW($Y$16)+1),ROWS($Y$16:Y79)))),"")</f>
        <v/>
      </c>
      <c r="AT79" s="349" t="str">
        <f t="shared" si="16"/>
        <v/>
      </c>
      <c r="AU79" s="349" t="str">
        <f t="shared" si="17"/>
        <v/>
      </c>
      <c r="AV79" s="349" t="str">
        <f t="shared" si="18"/>
        <v/>
      </c>
      <c r="AW79" s="362" t="str">
        <f t="shared" si="25"/>
        <v/>
      </c>
      <c r="AX79" s="362" t="str">
        <f t="shared" si="19"/>
        <v/>
      </c>
      <c r="AY79" s="1107" t="str">
        <f t="shared" si="20"/>
        <v/>
      </c>
      <c r="BA79" s="42">
        <v>64</v>
      </c>
      <c r="BB79" s="357" t="str">
        <f t="shared" si="47"/>
        <v/>
      </c>
      <c r="BC79" s="357" t="str">
        <f t="shared" si="48"/>
        <v/>
      </c>
      <c r="BD79" s="357" t="str">
        <f t="shared" si="49"/>
        <v/>
      </c>
      <c r="BE79" s="357" t="str">
        <f t="shared" si="50"/>
        <v/>
      </c>
      <c r="BF79" s="357" t="str">
        <f t="shared" si="51"/>
        <v/>
      </c>
      <c r="BG79" s="357" t="str">
        <f t="shared" si="52"/>
        <v/>
      </c>
      <c r="BH79" s="95" t="s">
        <v>16</v>
      </c>
      <c r="BI79" s="362" t="str">
        <f t="array" ref="BI79">IFERROR(IF(ROWS(BC$16:BC79)&gt;COUNTA($BC$16:$BC$116),"",INDEX($BA$16:$BA$116,SMALL(IF($BC$16:$BC$116&lt;&gt;"",ROW($BC$16:$BC$116)-ROW($BC$16)+1),ROWS($BC$16:BC79)))),"")</f>
        <v/>
      </c>
      <c r="BJ79" s="349" t="str">
        <f t="shared" si="21"/>
        <v/>
      </c>
      <c r="BK79" s="362" t="str">
        <f t="shared" si="22"/>
        <v/>
      </c>
      <c r="BL79" s="362" t="str">
        <f t="shared" si="23"/>
        <v/>
      </c>
      <c r="BM79" s="413" t="str">
        <f t="shared" si="24"/>
        <v/>
      </c>
    </row>
    <row r="80" spans="8:65" x14ac:dyDescent="0.25">
      <c r="W80" s="43">
        <v>65</v>
      </c>
      <c r="X80" s="364" t="str">
        <f t="shared" si="42"/>
        <v/>
      </c>
      <c r="Y80" s="364" t="str">
        <f t="shared" si="43"/>
        <v/>
      </c>
      <c r="Z80" s="364" t="str">
        <f t="shared" si="44"/>
        <v/>
      </c>
      <c r="AA80" s="364" t="str">
        <f t="shared" si="45"/>
        <v/>
      </c>
      <c r="AB80" s="364" t="str">
        <f t="shared" si="46"/>
        <v/>
      </c>
      <c r="AC80" s="121"/>
      <c r="AD80" s="121" t="s">
        <v>1210</v>
      </c>
      <c r="AE80" s="278" t="str">
        <f t="shared" si="41"/>
        <v/>
      </c>
      <c r="AF80" s="135" t="str">
        <f t="shared" ref="AF80:AF111" si="53">IF(AA80&lt;&gt;"",VLOOKUP(AA80,_TradableTableAllowed,RIGHT(AE$14,1)+4,FALSE),"")</f>
        <v/>
      </c>
      <c r="AG80" s="135"/>
      <c r="AH80" s="135"/>
      <c r="AR80" s="43">
        <v>65</v>
      </c>
      <c r="AS80" s="362" t="str">
        <f t="array" ref="AS80">IFERROR(IF(ROWS(Y$16:Y80)&gt;COUNTA($Y$16:$Y$116),"",INDEX($W$16:$W$116,SMALL(IF($Y$16:$Y$116&lt;&gt;"",ROW($Y$16:$Y$116)-ROW($Y$16)+1),ROWS($Y$16:Y80)))),"")</f>
        <v/>
      </c>
      <c r="AT80" s="349" t="str">
        <f t="shared" si="16"/>
        <v/>
      </c>
      <c r="AU80" s="349" t="str">
        <f t="shared" si="17"/>
        <v/>
      </c>
      <c r="AV80" s="349" t="str">
        <f t="shared" si="18"/>
        <v/>
      </c>
      <c r="AW80" s="362" t="str">
        <f t="shared" si="25"/>
        <v/>
      </c>
      <c r="AX80" s="362" t="str">
        <f t="shared" si="19"/>
        <v/>
      </c>
      <c r="AY80" s="1107" t="str">
        <f t="shared" si="20"/>
        <v/>
      </c>
      <c r="BA80" s="93">
        <v>65</v>
      </c>
      <c r="BB80" s="357" t="str">
        <f t="shared" si="47"/>
        <v/>
      </c>
      <c r="BC80" s="357" t="str">
        <f t="shared" si="48"/>
        <v/>
      </c>
      <c r="BD80" s="357" t="str">
        <f t="shared" si="49"/>
        <v/>
      </c>
      <c r="BE80" s="357" t="str">
        <f t="shared" si="50"/>
        <v/>
      </c>
      <c r="BF80" s="357" t="str">
        <f t="shared" si="51"/>
        <v/>
      </c>
      <c r="BG80" s="357" t="str">
        <f t="shared" si="52"/>
        <v/>
      </c>
      <c r="BH80" s="95" t="s">
        <v>16</v>
      </c>
      <c r="BI80" s="362" t="str">
        <f t="array" ref="BI80">IFERROR(IF(ROWS(BC$16:BC80)&gt;COUNTA($BC$16:$BC$116),"",INDEX($BA$16:$BA$116,SMALL(IF($BC$16:$BC$116&lt;&gt;"",ROW($BC$16:$BC$116)-ROW($BC$16)+1),ROWS($BC$16:BC80)))),"")</f>
        <v/>
      </c>
      <c r="BJ80" s="349" t="str">
        <f t="shared" si="21"/>
        <v/>
      </c>
      <c r="BK80" s="362" t="str">
        <f t="shared" si="22"/>
        <v/>
      </c>
      <c r="BL80" s="362" t="str">
        <f t="shared" si="23"/>
        <v/>
      </c>
      <c r="BM80" s="413" t="str">
        <f t="shared" si="24"/>
        <v/>
      </c>
    </row>
    <row r="81" spans="23:65" x14ac:dyDescent="0.25">
      <c r="W81" s="43">
        <v>66</v>
      </c>
      <c r="X81" s="364" t="str">
        <f t="shared" si="42"/>
        <v/>
      </c>
      <c r="Y81" s="364" t="str">
        <f t="shared" si="43"/>
        <v/>
      </c>
      <c r="Z81" s="364" t="str">
        <f t="shared" si="44"/>
        <v/>
      </c>
      <c r="AA81" s="364" t="str">
        <f t="shared" si="45"/>
        <v/>
      </c>
      <c r="AB81" s="364" t="str">
        <f t="shared" si="46"/>
        <v/>
      </c>
      <c r="AC81" s="121"/>
      <c r="AD81" s="121" t="s">
        <v>1210</v>
      </c>
      <c r="AE81" s="278" t="str">
        <f t="shared" si="41"/>
        <v/>
      </c>
      <c r="AF81" s="135" t="str">
        <f t="shared" si="53"/>
        <v/>
      </c>
      <c r="AG81" s="135"/>
      <c r="AH81" s="135"/>
      <c r="AR81" s="43">
        <v>66</v>
      </c>
      <c r="AS81" s="362" t="str">
        <f t="array" ref="AS81">IFERROR(IF(ROWS(Y$16:Y81)&gt;COUNTA($Y$16:$Y$116),"",INDEX($W$16:$W$116,SMALL(IF($Y$16:$Y$116&lt;&gt;"",ROW($Y$16:$Y$116)-ROW($Y$16)+1),ROWS($Y$16:Y81)))),"")</f>
        <v/>
      </c>
      <c r="AT81" s="349" t="str">
        <f t="shared" ref="AT81:AT115" si="54">IF(AS81="","",VLOOKUP(AS81,W$16:AB$116,3,FALSE))</f>
        <v/>
      </c>
      <c r="AU81" s="349" t="str">
        <f t="shared" ref="AU81:AU115" si="55">IF(AS81="","",VLOOKUP($AS81,$W$16:$AB$116,4,FALSE))</f>
        <v/>
      </c>
      <c r="AV81" s="349" t="str">
        <f t="shared" ref="AV81:AV115" si="56">IF(AS81="","",VLOOKUP($AS81,$W$16:$AB$116,5,FALSE))</f>
        <v/>
      </c>
      <c r="AW81" s="362" t="str">
        <f t="shared" si="25"/>
        <v/>
      </c>
      <c r="AX81" s="362" t="str">
        <f t="shared" ref="AX81:AX115" si="57">IF(AS81="","",VLOOKUP($AS81,$W$16:$AE$116,7,FALSE))</f>
        <v/>
      </c>
      <c r="AY81" s="1107" t="str">
        <f t="shared" ref="AY81:AY115" si="58">IF($AS81="","",VLOOKUP($AS81,$W$16:$AE$116,8,FALSE))</f>
        <v/>
      </c>
      <c r="BA81" s="42">
        <v>66</v>
      </c>
      <c r="BB81" s="357" t="str">
        <f t="shared" si="47"/>
        <v/>
      </c>
      <c r="BC81" s="357" t="str">
        <f t="shared" si="48"/>
        <v/>
      </c>
      <c r="BD81" s="357" t="str">
        <f t="shared" si="49"/>
        <v/>
      </c>
      <c r="BE81" s="357" t="str">
        <f t="shared" si="50"/>
        <v/>
      </c>
      <c r="BF81" s="357" t="str">
        <f t="shared" si="51"/>
        <v/>
      </c>
      <c r="BG81" s="357" t="str">
        <f t="shared" si="52"/>
        <v/>
      </c>
      <c r="BH81" s="95" t="s">
        <v>16</v>
      </c>
      <c r="BI81" s="362" t="str">
        <f t="array" ref="BI81">IFERROR(IF(ROWS(BC$16:BC81)&gt;COUNTA($BC$16:$BC$116),"",INDEX($BA$16:$BA$116,SMALL(IF($BC$16:$BC$116&lt;&gt;"",ROW($BC$16:$BC$116)-ROW($BC$16)+1),ROWS($BC$16:BC81)))),"")</f>
        <v/>
      </c>
      <c r="BJ81" s="349" t="str">
        <f t="shared" ref="BJ81:BJ106" si="59">IF($BI81="","",VLOOKUP($BI81,$BA$16:$BG$116,3,FALSE))</f>
        <v/>
      </c>
      <c r="BK81" s="362" t="str">
        <f t="shared" si="22"/>
        <v/>
      </c>
      <c r="BL81" s="362" t="str">
        <f t="shared" si="23"/>
        <v/>
      </c>
      <c r="BM81" s="413" t="str">
        <f t="shared" ref="BM81:BM106" si="60">IF($BI81="","",VLOOKUP($BI81,$BA$16:$BH$116,8,FALSE))</f>
        <v/>
      </c>
    </row>
    <row r="82" spans="23:65" x14ac:dyDescent="0.25">
      <c r="W82" s="43">
        <v>67</v>
      </c>
      <c r="X82" s="364" t="str">
        <f t="shared" si="42"/>
        <v/>
      </c>
      <c r="Y82" s="364" t="str">
        <f t="shared" si="43"/>
        <v/>
      </c>
      <c r="Z82" s="364" t="str">
        <f t="shared" si="44"/>
        <v/>
      </c>
      <c r="AA82" s="364" t="str">
        <f t="shared" si="45"/>
        <v/>
      </c>
      <c r="AB82" s="364" t="str">
        <f t="shared" si="46"/>
        <v/>
      </c>
      <c r="AC82" s="121"/>
      <c r="AD82" s="121" t="s">
        <v>1210</v>
      </c>
      <c r="AE82" s="278" t="str">
        <f t="shared" si="41"/>
        <v/>
      </c>
      <c r="AF82" s="135" t="str">
        <f t="shared" si="53"/>
        <v/>
      </c>
      <c r="AG82" s="135"/>
      <c r="AH82" s="135"/>
      <c r="AR82" s="43">
        <v>67</v>
      </c>
      <c r="AS82" s="362" t="str">
        <f t="array" ref="AS82">IFERROR(IF(ROWS(Y$16:Y82)&gt;COUNTA($Y$16:$Y$116),"",INDEX($W$16:$W$116,SMALL(IF($Y$16:$Y$116&lt;&gt;"",ROW($Y$16:$Y$116)-ROW($Y$16)+1),ROWS($Y$16:Y82)))),"")</f>
        <v/>
      </c>
      <c r="AT82" s="349" t="str">
        <f t="shared" si="54"/>
        <v/>
      </c>
      <c r="AU82" s="349" t="str">
        <f t="shared" si="55"/>
        <v/>
      </c>
      <c r="AV82" s="349" t="str">
        <f t="shared" si="56"/>
        <v/>
      </c>
      <c r="AW82" s="362" t="str">
        <f t="shared" si="25"/>
        <v/>
      </c>
      <c r="AX82" s="362" t="str">
        <f t="shared" si="57"/>
        <v/>
      </c>
      <c r="AY82" s="1107" t="str">
        <f t="shared" si="58"/>
        <v/>
      </c>
      <c r="BA82" s="93">
        <v>67</v>
      </c>
      <c r="BB82" s="357" t="str">
        <f t="shared" si="47"/>
        <v/>
      </c>
      <c r="BC82" s="357" t="str">
        <f t="shared" si="48"/>
        <v/>
      </c>
      <c r="BD82" s="357" t="str">
        <f t="shared" si="49"/>
        <v/>
      </c>
      <c r="BE82" s="357" t="str">
        <f t="shared" si="50"/>
        <v/>
      </c>
      <c r="BF82" s="357" t="str">
        <f t="shared" si="51"/>
        <v/>
      </c>
      <c r="BG82" s="357" t="str">
        <f t="shared" si="52"/>
        <v/>
      </c>
      <c r="BH82" s="95" t="s">
        <v>16</v>
      </c>
      <c r="BI82" s="362" t="str">
        <f t="array" ref="BI82">IFERROR(IF(ROWS(BC$16:BC82)&gt;COUNTA($BC$16:$BC$116),"",INDEX($BA$16:$BA$116,SMALL(IF($BC$16:$BC$116&lt;&gt;"",ROW($BC$16:$BC$116)-ROW($BC$16)+1),ROWS($BC$16:BC82)))),"")</f>
        <v/>
      </c>
      <c r="BJ82" s="349" t="str">
        <f t="shared" si="59"/>
        <v/>
      </c>
      <c r="BK82" s="362" t="str">
        <f t="shared" si="22"/>
        <v/>
      </c>
      <c r="BL82" s="362" t="str">
        <f t="shared" si="23"/>
        <v/>
      </c>
      <c r="BM82" s="413" t="str">
        <f t="shared" si="60"/>
        <v/>
      </c>
    </row>
    <row r="83" spans="23:65" x14ac:dyDescent="0.25">
      <c r="W83" s="43">
        <v>68</v>
      </c>
      <c r="X83" s="364" t="str">
        <f t="shared" si="42"/>
        <v/>
      </c>
      <c r="Y83" s="364" t="str">
        <f t="shared" si="43"/>
        <v/>
      </c>
      <c r="Z83" s="364" t="str">
        <f t="shared" si="44"/>
        <v/>
      </c>
      <c r="AA83" s="364" t="str">
        <f t="shared" si="45"/>
        <v/>
      </c>
      <c r="AB83" s="364" t="str">
        <f t="shared" si="46"/>
        <v/>
      </c>
      <c r="AC83" s="121"/>
      <c r="AD83" s="121" t="s">
        <v>1210</v>
      </c>
      <c r="AE83" s="278" t="str">
        <f t="shared" si="41"/>
        <v/>
      </c>
      <c r="AF83" s="135" t="str">
        <f t="shared" si="53"/>
        <v/>
      </c>
      <c r="AG83" s="135"/>
      <c r="AH83" s="135"/>
      <c r="AR83" s="43">
        <v>68</v>
      </c>
      <c r="AS83" s="362" t="str">
        <f t="array" ref="AS83">IFERROR(IF(ROWS(Y$16:Y83)&gt;COUNTA($Y$16:$Y$116),"",INDEX($W$16:$W$116,SMALL(IF($Y$16:$Y$116&lt;&gt;"",ROW($Y$16:$Y$116)-ROW($Y$16)+1),ROWS($Y$16:Y83)))),"")</f>
        <v/>
      </c>
      <c r="AT83" s="349" t="str">
        <f t="shared" si="54"/>
        <v/>
      </c>
      <c r="AU83" s="349" t="str">
        <f t="shared" si="55"/>
        <v/>
      </c>
      <c r="AV83" s="349" t="str">
        <f t="shared" si="56"/>
        <v/>
      </c>
      <c r="AW83" s="362" t="str">
        <f t="shared" si="25"/>
        <v/>
      </c>
      <c r="AX83" s="362" t="str">
        <f t="shared" si="57"/>
        <v/>
      </c>
      <c r="AY83" s="1107" t="str">
        <f t="shared" si="58"/>
        <v/>
      </c>
      <c r="BA83" s="42">
        <v>68</v>
      </c>
      <c r="BB83" s="357" t="str">
        <f t="shared" si="47"/>
        <v/>
      </c>
      <c r="BC83" s="357" t="str">
        <f t="shared" si="48"/>
        <v/>
      </c>
      <c r="BD83" s="357" t="str">
        <f t="shared" si="49"/>
        <v/>
      </c>
      <c r="BE83" s="357" t="str">
        <f t="shared" si="50"/>
        <v/>
      </c>
      <c r="BF83" s="357" t="str">
        <f t="shared" si="51"/>
        <v/>
      </c>
      <c r="BG83" s="357" t="str">
        <f t="shared" si="52"/>
        <v/>
      </c>
      <c r="BH83" s="95" t="s">
        <v>16</v>
      </c>
      <c r="BI83" s="362" t="str">
        <f t="array" ref="BI83">IFERROR(IF(ROWS(BC$16:BC83)&gt;COUNTA($BC$16:$BC$116),"",INDEX($BA$16:$BA$116,SMALL(IF($BC$16:$BC$116&lt;&gt;"",ROW($BC$16:$BC$116)-ROW($BC$16)+1),ROWS($BC$16:BC83)))),"")</f>
        <v/>
      </c>
      <c r="BJ83" s="349" t="str">
        <f t="shared" si="59"/>
        <v/>
      </c>
      <c r="BK83" s="362" t="str">
        <f t="shared" si="22"/>
        <v/>
      </c>
      <c r="BL83" s="362" t="str">
        <f t="shared" si="23"/>
        <v/>
      </c>
      <c r="BM83" s="413" t="str">
        <f t="shared" si="60"/>
        <v/>
      </c>
    </row>
    <row r="84" spans="23:65" x14ac:dyDescent="0.25">
      <c r="W84" s="43">
        <v>69</v>
      </c>
      <c r="X84" s="364" t="str">
        <f t="shared" si="42"/>
        <v/>
      </c>
      <c r="Y84" s="364" t="str">
        <f t="shared" si="43"/>
        <v/>
      </c>
      <c r="Z84" s="364" t="str">
        <f t="shared" si="44"/>
        <v/>
      </c>
      <c r="AA84" s="364" t="str">
        <f t="shared" si="45"/>
        <v/>
      </c>
      <c r="AB84" s="364" t="str">
        <f t="shared" si="46"/>
        <v/>
      </c>
      <c r="AC84" s="121"/>
      <c r="AD84" s="121" t="s">
        <v>1210</v>
      </c>
      <c r="AE84" s="278" t="str">
        <f t="shared" si="41"/>
        <v/>
      </c>
      <c r="AF84" s="135" t="str">
        <f t="shared" si="53"/>
        <v/>
      </c>
      <c r="AG84" s="135"/>
      <c r="AH84" s="135"/>
      <c r="AR84" s="43">
        <v>69</v>
      </c>
      <c r="AS84" s="362" t="str">
        <f t="array" ref="AS84">IFERROR(IF(ROWS(Y$16:Y84)&gt;COUNTA($Y$16:$Y$116),"",INDEX($W$16:$W$116,SMALL(IF($Y$16:$Y$116&lt;&gt;"",ROW($Y$16:$Y$116)-ROW($Y$16)+1),ROWS($Y$16:Y84)))),"")</f>
        <v/>
      </c>
      <c r="AT84" s="349" t="str">
        <f t="shared" si="54"/>
        <v/>
      </c>
      <c r="AU84" s="349" t="str">
        <f t="shared" si="55"/>
        <v/>
      </c>
      <c r="AV84" s="349" t="str">
        <f t="shared" si="56"/>
        <v/>
      </c>
      <c r="AW84" s="362" t="str">
        <f t="shared" si="25"/>
        <v/>
      </c>
      <c r="AX84" s="362" t="str">
        <f t="shared" si="57"/>
        <v/>
      </c>
      <c r="AY84" s="1107" t="str">
        <f t="shared" si="58"/>
        <v/>
      </c>
      <c r="BA84" s="93">
        <v>69</v>
      </c>
      <c r="BB84" s="357" t="str">
        <f t="shared" si="47"/>
        <v/>
      </c>
      <c r="BC84" s="357" t="str">
        <f t="shared" si="48"/>
        <v/>
      </c>
      <c r="BD84" s="357" t="str">
        <f t="shared" si="49"/>
        <v/>
      </c>
      <c r="BE84" s="357" t="str">
        <f t="shared" si="50"/>
        <v/>
      </c>
      <c r="BF84" s="357" t="str">
        <f t="shared" si="51"/>
        <v/>
      </c>
      <c r="BG84" s="357" t="str">
        <f t="shared" si="52"/>
        <v/>
      </c>
      <c r="BH84" s="95" t="s">
        <v>16</v>
      </c>
      <c r="BI84" s="362" t="str">
        <f t="array" ref="BI84">IFERROR(IF(ROWS(BC$16:BC84)&gt;COUNTA($BC$16:$BC$116),"",INDEX($BA$16:$BA$116,SMALL(IF($BC$16:$BC$116&lt;&gt;"",ROW($BC$16:$BC$116)-ROW($BC$16)+1),ROWS($BC$16:BC84)))),"")</f>
        <v/>
      </c>
      <c r="BJ84" s="349" t="str">
        <f t="shared" si="59"/>
        <v/>
      </c>
      <c r="BK84" s="362" t="str">
        <f t="shared" si="22"/>
        <v/>
      </c>
      <c r="BL84" s="362" t="str">
        <f t="shared" si="23"/>
        <v/>
      </c>
      <c r="BM84" s="413" t="str">
        <f t="shared" si="60"/>
        <v/>
      </c>
    </row>
    <row r="85" spans="23:65" x14ac:dyDescent="0.25">
      <c r="W85" s="43">
        <v>70</v>
      </c>
      <c r="X85" s="364" t="str">
        <f t="shared" si="42"/>
        <v/>
      </c>
      <c r="Y85" s="364" t="str">
        <f t="shared" si="43"/>
        <v/>
      </c>
      <c r="Z85" s="364" t="str">
        <f t="shared" si="44"/>
        <v/>
      </c>
      <c r="AA85" s="364" t="str">
        <f t="shared" si="45"/>
        <v/>
      </c>
      <c r="AB85" s="364" t="str">
        <f t="shared" si="46"/>
        <v/>
      </c>
      <c r="AC85" s="121"/>
      <c r="AD85" s="121" t="s">
        <v>1210</v>
      </c>
      <c r="AE85" s="278" t="str">
        <f t="shared" si="41"/>
        <v/>
      </c>
      <c r="AF85" s="135" t="str">
        <f t="shared" si="53"/>
        <v/>
      </c>
      <c r="AG85" s="135"/>
      <c r="AH85" s="135"/>
      <c r="AR85" s="43">
        <v>70</v>
      </c>
      <c r="AS85" s="362" t="str">
        <f t="array" ref="AS85">IFERROR(IF(ROWS(Y$16:Y85)&gt;COUNTA($Y$16:$Y$116),"",INDEX($W$16:$W$116,SMALL(IF($Y$16:$Y$116&lt;&gt;"",ROW($Y$16:$Y$116)-ROW($Y$16)+1),ROWS($Y$16:Y85)))),"")</f>
        <v/>
      </c>
      <c r="AT85" s="349" t="str">
        <f t="shared" si="54"/>
        <v/>
      </c>
      <c r="AU85" s="349" t="str">
        <f t="shared" si="55"/>
        <v/>
      </c>
      <c r="AV85" s="349" t="str">
        <f t="shared" si="56"/>
        <v/>
      </c>
      <c r="AW85" s="362" t="str">
        <f t="shared" si="25"/>
        <v/>
      </c>
      <c r="AX85" s="362" t="str">
        <f t="shared" si="57"/>
        <v/>
      </c>
      <c r="AY85" s="1107" t="str">
        <f t="shared" si="58"/>
        <v/>
      </c>
      <c r="BA85" s="42">
        <v>70</v>
      </c>
      <c r="BB85" s="357" t="str">
        <f t="shared" si="47"/>
        <v/>
      </c>
      <c r="BC85" s="357" t="str">
        <f t="shared" si="48"/>
        <v/>
      </c>
      <c r="BD85" s="357" t="str">
        <f t="shared" si="49"/>
        <v/>
      </c>
      <c r="BE85" s="357" t="str">
        <f t="shared" si="50"/>
        <v/>
      </c>
      <c r="BF85" s="357" t="str">
        <f t="shared" si="51"/>
        <v/>
      </c>
      <c r="BG85" s="357" t="str">
        <f t="shared" si="52"/>
        <v/>
      </c>
      <c r="BH85" s="95" t="s">
        <v>16</v>
      </c>
      <c r="BI85" s="362" t="str">
        <f t="array" ref="BI85">IFERROR(IF(ROWS(BC$16:BC85)&gt;COUNTA($BC$16:$BC$116),"",INDEX($BA$16:$BA$116,SMALL(IF($BC$16:$BC$116&lt;&gt;"",ROW($BC$16:$BC$116)-ROW($BC$16)+1),ROWS($BC$16:BC85)))),"")</f>
        <v/>
      </c>
      <c r="BJ85" s="349" t="str">
        <f t="shared" si="59"/>
        <v/>
      </c>
      <c r="BK85" s="362" t="str">
        <f t="shared" si="22"/>
        <v/>
      </c>
      <c r="BL85" s="362" t="str">
        <f t="shared" si="23"/>
        <v/>
      </c>
      <c r="BM85" s="413" t="str">
        <f t="shared" si="60"/>
        <v/>
      </c>
    </row>
    <row r="86" spans="23:65" x14ac:dyDescent="0.25">
      <c r="W86" s="43">
        <v>71</v>
      </c>
      <c r="X86" s="364" t="str">
        <f t="shared" si="42"/>
        <v/>
      </c>
      <c r="Y86" s="364" t="str">
        <f t="shared" si="43"/>
        <v/>
      </c>
      <c r="Z86" s="364" t="str">
        <f t="shared" si="44"/>
        <v/>
      </c>
      <c r="AA86" s="364" t="str">
        <f t="shared" si="45"/>
        <v/>
      </c>
      <c r="AB86" s="364" t="str">
        <f t="shared" si="46"/>
        <v/>
      </c>
      <c r="AC86" s="121"/>
      <c r="AD86" s="121" t="s">
        <v>1210</v>
      </c>
      <c r="AE86" s="278" t="str">
        <f t="shared" si="41"/>
        <v/>
      </c>
      <c r="AF86" s="135" t="str">
        <f t="shared" si="53"/>
        <v/>
      </c>
      <c r="AG86" s="135"/>
      <c r="AH86" s="135"/>
      <c r="AR86" s="43">
        <v>71</v>
      </c>
      <c r="AS86" s="362" t="str">
        <f t="array" ref="AS86">IFERROR(IF(ROWS(Y$16:Y86)&gt;COUNTA($Y$16:$Y$116),"",INDEX($W$16:$W$116,SMALL(IF($Y$16:$Y$116&lt;&gt;"",ROW($Y$16:$Y$116)-ROW($Y$16)+1),ROWS($Y$16:Y86)))),"")</f>
        <v/>
      </c>
      <c r="AT86" s="349" t="str">
        <f t="shared" si="54"/>
        <v/>
      </c>
      <c r="AU86" s="349" t="str">
        <f t="shared" si="55"/>
        <v/>
      </c>
      <c r="AV86" s="349" t="str">
        <f t="shared" si="56"/>
        <v/>
      </c>
      <c r="AW86" s="362" t="str">
        <f t="shared" ref="AW86:AW107" si="61">IF(AS86="","",VLOOKUP($AS86,$W86:$AB186,6,FALSE))</f>
        <v/>
      </c>
      <c r="AX86" s="362" t="str">
        <f t="shared" si="57"/>
        <v/>
      </c>
      <c r="AY86" s="1107" t="str">
        <f t="shared" si="58"/>
        <v/>
      </c>
      <c r="BA86" s="93">
        <v>71</v>
      </c>
      <c r="BB86" s="357" t="str">
        <f t="shared" si="47"/>
        <v/>
      </c>
      <c r="BC86" s="357" t="str">
        <f t="shared" si="48"/>
        <v/>
      </c>
      <c r="BD86" s="357" t="str">
        <f t="shared" si="49"/>
        <v/>
      </c>
      <c r="BE86" s="357" t="str">
        <f t="shared" si="50"/>
        <v/>
      </c>
      <c r="BF86" s="357" t="str">
        <f t="shared" si="51"/>
        <v/>
      </c>
      <c r="BG86" s="357" t="str">
        <f t="shared" si="52"/>
        <v/>
      </c>
      <c r="BH86" s="95" t="s">
        <v>16</v>
      </c>
      <c r="BI86" s="362" t="str">
        <f t="array" ref="BI86">IFERROR(IF(ROWS(BC$16:BC86)&gt;COUNTA($BC$16:$BC$116),"",INDEX($BA$16:$BA$116,SMALL(IF($BC$16:$BC$116&lt;&gt;"",ROW($BC$16:$BC$116)-ROW($BC$16)+1),ROWS($BC$16:BC86)))),"")</f>
        <v/>
      </c>
      <c r="BJ86" s="349" t="str">
        <f t="shared" si="59"/>
        <v/>
      </c>
      <c r="BK86" s="362" t="str">
        <f t="shared" si="22"/>
        <v/>
      </c>
      <c r="BL86" s="362" t="str">
        <f t="shared" si="23"/>
        <v/>
      </c>
      <c r="BM86" s="413" t="str">
        <f t="shared" si="60"/>
        <v/>
      </c>
    </row>
    <row r="87" spans="23:65" x14ac:dyDescent="0.25">
      <c r="W87" s="43">
        <v>72</v>
      </c>
      <c r="X87" s="364" t="str">
        <f t="shared" si="42"/>
        <v/>
      </c>
      <c r="Y87" s="364" t="str">
        <f t="shared" si="43"/>
        <v/>
      </c>
      <c r="Z87" s="364" t="str">
        <f t="shared" si="44"/>
        <v/>
      </c>
      <c r="AA87" s="364" t="str">
        <f t="shared" si="45"/>
        <v/>
      </c>
      <c r="AB87" s="364" t="str">
        <f t="shared" si="46"/>
        <v/>
      </c>
      <c r="AC87" s="121"/>
      <c r="AD87" s="121" t="s">
        <v>1210</v>
      </c>
      <c r="AE87" s="278" t="str">
        <f t="shared" si="41"/>
        <v/>
      </c>
      <c r="AF87" s="135" t="str">
        <f t="shared" si="53"/>
        <v/>
      </c>
      <c r="AG87" s="135"/>
      <c r="AH87" s="135"/>
      <c r="AR87" s="43">
        <v>72</v>
      </c>
      <c r="AS87" s="362" t="str">
        <f t="array" ref="AS87">IFERROR(IF(ROWS(Y$16:Y87)&gt;COUNTA($Y$16:$Y$116),"",INDEX($W$16:$W$116,SMALL(IF($Y$16:$Y$116&lt;&gt;"",ROW($Y$16:$Y$116)-ROW($Y$16)+1),ROWS($Y$16:Y87)))),"")</f>
        <v/>
      </c>
      <c r="AT87" s="349" t="str">
        <f t="shared" si="54"/>
        <v/>
      </c>
      <c r="AU87" s="349" t="str">
        <f t="shared" si="55"/>
        <v/>
      </c>
      <c r="AV87" s="349" t="str">
        <f t="shared" si="56"/>
        <v/>
      </c>
      <c r="AW87" s="362" t="str">
        <f t="shared" si="61"/>
        <v/>
      </c>
      <c r="AX87" s="362" t="str">
        <f t="shared" si="57"/>
        <v/>
      </c>
      <c r="AY87" s="1107" t="str">
        <f t="shared" si="58"/>
        <v/>
      </c>
      <c r="BA87" s="42">
        <v>72</v>
      </c>
      <c r="BB87" s="357" t="str">
        <f t="shared" si="47"/>
        <v/>
      </c>
      <c r="BC87" s="357" t="str">
        <f t="shared" si="48"/>
        <v/>
      </c>
      <c r="BD87" s="357" t="str">
        <f t="shared" si="49"/>
        <v/>
      </c>
      <c r="BE87" s="357" t="str">
        <f t="shared" si="50"/>
        <v/>
      </c>
      <c r="BF87" s="357" t="str">
        <f t="shared" si="51"/>
        <v/>
      </c>
      <c r="BG87" s="357" t="str">
        <f t="shared" si="52"/>
        <v/>
      </c>
      <c r="BH87" s="95" t="s">
        <v>16</v>
      </c>
      <c r="BI87" s="362" t="str">
        <f t="array" ref="BI87">IFERROR(IF(ROWS(BC$16:BC87)&gt;COUNTA($BC$16:$BC$116),"",INDEX($BA$16:$BA$116,SMALL(IF($BC$16:$BC$116&lt;&gt;"",ROW($BC$16:$BC$116)-ROW($BC$16)+1),ROWS($BC$16:BC87)))),"")</f>
        <v/>
      </c>
      <c r="BJ87" s="349" t="str">
        <f t="shared" si="59"/>
        <v/>
      </c>
      <c r="BK87" s="362" t="str">
        <f t="shared" si="22"/>
        <v/>
      </c>
      <c r="BL87" s="362" t="str">
        <f t="shared" si="23"/>
        <v/>
      </c>
      <c r="BM87" s="413" t="str">
        <f t="shared" si="60"/>
        <v/>
      </c>
    </row>
    <row r="88" spans="23:65" x14ac:dyDescent="0.25">
      <c r="W88" s="43">
        <v>73</v>
      </c>
      <c r="X88" s="364" t="str">
        <f t="shared" si="42"/>
        <v/>
      </c>
      <c r="Y88" s="364" t="str">
        <f t="shared" si="43"/>
        <v/>
      </c>
      <c r="Z88" s="364" t="str">
        <f t="shared" si="44"/>
        <v/>
      </c>
      <c r="AA88" s="364" t="str">
        <f t="shared" si="45"/>
        <v/>
      </c>
      <c r="AB88" s="364" t="str">
        <f t="shared" si="46"/>
        <v/>
      </c>
      <c r="AC88" s="121"/>
      <c r="AD88" s="121" t="s">
        <v>1210</v>
      </c>
      <c r="AE88" s="278" t="str">
        <f t="shared" si="41"/>
        <v/>
      </c>
      <c r="AF88" s="135" t="str">
        <f t="shared" si="53"/>
        <v/>
      </c>
      <c r="AG88" s="135"/>
      <c r="AH88" s="135"/>
      <c r="AR88" s="43">
        <v>73</v>
      </c>
      <c r="AS88" s="362" t="str">
        <f t="array" ref="AS88">IFERROR(IF(ROWS(Y$16:Y88)&gt;COUNTA($Y$16:$Y$116),"",INDEX($W$16:$W$116,SMALL(IF($Y$16:$Y$116&lt;&gt;"",ROW($Y$16:$Y$116)-ROW($Y$16)+1),ROWS($Y$16:Y88)))),"")</f>
        <v/>
      </c>
      <c r="AT88" s="349" t="str">
        <f t="shared" si="54"/>
        <v/>
      </c>
      <c r="AU88" s="349" t="str">
        <f t="shared" si="55"/>
        <v/>
      </c>
      <c r="AV88" s="349" t="str">
        <f t="shared" si="56"/>
        <v/>
      </c>
      <c r="AW88" s="362" t="str">
        <f t="shared" si="61"/>
        <v/>
      </c>
      <c r="AX88" s="362" t="str">
        <f t="shared" si="57"/>
        <v/>
      </c>
      <c r="AY88" s="1107" t="str">
        <f t="shared" si="58"/>
        <v/>
      </c>
      <c r="BA88" s="93">
        <v>73</v>
      </c>
      <c r="BB88" s="357" t="str">
        <f t="shared" si="47"/>
        <v/>
      </c>
      <c r="BC88" s="357" t="str">
        <f t="shared" si="48"/>
        <v/>
      </c>
      <c r="BD88" s="357" t="str">
        <f t="shared" si="49"/>
        <v/>
      </c>
      <c r="BE88" s="357" t="str">
        <f t="shared" si="50"/>
        <v/>
      </c>
      <c r="BF88" s="357" t="str">
        <f t="shared" si="51"/>
        <v/>
      </c>
      <c r="BG88" s="357" t="str">
        <f t="shared" si="52"/>
        <v/>
      </c>
      <c r="BH88" s="95" t="s">
        <v>16</v>
      </c>
      <c r="BI88" s="362" t="str">
        <f t="array" ref="BI88">IFERROR(IF(ROWS(BC$16:BC88)&gt;COUNTA($BC$16:$BC$116),"",INDEX($BA$16:$BA$116,SMALL(IF($BC$16:$BC$116&lt;&gt;"",ROW($BC$16:$BC$116)-ROW($BC$16)+1),ROWS($BC$16:BC88)))),"")</f>
        <v/>
      </c>
      <c r="BJ88" s="349" t="str">
        <f t="shared" si="59"/>
        <v/>
      </c>
      <c r="BK88" s="362" t="str">
        <f t="shared" si="22"/>
        <v/>
      </c>
      <c r="BL88" s="362" t="str">
        <f t="shared" si="23"/>
        <v/>
      </c>
      <c r="BM88" s="413" t="str">
        <f t="shared" si="60"/>
        <v/>
      </c>
    </row>
    <row r="89" spans="23:65" x14ac:dyDescent="0.25">
      <c r="W89" s="43">
        <v>74</v>
      </c>
      <c r="X89" s="364" t="str">
        <f t="shared" si="42"/>
        <v/>
      </c>
      <c r="Y89" s="364" t="str">
        <f t="shared" si="43"/>
        <v/>
      </c>
      <c r="Z89" s="364" t="str">
        <f t="shared" si="44"/>
        <v/>
      </c>
      <c r="AA89" s="364" t="str">
        <f t="shared" si="45"/>
        <v/>
      </c>
      <c r="AB89" s="364" t="str">
        <f t="shared" si="46"/>
        <v/>
      </c>
      <c r="AC89" s="121"/>
      <c r="AD89" s="121" t="s">
        <v>1210</v>
      </c>
      <c r="AE89" s="278" t="str">
        <f t="shared" si="41"/>
        <v/>
      </c>
      <c r="AF89" s="135" t="str">
        <f t="shared" si="53"/>
        <v/>
      </c>
      <c r="AG89" s="135"/>
      <c r="AH89" s="135"/>
      <c r="AR89" s="43">
        <v>74</v>
      </c>
      <c r="AS89" s="362" t="str">
        <f t="array" ref="AS89">IFERROR(IF(ROWS(Y$16:Y89)&gt;COUNTA($Y$16:$Y$116),"",INDEX($W$16:$W$116,SMALL(IF($Y$16:$Y$116&lt;&gt;"",ROW($Y$16:$Y$116)-ROW($Y$16)+1),ROWS($Y$16:Y89)))),"")</f>
        <v/>
      </c>
      <c r="AT89" s="349" t="str">
        <f t="shared" si="54"/>
        <v/>
      </c>
      <c r="AU89" s="349" t="str">
        <f t="shared" si="55"/>
        <v/>
      </c>
      <c r="AV89" s="349" t="str">
        <f t="shared" si="56"/>
        <v/>
      </c>
      <c r="AW89" s="362" t="str">
        <f t="shared" si="61"/>
        <v/>
      </c>
      <c r="AX89" s="362" t="str">
        <f t="shared" si="57"/>
        <v/>
      </c>
      <c r="AY89" s="1107" t="str">
        <f t="shared" si="58"/>
        <v/>
      </c>
      <c r="BA89" s="42">
        <v>74</v>
      </c>
      <c r="BB89" s="357" t="str">
        <f t="shared" si="47"/>
        <v/>
      </c>
      <c r="BC89" s="357" t="str">
        <f t="shared" si="48"/>
        <v/>
      </c>
      <c r="BD89" s="357" t="str">
        <f t="shared" si="49"/>
        <v/>
      </c>
      <c r="BE89" s="357" t="str">
        <f t="shared" si="50"/>
        <v/>
      </c>
      <c r="BF89" s="357" t="str">
        <f t="shared" si="51"/>
        <v/>
      </c>
      <c r="BG89" s="357" t="str">
        <f t="shared" si="52"/>
        <v/>
      </c>
      <c r="BH89" s="95" t="s">
        <v>16</v>
      </c>
      <c r="BI89" s="362" t="str">
        <f t="array" ref="BI89">IFERROR(IF(ROWS(BC$16:BC89)&gt;COUNTA($BC$16:$BC$116),"",INDEX($BA$16:$BA$116,SMALL(IF($BC$16:$BC$116&lt;&gt;"",ROW($BC$16:$BC$116)-ROW($BC$16)+1),ROWS($BC$16:BC89)))),"")</f>
        <v/>
      </c>
      <c r="BJ89" s="349" t="str">
        <f t="shared" si="59"/>
        <v/>
      </c>
      <c r="BK89" s="362" t="str">
        <f t="shared" si="22"/>
        <v/>
      </c>
      <c r="BL89" s="362" t="str">
        <f t="shared" si="23"/>
        <v/>
      </c>
      <c r="BM89" s="413" t="str">
        <f t="shared" si="60"/>
        <v/>
      </c>
    </row>
    <row r="90" spans="23:65" x14ac:dyDescent="0.25">
      <c r="W90" s="43">
        <v>75</v>
      </c>
      <c r="X90" s="364" t="str">
        <f t="shared" si="42"/>
        <v/>
      </c>
      <c r="Y90" s="364" t="str">
        <f t="shared" si="43"/>
        <v/>
      </c>
      <c r="Z90" s="364" t="str">
        <f t="shared" si="44"/>
        <v/>
      </c>
      <c r="AA90" s="364" t="str">
        <f t="shared" si="45"/>
        <v/>
      </c>
      <c r="AB90" s="364" t="str">
        <f t="shared" si="46"/>
        <v/>
      </c>
      <c r="AC90" s="121"/>
      <c r="AD90" s="121" t="s">
        <v>1210</v>
      </c>
      <c r="AE90" s="278" t="str">
        <f t="shared" si="41"/>
        <v/>
      </c>
      <c r="AF90" s="135" t="str">
        <f t="shared" si="53"/>
        <v/>
      </c>
      <c r="AG90" s="135"/>
      <c r="AH90" s="135"/>
      <c r="AR90" s="43">
        <v>75</v>
      </c>
      <c r="AS90" s="362" t="str">
        <f t="array" ref="AS90">IFERROR(IF(ROWS(Y$16:Y90)&gt;COUNTA($Y$16:$Y$116),"",INDEX($W$16:$W$116,SMALL(IF($Y$16:$Y$116&lt;&gt;"",ROW($Y$16:$Y$116)-ROW($Y$16)+1),ROWS($Y$16:Y90)))),"")</f>
        <v/>
      </c>
      <c r="AT90" s="349" t="str">
        <f t="shared" si="54"/>
        <v/>
      </c>
      <c r="AU90" s="349" t="str">
        <f t="shared" si="55"/>
        <v/>
      </c>
      <c r="AV90" s="349" t="str">
        <f t="shared" si="56"/>
        <v/>
      </c>
      <c r="AW90" s="362" t="str">
        <f t="shared" si="61"/>
        <v/>
      </c>
      <c r="AX90" s="362" t="str">
        <f t="shared" si="57"/>
        <v/>
      </c>
      <c r="AY90" s="1107" t="str">
        <f t="shared" si="58"/>
        <v/>
      </c>
      <c r="BA90" s="93">
        <v>75</v>
      </c>
      <c r="BB90" s="357" t="str">
        <f t="shared" si="47"/>
        <v/>
      </c>
      <c r="BC90" s="357" t="str">
        <f t="shared" si="48"/>
        <v/>
      </c>
      <c r="BD90" s="357" t="str">
        <f t="shared" si="49"/>
        <v/>
      </c>
      <c r="BE90" s="357" t="str">
        <f t="shared" si="50"/>
        <v/>
      </c>
      <c r="BF90" s="357" t="str">
        <f t="shared" si="51"/>
        <v/>
      </c>
      <c r="BG90" s="357" t="str">
        <f t="shared" si="52"/>
        <v/>
      </c>
      <c r="BH90" s="95" t="s">
        <v>16</v>
      </c>
      <c r="BI90" s="362" t="str">
        <f t="array" ref="BI90">IFERROR(IF(ROWS(BC$16:BC90)&gt;COUNTA($BC$16:$BC$116),"",INDEX($BA$16:$BA$116,SMALL(IF($BC$16:$BC$116&lt;&gt;"",ROW($BC$16:$BC$116)-ROW($BC$16)+1),ROWS($BC$16:BC90)))),"")</f>
        <v/>
      </c>
      <c r="BJ90" s="349" t="str">
        <f t="shared" si="59"/>
        <v/>
      </c>
      <c r="BK90" s="362" t="str">
        <f t="shared" si="22"/>
        <v/>
      </c>
      <c r="BL90" s="362" t="str">
        <f t="shared" si="23"/>
        <v/>
      </c>
      <c r="BM90" s="413" t="str">
        <f t="shared" si="60"/>
        <v/>
      </c>
    </row>
    <row r="91" spans="23:65" x14ac:dyDescent="0.25">
      <c r="W91" s="43">
        <v>76</v>
      </c>
      <c r="X91" s="364" t="str">
        <f t="shared" si="42"/>
        <v/>
      </c>
      <c r="Y91" s="364" t="str">
        <f t="shared" si="43"/>
        <v/>
      </c>
      <c r="Z91" s="364" t="str">
        <f t="shared" si="44"/>
        <v/>
      </c>
      <c r="AA91" s="364" t="str">
        <f t="shared" si="45"/>
        <v/>
      </c>
      <c r="AB91" s="364" t="str">
        <f t="shared" si="46"/>
        <v/>
      </c>
      <c r="AC91" s="121"/>
      <c r="AD91" s="121" t="s">
        <v>1210</v>
      </c>
      <c r="AE91" s="278" t="str">
        <f t="shared" si="41"/>
        <v/>
      </c>
      <c r="AF91" s="135" t="str">
        <f t="shared" si="53"/>
        <v/>
      </c>
      <c r="AG91" s="135"/>
      <c r="AH91" s="135"/>
      <c r="AR91" s="43">
        <v>76</v>
      </c>
      <c r="AS91" s="362" t="str">
        <f t="array" ref="AS91">IFERROR(IF(ROWS(Y$16:Y91)&gt;COUNTA($Y$16:$Y$116),"",INDEX($W$16:$W$116,SMALL(IF($Y$16:$Y$116&lt;&gt;"",ROW($Y$16:$Y$116)-ROW($Y$16)+1),ROWS($Y$16:Y91)))),"")</f>
        <v/>
      </c>
      <c r="AT91" s="349" t="str">
        <f t="shared" si="54"/>
        <v/>
      </c>
      <c r="AU91" s="349" t="str">
        <f t="shared" si="55"/>
        <v/>
      </c>
      <c r="AV91" s="349" t="str">
        <f t="shared" si="56"/>
        <v/>
      </c>
      <c r="AW91" s="362" t="str">
        <f t="shared" si="61"/>
        <v/>
      </c>
      <c r="AX91" s="362" t="str">
        <f t="shared" si="57"/>
        <v/>
      </c>
      <c r="AY91" s="1107" t="str">
        <f t="shared" si="58"/>
        <v/>
      </c>
      <c r="BA91" s="42">
        <v>76</v>
      </c>
      <c r="BB91" s="357" t="str">
        <f t="shared" si="47"/>
        <v/>
      </c>
      <c r="BC91" s="357" t="str">
        <f t="shared" si="48"/>
        <v/>
      </c>
      <c r="BD91" s="357" t="str">
        <f t="shared" si="49"/>
        <v/>
      </c>
      <c r="BE91" s="357" t="str">
        <f t="shared" si="50"/>
        <v/>
      </c>
      <c r="BF91" s="357" t="str">
        <f t="shared" si="51"/>
        <v/>
      </c>
      <c r="BG91" s="357" t="str">
        <f t="shared" si="52"/>
        <v/>
      </c>
      <c r="BH91" s="95" t="s">
        <v>16</v>
      </c>
      <c r="BI91" s="362" t="str">
        <f t="array" ref="BI91">IFERROR(IF(ROWS(BC$16:BC91)&gt;COUNTA($BC$16:$BC$116),"",INDEX($BA$16:$BA$116,SMALL(IF($BC$16:$BC$116&lt;&gt;"",ROW($BC$16:$BC$116)-ROW($BC$16)+1),ROWS($BC$16:BC91)))),"")</f>
        <v/>
      </c>
      <c r="BJ91" s="349" t="str">
        <f t="shared" si="59"/>
        <v/>
      </c>
      <c r="BK91" s="362" t="str">
        <f t="shared" si="22"/>
        <v/>
      </c>
      <c r="BL91" s="362" t="str">
        <f t="shared" si="23"/>
        <v/>
      </c>
      <c r="BM91" s="413" t="str">
        <f t="shared" si="60"/>
        <v/>
      </c>
    </row>
    <row r="92" spans="23:65" x14ac:dyDescent="0.25">
      <c r="W92" s="43">
        <v>77</v>
      </c>
      <c r="X92" s="364" t="str">
        <f t="shared" si="42"/>
        <v/>
      </c>
      <c r="Y92" s="364" t="str">
        <f t="shared" si="43"/>
        <v/>
      </c>
      <c r="Z92" s="364" t="str">
        <f t="shared" si="44"/>
        <v/>
      </c>
      <c r="AA92" s="364" t="str">
        <f t="shared" si="45"/>
        <v/>
      </c>
      <c r="AB92" s="364" t="str">
        <f t="shared" si="46"/>
        <v/>
      </c>
      <c r="AC92" s="121"/>
      <c r="AD92" s="121" t="s">
        <v>1210</v>
      </c>
      <c r="AE92" s="278" t="str">
        <f t="shared" si="41"/>
        <v/>
      </c>
      <c r="AF92" s="135" t="str">
        <f t="shared" si="53"/>
        <v/>
      </c>
      <c r="AG92" s="135"/>
      <c r="AH92" s="135"/>
      <c r="AR92" s="43">
        <v>77</v>
      </c>
      <c r="AS92" s="362" t="str">
        <f t="array" ref="AS92">IFERROR(IF(ROWS(Y$16:Y92)&gt;COUNTA($Y$16:$Y$116),"",INDEX($W$16:$W$116,SMALL(IF($Y$16:$Y$116&lt;&gt;"",ROW($Y$16:$Y$116)-ROW($Y$16)+1),ROWS($Y$16:Y92)))),"")</f>
        <v/>
      </c>
      <c r="AT92" s="349" t="str">
        <f t="shared" si="54"/>
        <v/>
      </c>
      <c r="AU92" s="349" t="str">
        <f t="shared" si="55"/>
        <v/>
      </c>
      <c r="AV92" s="349" t="str">
        <f t="shared" si="56"/>
        <v/>
      </c>
      <c r="AW92" s="362" t="str">
        <f t="shared" si="61"/>
        <v/>
      </c>
      <c r="AX92" s="362" t="str">
        <f t="shared" si="57"/>
        <v/>
      </c>
      <c r="AY92" s="1107" t="str">
        <f t="shared" si="58"/>
        <v/>
      </c>
      <c r="BA92" s="93">
        <v>77</v>
      </c>
      <c r="BB92" s="357" t="str">
        <f t="shared" si="47"/>
        <v/>
      </c>
      <c r="BC92" s="357" t="str">
        <f t="shared" si="48"/>
        <v/>
      </c>
      <c r="BD92" s="357" t="str">
        <f t="shared" si="49"/>
        <v/>
      </c>
      <c r="BE92" s="357" t="str">
        <f t="shared" si="50"/>
        <v/>
      </c>
      <c r="BF92" s="357" t="str">
        <f t="shared" si="51"/>
        <v/>
      </c>
      <c r="BG92" s="357" t="str">
        <f t="shared" si="52"/>
        <v/>
      </c>
      <c r="BH92" s="95" t="s">
        <v>16</v>
      </c>
      <c r="BI92" s="362" t="str">
        <f t="array" ref="BI92">IFERROR(IF(ROWS(BC$16:BC92)&gt;COUNTA($BC$16:$BC$116),"",INDEX($BA$16:$BA$116,SMALL(IF($BC$16:$BC$116&lt;&gt;"",ROW($BC$16:$BC$116)-ROW($BC$16)+1),ROWS($BC$16:BC92)))),"")</f>
        <v/>
      </c>
      <c r="BJ92" s="349" t="str">
        <f t="shared" si="59"/>
        <v/>
      </c>
      <c r="BK92" s="362" t="str">
        <f t="shared" si="22"/>
        <v/>
      </c>
      <c r="BL92" s="362" t="str">
        <f t="shared" si="23"/>
        <v/>
      </c>
      <c r="BM92" s="413" t="str">
        <f t="shared" si="60"/>
        <v/>
      </c>
    </row>
    <row r="93" spans="23:65" x14ac:dyDescent="0.25">
      <c r="W93" s="43">
        <v>78</v>
      </c>
      <c r="X93" s="364" t="str">
        <f t="shared" si="42"/>
        <v/>
      </c>
      <c r="Y93" s="364" t="str">
        <f t="shared" si="43"/>
        <v/>
      </c>
      <c r="Z93" s="364" t="str">
        <f t="shared" si="44"/>
        <v/>
      </c>
      <c r="AA93" s="364" t="str">
        <f t="shared" si="45"/>
        <v/>
      </c>
      <c r="AB93" s="364" t="str">
        <f t="shared" si="46"/>
        <v/>
      </c>
      <c r="AC93" s="121"/>
      <c r="AD93" s="121" t="s">
        <v>1210</v>
      </c>
      <c r="AE93" s="278" t="str">
        <f t="shared" si="41"/>
        <v/>
      </c>
      <c r="AF93" s="135" t="str">
        <f t="shared" si="53"/>
        <v/>
      </c>
      <c r="AG93" s="135"/>
      <c r="AH93" s="135"/>
      <c r="AR93" s="43">
        <v>78</v>
      </c>
      <c r="AS93" s="362" t="str">
        <f t="array" ref="AS93">IFERROR(IF(ROWS(Y$16:Y93)&gt;COUNTA($Y$16:$Y$116),"",INDEX($W$16:$W$116,SMALL(IF($Y$16:$Y$116&lt;&gt;"",ROW($Y$16:$Y$116)-ROW($Y$16)+1),ROWS($Y$16:Y93)))),"")</f>
        <v/>
      </c>
      <c r="AT93" s="349" t="str">
        <f t="shared" si="54"/>
        <v/>
      </c>
      <c r="AU93" s="349" t="str">
        <f t="shared" si="55"/>
        <v/>
      </c>
      <c r="AV93" s="349" t="str">
        <f t="shared" si="56"/>
        <v/>
      </c>
      <c r="AW93" s="362" t="str">
        <f t="shared" si="61"/>
        <v/>
      </c>
      <c r="AX93" s="362" t="str">
        <f t="shared" si="57"/>
        <v/>
      </c>
      <c r="AY93" s="1107" t="str">
        <f t="shared" si="58"/>
        <v/>
      </c>
      <c r="BA93" s="42">
        <v>78</v>
      </c>
      <c r="BB93" s="357" t="str">
        <f t="shared" si="47"/>
        <v/>
      </c>
      <c r="BC93" s="357" t="str">
        <f t="shared" si="48"/>
        <v/>
      </c>
      <c r="BD93" s="357" t="str">
        <f t="shared" si="49"/>
        <v/>
      </c>
      <c r="BE93" s="357" t="str">
        <f t="shared" si="50"/>
        <v/>
      </c>
      <c r="BF93" s="357" t="str">
        <f t="shared" si="51"/>
        <v/>
      </c>
      <c r="BG93" s="357" t="str">
        <f t="shared" si="52"/>
        <v/>
      </c>
      <c r="BH93" s="95" t="s">
        <v>16</v>
      </c>
      <c r="BI93" s="362" t="str">
        <f t="array" ref="BI93">IFERROR(IF(ROWS(BC$16:BC93)&gt;COUNTA($BC$16:$BC$116),"",INDEX($BA$16:$BA$116,SMALL(IF($BC$16:$BC$116&lt;&gt;"",ROW($BC$16:$BC$116)-ROW($BC$16)+1),ROWS($BC$16:BC93)))),"")</f>
        <v/>
      </c>
      <c r="BJ93" s="349" t="str">
        <f t="shared" si="59"/>
        <v/>
      </c>
      <c r="BK93" s="362" t="str">
        <f t="shared" si="22"/>
        <v/>
      </c>
      <c r="BL93" s="362" t="str">
        <f t="shared" si="23"/>
        <v/>
      </c>
      <c r="BM93" s="413" t="str">
        <f t="shared" si="60"/>
        <v/>
      </c>
    </row>
    <row r="94" spans="23:65" x14ac:dyDescent="0.25">
      <c r="W94" s="43">
        <v>79</v>
      </c>
      <c r="X94" s="364" t="str">
        <f t="shared" si="42"/>
        <v/>
      </c>
      <c r="Y94" s="364" t="str">
        <f t="shared" si="43"/>
        <v/>
      </c>
      <c r="Z94" s="364" t="str">
        <f t="shared" si="44"/>
        <v/>
      </c>
      <c r="AA94" s="364" t="str">
        <f t="shared" si="45"/>
        <v/>
      </c>
      <c r="AB94" s="364" t="str">
        <f t="shared" si="46"/>
        <v/>
      </c>
      <c r="AC94" s="121"/>
      <c r="AD94" s="121" t="s">
        <v>1210</v>
      </c>
      <c r="AE94" s="278" t="str">
        <f t="shared" si="41"/>
        <v/>
      </c>
      <c r="AF94" s="135" t="str">
        <f t="shared" si="53"/>
        <v/>
      </c>
      <c r="AG94" s="135"/>
      <c r="AH94" s="135"/>
      <c r="AR94" s="43">
        <v>79</v>
      </c>
      <c r="AS94" s="362" t="str">
        <f t="array" ref="AS94">IFERROR(IF(ROWS(Y$16:Y94)&gt;COUNTA($Y$16:$Y$116),"",INDEX($W$16:$W$116,SMALL(IF($Y$16:$Y$116&lt;&gt;"",ROW($Y$16:$Y$116)-ROW($Y$16)+1),ROWS($Y$16:Y94)))),"")</f>
        <v/>
      </c>
      <c r="AT94" s="349" t="str">
        <f t="shared" si="54"/>
        <v/>
      </c>
      <c r="AU94" s="349" t="str">
        <f t="shared" si="55"/>
        <v/>
      </c>
      <c r="AV94" s="349" t="str">
        <f t="shared" si="56"/>
        <v/>
      </c>
      <c r="AW94" s="362" t="str">
        <f t="shared" si="61"/>
        <v/>
      </c>
      <c r="AX94" s="362" t="str">
        <f t="shared" si="57"/>
        <v/>
      </c>
      <c r="AY94" s="1107" t="str">
        <f t="shared" si="58"/>
        <v/>
      </c>
      <c r="BA94" s="93">
        <v>79</v>
      </c>
      <c r="BB94" s="357" t="str">
        <f t="shared" si="47"/>
        <v/>
      </c>
      <c r="BC94" s="357" t="str">
        <f t="shared" si="48"/>
        <v/>
      </c>
      <c r="BD94" s="357" t="str">
        <f t="shared" si="49"/>
        <v/>
      </c>
      <c r="BE94" s="357" t="str">
        <f t="shared" si="50"/>
        <v/>
      </c>
      <c r="BF94" s="357" t="str">
        <f t="shared" si="51"/>
        <v/>
      </c>
      <c r="BG94" s="357" t="str">
        <f t="shared" si="52"/>
        <v/>
      </c>
      <c r="BH94" s="95" t="s">
        <v>16</v>
      </c>
      <c r="BI94" s="362" t="str">
        <f t="array" ref="BI94">IFERROR(IF(ROWS(BC$16:BC94)&gt;COUNTA($BC$16:$BC$116),"",INDEX($BA$16:$BA$116,SMALL(IF($BC$16:$BC$116&lt;&gt;"",ROW($BC$16:$BC$116)-ROW($BC$16)+1),ROWS($BC$16:BC94)))),"")</f>
        <v/>
      </c>
      <c r="BJ94" s="349" t="str">
        <f t="shared" si="59"/>
        <v/>
      </c>
      <c r="BK94" s="362" t="str">
        <f t="shared" si="22"/>
        <v/>
      </c>
      <c r="BL94" s="362" t="str">
        <f t="shared" si="23"/>
        <v/>
      </c>
      <c r="BM94" s="413" t="str">
        <f t="shared" si="60"/>
        <v/>
      </c>
    </row>
    <row r="95" spans="23:65" x14ac:dyDescent="0.25">
      <c r="W95" s="43">
        <v>80</v>
      </c>
      <c r="X95" s="364" t="str">
        <f t="shared" si="42"/>
        <v/>
      </c>
      <c r="Y95" s="364" t="str">
        <f t="shared" si="43"/>
        <v/>
      </c>
      <c r="Z95" s="364" t="str">
        <f t="shared" si="44"/>
        <v/>
      </c>
      <c r="AA95" s="364" t="str">
        <f t="shared" si="45"/>
        <v/>
      </c>
      <c r="AB95" s="364" t="str">
        <f t="shared" si="46"/>
        <v/>
      </c>
      <c r="AC95" s="121"/>
      <c r="AD95" s="121" t="s">
        <v>1210</v>
      </c>
      <c r="AE95" s="278" t="str">
        <f t="shared" si="41"/>
        <v/>
      </c>
      <c r="AF95" s="135" t="str">
        <f t="shared" si="53"/>
        <v/>
      </c>
      <c r="AG95" s="135"/>
      <c r="AH95" s="135"/>
      <c r="AR95" s="43">
        <v>80</v>
      </c>
      <c r="AS95" s="362" t="str">
        <f t="array" ref="AS95">IFERROR(IF(ROWS(Y$16:Y95)&gt;COUNTA($Y$16:$Y$116),"",INDEX($W$16:$W$116,SMALL(IF($Y$16:$Y$116&lt;&gt;"",ROW($Y$16:$Y$116)-ROW($Y$16)+1),ROWS($Y$16:Y95)))),"")</f>
        <v/>
      </c>
      <c r="AT95" s="349" t="str">
        <f t="shared" si="54"/>
        <v/>
      </c>
      <c r="AU95" s="349" t="str">
        <f t="shared" si="55"/>
        <v/>
      </c>
      <c r="AV95" s="349" t="str">
        <f t="shared" si="56"/>
        <v/>
      </c>
      <c r="AW95" s="362" t="str">
        <f t="shared" si="61"/>
        <v/>
      </c>
      <c r="AX95" s="362" t="str">
        <f t="shared" si="57"/>
        <v/>
      </c>
      <c r="AY95" s="1107" t="str">
        <f t="shared" si="58"/>
        <v/>
      </c>
      <c r="BA95" s="42">
        <v>80</v>
      </c>
      <c r="BB95" s="357" t="str">
        <f t="shared" si="47"/>
        <v/>
      </c>
      <c r="BC95" s="357" t="str">
        <f t="shared" si="48"/>
        <v/>
      </c>
      <c r="BD95" s="357" t="str">
        <f t="shared" si="49"/>
        <v/>
      </c>
      <c r="BE95" s="357" t="str">
        <f t="shared" si="50"/>
        <v/>
      </c>
      <c r="BF95" s="357" t="str">
        <f t="shared" si="51"/>
        <v/>
      </c>
      <c r="BG95" s="357" t="str">
        <f t="shared" si="52"/>
        <v/>
      </c>
      <c r="BH95" s="95" t="s">
        <v>16</v>
      </c>
      <c r="BI95" s="362" t="str">
        <f t="array" ref="BI95">IFERROR(IF(ROWS(BC$16:BC95)&gt;COUNTA($BC$16:$BC$116),"",INDEX($BA$16:$BA$116,SMALL(IF($BC$16:$BC$116&lt;&gt;"",ROW($BC$16:$BC$116)-ROW($BC$16)+1),ROWS($BC$16:BC95)))),"")</f>
        <v/>
      </c>
      <c r="BJ95" s="349" t="str">
        <f t="shared" si="59"/>
        <v/>
      </c>
      <c r="BK95" s="362" t="str">
        <f t="shared" si="22"/>
        <v/>
      </c>
      <c r="BL95" s="362" t="str">
        <f t="shared" si="23"/>
        <v/>
      </c>
      <c r="BM95" s="413" t="str">
        <f t="shared" si="60"/>
        <v/>
      </c>
    </row>
    <row r="96" spans="23:65" x14ac:dyDescent="0.25">
      <c r="W96" s="43">
        <v>81</v>
      </c>
      <c r="X96" s="364" t="str">
        <f t="shared" si="42"/>
        <v/>
      </c>
      <c r="Y96" s="364" t="str">
        <f t="shared" si="43"/>
        <v/>
      </c>
      <c r="Z96" s="364" t="str">
        <f t="shared" si="44"/>
        <v/>
      </c>
      <c r="AA96" s="364" t="str">
        <f t="shared" si="45"/>
        <v/>
      </c>
      <c r="AB96" s="364" t="str">
        <f t="shared" si="46"/>
        <v/>
      </c>
      <c r="AC96" s="121"/>
      <c r="AD96" s="121" t="s">
        <v>1210</v>
      </c>
      <c r="AE96" s="278" t="str">
        <f t="shared" si="41"/>
        <v/>
      </c>
      <c r="AF96" s="135" t="str">
        <f t="shared" si="53"/>
        <v/>
      </c>
      <c r="AG96" s="135"/>
      <c r="AH96" s="135"/>
      <c r="AR96" s="43">
        <v>81</v>
      </c>
      <c r="AS96" s="362" t="str">
        <f t="array" ref="AS96">IFERROR(IF(ROWS(Y$16:Y96)&gt;COUNTA($Y$16:$Y$116),"",INDEX($W$16:$W$116,SMALL(IF($Y$16:$Y$116&lt;&gt;"",ROW($Y$16:$Y$116)-ROW($Y$16)+1),ROWS($Y$16:Y96)))),"")</f>
        <v/>
      </c>
      <c r="AT96" s="349" t="str">
        <f t="shared" si="54"/>
        <v/>
      </c>
      <c r="AU96" s="349" t="str">
        <f t="shared" si="55"/>
        <v/>
      </c>
      <c r="AV96" s="349" t="str">
        <f t="shared" si="56"/>
        <v/>
      </c>
      <c r="AW96" s="362" t="str">
        <f t="shared" si="61"/>
        <v/>
      </c>
      <c r="AX96" s="362" t="str">
        <f t="shared" si="57"/>
        <v/>
      </c>
      <c r="AY96" s="1107" t="str">
        <f t="shared" si="58"/>
        <v/>
      </c>
      <c r="BA96" s="93">
        <v>81</v>
      </c>
      <c r="BB96" s="357" t="str">
        <f t="shared" si="47"/>
        <v/>
      </c>
      <c r="BC96" s="357" t="str">
        <f t="shared" si="48"/>
        <v/>
      </c>
      <c r="BD96" s="357" t="str">
        <f t="shared" si="49"/>
        <v/>
      </c>
      <c r="BE96" s="357" t="str">
        <f t="shared" si="50"/>
        <v/>
      </c>
      <c r="BF96" s="357" t="str">
        <f t="shared" si="51"/>
        <v/>
      </c>
      <c r="BG96" s="357" t="str">
        <f t="shared" si="52"/>
        <v/>
      </c>
      <c r="BH96" s="95" t="s">
        <v>16</v>
      </c>
      <c r="BI96" s="362" t="str">
        <f t="array" ref="BI96">IFERROR(IF(ROWS(BC$16:BC96)&gt;COUNTA($BC$16:$BC$116),"",INDEX($BA$16:$BA$116,SMALL(IF($BC$16:$BC$116&lt;&gt;"",ROW($BC$16:$BC$116)-ROW($BC$16)+1),ROWS($BC$16:BC96)))),"")</f>
        <v/>
      </c>
      <c r="BJ96" s="349" t="str">
        <f t="shared" si="59"/>
        <v/>
      </c>
      <c r="BK96" s="362" t="str">
        <f t="shared" si="22"/>
        <v/>
      </c>
      <c r="BL96" s="362" t="str">
        <f t="shared" si="23"/>
        <v/>
      </c>
      <c r="BM96" s="413" t="str">
        <f t="shared" si="60"/>
        <v/>
      </c>
    </row>
    <row r="97" spans="23:65" x14ac:dyDescent="0.25">
      <c r="W97" s="43">
        <v>82</v>
      </c>
      <c r="X97" s="364" t="str">
        <f t="shared" si="42"/>
        <v/>
      </c>
      <c r="Y97" s="364" t="str">
        <f t="shared" si="43"/>
        <v/>
      </c>
      <c r="Z97" s="364" t="str">
        <f t="shared" si="44"/>
        <v/>
      </c>
      <c r="AA97" s="364" t="str">
        <f t="shared" si="45"/>
        <v/>
      </c>
      <c r="AB97" s="364" t="str">
        <f t="shared" si="46"/>
        <v/>
      </c>
      <c r="AC97" s="121"/>
      <c r="AD97" s="121" t="s">
        <v>1210</v>
      </c>
      <c r="AE97" s="278" t="str">
        <f t="shared" si="41"/>
        <v/>
      </c>
      <c r="AF97" s="135" t="str">
        <f t="shared" si="53"/>
        <v/>
      </c>
      <c r="AG97" s="135"/>
      <c r="AH97" s="135"/>
      <c r="AR97" s="43">
        <v>82</v>
      </c>
      <c r="AS97" s="362" t="str">
        <f t="array" ref="AS97">IFERROR(IF(ROWS(Y$16:Y97)&gt;COUNTA($Y$16:$Y$116),"",INDEX($W$16:$W$116,SMALL(IF($Y$16:$Y$116&lt;&gt;"",ROW($Y$16:$Y$116)-ROW($Y$16)+1),ROWS($Y$16:Y97)))),"")</f>
        <v/>
      </c>
      <c r="AT97" s="349" t="str">
        <f t="shared" si="54"/>
        <v/>
      </c>
      <c r="AU97" s="349" t="str">
        <f t="shared" si="55"/>
        <v/>
      </c>
      <c r="AV97" s="349" t="str">
        <f t="shared" si="56"/>
        <v/>
      </c>
      <c r="AW97" s="362" t="str">
        <f t="shared" si="61"/>
        <v/>
      </c>
      <c r="AX97" s="362" t="str">
        <f t="shared" si="57"/>
        <v/>
      </c>
      <c r="AY97" s="1107" t="str">
        <f t="shared" si="58"/>
        <v/>
      </c>
      <c r="BA97" s="42">
        <v>82</v>
      </c>
      <c r="BB97" s="357" t="str">
        <f t="shared" si="47"/>
        <v/>
      </c>
      <c r="BC97" s="357" t="str">
        <f t="shared" si="48"/>
        <v/>
      </c>
      <c r="BD97" s="357" t="str">
        <f t="shared" si="49"/>
        <v/>
      </c>
      <c r="BE97" s="357" t="str">
        <f t="shared" si="50"/>
        <v/>
      </c>
      <c r="BF97" s="357" t="str">
        <f t="shared" si="51"/>
        <v/>
      </c>
      <c r="BG97" s="357" t="str">
        <f t="shared" si="52"/>
        <v/>
      </c>
      <c r="BH97" s="95" t="s">
        <v>16</v>
      </c>
      <c r="BI97" s="362" t="str">
        <f t="array" ref="BI97">IFERROR(IF(ROWS(BC$16:BC97)&gt;COUNTA($BC$16:$BC$116),"",INDEX($BA$16:$BA$116,SMALL(IF($BC$16:$BC$116&lt;&gt;"",ROW($BC$16:$BC$116)-ROW($BC$16)+1),ROWS($BC$16:BC97)))),"")</f>
        <v/>
      </c>
      <c r="BJ97" s="349" t="str">
        <f t="shared" si="59"/>
        <v/>
      </c>
      <c r="BK97" s="362" t="str">
        <f t="shared" si="22"/>
        <v/>
      </c>
      <c r="BL97" s="362" t="str">
        <f t="shared" si="23"/>
        <v/>
      </c>
      <c r="BM97" s="413" t="str">
        <f t="shared" si="60"/>
        <v/>
      </c>
    </row>
    <row r="98" spans="23:65" x14ac:dyDescent="0.25">
      <c r="W98" s="43">
        <v>83</v>
      </c>
      <c r="X98" s="364" t="str">
        <f t="shared" si="42"/>
        <v/>
      </c>
      <c r="Y98" s="364" t="str">
        <f t="shared" si="43"/>
        <v/>
      </c>
      <c r="Z98" s="364" t="str">
        <f t="shared" si="44"/>
        <v/>
      </c>
      <c r="AA98" s="364" t="str">
        <f t="shared" si="45"/>
        <v/>
      </c>
      <c r="AB98" s="364" t="str">
        <f t="shared" si="46"/>
        <v/>
      </c>
      <c r="AC98" s="121"/>
      <c r="AD98" s="121" t="s">
        <v>1210</v>
      </c>
      <c r="AE98" s="278" t="str">
        <f t="shared" si="41"/>
        <v/>
      </c>
      <c r="AF98" s="135" t="str">
        <f t="shared" si="53"/>
        <v/>
      </c>
      <c r="AG98" s="135"/>
      <c r="AH98" s="135"/>
      <c r="AR98" s="43">
        <v>83</v>
      </c>
      <c r="AS98" s="362" t="str">
        <f t="array" ref="AS98">IFERROR(IF(ROWS(Y$16:Y98)&gt;COUNTA($Y$16:$Y$116),"",INDEX($W$16:$W$116,SMALL(IF($Y$16:$Y$116&lt;&gt;"",ROW($Y$16:$Y$116)-ROW($Y$16)+1),ROWS($Y$16:Y98)))),"")</f>
        <v/>
      </c>
      <c r="AT98" s="349" t="str">
        <f t="shared" si="54"/>
        <v/>
      </c>
      <c r="AU98" s="349" t="str">
        <f t="shared" si="55"/>
        <v/>
      </c>
      <c r="AV98" s="349" t="str">
        <f t="shared" si="56"/>
        <v/>
      </c>
      <c r="AW98" s="362" t="str">
        <f t="shared" si="61"/>
        <v/>
      </c>
      <c r="AX98" s="362" t="str">
        <f t="shared" si="57"/>
        <v/>
      </c>
      <c r="AY98" s="1107" t="str">
        <f t="shared" si="58"/>
        <v/>
      </c>
      <c r="BA98" s="93">
        <v>83</v>
      </c>
      <c r="BB98" s="357" t="str">
        <f t="shared" si="47"/>
        <v/>
      </c>
      <c r="BC98" s="357" t="str">
        <f t="shared" si="48"/>
        <v/>
      </c>
      <c r="BD98" s="357" t="str">
        <f t="shared" si="49"/>
        <v/>
      </c>
      <c r="BE98" s="357" t="str">
        <f t="shared" si="50"/>
        <v/>
      </c>
      <c r="BF98" s="357" t="str">
        <f t="shared" si="51"/>
        <v/>
      </c>
      <c r="BG98" s="357" t="str">
        <f t="shared" si="52"/>
        <v/>
      </c>
      <c r="BH98" s="95" t="s">
        <v>16</v>
      </c>
      <c r="BI98" s="362" t="str">
        <f t="array" ref="BI98">IFERROR(IF(ROWS(BC$16:BC98)&gt;COUNTA($BC$16:$BC$116),"",INDEX($BA$16:$BA$116,SMALL(IF($BC$16:$BC$116&lt;&gt;"",ROW($BC$16:$BC$116)-ROW($BC$16)+1),ROWS($BC$16:BC98)))),"")</f>
        <v/>
      </c>
      <c r="BJ98" s="349" t="str">
        <f t="shared" si="59"/>
        <v/>
      </c>
      <c r="BK98" s="362" t="str">
        <f t="shared" si="22"/>
        <v/>
      </c>
      <c r="BL98" s="362" t="str">
        <f t="shared" si="23"/>
        <v/>
      </c>
      <c r="BM98" s="413" t="str">
        <f t="shared" si="60"/>
        <v/>
      </c>
    </row>
    <row r="99" spans="23:65" x14ac:dyDescent="0.25">
      <c r="W99" s="43">
        <v>84</v>
      </c>
      <c r="X99" s="364" t="str">
        <f t="shared" si="42"/>
        <v/>
      </c>
      <c r="Y99" s="364" t="str">
        <f t="shared" si="43"/>
        <v/>
      </c>
      <c r="Z99" s="364" t="str">
        <f t="shared" si="44"/>
        <v/>
      </c>
      <c r="AA99" s="364" t="str">
        <f t="shared" si="45"/>
        <v/>
      </c>
      <c r="AB99" s="364" t="str">
        <f t="shared" si="46"/>
        <v/>
      </c>
      <c r="AC99" s="121"/>
      <c r="AD99" s="121" t="s">
        <v>1210</v>
      </c>
      <c r="AE99" s="278" t="str">
        <f t="shared" ref="AE99:AE116" si="62">IF(AA99&lt;&gt;"",VLOOKUP(AA99,_NonTradableTableAllowed,RIGHT(AE$14,1)+2,FALSE),"")</f>
        <v/>
      </c>
      <c r="AF99" s="135" t="str">
        <f t="shared" si="53"/>
        <v/>
      </c>
      <c r="AG99" s="135"/>
      <c r="AH99" s="135"/>
      <c r="AR99" s="43">
        <v>84</v>
      </c>
      <c r="AS99" s="362" t="str">
        <f t="array" ref="AS99">IFERROR(IF(ROWS(Y$16:Y99)&gt;COUNTA($Y$16:$Y$116),"",INDEX($W$16:$W$116,SMALL(IF($Y$16:$Y$116&lt;&gt;"",ROW($Y$16:$Y$116)-ROW($Y$16)+1),ROWS($Y$16:Y99)))),"")</f>
        <v/>
      </c>
      <c r="AT99" s="349" t="str">
        <f t="shared" si="54"/>
        <v/>
      </c>
      <c r="AU99" s="349" t="str">
        <f t="shared" si="55"/>
        <v/>
      </c>
      <c r="AV99" s="349" t="str">
        <f t="shared" si="56"/>
        <v/>
      </c>
      <c r="AW99" s="362" t="str">
        <f t="shared" si="61"/>
        <v/>
      </c>
      <c r="AX99" s="362" t="str">
        <f t="shared" si="57"/>
        <v/>
      </c>
      <c r="AY99" s="1107" t="str">
        <f t="shared" si="58"/>
        <v/>
      </c>
      <c r="BA99" s="42">
        <v>84</v>
      </c>
      <c r="BB99" s="357" t="str">
        <f t="shared" si="47"/>
        <v/>
      </c>
      <c r="BC99" s="357" t="str">
        <f t="shared" si="48"/>
        <v/>
      </c>
      <c r="BD99" s="357" t="str">
        <f t="shared" si="49"/>
        <v/>
      </c>
      <c r="BE99" s="357" t="str">
        <f t="shared" si="50"/>
        <v/>
      </c>
      <c r="BF99" s="357" t="str">
        <f t="shared" si="51"/>
        <v/>
      </c>
      <c r="BG99" s="357" t="str">
        <f t="shared" si="52"/>
        <v/>
      </c>
      <c r="BH99" s="95" t="s">
        <v>16</v>
      </c>
      <c r="BI99" s="362" t="str">
        <f t="array" ref="BI99">IFERROR(IF(ROWS(BC$16:BC99)&gt;COUNTA($BC$16:$BC$116),"",INDEX($BA$16:$BA$116,SMALL(IF($BC$16:$BC$116&lt;&gt;"",ROW($BC$16:$BC$116)-ROW($BC$16)+1),ROWS($BC$16:BC99)))),"")</f>
        <v/>
      </c>
      <c r="BJ99" s="349" t="str">
        <f t="shared" si="59"/>
        <v/>
      </c>
      <c r="BK99" s="362" t="str">
        <f t="shared" si="22"/>
        <v/>
      </c>
      <c r="BL99" s="362" t="str">
        <f t="shared" si="23"/>
        <v/>
      </c>
      <c r="BM99" s="413" t="str">
        <f t="shared" si="60"/>
        <v/>
      </c>
    </row>
    <row r="100" spans="23:65" x14ac:dyDescent="0.25">
      <c r="W100" s="43">
        <v>85</v>
      </c>
      <c r="X100" s="364" t="str">
        <f t="shared" si="42"/>
        <v/>
      </c>
      <c r="Y100" s="364" t="str">
        <f t="shared" si="43"/>
        <v/>
      </c>
      <c r="Z100" s="364" t="str">
        <f t="shared" si="44"/>
        <v/>
      </c>
      <c r="AA100" s="364" t="str">
        <f t="shared" si="45"/>
        <v/>
      </c>
      <c r="AB100" s="364" t="str">
        <f t="shared" si="46"/>
        <v/>
      </c>
      <c r="AC100" s="121"/>
      <c r="AD100" s="121" t="s">
        <v>1210</v>
      </c>
      <c r="AE100" s="278" t="str">
        <f t="shared" si="62"/>
        <v/>
      </c>
      <c r="AF100" s="135" t="str">
        <f t="shared" si="53"/>
        <v/>
      </c>
      <c r="AG100" s="135"/>
      <c r="AH100" s="135"/>
      <c r="AR100" s="43">
        <v>85</v>
      </c>
      <c r="AS100" s="362" t="str">
        <f t="array" ref="AS100">IFERROR(IF(ROWS(Y$16:Y100)&gt;COUNTA($Y$16:$Y$116),"",INDEX($W$16:$W$116,SMALL(IF($Y$16:$Y$116&lt;&gt;"",ROW($Y$16:$Y$116)-ROW($Y$16)+1),ROWS($Y$16:Y100)))),"")</f>
        <v/>
      </c>
      <c r="AT100" s="349" t="str">
        <f t="shared" si="54"/>
        <v/>
      </c>
      <c r="AU100" s="349" t="str">
        <f t="shared" si="55"/>
        <v/>
      </c>
      <c r="AV100" s="349" t="str">
        <f t="shared" si="56"/>
        <v/>
      </c>
      <c r="AW100" s="362" t="str">
        <f t="shared" si="61"/>
        <v/>
      </c>
      <c r="AX100" s="362" t="str">
        <f t="shared" si="57"/>
        <v/>
      </c>
      <c r="AY100" s="1107" t="str">
        <f t="shared" si="58"/>
        <v/>
      </c>
      <c r="BA100" s="93">
        <v>85</v>
      </c>
      <c r="BB100" s="357" t="str">
        <f t="shared" si="47"/>
        <v/>
      </c>
      <c r="BC100" s="357" t="str">
        <f t="shared" si="48"/>
        <v/>
      </c>
      <c r="BD100" s="357" t="str">
        <f t="shared" si="49"/>
        <v/>
      </c>
      <c r="BE100" s="357" t="str">
        <f t="shared" si="50"/>
        <v/>
      </c>
      <c r="BF100" s="357" t="str">
        <f t="shared" si="51"/>
        <v/>
      </c>
      <c r="BG100" s="357" t="str">
        <f t="shared" si="52"/>
        <v/>
      </c>
      <c r="BH100" s="95" t="s">
        <v>16</v>
      </c>
      <c r="BI100" s="362" t="str">
        <f t="array" ref="BI100">IFERROR(IF(ROWS(BC$16:BC100)&gt;COUNTA($BC$16:$BC$116),"",INDEX($BA$16:$BA$116,SMALL(IF($BC$16:$BC$116&lt;&gt;"",ROW($BC$16:$BC$116)-ROW($BC$16)+1),ROWS($BC$16:BC100)))),"")</f>
        <v/>
      </c>
      <c r="BJ100" s="349" t="str">
        <f t="shared" si="59"/>
        <v/>
      </c>
      <c r="BK100" s="362" t="str">
        <f t="shared" si="22"/>
        <v/>
      </c>
      <c r="BL100" s="362" t="str">
        <f t="shared" si="23"/>
        <v/>
      </c>
      <c r="BM100" s="413" t="str">
        <f t="shared" si="60"/>
        <v/>
      </c>
    </row>
    <row r="101" spans="23:65" x14ac:dyDescent="0.25">
      <c r="W101" s="43">
        <v>86</v>
      </c>
      <c r="X101" s="364" t="str">
        <f t="shared" si="42"/>
        <v/>
      </c>
      <c r="Y101" s="364" t="str">
        <f t="shared" si="43"/>
        <v/>
      </c>
      <c r="Z101" s="364" t="str">
        <f t="shared" si="44"/>
        <v/>
      </c>
      <c r="AA101" s="364" t="str">
        <f t="shared" si="45"/>
        <v/>
      </c>
      <c r="AB101" s="364" t="str">
        <f t="shared" si="46"/>
        <v/>
      </c>
      <c r="AC101" s="121"/>
      <c r="AD101" s="121" t="s">
        <v>1210</v>
      </c>
      <c r="AE101" s="278" t="str">
        <f t="shared" si="62"/>
        <v/>
      </c>
      <c r="AF101" s="135" t="str">
        <f t="shared" si="53"/>
        <v/>
      </c>
      <c r="AG101" s="135"/>
      <c r="AH101" s="135"/>
      <c r="AR101" s="43">
        <v>86</v>
      </c>
      <c r="AS101" s="362" t="str">
        <f t="array" ref="AS101">IFERROR(IF(ROWS(Y$16:Y101)&gt;COUNTA($Y$16:$Y$116),"",INDEX($W$16:$W$116,SMALL(IF($Y$16:$Y$116&lt;&gt;"",ROW($Y$16:$Y$116)-ROW($Y$16)+1),ROWS($Y$16:Y101)))),"")</f>
        <v/>
      </c>
      <c r="AT101" s="349" t="str">
        <f t="shared" si="54"/>
        <v/>
      </c>
      <c r="AU101" s="349" t="str">
        <f t="shared" si="55"/>
        <v/>
      </c>
      <c r="AV101" s="349" t="str">
        <f t="shared" si="56"/>
        <v/>
      </c>
      <c r="AW101" s="362" t="str">
        <f t="shared" si="61"/>
        <v/>
      </c>
      <c r="AX101" s="362" t="str">
        <f t="shared" si="57"/>
        <v/>
      </c>
      <c r="AY101" s="1107" t="str">
        <f t="shared" si="58"/>
        <v/>
      </c>
      <c r="BA101" s="42">
        <v>86</v>
      </c>
      <c r="BB101" s="357" t="str">
        <f t="shared" si="47"/>
        <v/>
      </c>
      <c r="BC101" s="357" t="str">
        <f t="shared" si="48"/>
        <v/>
      </c>
      <c r="BD101" s="357" t="str">
        <f t="shared" si="49"/>
        <v/>
      </c>
      <c r="BE101" s="357" t="str">
        <f t="shared" si="50"/>
        <v/>
      </c>
      <c r="BF101" s="357" t="str">
        <f t="shared" si="51"/>
        <v/>
      </c>
      <c r="BG101" s="357" t="str">
        <f t="shared" si="52"/>
        <v/>
      </c>
      <c r="BH101" s="95" t="s">
        <v>16</v>
      </c>
      <c r="BI101" s="362" t="str">
        <f t="array" ref="BI101">IFERROR(IF(ROWS(BC$16:BC101)&gt;COUNTA($BC$16:$BC$116),"",INDEX($BA$16:$BA$116,SMALL(IF($BC$16:$BC$116&lt;&gt;"",ROW($BC$16:$BC$116)-ROW($BC$16)+1),ROWS($BC$16:BC101)))),"")</f>
        <v/>
      </c>
      <c r="BJ101" s="349" t="str">
        <f t="shared" si="59"/>
        <v/>
      </c>
      <c r="BK101" s="362" t="str">
        <f t="shared" si="22"/>
        <v/>
      </c>
      <c r="BL101" s="362" t="str">
        <f t="shared" si="23"/>
        <v/>
      </c>
      <c r="BM101" s="413" t="str">
        <f t="shared" si="60"/>
        <v/>
      </c>
    </row>
    <row r="102" spans="23:65" x14ac:dyDescent="0.25">
      <c r="W102" s="43">
        <v>87</v>
      </c>
      <c r="X102" s="364" t="str">
        <f t="shared" si="42"/>
        <v/>
      </c>
      <c r="Y102" s="364" t="str">
        <f t="shared" si="43"/>
        <v/>
      </c>
      <c r="Z102" s="364" t="str">
        <f t="shared" si="44"/>
        <v/>
      </c>
      <c r="AA102" s="364" t="str">
        <f t="shared" si="45"/>
        <v/>
      </c>
      <c r="AB102" s="364" t="str">
        <f t="shared" si="46"/>
        <v/>
      </c>
      <c r="AC102" s="121"/>
      <c r="AD102" s="121" t="s">
        <v>1210</v>
      </c>
      <c r="AE102" s="278" t="str">
        <f t="shared" si="62"/>
        <v/>
      </c>
      <c r="AF102" s="135" t="str">
        <f t="shared" si="53"/>
        <v/>
      </c>
      <c r="AG102" s="135"/>
      <c r="AH102" s="135"/>
      <c r="AR102" s="43">
        <v>87</v>
      </c>
      <c r="AS102" s="362" t="str">
        <f t="array" ref="AS102">IFERROR(IF(ROWS(Y$16:Y102)&gt;COUNTA($Y$16:$Y$116),"",INDEX($W$16:$W$116,SMALL(IF($Y$16:$Y$116&lt;&gt;"",ROW($Y$16:$Y$116)-ROW($Y$16)+1),ROWS($Y$16:Y102)))),"")</f>
        <v/>
      </c>
      <c r="AT102" s="349" t="str">
        <f t="shared" si="54"/>
        <v/>
      </c>
      <c r="AU102" s="349" t="str">
        <f t="shared" si="55"/>
        <v/>
      </c>
      <c r="AV102" s="349" t="str">
        <f t="shared" si="56"/>
        <v/>
      </c>
      <c r="AW102" s="362" t="str">
        <f t="shared" si="61"/>
        <v/>
      </c>
      <c r="AX102" s="362" t="str">
        <f t="shared" si="57"/>
        <v/>
      </c>
      <c r="AY102" s="1107" t="str">
        <f t="shared" si="58"/>
        <v/>
      </c>
      <c r="BA102" s="93">
        <v>87</v>
      </c>
      <c r="BB102" s="357" t="str">
        <f t="shared" si="47"/>
        <v/>
      </c>
      <c r="BC102" s="357" t="str">
        <f t="shared" si="48"/>
        <v/>
      </c>
      <c r="BD102" s="357" t="str">
        <f t="shared" si="49"/>
        <v/>
      </c>
      <c r="BE102" s="357" t="str">
        <f t="shared" si="50"/>
        <v/>
      </c>
      <c r="BF102" s="357" t="str">
        <f t="shared" si="51"/>
        <v/>
      </c>
      <c r="BG102" s="357" t="str">
        <f t="shared" si="52"/>
        <v/>
      </c>
      <c r="BH102" s="95" t="s">
        <v>16</v>
      </c>
      <c r="BI102" s="362" t="str">
        <f t="array" ref="BI102">IFERROR(IF(ROWS(BC$16:BC102)&gt;COUNTA($BC$16:$BC$116),"",INDEX($BA$16:$BA$116,SMALL(IF($BC$16:$BC$116&lt;&gt;"",ROW($BC$16:$BC$116)-ROW($BC$16)+1),ROWS($BC$16:BC102)))),"")</f>
        <v/>
      </c>
      <c r="BJ102" s="349" t="str">
        <f t="shared" si="59"/>
        <v/>
      </c>
      <c r="BK102" s="362" t="str">
        <f t="shared" si="22"/>
        <v/>
      </c>
      <c r="BL102" s="362" t="str">
        <f t="shared" si="23"/>
        <v/>
      </c>
      <c r="BM102" s="413" t="str">
        <f t="shared" si="60"/>
        <v/>
      </c>
    </row>
    <row r="103" spans="23:65" x14ac:dyDescent="0.25">
      <c r="W103" s="43">
        <v>88</v>
      </c>
      <c r="X103" s="364" t="str">
        <f t="shared" si="42"/>
        <v/>
      </c>
      <c r="Y103" s="364" t="str">
        <f t="shared" si="43"/>
        <v/>
      </c>
      <c r="Z103" s="364" t="str">
        <f t="shared" si="44"/>
        <v/>
      </c>
      <c r="AA103" s="364" t="str">
        <f t="shared" si="45"/>
        <v/>
      </c>
      <c r="AB103" s="364" t="str">
        <f t="shared" si="46"/>
        <v/>
      </c>
      <c r="AC103" s="121"/>
      <c r="AD103" s="121" t="s">
        <v>1210</v>
      </c>
      <c r="AE103" s="278" t="str">
        <f t="shared" si="62"/>
        <v/>
      </c>
      <c r="AF103" s="135" t="str">
        <f t="shared" si="53"/>
        <v/>
      </c>
      <c r="AG103" s="135"/>
      <c r="AH103" s="135"/>
      <c r="AR103" s="43">
        <v>88</v>
      </c>
      <c r="AS103" s="362" t="str">
        <f t="array" ref="AS103">IFERROR(IF(ROWS(Y$16:Y103)&gt;COUNTA($Y$16:$Y$116),"",INDEX($W$16:$W$116,SMALL(IF($Y$16:$Y$116&lt;&gt;"",ROW($Y$16:$Y$116)-ROW($Y$16)+1),ROWS($Y$16:Y103)))),"")</f>
        <v/>
      </c>
      <c r="AT103" s="349" t="str">
        <f t="shared" si="54"/>
        <v/>
      </c>
      <c r="AU103" s="349" t="str">
        <f t="shared" si="55"/>
        <v/>
      </c>
      <c r="AV103" s="349" t="str">
        <f t="shared" si="56"/>
        <v/>
      </c>
      <c r="AW103" s="362" t="str">
        <f t="shared" si="61"/>
        <v/>
      </c>
      <c r="AX103" s="362" t="str">
        <f t="shared" si="57"/>
        <v/>
      </c>
      <c r="AY103" s="1107" t="str">
        <f t="shared" si="58"/>
        <v/>
      </c>
      <c r="BA103" s="42">
        <v>88</v>
      </c>
      <c r="BB103" s="357" t="str">
        <f t="shared" si="47"/>
        <v/>
      </c>
      <c r="BC103" s="357" t="str">
        <f t="shared" si="48"/>
        <v/>
      </c>
      <c r="BD103" s="357" t="str">
        <f t="shared" si="49"/>
        <v/>
      </c>
      <c r="BE103" s="357" t="str">
        <f t="shared" si="50"/>
        <v/>
      </c>
      <c r="BF103" s="357" t="str">
        <f t="shared" si="51"/>
        <v/>
      </c>
      <c r="BG103" s="357" t="str">
        <f t="shared" si="52"/>
        <v/>
      </c>
      <c r="BH103" s="95" t="s">
        <v>16</v>
      </c>
      <c r="BI103" s="362" t="str">
        <f t="array" ref="BI103">IFERROR(IF(ROWS(BC$16:BC103)&gt;COUNTA($BC$16:$BC$116),"",INDEX($BA$16:$BA$116,SMALL(IF($BC$16:$BC$116&lt;&gt;"",ROW($BC$16:$BC$116)-ROW($BC$16)+1),ROWS($BC$16:BC103)))),"")</f>
        <v/>
      </c>
      <c r="BJ103" s="349" t="str">
        <f t="shared" si="59"/>
        <v/>
      </c>
      <c r="BK103" s="362" t="str">
        <f t="shared" si="22"/>
        <v/>
      </c>
      <c r="BL103" s="362" t="str">
        <f t="shared" si="23"/>
        <v/>
      </c>
      <c r="BM103" s="413" t="str">
        <f t="shared" si="60"/>
        <v/>
      </c>
    </row>
    <row r="104" spans="23:65" x14ac:dyDescent="0.25">
      <c r="W104" s="43">
        <v>89</v>
      </c>
      <c r="X104" s="364" t="str">
        <f t="shared" si="42"/>
        <v/>
      </c>
      <c r="Y104" s="364" t="str">
        <f t="shared" si="43"/>
        <v/>
      </c>
      <c r="Z104" s="364" t="str">
        <f t="shared" si="44"/>
        <v/>
      </c>
      <c r="AA104" s="364" t="str">
        <f t="shared" si="45"/>
        <v/>
      </c>
      <c r="AB104" s="364" t="str">
        <f t="shared" si="46"/>
        <v/>
      </c>
      <c r="AC104" s="121"/>
      <c r="AD104" s="121" t="s">
        <v>1210</v>
      </c>
      <c r="AE104" s="278" t="str">
        <f t="shared" si="62"/>
        <v/>
      </c>
      <c r="AF104" s="135" t="str">
        <f t="shared" si="53"/>
        <v/>
      </c>
      <c r="AG104" s="135"/>
      <c r="AH104" s="135"/>
      <c r="AR104" s="43">
        <v>89</v>
      </c>
      <c r="AS104" s="362" t="str">
        <f t="array" ref="AS104">IFERROR(IF(ROWS(Y$16:Y104)&gt;COUNTA($Y$16:$Y$116),"",INDEX($W$16:$W$116,SMALL(IF($Y$16:$Y$116&lt;&gt;"",ROW($Y$16:$Y$116)-ROW($Y$16)+1),ROWS($Y$16:Y104)))),"")</f>
        <v/>
      </c>
      <c r="AT104" s="349" t="str">
        <f t="shared" si="54"/>
        <v/>
      </c>
      <c r="AU104" s="349" t="str">
        <f t="shared" si="55"/>
        <v/>
      </c>
      <c r="AV104" s="349" t="str">
        <f t="shared" si="56"/>
        <v/>
      </c>
      <c r="AW104" s="362" t="str">
        <f t="shared" si="61"/>
        <v/>
      </c>
      <c r="AX104" s="362" t="str">
        <f t="shared" si="57"/>
        <v/>
      </c>
      <c r="AY104" s="1107" t="str">
        <f t="shared" si="58"/>
        <v/>
      </c>
      <c r="BA104" s="93">
        <v>89</v>
      </c>
      <c r="BB104" s="357" t="str">
        <f t="shared" si="47"/>
        <v/>
      </c>
      <c r="BC104" s="357" t="str">
        <f t="shared" si="48"/>
        <v/>
      </c>
      <c r="BD104" s="357" t="str">
        <f t="shared" si="49"/>
        <v/>
      </c>
      <c r="BE104" s="357" t="str">
        <f t="shared" si="50"/>
        <v/>
      </c>
      <c r="BF104" s="357" t="str">
        <f t="shared" si="51"/>
        <v/>
      </c>
      <c r="BG104" s="357" t="str">
        <f t="shared" si="52"/>
        <v/>
      </c>
      <c r="BH104" s="95" t="s">
        <v>16</v>
      </c>
      <c r="BI104" s="362" t="str">
        <f t="array" ref="BI104">IFERROR(IF(ROWS(BC$16:BC104)&gt;COUNTA($BC$16:$BC$116),"",INDEX($BA$16:$BA$116,SMALL(IF($BC$16:$BC$116&lt;&gt;"",ROW($BC$16:$BC$116)-ROW($BC$16)+1),ROWS($BC$16:BC104)))),"")</f>
        <v/>
      </c>
      <c r="BJ104" s="349" t="str">
        <f t="shared" si="59"/>
        <v/>
      </c>
      <c r="BK104" s="362" t="str">
        <f t="shared" si="22"/>
        <v/>
      </c>
      <c r="BL104" s="362" t="str">
        <f t="shared" si="23"/>
        <v/>
      </c>
      <c r="BM104" s="413" t="str">
        <f t="shared" si="60"/>
        <v/>
      </c>
    </row>
    <row r="105" spans="23:65" x14ac:dyDescent="0.25">
      <c r="W105" s="43">
        <v>90</v>
      </c>
      <c r="X105" s="364" t="str">
        <f t="shared" si="42"/>
        <v/>
      </c>
      <c r="Y105" s="364" t="str">
        <f t="shared" si="43"/>
        <v/>
      </c>
      <c r="Z105" s="364" t="str">
        <f t="shared" si="44"/>
        <v/>
      </c>
      <c r="AA105" s="364" t="str">
        <f t="shared" si="45"/>
        <v/>
      </c>
      <c r="AB105" s="364" t="str">
        <f t="shared" si="46"/>
        <v/>
      </c>
      <c r="AC105" s="121"/>
      <c r="AD105" s="121" t="s">
        <v>1210</v>
      </c>
      <c r="AE105" s="278" t="str">
        <f t="shared" si="62"/>
        <v/>
      </c>
      <c r="AF105" s="135" t="str">
        <f t="shared" si="53"/>
        <v/>
      </c>
      <c r="AG105" s="135"/>
      <c r="AH105" s="135"/>
      <c r="AR105" s="43">
        <v>90</v>
      </c>
      <c r="AS105" s="362" t="str">
        <f t="array" ref="AS105">IFERROR(IF(ROWS(Y$16:Y105)&gt;COUNTA($Y$16:$Y$116),"",INDEX($W$16:$W$116,SMALL(IF($Y$16:$Y$116&lt;&gt;"",ROW($Y$16:$Y$116)-ROW($Y$16)+1),ROWS($Y$16:Y105)))),"")</f>
        <v/>
      </c>
      <c r="AT105" s="349" t="str">
        <f t="shared" si="54"/>
        <v/>
      </c>
      <c r="AU105" s="349" t="str">
        <f t="shared" si="55"/>
        <v/>
      </c>
      <c r="AV105" s="349" t="str">
        <f t="shared" si="56"/>
        <v/>
      </c>
      <c r="AW105" s="362" t="str">
        <f t="shared" si="61"/>
        <v/>
      </c>
      <c r="AX105" s="362" t="str">
        <f t="shared" si="57"/>
        <v/>
      </c>
      <c r="AY105" s="1107" t="str">
        <f t="shared" si="58"/>
        <v/>
      </c>
      <c r="BA105" s="42">
        <v>90</v>
      </c>
      <c r="BB105" s="357" t="str">
        <f t="shared" si="47"/>
        <v/>
      </c>
      <c r="BC105" s="357" t="str">
        <f t="shared" si="48"/>
        <v/>
      </c>
      <c r="BD105" s="357" t="str">
        <f t="shared" si="49"/>
        <v/>
      </c>
      <c r="BE105" s="357" t="str">
        <f t="shared" si="50"/>
        <v/>
      </c>
      <c r="BF105" s="357" t="str">
        <f t="shared" si="51"/>
        <v/>
      </c>
      <c r="BG105" s="357" t="str">
        <f t="shared" si="52"/>
        <v/>
      </c>
      <c r="BH105" s="95" t="s">
        <v>16</v>
      </c>
      <c r="BI105" s="362" t="str">
        <f t="array" ref="BI105">IFERROR(IF(ROWS(BC$16:BC105)&gt;COUNTA($BC$16:$BC$116),"",INDEX($BA$16:$BA$116,SMALL(IF($BC$16:$BC$116&lt;&gt;"",ROW($BC$16:$BC$116)-ROW($BC$16)+1),ROWS($BC$16:BC105)))),"")</f>
        <v/>
      </c>
      <c r="BJ105" s="349" t="str">
        <f t="shared" si="59"/>
        <v/>
      </c>
      <c r="BK105" s="362" t="str">
        <f t="shared" si="22"/>
        <v/>
      </c>
      <c r="BL105" s="362" t="str">
        <f t="shared" si="23"/>
        <v/>
      </c>
      <c r="BM105" s="413" t="str">
        <f t="shared" si="60"/>
        <v/>
      </c>
    </row>
    <row r="106" spans="23:65" x14ac:dyDescent="0.25">
      <c r="W106" s="43">
        <v>91</v>
      </c>
      <c r="X106" s="364" t="str">
        <f t="shared" si="42"/>
        <v/>
      </c>
      <c r="Y106" s="364" t="str">
        <f t="shared" si="43"/>
        <v/>
      </c>
      <c r="Z106" s="364" t="str">
        <f t="shared" si="44"/>
        <v/>
      </c>
      <c r="AA106" s="364" t="str">
        <f t="shared" si="45"/>
        <v/>
      </c>
      <c r="AB106" s="364" t="str">
        <f t="shared" si="46"/>
        <v/>
      </c>
      <c r="AC106" s="121"/>
      <c r="AD106" s="121" t="s">
        <v>1210</v>
      </c>
      <c r="AE106" s="278" t="str">
        <f t="shared" si="62"/>
        <v/>
      </c>
      <c r="AF106" s="135" t="str">
        <f t="shared" si="53"/>
        <v/>
      </c>
      <c r="AG106" s="135"/>
      <c r="AH106" s="135"/>
      <c r="AR106" s="43">
        <v>91</v>
      </c>
      <c r="AS106" s="362" t="str">
        <f t="array" ref="AS106">IFERROR(IF(ROWS(Y$16:Y106)&gt;COUNTA($Y$16:$Y$116),"",INDEX($W$16:$W$116,SMALL(IF($Y$16:$Y$116&lt;&gt;"",ROW($Y$16:$Y$116)-ROW($Y$16)+1),ROWS($Y$16:Y106)))),"")</f>
        <v/>
      </c>
      <c r="AT106" s="349" t="str">
        <f t="shared" si="54"/>
        <v/>
      </c>
      <c r="AU106" s="349" t="str">
        <f t="shared" si="55"/>
        <v/>
      </c>
      <c r="AV106" s="349" t="str">
        <f t="shared" si="56"/>
        <v/>
      </c>
      <c r="AW106" s="362" t="str">
        <f t="shared" si="61"/>
        <v/>
      </c>
      <c r="AX106" s="362" t="str">
        <f t="shared" si="57"/>
        <v/>
      </c>
      <c r="AY106" s="1107" t="str">
        <f t="shared" si="58"/>
        <v/>
      </c>
      <c r="BA106" s="93">
        <v>91</v>
      </c>
      <c r="BB106" s="357" t="str">
        <f t="shared" si="47"/>
        <v/>
      </c>
      <c r="BC106" s="357" t="str">
        <f t="shared" si="48"/>
        <v/>
      </c>
      <c r="BD106" s="357" t="str">
        <f t="shared" si="49"/>
        <v/>
      </c>
      <c r="BE106" s="357" t="str">
        <f t="shared" si="50"/>
        <v/>
      </c>
      <c r="BF106" s="357" t="str">
        <f t="shared" si="51"/>
        <v/>
      </c>
      <c r="BG106" s="357" t="str">
        <f t="shared" si="52"/>
        <v/>
      </c>
      <c r="BH106" s="95" t="s">
        <v>16</v>
      </c>
      <c r="BI106" s="362" t="str">
        <f t="array" ref="BI106">IFERROR(IF(ROWS(BC$16:BC106)&gt;COUNTA($BC$16:$BC$116),"",INDEX($BA$16:$BA$116,SMALL(IF($BC$16:$BC$116&lt;&gt;"",ROW($BC$16:$BC$116)-ROW($BC$16)+1),ROWS($BC$16:BC106)))),"")</f>
        <v/>
      </c>
      <c r="BJ106" s="349" t="str">
        <f t="shared" si="59"/>
        <v/>
      </c>
      <c r="BK106" s="362" t="str">
        <f t="shared" si="22"/>
        <v/>
      </c>
      <c r="BL106" s="362" t="str">
        <f t="shared" si="23"/>
        <v/>
      </c>
      <c r="BM106" s="413" t="str">
        <f t="shared" si="60"/>
        <v/>
      </c>
    </row>
    <row r="107" spans="23:65" x14ac:dyDescent="0.25">
      <c r="W107" s="43">
        <v>92</v>
      </c>
      <c r="X107" s="364" t="str">
        <f t="shared" si="42"/>
        <v/>
      </c>
      <c r="Y107" s="364" t="str">
        <f t="shared" si="43"/>
        <v/>
      </c>
      <c r="Z107" s="364" t="str">
        <f t="shared" si="44"/>
        <v/>
      </c>
      <c r="AA107" s="364" t="str">
        <f t="shared" si="45"/>
        <v/>
      </c>
      <c r="AB107" s="364" t="str">
        <f t="shared" si="46"/>
        <v/>
      </c>
      <c r="AC107" s="121"/>
      <c r="AD107" s="121" t="s">
        <v>1210</v>
      </c>
      <c r="AE107" s="278" t="str">
        <f t="shared" si="62"/>
        <v/>
      </c>
      <c r="AF107" s="135" t="str">
        <f t="shared" si="53"/>
        <v/>
      </c>
      <c r="AG107" s="135"/>
      <c r="AH107" s="135"/>
      <c r="AR107" s="43">
        <v>92</v>
      </c>
      <c r="AS107" s="362" t="str">
        <f t="array" ref="AS107">IFERROR(IF(ROWS(Y$16:Y107)&gt;COUNTA($Y$16:$Y$116),"",INDEX($W$16:$W$116,SMALL(IF($Y$16:$Y$116&lt;&gt;"",ROW($Y$16:$Y$116)-ROW($Y$16)+1),ROWS($Y$16:Y107)))),"")</f>
        <v/>
      </c>
      <c r="AT107" s="349" t="str">
        <f t="shared" si="54"/>
        <v/>
      </c>
      <c r="AU107" s="349" t="str">
        <f t="shared" si="55"/>
        <v/>
      </c>
      <c r="AV107" s="349" t="str">
        <f t="shared" si="56"/>
        <v/>
      </c>
      <c r="AW107" s="362" t="str">
        <f t="shared" si="61"/>
        <v/>
      </c>
      <c r="AX107" s="362" t="str">
        <f t="shared" si="57"/>
        <v/>
      </c>
      <c r="AY107" s="1107" t="str">
        <f t="shared" si="58"/>
        <v/>
      </c>
      <c r="BA107" s="42">
        <v>92</v>
      </c>
      <c r="BB107" s="357" t="str">
        <f t="shared" si="47"/>
        <v/>
      </c>
      <c r="BC107" s="357" t="str">
        <f t="shared" si="48"/>
        <v/>
      </c>
      <c r="BD107" s="357" t="str">
        <f t="shared" si="49"/>
        <v/>
      </c>
      <c r="BE107" s="357" t="str">
        <f t="shared" si="50"/>
        <v/>
      </c>
      <c r="BF107" s="357" t="str">
        <f t="shared" si="51"/>
        <v/>
      </c>
      <c r="BG107" s="357" t="str">
        <f t="shared" si="52"/>
        <v/>
      </c>
      <c r="BH107" s="95" t="s">
        <v>16</v>
      </c>
      <c r="BI107" s="325"/>
    </row>
    <row r="108" spans="23:65" x14ac:dyDescent="0.25">
      <c r="W108" s="43">
        <v>93</v>
      </c>
      <c r="X108" s="364" t="str">
        <f t="shared" si="42"/>
        <v/>
      </c>
      <c r="Y108" s="364" t="str">
        <f t="shared" si="43"/>
        <v/>
      </c>
      <c r="Z108" s="364" t="str">
        <f t="shared" si="44"/>
        <v/>
      </c>
      <c r="AA108" s="364" t="str">
        <f t="shared" si="45"/>
        <v/>
      </c>
      <c r="AB108" s="364" t="str">
        <f t="shared" si="46"/>
        <v/>
      </c>
      <c r="AC108" s="121"/>
      <c r="AD108" s="121" t="s">
        <v>1210</v>
      </c>
      <c r="AE108" s="278" t="str">
        <f t="shared" si="62"/>
        <v/>
      </c>
      <c r="AF108" s="135" t="str">
        <f t="shared" si="53"/>
        <v/>
      </c>
      <c r="AG108" s="135"/>
      <c r="AH108" s="135"/>
      <c r="AR108" s="43">
        <v>93</v>
      </c>
      <c r="AS108" s="362" t="str">
        <f t="array" ref="AS108">IFERROR(IF(ROWS(Y$16:Y108)&gt;COUNTA($Y$16:$Y$116),"",INDEX($W$16:$W$116,SMALL(IF($Y$16:$Y$116&lt;&gt;"",ROW($Y$16:$Y$116)-ROW($Y$16)+1),ROWS($Y$16:Y108)))),"")</f>
        <v/>
      </c>
      <c r="AT108" s="349" t="str">
        <f t="shared" si="54"/>
        <v/>
      </c>
      <c r="AU108" s="349" t="str">
        <f t="shared" si="55"/>
        <v/>
      </c>
      <c r="AV108" s="349" t="str">
        <f t="shared" si="56"/>
        <v/>
      </c>
      <c r="AW108" s="362" t="str">
        <f t="shared" ref="AW108:AW115" si="63">IF(AS108="","",VLOOKUP($AS108,$W108:$AB208,6,FALSE))</f>
        <v/>
      </c>
      <c r="AX108" s="362" t="str">
        <f t="shared" si="57"/>
        <v/>
      </c>
      <c r="AY108" s="1107" t="str">
        <f t="shared" si="58"/>
        <v/>
      </c>
      <c r="BA108" s="93">
        <v>93</v>
      </c>
      <c r="BB108" s="357" t="str">
        <f t="shared" si="47"/>
        <v/>
      </c>
      <c r="BC108" s="357" t="str">
        <f t="shared" si="48"/>
        <v/>
      </c>
      <c r="BD108" s="357" t="str">
        <f t="shared" si="49"/>
        <v/>
      </c>
      <c r="BE108" s="357" t="str">
        <f t="shared" si="50"/>
        <v/>
      </c>
      <c r="BF108" s="357" t="str">
        <f t="shared" si="51"/>
        <v/>
      </c>
      <c r="BG108" s="357" t="str">
        <f t="shared" si="52"/>
        <v/>
      </c>
      <c r="BH108" s="95" t="s">
        <v>16</v>
      </c>
      <c r="BI108" s="325"/>
    </row>
    <row r="109" spans="23:65" x14ac:dyDescent="0.25">
      <c r="W109" s="43">
        <v>94</v>
      </c>
      <c r="X109" s="364" t="str">
        <f t="shared" si="42"/>
        <v/>
      </c>
      <c r="Y109" s="364" t="str">
        <f t="shared" si="43"/>
        <v/>
      </c>
      <c r="Z109" s="364" t="str">
        <f t="shared" si="44"/>
        <v/>
      </c>
      <c r="AA109" s="364" t="str">
        <f t="shared" si="45"/>
        <v/>
      </c>
      <c r="AB109" s="364" t="str">
        <f t="shared" si="46"/>
        <v/>
      </c>
      <c r="AC109" s="121"/>
      <c r="AD109" s="121" t="s">
        <v>1210</v>
      </c>
      <c r="AE109" s="278" t="str">
        <f t="shared" si="62"/>
        <v/>
      </c>
      <c r="AF109" s="135" t="str">
        <f t="shared" si="53"/>
        <v/>
      </c>
      <c r="AG109" s="135"/>
      <c r="AH109" s="135"/>
      <c r="AR109" s="43">
        <v>94</v>
      </c>
      <c r="AS109" s="362" t="str">
        <f t="array" ref="AS109">IFERROR(IF(ROWS(Y$16:Y109)&gt;COUNTA($Y$16:$Y$116),"",INDEX($W$16:$W$116,SMALL(IF($Y$16:$Y$116&lt;&gt;"",ROW($Y$16:$Y$116)-ROW($Y$16)+1),ROWS($Y$16:Y109)))),"")</f>
        <v/>
      </c>
      <c r="AT109" s="349" t="str">
        <f t="shared" si="54"/>
        <v/>
      </c>
      <c r="AU109" s="349" t="str">
        <f t="shared" si="55"/>
        <v/>
      </c>
      <c r="AV109" s="349" t="str">
        <f t="shared" si="56"/>
        <v/>
      </c>
      <c r="AW109" s="362" t="str">
        <f t="shared" si="63"/>
        <v/>
      </c>
      <c r="AX109" s="362" t="str">
        <f t="shared" si="57"/>
        <v/>
      </c>
      <c r="AY109" s="1107" t="str">
        <f t="shared" si="58"/>
        <v/>
      </c>
      <c r="BA109" s="42">
        <v>94</v>
      </c>
      <c r="BB109" s="357" t="str">
        <f t="shared" si="47"/>
        <v/>
      </c>
      <c r="BC109" s="357" t="str">
        <f t="shared" si="48"/>
        <v/>
      </c>
      <c r="BD109" s="357" t="str">
        <f t="shared" si="49"/>
        <v/>
      </c>
      <c r="BE109" s="357" t="str">
        <f t="shared" si="50"/>
        <v/>
      </c>
      <c r="BF109" s="357" t="str">
        <f t="shared" si="51"/>
        <v/>
      </c>
      <c r="BG109" s="357" t="str">
        <f t="shared" si="52"/>
        <v/>
      </c>
      <c r="BH109" s="95" t="s">
        <v>16</v>
      </c>
      <c r="BI109" s="325"/>
    </row>
    <row r="110" spans="23:65" x14ac:dyDescent="0.25">
      <c r="W110" s="43">
        <v>95</v>
      </c>
      <c r="X110" s="364" t="str">
        <f t="shared" si="42"/>
        <v/>
      </c>
      <c r="Y110" s="364" t="str">
        <f t="shared" si="43"/>
        <v/>
      </c>
      <c r="Z110" s="364" t="str">
        <f t="shared" si="44"/>
        <v/>
      </c>
      <c r="AA110" s="364" t="str">
        <f t="shared" si="45"/>
        <v/>
      </c>
      <c r="AB110" s="364" t="str">
        <f t="shared" si="46"/>
        <v/>
      </c>
      <c r="AC110" s="121"/>
      <c r="AD110" s="121" t="s">
        <v>1210</v>
      </c>
      <c r="AE110" s="278" t="str">
        <f t="shared" si="62"/>
        <v/>
      </c>
      <c r="AF110" s="135" t="str">
        <f t="shared" si="53"/>
        <v/>
      </c>
      <c r="AG110" s="135"/>
      <c r="AH110" s="135"/>
      <c r="AR110" s="43">
        <v>95</v>
      </c>
      <c r="AS110" s="362" t="str">
        <f t="array" ref="AS110">IFERROR(IF(ROWS(Y$16:Y110)&gt;COUNTA($Y$16:$Y$116),"",INDEX($W$16:$W$116,SMALL(IF($Y$16:$Y$116&lt;&gt;"",ROW($Y$16:$Y$116)-ROW($Y$16)+1),ROWS($Y$16:Y110)))),"")</f>
        <v/>
      </c>
      <c r="AT110" s="349" t="str">
        <f t="shared" si="54"/>
        <v/>
      </c>
      <c r="AU110" s="349" t="str">
        <f t="shared" si="55"/>
        <v/>
      </c>
      <c r="AV110" s="349" t="str">
        <f t="shared" si="56"/>
        <v/>
      </c>
      <c r="AW110" s="362" t="str">
        <f t="shared" si="63"/>
        <v/>
      </c>
      <c r="AX110" s="362" t="str">
        <f t="shared" si="57"/>
        <v/>
      </c>
      <c r="AY110" s="1107" t="str">
        <f t="shared" si="58"/>
        <v/>
      </c>
      <c r="BA110" s="93">
        <v>95</v>
      </c>
      <c r="BB110" s="357" t="str">
        <f t="shared" si="47"/>
        <v/>
      </c>
      <c r="BC110" s="357" t="str">
        <f t="shared" si="48"/>
        <v/>
      </c>
      <c r="BD110" s="357" t="str">
        <f t="shared" si="49"/>
        <v/>
      </c>
      <c r="BE110" s="357" t="str">
        <f t="shared" si="50"/>
        <v/>
      </c>
      <c r="BF110" s="357" t="str">
        <f t="shared" si="51"/>
        <v/>
      </c>
      <c r="BG110" s="357" t="str">
        <f t="shared" si="52"/>
        <v/>
      </c>
      <c r="BH110" s="95" t="s">
        <v>16</v>
      </c>
      <c r="BI110" s="325"/>
    </row>
    <row r="111" spans="23:65" x14ac:dyDescent="0.25">
      <c r="W111" s="43">
        <v>96</v>
      </c>
      <c r="X111" s="364" t="str">
        <f t="shared" si="42"/>
        <v/>
      </c>
      <c r="Y111" s="364" t="str">
        <f t="shared" si="43"/>
        <v/>
      </c>
      <c r="Z111" s="364" t="str">
        <f t="shared" si="44"/>
        <v/>
      </c>
      <c r="AA111" s="364" t="str">
        <f t="shared" si="45"/>
        <v/>
      </c>
      <c r="AB111" s="364" t="str">
        <f t="shared" si="46"/>
        <v/>
      </c>
      <c r="AC111" s="121"/>
      <c r="AD111" s="121" t="s">
        <v>1210</v>
      </c>
      <c r="AE111" s="278" t="str">
        <f t="shared" si="62"/>
        <v/>
      </c>
      <c r="AF111" s="135" t="str">
        <f t="shared" si="53"/>
        <v/>
      </c>
      <c r="AG111" s="135"/>
      <c r="AH111" s="135"/>
      <c r="AR111" s="43">
        <v>96</v>
      </c>
      <c r="AS111" s="362" t="str">
        <f t="array" ref="AS111">IFERROR(IF(ROWS(Y$16:Y111)&gt;COUNTA($Y$16:$Y$116),"",INDEX($W$16:$W$116,SMALL(IF($Y$16:$Y$116&lt;&gt;"",ROW($Y$16:$Y$116)-ROW($Y$16)+1),ROWS($Y$16:Y111)))),"")</f>
        <v/>
      </c>
      <c r="AT111" s="349" t="str">
        <f t="shared" si="54"/>
        <v/>
      </c>
      <c r="AU111" s="349" t="str">
        <f t="shared" si="55"/>
        <v/>
      </c>
      <c r="AV111" s="349" t="str">
        <f t="shared" si="56"/>
        <v/>
      </c>
      <c r="AW111" s="362" t="str">
        <f t="shared" si="63"/>
        <v/>
      </c>
      <c r="AX111" s="362" t="str">
        <f t="shared" si="57"/>
        <v/>
      </c>
      <c r="AY111" s="1107" t="str">
        <f t="shared" si="58"/>
        <v/>
      </c>
      <c r="BA111" s="42">
        <v>96</v>
      </c>
      <c r="BB111" s="357" t="str">
        <f t="shared" si="47"/>
        <v/>
      </c>
      <c r="BC111" s="357" t="str">
        <f t="shared" si="48"/>
        <v/>
      </c>
      <c r="BD111" s="357" t="str">
        <f t="shared" si="49"/>
        <v/>
      </c>
      <c r="BE111" s="357" t="str">
        <f t="shared" si="50"/>
        <v/>
      </c>
      <c r="BF111" s="357" t="str">
        <f t="shared" si="51"/>
        <v/>
      </c>
      <c r="BG111" s="357" t="str">
        <f t="shared" si="52"/>
        <v/>
      </c>
      <c r="BH111" s="95" t="s">
        <v>16</v>
      </c>
      <c r="BI111" s="325"/>
    </row>
    <row r="112" spans="23:65" x14ac:dyDescent="0.25">
      <c r="W112" s="43">
        <v>97</v>
      </c>
      <c r="X112" s="364" t="str">
        <f t="shared" si="42"/>
        <v/>
      </c>
      <c r="Y112" s="364" t="str">
        <f t="shared" si="43"/>
        <v/>
      </c>
      <c r="Z112" s="364" t="str">
        <f t="shared" si="44"/>
        <v/>
      </c>
      <c r="AA112" s="364" t="str">
        <f t="shared" si="45"/>
        <v/>
      </c>
      <c r="AB112" s="364" t="str">
        <f t="shared" si="46"/>
        <v/>
      </c>
      <c r="AC112" s="121"/>
      <c r="AD112" s="121" t="s">
        <v>1210</v>
      </c>
      <c r="AE112" s="278" t="str">
        <f t="shared" si="62"/>
        <v/>
      </c>
      <c r="AF112" s="135" t="str">
        <f t="shared" ref="AF112:AF116" si="64">IF(AA112&lt;&gt;"",VLOOKUP(AA112,_TradableTableAllowed,RIGHT(AE$14,1)+4,FALSE),"")</f>
        <v/>
      </c>
      <c r="AG112" s="135"/>
      <c r="AH112" s="135"/>
      <c r="AR112" s="43">
        <v>97</v>
      </c>
      <c r="AS112" s="362" t="str">
        <f t="array" ref="AS112">IFERROR(IF(ROWS(Y$16:Y112)&gt;COUNTA($Y$16:$Y$116),"",INDEX($W$16:$W$116,SMALL(IF($Y$16:$Y$116&lt;&gt;"",ROW($Y$16:$Y$116)-ROW($Y$16)+1),ROWS($Y$16:Y112)))),"")</f>
        <v/>
      </c>
      <c r="AT112" s="349" t="str">
        <f t="shared" si="54"/>
        <v/>
      </c>
      <c r="AU112" s="349" t="str">
        <f t="shared" si="55"/>
        <v/>
      </c>
      <c r="AV112" s="349" t="str">
        <f t="shared" si="56"/>
        <v/>
      </c>
      <c r="AW112" s="362" t="str">
        <f t="shared" si="63"/>
        <v/>
      </c>
      <c r="AX112" s="362" t="str">
        <f t="shared" si="57"/>
        <v/>
      </c>
      <c r="AY112" s="1107" t="str">
        <f t="shared" si="58"/>
        <v/>
      </c>
      <c r="BA112" s="93">
        <v>97</v>
      </c>
      <c r="BB112" s="357" t="str">
        <f t="shared" si="47"/>
        <v/>
      </c>
      <c r="BC112" s="357" t="str">
        <f t="shared" si="48"/>
        <v/>
      </c>
      <c r="BD112" s="357" t="str">
        <f t="shared" si="49"/>
        <v/>
      </c>
      <c r="BE112" s="357" t="str">
        <f t="shared" si="50"/>
        <v/>
      </c>
      <c r="BF112" s="357" t="str">
        <f t="shared" si="51"/>
        <v/>
      </c>
      <c r="BG112" s="357" t="str">
        <f t="shared" si="52"/>
        <v/>
      </c>
      <c r="BH112" s="95" t="s">
        <v>16</v>
      </c>
      <c r="BI112" s="325"/>
    </row>
    <row r="113" spans="23:61" x14ac:dyDescent="0.25">
      <c r="W113" s="43">
        <v>98</v>
      </c>
      <c r="X113" s="364" t="str">
        <f t="shared" si="42"/>
        <v/>
      </c>
      <c r="Y113" s="364" t="str">
        <f t="shared" si="43"/>
        <v/>
      </c>
      <c r="Z113" s="364" t="str">
        <f t="shared" si="44"/>
        <v/>
      </c>
      <c r="AA113" s="364" t="str">
        <f t="shared" si="45"/>
        <v/>
      </c>
      <c r="AB113" s="364" t="str">
        <f t="shared" si="46"/>
        <v/>
      </c>
      <c r="AC113" s="121"/>
      <c r="AD113" s="121" t="s">
        <v>1210</v>
      </c>
      <c r="AE113" s="278" t="str">
        <f t="shared" si="62"/>
        <v/>
      </c>
      <c r="AF113" s="135" t="str">
        <f t="shared" si="64"/>
        <v/>
      </c>
      <c r="AG113" s="135"/>
      <c r="AH113" s="135"/>
      <c r="AR113" s="43">
        <v>98</v>
      </c>
      <c r="AS113" s="362" t="str">
        <f t="array" ref="AS113">IFERROR(IF(ROWS(Y$16:Y113)&gt;COUNTA($Y$16:$Y$116),"",INDEX($W$16:$W$116,SMALL(IF($Y$16:$Y$116&lt;&gt;"",ROW($Y$16:$Y$116)-ROW($Y$16)+1),ROWS($Y$16:Y113)))),"")</f>
        <v/>
      </c>
      <c r="AT113" s="349" t="str">
        <f t="shared" si="54"/>
        <v/>
      </c>
      <c r="AU113" s="349" t="str">
        <f t="shared" si="55"/>
        <v/>
      </c>
      <c r="AV113" s="349" t="str">
        <f t="shared" si="56"/>
        <v/>
      </c>
      <c r="AW113" s="362" t="str">
        <f t="shared" si="63"/>
        <v/>
      </c>
      <c r="AX113" s="362" t="str">
        <f t="shared" si="57"/>
        <v/>
      </c>
      <c r="AY113" s="1107" t="str">
        <f t="shared" si="58"/>
        <v/>
      </c>
      <c r="BA113" s="42">
        <v>98</v>
      </c>
      <c r="BB113" s="357" t="str">
        <f t="shared" si="47"/>
        <v/>
      </c>
      <c r="BC113" s="357" t="str">
        <f t="shared" si="48"/>
        <v/>
      </c>
      <c r="BD113" s="357" t="str">
        <f t="shared" si="49"/>
        <v/>
      </c>
      <c r="BE113" s="357" t="str">
        <f t="shared" si="50"/>
        <v/>
      </c>
      <c r="BF113" s="357" t="str">
        <f t="shared" si="51"/>
        <v/>
      </c>
      <c r="BG113" s="357" t="str">
        <f t="shared" si="52"/>
        <v/>
      </c>
      <c r="BH113" s="95" t="s">
        <v>16</v>
      </c>
      <c r="BI113" s="325"/>
    </row>
    <row r="114" spans="23:61" x14ac:dyDescent="0.25">
      <c r="W114" s="43">
        <v>99</v>
      </c>
      <c r="X114" s="364" t="str">
        <f t="shared" si="42"/>
        <v/>
      </c>
      <c r="Y114" s="364" t="str">
        <f t="shared" si="43"/>
        <v/>
      </c>
      <c r="Z114" s="364" t="str">
        <f t="shared" si="44"/>
        <v/>
      </c>
      <c r="AA114" s="364" t="str">
        <f t="shared" si="45"/>
        <v/>
      </c>
      <c r="AB114" s="364" t="str">
        <f t="shared" si="46"/>
        <v/>
      </c>
      <c r="AC114" s="121"/>
      <c r="AD114" s="121" t="s">
        <v>1210</v>
      </c>
      <c r="AE114" s="278" t="str">
        <f t="shared" si="62"/>
        <v/>
      </c>
      <c r="AF114" s="135" t="str">
        <f t="shared" si="64"/>
        <v/>
      </c>
      <c r="AG114" s="135"/>
      <c r="AH114" s="135"/>
      <c r="AR114" s="43">
        <v>99</v>
      </c>
      <c r="AS114" s="362" t="str">
        <f t="array" ref="AS114">IFERROR(IF(ROWS(Y$16:Y114)&gt;COUNTA($Y$16:$Y$116),"",INDEX($W$16:$W$116,SMALL(IF($Y$16:$Y$116&lt;&gt;"",ROW($Y$16:$Y$116)-ROW($Y$16)+1),ROWS($Y$16:Y114)))),"")</f>
        <v/>
      </c>
      <c r="AT114" s="349" t="str">
        <f t="shared" si="54"/>
        <v/>
      </c>
      <c r="AU114" s="349" t="str">
        <f t="shared" si="55"/>
        <v/>
      </c>
      <c r="AV114" s="349" t="str">
        <f t="shared" si="56"/>
        <v/>
      </c>
      <c r="AW114" s="362" t="str">
        <f t="shared" si="63"/>
        <v/>
      </c>
      <c r="AX114" s="362" t="str">
        <f t="shared" si="57"/>
        <v/>
      </c>
      <c r="AY114" s="1107" t="str">
        <f t="shared" si="58"/>
        <v/>
      </c>
      <c r="BA114" s="93">
        <v>99</v>
      </c>
      <c r="BB114" s="357" t="str">
        <f t="shared" si="47"/>
        <v/>
      </c>
      <c r="BC114" s="357" t="str">
        <f t="shared" si="48"/>
        <v/>
      </c>
      <c r="BD114" s="357" t="str">
        <f t="shared" si="49"/>
        <v/>
      </c>
      <c r="BE114" s="357" t="str">
        <f t="shared" si="50"/>
        <v/>
      </c>
      <c r="BF114" s="357" t="str">
        <f t="shared" si="51"/>
        <v/>
      </c>
      <c r="BG114" s="357" t="str">
        <f t="shared" si="52"/>
        <v/>
      </c>
      <c r="BH114" s="95" t="s">
        <v>16</v>
      </c>
      <c r="BI114" s="325"/>
    </row>
    <row r="115" spans="23:61" x14ac:dyDescent="0.25">
      <c r="W115" s="43">
        <v>100</v>
      </c>
      <c r="X115" s="364" t="str">
        <f t="shared" si="42"/>
        <v/>
      </c>
      <c r="Y115" s="364" t="str">
        <f t="shared" si="43"/>
        <v/>
      </c>
      <c r="Z115" s="364" t="str">
        <f t="shared" si="44"/>
        <v/>
      </c>
      <c r="AA115" s="364" t="str">
        <f t="shared" si="45"/>
        <v/>
      </c>
      <c r="AB115" s="364" t="str">
        <f t="shared" si="46"/>
        <v/>
      </c>
      <c r="AC115" s="121"/>
      <c r="AD115" s="121" t="s">
        <v>1210</v>
      </c>
      <c r="AE115" s="278" t="str">
        <f t="shared" si="62"/>
        <v/>
      </c>
      <c r="AF115" s="135" t="str">
        <f t="shared" si="64"/>
        <v/>
      </c>
      <c r="AG115" s="135"/>
      <c r="AH115" s="135"/>
      <c r="AR115" s="43">
        <v>100</v>
      </c>
      <c r="AS115" s="362" t="str">
        <f t="array" ref="AS115">IFERROR(IF(ROWS(Y$16:Y115)&gt;COUNTA($Y$16:$Y$116),"",INDEX($W$16:$W$116,SMALL(IF($Y$16:$Y$116&lt;&gt;"",ROW($Y$16:$Y$116)-ROW($Y$16)+1),ROWS($Y$16:Y115)))),"")</f>
        <v/>
      </c>
      <c r="AT115" s="349" t="str">
        <f t="shared" si="54"/>
        <v/>
      </c>
      <c r="AU115" s="349" t="str">
        <f t="shared" si="55"/>
        <v/>
      </c>
      <c r="AV115" s="349" t="str">
        <f t="shared" si="56"/>
        <v/>
      </c>
      <c r="AW115" s="362" t="str">
        <f t="shared" si="63"/>
        <v/>
      </c>
      <c r="AX115" s="362" t="str">
        <f t="shared" si="57"/>
        <v/>
      </c>
      <c r="AY115" s="1107" t="str">
        <f t="shared" si="58"/>
        <v/>
      </c>
      <c r="BA115" s="42">
        <v>100</v>
      </c>
      <c r="BB115" s="357" t="str">
        <f t="shared" si="47"/>
        <v/>
      </c>
      <c r="BC115" s="357" t="str">
        <f t="shared" si="48"/>
        <v/>
      </c>
      <c r="BD115" s="357" t="str">
        <f t="shared" si="49"/>
        <v/>
      </c>
      <c r="BE115" s="357" t="str">
        <f t="shared" si="50"/>
        <v/>
      </c>
      <c r="BF115" s="357" t="str">
        <f t="shared" si="51"/>
        <v/>
      </c>
      <c r="BG115" s="357" t="str">
        <f t="shared" si="52"/>
        <v/>
      </c>
      <c r="BH115" s="95" t="s">
        <v>16</v>
      </c>
      <c r="BI115" s="325"/>
    </row>
    <row r="116" spans="23:61" x14ac:dyDescent="0.25">
      <c r="W116" s="43">
        <v>101</v>
      </c>
      <c r="X116" s="364" t="str">
        <f t="shared" si="42"/>
        <v/>
      </c>
      <c r="Y116" s="364" t="str">
        <f t="shared" si="43"/>
        <v/>
      </c>
      <c r="Z116" s="364" t="str">
        <f t="shared" si="44"/>
        <v/>
      </c>
      <c r="AA116" s="364" t="str">
        <f t="shared" si="45"/>
        <v/>
      </c>
      <c r="AB116" s="364" t="str">
        <f t="shared" si="46"/>
        <v/>
      </c>
      <c r="AC116" s="121"/>
      <c r="AD116" s="121" t="s">
        <v>1210</v>
      </c>
      <c r="AE116" s="278" t="str">
        <f t="shared" si="62"/>
        <v/>
      </c>
      <c r="AF116" s="135" t="str">
        <f t="shared" si="64"/>
        <v/>
      </c>
      <c r="AG116" s="135"/>
      <c r="AH116" s="135"/>
      <c r="BA116" s="93">
        <v>101</v>
      </c>
      <c r="BB116" s="357" t="str">
        <f t="shared" ref="BB116:BB165" si="65">AS66</f>
        <v/>
      </c>
      <c r="BC116" s="357" t="str">
        <f t="shared" ref="BC116:BC165" si="66">AT66</f>
        <v/>
      </c>
      <c r="BD116" s="357" t="str">
        <f t="shared" ref="BD116:BD165" si="67">AU66</f>
        <v/>
      </c>
      <c r="BE116" s="357" t="str">
        <f t="shared" ref="BE116:BE165" si="68">AV66</f>
        <v/>
      </c>
      <c r="BF116" s="357" t="str">
        <f t="shared" ref="BF116:BF165" si="69">AW66</f>
        <v/>
      </c>
      <c r="BG116" s="357" t="str">
        <f t="shared" ref="BG116:BG165" si="70">AX66</f>
        <v/>
      </c>
      <c r="BH116" s="95" t="s">
        <v>16</v>
      </c>
      <c r="BI116" s="325"/>
    </row>
    <row r="117" spans="23:61" x14ac:dyDescent="0.25">
      <c r="BA117" s="42">
        <v>102</v>
      </c>
      <c r="BB117" s="357" t="str">
        <f t="shared" si="65"/>
        <v/>
      </c>
      <c r="BC117" s="357" t="str">
        <f t="shared" si="66"/>
        <v/>
      </c>
      <c r="BD117" s="357" t="str">
        <f t="shared" si="67"/>
        <v/>
      </c>
      <c r="BE117" s="357" t="str">
        <f t="shared" si="68"/>
        <v/>
      </c>
      <c r="BF117" s="357" t="str">
        <f t="shared" si="69"/>
        <v/>
      </c>
      <c r="BG117" s="357" t="str">
        <f t="shared" si="70"/>
        <v/>
      </c>
      <c r="BH117" s="95" t="s">
        <v>16</v>
      </c>
      <c r="BI117" s="325"/>
    </row>
    <row r="118" spans="23:61" x14ac:dyDescent="0.25">
      <c r="BA118" s="93">
        <v>103</v>
      </c>
      <c r="BB118" s="357" t="str">
        <f t="shared" si="65"/>
        <v/>
      </c>
      <c r="BC118" s="357" t="str">
        <f t="shared" si="66"/>
        <v/>
      </c>
      <c r="BD118" s="357" t="str">
        <f t="shared" si="67"/>
        <v/>
      </c>
      <c r="BE118" s="357" t="str">
        <f t="shared" si="68"/>
        <v/>
      </c>
      <c r="BF118" s="357" t="str">
        <f t="shared" si="69"/>
        <v/>
      </c>
      <c r="BG118" s="357" t="str">
        <f t="shared" si="70"/>
        <v/>
      </c>
      <c r="BH118" s="95" t="s">
        <v>16</v>
      </c>
      <c r="BI118" s="325"/>
    </row>
    <row r="119" spans="23:61" x14ac:dyDescent="0.25">
      <c r="BA119" s="42">
        <v>104</v>
      </c>
      <c r="BB119" s="357" t="str">
        <f t="shared" si="65"/>
        <v/>
      </c>
      <c r="BC119" s="357" t="str">
        <f t="shared" si="66"/>
        <v/>
      </c>
      <c r="BD119" s="357" t="str">
        <f t="shared" si="67"/>
        <v/>
      </c>
      <c r="BE119" s="357" t="str">
        <f t="shared" si="68"/>
        <v/>
      </c>
      <c r="BF119" s="357" t="str">
        <f t="shared" si="69"/>
        <v/>
      </c>
      <c r="BG119" s="357" t="str">
        <f t="shared" si="70"/>
        <v/>
      </c>
      <c r="BH119" s="95" t="s">
        <v>16</v>
      </c>
      <c r="BI119" s="325"/>
    </row>
    <row r="120" spans="23:61" x14ac:dyDescent="0.25">
      <c r="BA120" s="93">
        <v>105</v>
      </c>
      <c r="BB120" s="357" t="str">
        <f t="shared" si="65"/>
        <v/>
      </c>
      <c r="BC120" s="357" t="str">
        <f t="shared" si="66"/>
        <v/>
      </c>
      <c r="BD120" s="357" t="str">
        <f t="shared" si="67"/>
        <v/>
      </c>
      <c r="BE120" s="357" t="str">
        <f t="shared" si="68"/>
        <v/>
      </c>
      <c r="BF120" s="357" t="str">
        <f t="shared" si="69"/>
        <v/>
      </c>
      <c r="BG120" s="357" t="str">
        <f t="shared" si="70"/>
        <v/>
      </c>
      <c r="BH120" s="95" t="s">
        <v>16</v>
      </c>
    </row>
    <row r="121" spans="23:61" x14ac:dyDescent="0.25">
      <c r="BA121" s="42">
        <v>106</v>
      </c>
      <c r="BB121" s="357" t="str">
        <f t="shared" si="65"/>
        <v/>
      </c>
      <c r="BC121" s="357" t="str">
        <f t="shared" si="66"/>
        <v/>
      </c>
      <c r="BD121" s="357" t="str">
        <f t="shared" si="67"/>
        <v/>
      </c>
      <c r="BE121" s="357" t="str">
        <f t="shared" si="68"/>
        <v/>
      </c>
      <c r="BF121" s="357" t="str">
        <f t="shared" si="69"/>
        <v/>
      </c>
      <c r="BG121" s="357" t="str">
        <f t="shared" si="70"/>
        <v/>
      </c>
      <c r="BH121" s="95" t="s">
        <v>16</v>
      </c>
    </row>
    <row r="122" spans="23:61" x14ac:dyDescent="0.25">
      <c r="BA122" s="93">
        <v>107</v>
      </c>
      <c r="BB122" s="357" t="str">
        <f t="shared" si="65"/>
        <v/>
      </c>
      <c r="BC122" s="357" t="str">
        <f t="shared" si="66"/>
        <v/>
      </c>
      <c r="BD122" s="357" t="str">
        <f t="shared" si="67"/>
        <v/>
      </c>
      <c r="BE122" s="357" t="str">
        <f t="shared" si="68"/>
        <v/>
      </c>
      <c r="BF122" s="357" t="str">
        <f t="shared" si="69"/>
        <v/>
      </c>
      <c r="BG122" s="357" t="str">
        <f t="shared" si="70"/>
        <v/>
      </c>
      <c r="BH122" s="95" t="s">
        <v>16</v>
      </c>
    </row>
    <row r="123" spans="23:61" x14ac:dyDescent="0.25">
      <c r="BA123" s="42">
        <v>108</v>
      </c>
      <c r="BB123" s="357" t="str">
        <f t="shared" si="65"/>
        <v/>
      </c>
      <c r="BC123" s="357" t="str">
        <f t="shared" si="66"/>
        <v/>
      </c>
      <c r="BD123" s="357" t="str">
        <f t="shared" si="67"/>
        <v/>
      </c>
      <c r="BE123" s="357" t="str">
        <f t="shared" si="68"/>
        <v/>
      </c>
      <c r="BF123" s="357" t="str">
        <f t="shared" si="69"/>
        <v/>
      </c>
      <c r="BG123" s="357" t="str">
        <f t="shared" si="70"/>
        <v/>
      </c>
      <c r="BH123" s="95" t="s">
        <v>16</v>
      </c>
    </row>
    <row r="124" spans="23:61" x14ac:dyDescent="0.25">
      <c r="BA124" s="93">
        <v>109</v>
      </c>
      <c r="BB124" s="357" t="str">
        <f t="shared" si="65"/>
        <v/>
      </c>
      <c r="BC124" s="357" t="str">
        <f t="shared" si="66"/>
        <v/>
      </c>
      <c r="BD124" s="357" t="str">
        <f t="shared" si="67"/>
        <v/>
      </c>
      <c r="BE124" s="357" t="str">
        <f t="shared" si="68"/>
        <v/>
      </c>
      <c r="BF124" s="357" t="str">
        <f t="shared" si="69"/>
        <v/>
      </c>
      <c r="BG124" s="357" t="str">
        <f t="shared" si="70"/>
        <v/>
      </c>
      <c r="BH124" s="95" t="s">
        <v>16</v>
      </c>
    </row>
    <row r="125" spans="23:61" x14ac:dyDescent="0.25">
      <c r="BA125" s="42">
        <v>110</v>
      </c>
      <c r="BB125" s="357" t="str">
        <f t="shared" si="65"/>
        <v/>
      </c>
      <c r="BC125" s="357" t="str">
        <f t="shared" si="66"/>
        <v/>
      </c>
      <c r="BD125" s="357" t="str">
        <f t="shared" si="67"/>
        <v/>
      </c>
      <c r="BE125" s="357" t="str">
        <f t="shared" si="68"/>
        <v/>
      </c>
      <c r="BF125" s="357" t="str">
        <f t="shared" si="69"/>
        <v/>
      </c>
      <c r="BG125" s="357" t="str">
        <f t="shared" si="70"/>
        <v/>
      </c>
      <c r="BH125" s="95" t="s">
        <v>16</v>
      </c>
    </row>
    <row r="126" spans="23:61" x14ac:dyDescent="0.25">
      <c r="BA126" s="93">
        <v>111</v>
      </c>
      <c r="BB126" s="357" t="str">
        <f t="shared" si="65"/>
        <v/>
      </c>
      <c r="BC126" s="357" t="str">
        <f t="shared" si="66"/>
        <v/>
      </c>
      <c r="BD126" s="357" t="str">
        <f t="shared" si="67"/>
        <v/>
      </c>
      <c r="BE126" s="357" t="str">
        <f t="shared" si="68"/>
        <v/>
      </c>
      <c r="BF126" s="357" t="str">
        <f t="shared" si="69"/>
        <v/>
      </c>
      <c r="BG126" s="357" t="str">
        <f t="shared" si="70"/>
        <v/>
      </c>
      <c r="BH126" s="95" t="s">
        <v>16</v>
      </c>
    </row>
    <row r="127" spans="23:61" x14ac:dyDescent="0.25">
      <c r="BA127" s="42">
        <v>112</v>
      </c>
      <c r="BB127" s="357" t="str">
        <f t="shared" si="65"/>
        <v/>
      </c>
      <c r="BC127" s="357" t="str">
        <f t="shared" si="66"/>
        <v/>
      </c>
      <c r="BD127" s="357" t="str">
        <f t="shared" si="67"/>
        <v/>
      </c>
      <c r="BE127" s="357" t="str">
        <f t="shared" si="68"/>
        <v/>
      </c>
      <c r="BF127" s="357" t="str">
        <f t="shared" si="69"/>
        <v/>
      </c>
      <c r="BG127" s="357" t="str">
        <f t="shared" si="70"/>
        <v/>
      </c>
      <c r="BH127" s="95" t="s">
        <v>16</v>
      </c>
    </row>
    <row r="128" spans="23:61" x14ac:dyDescent="0.25">
      <c r="BA128" s="93">
        <v>113</v>
      </c>
      <c r="BB128" s="357" t="str">
        <f t="shared" si="65"/>
        <v/>
      </c>
      <c r="BC128" s="357" t="str">
        <f t="shared" si="66"/>
        <v/>
      </c>
      <c r="BD128" s="357" t="str">
        <f t="shared" si="67"/>
        <v/>
      </c>
      <c r="BE128" s="357" t="str">
        <f t="shared" si="68"/>
        <v/>
      </c>
      <c r="BF128" s="357" t="str">
        <f t="shared" si="69"/>
        <v/>
      </c>
      <c r="BG128" s="357" t="str">
        <f t="shared" si="70"/>
        <v/>
      </c>
      <c r="BH128" s="95" t="s">
        <v>16</v>
      </c>
    </row>
    <row r="129" spans="53:60" x14ac:dyDescent="0.25">
      <c r="BA129" s="42">
        <v>114</v>
      </c>
      <c r="BB129" s="357" t="str">
        <f t="shared" si="65"/>
        <v/>
      </c>
      <c r="BC129" s="357" t="str">
        <f t="shared" si="66"/>
        <v/>
      </c>
      <c r="BD129" s="357" t="str">
        <f t="shared" si="67"/>
        <v/>
      </c>
      <c r="BE129" s="357" t="str">
        <f t="shared" si="68"/>
        <v/>
      </c>
      <c r="BF129" s="357" t="str">
        <f t="shared" si="69"/>
        <v/>
      </c>
      <c r="BG129" s="357" t="str">
        <f t="shared" si="70"/>
        <v/>
      </c>
      <c r="BH129" s="95" t="s">
        <v>16</v>
      </c>
    </row>
    <row r="130" spans="53:60" x14ac:dyDescent="0.25">
      <c r="BA130" s="93">
        <v>115</v>
      </c>
      <c r="BB130" s="357" t="str">
        <f t="shared" si="65"/>
        <v/>
      </c>
      <c r="BC130" s="357" t="str">
        <f t="shared" si="66"/>
        <v/>
      </c>
      <c r="BD130" s="357" t="str">
        <f t="shared" si="67"/>
        <v/>
      </c>
      <c r="BE130" s="357" t="str">
        <f t="shared" si="68"/>
        <v/>
      </c>
      <c r="BF130" s="357" t="str">
        <f t="shared" si="69"/>
        <v/>
      </c>
      <c r="BG130" s="357" t="str">
        <f t="shared" si="70"/>
        <v/>
      </c>
      <c r="BH130" s="95" t="s">
        <v>16</v>
      </c>
    </row>
    <row r="131" spans="53:60" x14ac:dyDescent="0.25">
      <c r="BA131" s="42">
        <v>116</v>
      </c>
      <c r="BB131" s="357" t="str">
        <f t="shared" si="65"/>
        <v/>
      </c>
      <c r="BC131" s="357" t="str">
        <f t="shared" si="66"/>
        <v/>
      </c>
      <c r="BD131" s="357" t="str">
        <f t="shared" si="67"/>
        <v/>
      </c>
      <c r="BE131" s="357" t="str">
        <f t="shared" si="68"/>
        <v/>
      </c>
      <c r="BF131" s="357" t="str">
        <f t="shared" si="69"/>
        <v/>
      </c>
      <c r="BG131" s="357" t="str">
        <f t="shared" si="70"/>
        <v/>
      </c>
      <c r="BH131" s="95" t="s">
        <v>16</v>
      </c>
    </row>
    <row r="132" spans="53:60" x14ac:dyDescent="0.25">
      <c r="BA132" s="93">
        <v>117</v>
      </c>
      <c r="BB132" s="357" t="str">
        <f t="shared" si="65"/>
        <v/>
      </c>
      <c r="BC132" s="357" t="str">
        <f t="shared" si="66"/>
        <v/>
      </c>
      <c r="BD132" s="357" t="str">
        <f t="shared" si="67"/>
        <v/>
      </c>
      <c r="BE132" s="357" t="str">
        <f t="shared" si="68"/>
        <v/>
      </c>
      <c r="BF132" s="357" t="str">
        <f t="shared" si="69"/>
        <v/>
      </c>
      <c r="BG132" s="357" t="str">
        <f t="shared" si="70"/>
        <v/>
      </c>
      <c r="BH132" s="95" t="s">
        <v>16</v>
      </c>
    </row>
    <row r="133" spans="53:60" x14ac:dyDescent="0.25">
      <c r="BA133" s="42">
        <v>118</v>
      </c>
      <c r="BB133" s="357" t="str">
        <f t="shared" si="65"/>
        <v/>
      </c>
      <c r="BC133" s="357" t="str">
        <f t="shared" si="66"/>
        <v/>
      </c>
      <c r="BD133" s="357" t="str">
        <f t="shared" si="67"/>
        <v/>
      </c>
      <c r="BE133" s="357" t="str">
        <f t="shared" si="68"/>
        <v/>
      </c>
      <c r="BF133" s="357" t="str">
        <f t="shared" si="69"/>
        <v/>
      </c>
      <c r="BG133" s="357" t="str">
        <f t="shared" si="70"/>
        <v/>
      </c>
      <c r="BH133" s="95" t="s">
        <v>16</v>
      </c>
    </row>
    <row r="134" spans="53:60" x14ac:dyDescent="0.25">
      <c r="BA134" s="93">
        <v>119</v>
      </c>
      <c r="BB134" s="357" t="str">
        <f t="shared" si="65"/>
        <v/>
      </c>
      <c r="BC134" s="357" t="str">
        <f t="shared" si="66"/>
        <v/>
      </c>
      <c r="BD134" s="357" t="str">
        <f t="shared" si="67"/>
        <v/>
      </c>
      <c r="BE134" s="357" t="str">
        <f t="shared" si="68"/>
        <v/>
      </c>
      <c r="BF134" s="357" t="str">
        <f t="shared" si="69"/>
        <v/>
      </c>
      <c r="BG134" s="357" t="str">
        <f t="shared" si="70"/>
        <v/>
      </c>
      <c r="BH134" s="95" t="s">
        <v>16</v>
      </c>
    </row>
    <row r="135" spans="53:60" x14ac:dyDescent="0.25">
      <c r="BA135" s="42">
        <v>120</v>
      </c>
      <c r="BB135" s="357" t="str">
        <f t="shared" si="65"/>
        <v/>
      </c>
      <c r="BC135" s="357" t="str">
        <f t="shared" si="66"/>
        <v/>
      </c>
      <c r="BD135" s="357" t="str">
        <f t="shared" si="67"/>
        <v/>
      </c>
      <c r="BE135" s="357" t="str">
        <f t="shared" si="68"/>
        <v/>
      </c>
      <c r="BF135" s="357" t="str">
        <f t="shared" si="69"/>
        <v/>
      </c>
      <c r="BG135" s="357" t="str">
        <f t="shared" si="70"/>
        <v/>
      </c>
      <c r="BH135" s="95" t="s">
        <v>16</v>
      </c>
    </row>
    <row r="136" spans="53:60" x14ac:dyDescent="0.25">
      <c r="BA136" s="93">
        <v>121</v>
      </c>
      <c r="BB136" s="357" t="str">
        <f t="shared" si="65"/>
        <v/>
      </c>
      <c r="BC136" s="357" t="str">
        <f t="shared" si="66"/>
        <v/>
      </c>
      <c r="BD136" s="357" t="str">
        <f t="shared" si="67"/>
        <v/>
      </c>
      <c r="BE136" s="357" t="str">
        <f t="shared" si="68"/>
        <v/>
      </c>
      <c r="BF136" s="357" t="str">
        <f t="shared" si="69"/>
        <v/>
      </c>
      <c r="BG136" s="357" t="str">
        <f t="shared" si="70"/>
        <v/>
      </c>
      <c r="BH136" s="95" t="s">
        <v>16</v>
      </c>
    </row>
    <row r="137" spans="53:60" x14ac:dyDescent="0.25">
      <c r="BA137" s="42">
        <v>122</v>
      </c>
      <c r="BB137" s="357" t="str">
        <f t="shared" si="65"/>
        <v/>
      </c>
      <c r="BC137" s="357" t="str">
        <f t="shared" si="66"/>
        <v/>
      </c>
      <c r="BD137" s="357" t="str">
        <f t="shared" si="67"/>
        <v/>
      </c>
      <c r="BE137" s="357" t="str">
        <f t="shared" si="68"/>
        <v/>
      </c>
      <c r="BF137" s="357" t="str">
        <f t="shared" si="69"/>
        <v/>
      </c>
      <c r="BG137" s="357" t="str">
        <f t="shared" si="70"/>
        <v/>
      </c>
      <c r="BH137" s="95" t="s">
        <v>16</v>
      </c>
    </row>
    <row r="138" spans="53:60" x14ac:dyDescent="0.25">
      <c r="BA138" s="93">
        <v>123</v>
      </c>
      <c r="BB138" s="357" t="str">
        <f t="shared" si="65"/>
        <v/>
      </c>
      <c r="BC138" s="357" t="str">
        <f t="shared" si="66"/>
        <v/>
      </c>
      <c r="BD138" s="357" t="str">
        <f t="shared" si="67"/>
        <v/>
      </c>
      <c r="BE138" s="357" t="str">
        <f t="shared" si="68"/>
        <v/>
      </c>
      <c r="BF138" s="357" t="str">
        <f t="shared" si="69"/>
        <v/>
      </c>
      <c r="BG138" s="357" t="str">
        <f t="shared" si="70"/>
        <v/>
      </c>
      <c r="BH138" s="95" t="s">
        <v>16</v>
      </c>
    </row>
    <row r="139" spans="53:60" x14ac:dyDescent="0.25">
      <c r="BA139" s="42">
        <v>124</v>
      </c>
      <c r="BB139" s="357" t="str">
        <f t="shared" si="65"/>
        <v/>
      </c>
      <c r="BC139" s="357" t="str">
        <f t="shared" si="66"/>
        <v/>
      </c>
      <c r="BD139" s="357" t="str">
        <f t="shared" si="67"/>
        <v/>
      </c>
      <c r="BE139" s="357" t="str">
        <f t="shared" si="68"/>
        <v/>
      </c>
      <c r="BF139" s="357" t="str">
        <f t="shared" si="69"/>
        <v/>
      </c>
      <c r="BG139" s="357" t="str">
        <f t="shared" si="70"/>
        <v/>
      </c>
      <c r="BH139" s="95" t="s">
        <v>16</v>
      </c>
    </row>
    <row r="140" spans="53:60" x14ac:dyDescent="0.25">
      <c r="BA140" s="93">
        <v>125</v>
      </c>
      <c r="BB140" s="357" t="str">
        <f t="shared" si="65"/>
        <v/>
      </c>
      <c r="BC140" s="357" t="str">
        <f t="shared" si="66"/>
        <v/>
      </c>
      <c r="BD140" s="357" t="str">
        <f t="shared" si="67"/>
        <v/>
      </c>
      <c r="BE140" s="357" t="str">
        <f t="shared" si="68"/>
        <v/>
      </c>
      <c r="BF140" s="357" t="str">
        <f t="shared" si="69"/>
        <v/>
      </c>
      <c r="BG140" s="357" t="str">
        <f t="shared" si="70"/>
        <v/>
      </c>
      <c r="BH140" s="95" t="s">
        <v>16</v>
      </c>
    </row>
    <row r="141" spans="53:60" x14ac:dyDescent="0.25">
      <c r="BA141" s="42">
        <v>126</v>
      </c>
      <c r="BB141" s="357" t="str">
        <f t="shared" si="65"/>
        <v/>
      </c>
      <c r="BC141" s="357" t="str">
        <f t="shared" si="66"/>
        <v/>
      </c>
      <c r="BD141" s="357" t="str">
        <f t="shared" si="67"/>
        <v/>
      </c>
      <c r="BE141" s="357" t="str">
        <f t="shared" si="68"/>
        <v/>
      </c>
      <c r="BF141" s="357" t="str">
        <f t="shared" si="69"/>
        <v/>
      </c>
      <c r="BG141" s="357" t="str">
        <f t="shared" si="70"/>
        <v/>
      </c>
      <c r="BH141" s="95" t="s">
        <v>16</v>
      </c>
    </row>
    <row r="142" spans="53:60" x14ac:dyDescent="0.25">
      <c r="BA142" s="93">
        <v>127</v>
      </c>
      <c r="BB142" s="357" t="str">
        <f t="shared" si="65"/>
        <v/>
      </c>
      <c r="BC142" s="357" t="str">
        <f t="shared" si="66"/>
        <v/>
      </c>
      <c r="BD142" s="357" t="str">
        <f t="shared" si="67"/>
        <v/>
      </c>
      <c r="BE142" s="357" t="str">
        <f t="shared" si="68"/>
        <v/>
      </c>
      <c r="BF142" s="357" t="str">
        <f t="shared" si="69"/>
        <v/>
      </c>
      <c r="BG142" s="357" t="str">
        <f t="shared" si="70"/>
        <v/>
      </c>
      <c r="BH142" s="95" t="s">
        <v>16</v>
      </c>
    </row>
    <row r="143" spans="53:60" x14ac:dyDescent="0.25">
      <c r="BA143" s="42">
        <v>128</v>
      </c>
      <c r="BB143" s="357" t="str">
        <f t="shared" si="65"/>
        <v/>
      </c>
      <c r="BC143" s="357" t="str">
        <f t="shared" si="66"/>
        <v/>
      </c>
      <c r="BD143" s="357" t="str">
        <f t="shared" si="67"/>
        <v/>
      </c>
      <c r="BE143" s="357" t="str">
        <f t="shared" si="68"/>
        <v/>
      </c>
      <c r="BF143" s="357" t="str">
        <f t="shared" si="69"/>
        <v/>
      </c>
      <c r="BG143" s="357" t="str">
        <f t="shared" si="70"/>
        <v/>
      </c>
      <c r="BH143" s="95" t="s">
        <v>16</v>
      </c>
    </row>
    <row r="144" spans="53:60" x14ac:dyDescent="0.25">
      <c r="BA144" s="93">
        <v>129</v>
      </c>
      <c r="BB144" s="357" t="str">
        <f t="shared" si="65"/>
        <v/>
      </c>
      <c r="BC144" s="357" t="str">
        <f t="shared" si="66"/>
        <v/>
      </c>
      <c r="BD144" s="357" t="str">
        <f t="shared" si="67"/>
        <v/>
      </c>
      <c r="BE144" s="357" t="str">
        <f t="shared" si="68"/>
        <v/>
      </c>
      <c r="BF144" s="357" t="str">
        <f t="shared" si="69"/>
        <v/>
      </c>
      <c r="BG144" s="357" t="str">
        <f t="shared" si="70"/>
        <v/>
      </c>
      <c r="BH144" s="95" t="s">
        <v>16</v>
      </c>
    </row>
    <row r="145" spans="53:60" x14ac:dyDescent="0.25">
      <c r="BA145" s="42">
        <v>130</v>
      </c>
      <c r="BB145" s="357" t="str">
        <f t="shared" si="65"/>
        <v/>
      </c>
      <c r="BC145" s="357" t="str">
        <f t="shared" si="66"/>
        <v/>
      </c>
      <c r="BD145" s="357" t="str">
        <f t="shared" si="67"/>
        <v/>
      </c>
      <c r="BE145" s="357" t="str">
        <f t="shared" si="68"/>
        <v/>
      </c>
      <c r="BF145" s="357" t="str">
        <f t="shared" si="69"/>
        <v/>
      </c>
      <c r="BG145" s="357" t="str">
        <f t="shared" si="70"/>
        <v/>
      </c>
      <c r="BH145" s="95" t="s">
        <v>16</v>
      </c>
    </row>
    <row r="146" spans="53:60" x14ac:dyDescent="0.25">
      <c r="BA146" s="93">
        <v>131</v>
      </c>
      <c r="BB146" s="357" t="str">
        <f t="shared" si="65"/>
        <v/>
      </c>
      <c r="BC146" s="357" t="str">
        <f t="shared" si="66"/>
        <v/>
      </c>
      <c r="BD146" s="357" t="str">
        <f t="shared" si="67"/>
        <v/>
      </c>
      <c r="BE146" s="357" t="str">
        <f t="shared" si="68"/>
        <v/>
      </c>
      <c r="BF146" s="357" t="str">
        <f t="shared" si="69"/>
        <v/>
      </c>
      <c r="BG146" s="357" t="str">
        <f t="shared" si="70"/>
        <v/>
      </c>
      <c r="BH146" s="95" t="s">
        <v>16</v>
      </c>
    </row>
    <row r="147" spans="53:60" x14ac:dyDescent="0.25">
      <c r="BA147" s="42">
        <v>132</v>
      </c>
      <c r="BB147" s="357" t="str">
        <f t="shared" si="65"/>
        <v/>
      </c>
      <c r="BC147" s="357" t="str">
        <f t="shared" si="66"/>
        <v/>
      </c>
      <c r="BD147" s="357" t="str">
        <f t="shared" si="67"/>
        <v/>
      </c>
      <c r="BE147" s="357" t="str">
        <f t="shared" si="68"/>
        <v/>
      </c>
      <c r="BF147" s="357" t="str">
        <f t="shared" si="69"/>
        <v/>
      </c>
      <c r="BG147" s="357" t="str">
        <f t="shared" si="70"/>
        <v/>
      </c>
      <c r="BH147" s="95" t="s">
        <v>16</v>
      </c>
    </row>
    <row r="148" spans="53:60" x14ac:dyDescent="0.25">
      <c r="BA148" s="93">
        <v>133</v>
      </c>
      <c r="BB148" s="357" t="str">
        <f t="shared" si="65"/>
        <v/>
      </c>
      <c r="BC148" s="357" t="str">
        <f t="shared" si="66"/>
        <v/>
      </c>
      <c r="BD148" s="357" t="str">
        <f t="shared" si="67"/>
        <v/>
      </c>
      <c r="BE148" s="357" t="str">
        <f t="shared" si="68"/>
        <v/>
      </c>
      <c r="BF148" s="357" t="str">
        <f t="shared" si="69"/>
        <v/>
      </c>
      <c r="BG148" s="357" t="str">
        <f t="shared" si="70"/>
        <v/>
      </c>
      <c r="BH148" s="95" t="s">
        <v>16</v>
      </c>
    </row>
    <row r="149" spans="53:60" x14ac:dyDescent="0.25">
      <c r="BA149" s="42">
        <v>134</v>
      </c>
      <c r="BB149" s="357" t="str">
        <f t="shared" si="65"/>
        <v/>
      </c>
      <c r="BC149" s="357" t="str">
        <f t="shared" si="66"/>
        <v/>
      </c>
      <c r="BD149" s="357" t="str">
        <f t="shared" si="67"/>
        <v/>
      </c>
      <c r="BE149" s="357" t="str">
        <f t="shared" si="68"/>
        <v/>
      </c>
      <c r="BF149" s="357" t="str">
        <f t="shared" si="69"/>
        <v/>
      </c>
      <c r="BG149" s="357" t="str">
        <f t="shared" si="70"/>
        <v/>
      </c>
      <c r="BH149" s="95" t="s">
        <v>16</v>
      </c>
    </row>
    <row r="150" spans="53:60" x14ac:dyDescent="0.25">
      <c r="BA150" s="93">
        <v>135</v>
      </c>
      <c r="BB150" s="357" t="str">
        <f t="shared" si="65"/>
        <v/>
      </c>
      <c r="BC150" s="357" t="str">
        <f t="shared" si="66"/>
        <v/>
      </c>
      <c r="BD150" s="357" t="str">
        <f t="shared" si="67"/>
        <v/>
      </c>
      <c r="BE150" s="357" t="str">
        <f t="shared" si="68"/>
        <v/>
      </c>
      <c r="BF150" s="357" t="str">
        <f t="shared" si="69"/>
        <v/>
      </c>
      <c r="BG150" s="357" t="str">
        <f t="shared" si="70"/>
        <v/>
      </c>
      <c r="BH150" s="95" t="s">
        <v>16</v>
      </c>
    </row>
    <row r="151" spans="53:60" x14ac:dyDescent="0.25">
      <c r="BA151" s="42">
        <v>136</v>
      </c>
      <c r="BB151" s="357" t="str">
        <f t="shared" si="65"/>
        <v/>
      </c>
      <c r="BC151" s="357" t="str">
        <f t="shared" si="66"/>
        <v/>
      </c>
      <c r="BD151" s="357" t="str">
        <f t="shared" si="67"/>
        <v/>
      </c>
      <c r="BE151" s="357" t="str">
        <f t="shared" si="68"/>
        <v/>
      </c>
      <c r="BF151" s="357" t="str">
        <f t="shared" si="69"/>
        <v/>
      </c>
      <c r="BG151" s="357" t="str">
        <f t="shared" si="70"/>
        <v/>
      </c>
      <c r="BH151" s="95" t="s">
        <v>16</v>
      </c>
    </row>
    <row r="152" spans="53:60" x14ac:dyDescent="0.25">
      <c r="BA152" s="93">
        <v>137</v>
      </c>
      <c r="BB152" s="357" t="str">
        <f t="shared" si="65"/>
        <v/>
      </c>
      <c r="BC152" s="357" t="str">
        <f t="shared" si="66"/>
        <v/>
      </c>
      <c r="BD152" s="357" t="str">
        <f t="shared" si="67"/>
        <v/>
      </c>
      <c r="BE152" s="357" t="str">
        <f t="shared" si="68"/>
        <v/>
      </c>
      <c r="BF152" s="357" t="str">
        <f t="shared" si="69"/>
        <v/>
      </c>
      <c r="BG152" s="357" t="str">
        <f t="shared" si="70"/>
        <v/>
      </c>
      <c r="BH152" s="95" t="s">
        <v>16</v>
      </c>
    </row>
    <row r="153" spans="53:60" x14ac:dyDescent="0.25">
      <c r="BA153" s="42">
        <v>138</v>
      </c>
      <c r="BB153" s="357" t="str">
        <f t="shared" si="65"/>
        <v/>
      </c>
      <c r="BC153" s="357" t="str">
        <f t="shared" si="66"/>
        <v/>
      </c>
      <c r="BD153" s="357" t="str">
        <f t="shared" si="67"/>
        <v/>
      </c>
      <c r="BE153" s="357" t="str">
        <f t="shared" si="68"/>
        <v/>
      </c>
      <c r="BF153" s="357" t="str">
        <f t="shared" si="69"/>
        <v/>
      </c>
      <c r="BG153" s="357" t="str">
        <f t="shared" si="70"/>
        <v/>
      </c>
      <c r="BH153" s="95" t="s">
        <v>16</v>
      </c>
    </row>
    <row r="154" spans="53:60" x14ac:dyDescent="0.25">
      <c r="BA154" s="93">
        <v>139</v>
      </c>
      <c r="BB154" s="357" t="str">
        <f t="shared" si="65"/>
        <v/>
      </c>
      <c r="BC154" s="357" t="str">
        <f t="shared" si="66"/>
        <v/>
      </c>
      <c r="BD154" s="357" t="str">
        <f t="shared" si="67"/>
        <v/>
      </c>
      <c r="BE154" s="357" t="str">
        <f t="shared" si="68"/>
        <v/>
      </c>
      <c r="BF154" s="357" t="str">
        <f t="shared" si="69"/>
        <v/>
      </c>
      <c r="BG154" s="357" t="str">
        <f t="shared" si="70"/>
        <v/>
      </c>
      <c r="BH154" s="95" t="s">
        <v>16</v>
      </c>
    </row>
    <row r="155" spans="53:60" x14ac:dyDescent="0.25">
      <c r="BA155" s="42">
        <v>140</v>
      </c>
      <c r="BB155" s="357" t="str">
        <f t="shared" si="65"/>
        <v/>
      </c>
      <c r="BC155" s="357" t="str">
        <f t="shared" si="66"/>
        <v/>
      </c>
      <c r="BD155" s="357" t="str">
        <f t="shared" si="67"/>
        <v/>
      </c>
      <c r="BE155" s="357" t="str">
        <f t="shared" si="68"/>
        <v/>
      </c>
      <c r="BF155" s="357" t="str">
        <f t="shared" si="69"/>
        <v/>
      </c>
      <c r="BG155" s="357" t="str">
        <f t="shared" si="70"/>
        <v/>
      </c>
      <c r="BH155" s="95" t="s">
        <v>16</v>
      </c>
    </row>
    <row r="156" spans="53:60" x14ac:dyDescent="0.25">
      <c r="BA156" s="93">
        <v>141</v>
      </c>
      <c r="BB156" s="357" t="str">
        <f t="shared" si="65"/>
        <v/>
      </c>
      <c r="BC156" s="357" t="str">
        <f t="shared" si="66"/>
        <v/>
      </c>
      <c r="BD156" s="357" t="str">
        <f t="shared" si="67"/>
        <v/>
      </c>
      <c r="BE156" s="357" t="str">
        <f t="shared" si="68"/>
        <v/>
      </c>
      <c r="BF156" s="357" t="str">
        <f t="shared" si="69"/>
        <v/>
      </c>
      <c r="BG156" s="357" t="str">
        <f t="shared" si="70"/>
        <v/>
      </c>
      <c r="BH156" s="95" t="s">
        <v>16</v>
      </c>
    </row>
    <row r="157" spans="53:60" x14ac:dyDescent="0.25">
      <c r="BA157" s="42">
        <v>142</v>
      </c>
      <c r="BB157" s="357" t="str">
        <f t="shared" si="65"/>
        <v/>
      </c>
      <c r="BC157" s="357" t="str">
        <f t="shared" si="66"/>
        <v/>
      </c>
      <c r="BD157" s="357" t="str">
        <f t="shared" si="67"/>
        <v/>
      </c>
      <c r="BE157" s="357" t="str">
        <f t="shared" si="68"/>
        <v/>
      </c>
      <c r="BF157" s="357" t="str">
        <f t="shared" si="69"/>
        <v/>
      </c>
      <c r="BG157" s="357" t="str">
        <f t="shared" si="70"/>
        <v/>
      </c>
      <c r="BH157" s="95" t="s">
        <v>16</v>
      </c>
    </row>
    <row r="158" spans="53:60" x14ac:dyDescent="0.25">
      <c r="BA158" s="93">
        <v>143</v>
      </c>
      <c r="BB158" s="357" t="str">
        <f t="shared" si="65"/>
        <v/>
      </c>
      <c r="BC158" s="357" t="str">
        <f t="shared" si="66"/>
        <v/>
      </c>
      <c r="BD158" s="357" t="str">
        <f t="shared" si="67"/>
        <v/>
      </c>
      <c r="BE158" s="357" t="str">
        <f t="shared" si="68"/>
        <v/>
      </c>
      <c r="BF158" s="357" t="str">
        <f t="shared" si="69"/>
        <v/>
      </c>
      <c r="BG158" s="357" t="str">
        <f t="shared" si="70"/>
        <v/>
      </c>
      <c r="BH158" s="95" t="s">
        <v>16</v>
      </c>
    </row>
    <row r="159" spans="53:60" x14ac:dyDescent="0.25">
      <c r="BA159" s="42">
        <v>144</v>
      </c>
      <c r="BB159" s="357" t="str">
        <f t="shared" si="65"/>
        <v/>
      </c>
      <c r="BC159" s="357" t="str">
        <f t="shared" si="66"/>
        <v/>
      </c>
      <c r="BD159" s="357" t="str">
        <f t="shared" si="67"/>
        <v/>
      </c>
      <c r="BE159" s="357" t="str">
        <f t="shared" si="68"/>
        <v/>
      </c>
      <c r="BF159" s="357" t="str">
        <f t="shared" si="69"/>
        <v/>
      </c>
      <c r="BG159" s="357" t="str">
        <f t="shared" si="70"/>
        <v/>
      </c>
      <c r="BH159" s="95" t="s">
        <v>16</v>
      </c>
    </row>
    <row r="160" spans="53:60" x14ac:dyDescent="0.25">
      <c r="BA160" s="93">
        <v>145</v>
      </c>
      <c r="BB160" s="357" t="str">
        <f t="shared" si="65"/>
        <v/>
      </c>
      <c r="BC160" s="357" t="str">
        <f t="shared" si="66"/>
        <v/>
      </c>
      <c r="BD160" s="357" t="str">
        <f t="shared" si="67"/>
        <v/>
      </c>
      <c r="BE160" s="357" t="str">
        <f t="shared" si="68"/>
        <v/>
      </c>
      <c r="BF160" s="357" t="str">
        <f t="shared" si="69"/>
        <v/>
      </c>
      <c r="BG160" s="357" t="str">
        <f t="shared" si="70"/>
        <v/>
      </c>
      <c r="BH160" s="95" t="s">
        <v>16</v>
      </c>
    </row>
    <row r="161" spans="53:60" x14ac:dyDescent="0.25">
      <c r="BA161" s="42">
        <v>146</v>
      </c>
      <c r="BB161" s="357" t="str">
        <f t="shared" si="65"/>
        <v/>
      </c>
      <c r="BC161" s="357" t="str">
        <f t="shared" si="66"/>
        <v/>
      </c>
      <c r="BD161" s="357" t="str">
        <f t="shared" si="67"/>
        <v/>
      </c>
      <c r="BE161" s="357" t="str">
        <f t="shared" si="68"/>
        <v/>
      </c>
      <c r="BF161" s="357" t="str">
        <f t="shared" si="69"/>
        <v/>
      </c>
      <c r="BG161" s="357" t="str">
        <f t="shared" si="70"/>
        <v/>
      </c>
      <c r="BH161" s="95" t="s">
        <v>16</v>
      </c>
    </row>
    <row r="162" spans="53:60" x14ac:dyDescent="0.25">
      <c r="BA162" s="93">
        <v>147</v>
      </c>
      <c r="BB162" s="357" t="str">
        <f t="shared" si="65"/>
        <v/>
      </c>
      <c r="BC162" s="357" t="str">
        <f t="shared" si="66"/>
        <v/>
      </c>
      <c r="BD162" s="357" t="str">
        <f t="shared" si="67"/>
        <v/>
      </c>
      <c r="BE162" s="357" t="str">
        <f t="shared" si="68"/>
        <v/>
      </c>
      <c r="BF162" s="357" t="str">
        <f t="shared" si="69"/>
        <v/>
      </c>
      <c r="BG162" s="357" t="str">
        <f t="shared" si="70"/>
        <v/>
      </c>
      <c r="BH162" s="95" t="s">
        <v>16</v>
      </c>
    </row>
    <row r="163" spans="53:60" x14ac:dyDescent="0.25">
      <c r="BA163" s="42">
        <v>148</v>
      </c>
      <c r="BB163" s="357" t="str">
        <f t="shared" si="65"/>
        <v/>
      </c>
      <c r="BC163" s="357" t="str">
        <f t="shared" si="66"/>
        <v/>
      </c>
      <c r="BD163" s="357" t="str">
        <f t="shared" si="67"/>
        <v/>
      </c>
      <c r="BE163" s="357" t="str">
        <f t="shared" si="68"/>
        <v/>
      </c>
      <c r="BF163" s="357" t="str">
        <f t="shared" si="69"/>
        <v/>
      </c>
      <c r="BG163" s="357" t="str">
        <f t="shared" si="70"/>
        <v/>
      </c>
      <c r="BH163" s="95" t="s">
        <v>16</v>
      </c>
    </row>
    <row r="164" spans="53:60" x14ac:dyDescent="0.25">
      <c r="BA164" s="93">
        <v>149</v>
      </c>
      <c r="BB164" s="357" t="str">
        <f t="shared" si="65"/>
        <v/>
      </c>
      <c r="BC164" s="357" t="str">
        <f t="shared" si="66"/>
        <v/>
      </c>
      <c r="BD164" s="357" t="str">
        <f t="shared" si="67"/>
        <v/>
      </c>
      <c r="BE164" s="357" t="str">
        <f t="shared" si="68"/>
        <v/>
      </c>
      <c r="BF164" s="357" t="str">
        <f t="shared" si="69"/>
        <v/>
      </c>
      <c r="BG164" s="357" t="str">
        <f t="shared" si="70"/>
        <v/>
      </c>
      <c r="BH164" s="95" t="s">
        <v>16</v>
      </c>
    </row>
    <row r="165" spans="53:60" x14ac:dyDescent="0.25">
      <c r="BA165" s="42">
        <v>150</v>
      </c>
      <c r="BB165" s="357" t="str">
        <f t="shared" si="65"/>
        <v/>
      </c>
      <c r="BC165" s="357" t="str">
        <f t="shared" si="66"/>
        <v/>
      </c>
      <c r="BD165" s="357" t="str">
        <f t="shared" si="67"/>
        <v/>
      </c>
      <c r="BE165" s="357" t="str">
        <f t="shared" si="68"/>
        <v/>
      </c>
      <c r="BF165" s="357" t="str">
        <f t="shared" si="69"/>
        <v/>
      </c>
      <c r="BG165" s="357" t="str">
        <f t="shared" si="70"/>
        <v/>
      </c>
      <c r="BH165" s="95" t="s">
        <v>16</v>
      </c>
    </row>
  </sheetData>
  <sheetProtection sheet="1" objects="1" scenarios="1" selectLockedCells="1"/>
  <mergeCells count="17">
    <mergeCell ref="B19:E19"/>
    <mergeCell ref="B20:E20"/>
    <mergeCell ref="AG9:AG13"/>
    <mergeCell ref="B24:E25"/>
    <mergeCell ref="B47:F48"/>
    <mergeCell ref="D9:F9"/>
    <mergeCell ref="B13:C13"/>
    <mergeCell ref="B28:E31"/>
    <mergeCell ref="B33:E36"/>
    <mergeCell ref="H15:L15"/>
    <mergeCell ref="N15:R15"/>
    <mergeCell ref="D7:F7"/>
    <mergeCell ref="D1:F1"/>
    <mergeCell ref="H1:L1"/>
    <mergeCell ref="D3:F3"/>
    <mergeCell ref="H3:L3"/>
    <mergeCell ref="D5:F5"/>
  </mergeCells>
  <conditionalFormatting sqref="J16:J65">
    <cfRule type="expression" dxfId="211" priority="9">
      <formula>AND($I16&lt;&gt;"",$J16="")</formula>
    </cfRule>
    <cfRule type="expression" dxfId="210" priority="10">
      <formula>AND($I16&lt;&gt;"",$J16&lt;&gt;"")</formula>
    </cfRule>
  </conditionalFormatting>
  <conditionalFormatting sqref="J16:L65">
    <cfRule type="expression" dxfId="209" priority="6">
      <formula>$I16=""</formula>
    </cfRule>
  </conditionalFormatting>
  <conditionalFormatting sqref="K16:K65">
    <cfRule type="expression" dxfId="208" priority="7">
      <formula>AND($I16&lt;&gt;"",$K16="")</formula>
    </cfRule>
    <cfRule type="expression" dxfId="207" priority="8">
      <formula>AND($I16&lt;&gt;"",$K16&lt;&gt;"")</formula>
    </cfRule>
  </conditionalFormatting>
  <conditionalFormatting sqref="P16:P65">
    <cfRule type="expression" dxfId="206" priority="4">
      <formula>AND($O16&lt;&gt;"",$P16="")</formula>
    </cfRule>
    <cfRule type="expression" dxfId="205" priority="5">
      <formula>AND($O16&lt;&gt;"",$P16&lt;&gt;"")</formula>
    </cfRule>
  </conditionalFormatting>
  <conditionalFormatting sqref="P16:R65">
    <cfRule type="expression" dxfId="204" priority="3">
      <formula>$O16=""</formula>
    </cfRule>
  </conditionalFormatting>
  <conditionalFormatting sqref="Q16:Q65">
    <cfRule type="expression" dxfId="203" priority="1">
      <formula>AND($O16&lt;&gt;"",$Q16="")</formula>
    </cfRule>
    <cfRule type="expression" dxfId="202" priority="2">
      <formula>AND($O16&lt;&gt;"",$Q16&lt;&gt;"")</formula>
    </cfRule>
  </conditionalFormatting>
  <dataValidations count="3">
    <dataValidation type="list" allowBlank="1" showInputMessage="1" showErrorMessage="1" sqref="P16:P65" xr:uid="{00000000-0002-0000-0B00-000000000000}">
      <formula1>nontradable</formula1>
    </dataValidation>
    <dataValidation type="list" allowBlank="1" showInputMessage="1" showErrorMessage="1" sqref="J16:J65" xr:uid="{00000000-0002-0000-0B00-000001000000}">
      <formula1>Tradable</formula1>
    </dataValidation>
    <dataValidation type="list" allowBlank="1" showInputMessage="1" showErrorMessage="1" sqref="K7" xr:uid="{00000000-0002-0000-0B00-000002000000}">
      <formula1>"Select,LZ0,LZ1,LZ2,LZ3,LZ4"</formula1>
    </dataValidation>
  </dataValidations>
  <hyperlinks>
    <hyperlink ref="N1" location="'Room Schedule'!A7" display="Top of Page" xr:uid="{00000000-0004-0000-0B00-000000000000}"/>
  </hyperlinks>
  <pageMargins left="0.7" right="0.7" top="0.75" bottom="0.75" header="0.3" footer="0.3"/>
  <pageSetup scale="63"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4">
    <tabColor theme="5" tint="-0.249977111117893"/>
    <pageSetUpPr fitToPage="1"/>
  </sheetPr>
  <dimension ref="A1:AY104"/>
  <sheetViews>
    <sheetView showGridLines="0" showRowColHeaders="0" workbookViewId="0">
      <pane xSplit="6" ySplit="24" topLeftCell="G25" activePane="bottomRight" state="frozen"/>
      <selection pane="topRight" activeCell="G1" sqref="G1"/>
      <selection pane="bottomLeft" activeCell="A25" sqref="A25"/>
      <selection pane="bottomRight" activeCell="Z36" sqref="Z36"/>
    </sheetView>
  </sheetViews>
  <sheetFormatPr defaultColWidth="9.1796875" defaultRowHeight="12.5" x14ac:dyDescent="0.25"/>
  <cols>
    <col min="1" max="1" width="2.54296875" style="42" customWidth="1"/>
    <col min="2" max="5" width="10.54296875" style="42" customWidth="1"/>
    <col min="6" max="7" width="2.54296875" style="42" customWidth="1"/>
    <col min="8" max="8" width="26.54296875" style="42" hidden="1" customWidth="1"/>
    <col min="9" max="9" width="25.54296875" style="42" customWidth="1"/>
    <col min="10" max="12" width="10.54296875" style="42" customWidth="1"/>
    <col min="13" max="13" width="10.7265625" style="42" customWidth="1"/>
    <col min="14" max="14" width="0.81640625" style="42" customWidth="1"/>
    <col min="15" max="15" width="13.54296875" style="42" customWidth="1"/>
    <col min="16" max="16" width="0.81640625" style="42" customWidth="1"/>
    <col min="17" max="17" width="5.26953125" style="42" customWidth="1"/>
    <col min="18" max="18" width="6.54296875" style="42" customWidth="1"/>
    <col min="19" max="19" width="5.26953125" style="42" customWidth="1"/>
    <col min="20" max="20" width="6.54296875" style="42" customWidth="1"/>
    <col min="21" max="21" width="5.26953125" style="42" customWidth="1"/>
    <col min="22" max="22" width="6.54296875" style="42" customWidth="1"/>
    <col min="23" max="23" width="5.26953125" style="42" customWidth="1"/>
    <col min="24" max="24" width="6.54296875" style="42" customWidth="1"/>
    <col min="25" max="25" width="5.26953125" style="42" customWidth="1"/>
    <col min="26" max="26" width="6.54296875" style="42" customWidth="1"/>
    <col min="27" max="27" width="0.81640625" style="42" customWidth="1"/>
    <col min="28" max="29" width="11.54296875" style="42" customWidth="1"/>
    <col min="30" max="33" width="5.54296875" style="42" hidden="1" customWidth="1"/>
    <col min="34" max="34" width="0.81640625" style="42" hidden="1" customWidth="1"/>
    <col min="35" max="39" width="5.54296875" style="42" hidden="1" customWidth="1"/>
    <col min="40" max="40" width="0.81640625" style="42" hidden="1" customWidth="1"/>
    <col min="41" max="41" width="5.54296875" style="42" hidden="1" customWidth="1"/>
    <col min="42" max="42" width="11.54296875" style="42" hidden="1" customWidth="1"/>
    <col min="43" max="43" width="13.26953125" style="42" hidden="1" customWidth="1"/>
    <col min="44" max="44" width="20.54296875" style="42" hidden="1" customWidth="1"/>
    <col min="45" max="45" width="55.26953125" style="42" hidden="1" customWidth="1"/>
    <col min="46" max="49" width="9.1796875" style="42" hidden="1" customWidth="1"/>
    <col min="50" max="16384" width="9.1796875" style="42"/>
  </cols>
  <sheetData>
    <row r="1" spans="2:51" ht="17.149999999999999" customHeight="1" x14ac:dyDescent="0.3">
      <c r="D1" s="1498" t="s">
        <v>0</v>
      </c>
      <c r="E1" s="1498"/>
      <c r="F1" s="1498"/>
      <c r="G1" s="316"/>
      <c r="H1" s="743"/>
      <c r="I1" s="1472" t="str">
        <f>'Main Compliance Page'!K1</f>
        <v>ASHRAE/IES 90.1-2019 Lighting Compliance Documentation (v4.0)</v>
      </c>
      <c r="J1" s="1472"/>
      <c r="K1" s="1472"/>
      <c r="L1" s="1472"/>
      <c r="M1" s="1472"/>
      <c r="N1" s="744"/>
      <c r="O1" s="143"/>
      <c r="P1" s="143"/>
      <c r="Q1" s="143"/>
      <c r="R1" s="143"/>
      <c r="S1" s="143"/>
      <c r="T1" s="117"/>
      <c r="U1" s="94"/>
    </row>
    <row r="2" spans="2:51" ht="5.15" customHeight="1" x14ac:dyDescent="0.3">
      <c r="D2" s="743"/>
      <c r="E2" s="743"/>
      <c r="F2" s="743"/>
      <c r="G2" s="743"/>
      <c r="H2" s="743"/>
      <c r="I2" s="744"/>
      <c r="J2" s="744"/>
      <c r="K2" s="744"/>
      <c r="L2" s="744"/>
      <c r="M2" s="744"/>
      <c r="N2" s="744"/>
      <c r="O2" s="143"/>
      <c r="P2" s="143"/>
      <c r="Q2" s="143"/>
      <c r="R2" s="143"/>
      <c r="S2" s="143"/>
      <c r="T2" s="117"/>
      <c r="U2" s="94"/>
    </row>
    <row r="3" spans="2:51" ht="15" customHeight="1" x14ac:dyDescent="0.3">
      <c r="G3" s="118"/>
      <c r="H3" s="118"/>
      <c r="I3" s="1472" t="s">
        <v>1109</v>
      </c>
      <c r="J3" s="1472"/>
      <c r="K3" s="1472"/>
      <c r="L3" s="1472"/>
      <c r="M3" s="1472"/>
      <c r="N3" s="744"/>
      <c r="O3" s="73"/>
      <c r="P3" s="73"/>
      <c r="Q3" s="360"/>
      <c r="R3" s="360"/>
      <c r="S3" s="360"/>
      <c r="T3" s="74"/>
      <c r="Z3" s="308" t="s">
        <v>189</v>
      </c>
      <c r="AA3" s="308"/>
      <c r="AB3" s="366" t="str">
        <f>IF(AG46=0,"Not Used",IF(AND(M7="Compliant",_Exterior_Tradable_Compliant="Compliant"),"Compliant","Not Compliant"))</f>
        <v>Not Used</v>
      </c>
      <c r="AG3" s="74"/>
      <c r="AH3" s="74"/>
      <c r="AI3" s="74"/>
    </row>
    <row r="4" spans="2:51" ht="5.15" customHeight="1" x14ac:dyDescent="0.3">
      <c r="G4" s="118"/>
      <c r="H4" s="118"/>
      <c r="I4" s="744"/>
      <c r="J4" s="744"/>
      <c r="K4" s="744"/>
      <c r="L4" s="744"/>
      <c r="M4" s="744"/>
      <c r="N4" s="744"/>
      <c r="O4" s="73"/>
      <c r="P4" s="73"/>
      <c r="Q4" s="360"/>
      <c r="R4" s="360"/>
      <c r="S4" s="360"/>
      <c r="T4" s="74"/>
      <c r="AG4" s="74"/>
      <c r="AH4" s="74"/>
      <c r="AI4" s="74"/>
    </row>
    <row r="5" spans="2:51" ht="15" customHeight="1" x14ac:dyDescent="0.25">
      <c r="G5" s="118"/>
      <c r="H5" s="118"/>
      <c r="I5" s="118"/>
      <c r="J5" s="118"/>
      <c r="K5" s="73"/>
      <c r="L5" s="73"/>
      <c r="M5" s="73"/>
      <c r="N5" s="73"/>
      <c r="O5" s="90"/>
      <c r="P5" s="90"/>
      <c r="Q5" s="365"/>
      <c r="R5" s="365"/>
      <c r="S5" s="365"/>
      <c r="T5" s="74"/>
      <c r="Z5" s="308" t="s">
        <v>190</v>
      </c>
      <c r="AA5" s="308"/>
      <c r="AB5" s="366" t="str">
        <f>'Ext Nontradable'!AH5</f>
        <v>Not Used</v>
      </c>
      <c r="AG5" s="74"/>
      <c r="AH5" s="74"/>
      <c r="AI5" s="74"/>
    </row>
    <row r="6" spans="2:51" ht="5.15" customHeight="1" x14ac:dyDescent="0.25">
      <c r="G6" s="118"/>
      <c r="H6" s="118"/>
      <c r="I6" s="118"/>
      <c r="J6" s="118"/>
      <c r="K6" s="73"/>
      <c r="L6" s="73"/>
      <c r="M6" s="73"/>
      <c r="N6" s="73"/>
      <c r="O6" s="90"/>
      <c r="P6" s="90"/>
      <c r="Q6" s="365"/>
      <c r="R6" s="365"/>
      <c r="S6" s="365"/>
      <c r="T6" s="74"/>
      <c r="AG6" s="74"/>
      <c r="AH6" s="74"/>
      <c r="AI6" s="74"/>
    </row>
    <row r="7" spans="2:51" ht="15" customHeight="1" x14ac:dyDescent="0.25">
      <c r="G7" s="118"/>
      <c r="H7" s="118"/>
      <c r="L7" s="864" t="s">
        <v>1095</v>
      </c>
      <c r="M7" s="366" t="str">
        <f>IF(OR(M13&lt;0,M13="OVER"),"Not Compliant","Compliant")</f>
        <v>Compliant</v>
      </c>
      <c r="N7" s="73"/>
      <c r="P7" s="73"/>
      <c r="Q7" s="360"/>
      <c r="R7" s="360"/>
      <c r="S7" s="360"/>
      <c r="T7" s="74"/>
      <c r="AF7" s="74"/>
      <c r="AG7" s="74"/>
      <c r="AH7" s="74"/>
    </row>
    <row r="8" spans="2:51" ht="5.15" customHeight="1" x14ac:dyDescent="0.25">
      <c r="G8" s="118"/>
      <c r="H8" s="118"/>
      <c r="I8" s="118"/>
      <c r="J8" s="73"/>
      <c r="K8" s="73"/>
      <c r="L8" s="864"/>
      <c r="M8" s="213"/>
      <c r="N8" s="73"/>
      <c r="O8" s="73"/>
      <c r="P8" s="73"/>
      <c r="Q8" s="360"/>
      <c r="R8" s="360"/>
      <c r="S8" s="360"/>
      <c r="T8" s="74"/>
      <c r="AF8" s="74"/>
      <c r="AG8" s="74"/>
      <c r="AH8" s="74"/>
    </row>
    <row r="9" spans="2:51" ht="15" customHeight="1" x14ac:dyDescent="0.25">
      <c r="G9" s="118"/>
      <c r="H9" s="118"/>
      <c r="I9" s="118"/>
      <c r="J9" s="864" t="s">
        <v>1092</v>
      </c>
      <c r="K9" s="893">
        <f>AE46</f>
        <v>0</v>
      </c>
      <c r="L9" s="864" t="s">
        <v>636</v>
      </c>
      <c r="M9" s="893">
        <f>_Exterior_Base_Allowance</f>
        <v>0</v>
      </c>
      <c r="N9" s="73"/>
      <c r="O9" s="90"/>
      <c r="P9" s="90"/>
      <c r="S9" s="365"/>
      <c r="X9" s="308"/>
      <c r="AF9" s="43"/>
      <c r="AG9" s="43"/>
      <c r="AH9" s="43"/>
    </row>
    <row r="10" spans="2:51" ht="5.15" customHeight="1" x14ac:dyDescent="0.25">
      <c r="G10" s="118"/>
      <c r="H10" s="118"/>
      <c r="I10" s="118"/>
      <c r="J10" s="73"/>
      <c r="K10" s="73"/>
      <c r="L10" s="865"/>
      <c r="M10" s="73"/>
      <c r="N10" s="73"/>
      <c r="O10" s="90"/>
      <c r="P10" s="90"/>
      <c r="Q10" s="308"/>
      <c r="S10" s="365"/>
      <c r="AF10" s="43"/>
      <c r="AG10" s="43"/>
      <c r="AH10" s="43"/>
    </row>
    <row r="11" spans="2:51" ht="15" customHeight="1" x14ac:dyDescent="0.25">
      <c r="G11" s="118"/>
      <c r="H11" s="118"/>
      <c r="I11" s="118"/>
      <c r="J11" s="864" t="s">
        <v>168</v>
      </c>
      <c r="K11" s="893">
        <f>IF(_Exterior_Tradable_Watts=0,0,'Ext Area Schedule'!AG14)</f>
        <v>0</v>
      </c>
      <c r="L11" s="864" t="s">
        <v>1093</v>
      </c>
      <c r="M11" s="893">
        <f>IF(K13&gt;=0,0,IF(-K13&gt;M9,"OVER",-K13))</f>
        <v>0</v>
      </c>
      <c r="N11" s="73"/>
      <c r="O11" s="73"/>
      <c r="P11" s="73"/>
      <c r="S11" s="360"/>
      <c r="T11" s="74"/>
      <c r="X11" s="308"/>
      <c r="AG11" s="74"/>
      <c r="AH11" s="74"/>
      <c r="AI11" s="74"/>
    </row>
    <row r="12" spans="2:51" ht="5.15" customHeight="1" x14ac:dyDescent="0.25">
      <c r="G12" s="118"/>
      <c r="H12" s="118"/>
      <c r="I12" s="118"/>
      <c r="J12" s="118"/>
      <c r="K12" s="73"/>
      <c r="L12" s="73"/>
      <c r="M12" s="73"/>
      <c r="N12" s="73"/>
      <c r="O12" s="73"/>
      <c r="P12" s="73"/>
      <c r="Q12" s="308"/>
      <c r="R12" s="503"/>
      <c r="S12" s="360"/>
      <c r="T12" s="74"/>
      <c r="AG12" s="74"/>
      <c r="AH12" s="74"/>
      <c r="AI12" s="74"/>
    </row>
    <row r="13" spans="2:51" ht="15" customHeight="1" x14ac:dyDescent="0.25">
      <c r="B13" s="1561" t="str">
        <f>CONCATENATE("90.1-",Compliance_Version_Year)</f>
        <v>90.1-2019</v>
      </c>
      <c r="C13" s="1561"/>
      <c r="G13" s="118"/>
      <c r="H13" s="118"/>
      <c r="I13" s="118"/>
      <c r="J13" s="864" t="s">
        <v>1198</v>
      </c>
      <c r="K13" s="893">
        <f>K11-_Exterior_Tradable_Watts</f>
        <v>0</v>
      </c>
      <c r="L13" s="864" t="s">
        <v>1094</v>
      </c>
      <c r="M13" s="893">
        <f>IF(M11="OVER","OVER",M9-M11)</f>
        <v>0</v>
      </c>
      <c r="N13" s="796"/>
      <c r="O13" s="121" t="b">
        <f>IF(_Step2_AlterationsYesNo="Yes",TRUE,FALSE)</f>
        <v>0</v>
      </c>
      <c r="P13" s="121"/>
      <c r="Q13" s="1756" t="str">
        <f>IF(AG46=0,"",IF($AG46=AI46,"Complete","Incomplete"))</f>
        <v/>
      </c>
      <c r="R13" s="1756"/>
      <c r="S13" s="1756" t="str">
        <f>IF(AG46=0,"",IF($AG46=AJ46,"Complete","Incomplete"))</f>
        <v/>
      </c>
      <c r="T13" s="1756"/>
      <c r="U13" s="1756" t="str">
        <f>IF(AG46=0,"",IF($AG46=AK46,"Complete","Incomplete"))</f>
        <v/>
      </c>
      <c r="V13" s="1756"/>
      <c r="W13" s="1756" t="str">
        <f>IF(AG46=0,"",IF($AG46=AL46,"Complete","Incomplete"))</f>
        <v/>
      </c>
      <c r="X13" s="1756"/>
      <c r="Y13" s="1756" t="str">
        <f>IF(AG46=0,"",IF($AG46=AM46,"Complete","Incomplete"))</f>
        <v/>
      </c>
      <c r="Z13" s="1756"/>
      <c r="AA13" s="503"/>
      <c r="AB13" s="894" t="str">
        <f>IF(AG46=0,"",IFERROR(IF(SUM(AO26:AO45)/AG46=5,"Compliant","Not Compliant"),"Compliant"))</f>
        <v/>
      </c>
      <c r="AN13" s="63"/>
      <c r="AQ13" s="74"/>
      <c r="AR13" s="74"/>
    </row>
    <row r="14" spans="2:51" ht="5.15" customHeight="1" thickBot="1" x14ac:dyDescent="0.35">
      <c r="B14" s="1420"/>
      <c r="C14" s="1420"/>
      <c r="D14" s="121"/>
      <c r="E14" s="121"/>
      <c r="F14" s="121"/>
      <c r="G14" s="285"/>
      <c r="H14" s="285"/>
      <c r="I14" s="339"/>
      <c r="J14" s="121"/>
      <c r="K14" s="121"/>
      <c r="L14" s="121"/>
      <c r="M14" s="121"/>
      <c r="N14" s="121"/>
      <c r="O14" s="121"/>
      <c r="P14" s="121"/>
      <c r="Q14" s="121"/>
      <c r="R14" s="121"/>
      <c r="S14" s="121"/>
      <c r="T14" s="121"/>
      <c r="U14" s="121"/>
      <c r="V14" s="121"/>
      <c r="W14" s="121"/>
      <c r="X14" s="121"/>
      <c r="Y14" s="121"/>
      <c r="Z14" s="121"/>
      <c r="AA14" s="121"/>
      <c r="AN14" s="63"/>
      <c r="AW14" s="74"/>
      <c r="AX14" s="74"/>
      <c r="AY14" s="74"/>
    </row>
    <row r="15" spans="2:51" ht="25.15" customHeight="1" x14ac:dyDescent="0.3">
      <c r="B15" s="1763" t="s">
        <v>1091</v>
      </c>
      <c r="C15" s="1764"/>
      <c r="D15" s="1764"/>
      <c r="E15" s="1764"/>
      <c r="F15" s="1764"/>
      <c r="G15" s="815"/>
      <c r="H15" s="789"/>
      <c r="I15" s="1757" t="s">
        <v>127</v>
      </c>
      <c r="J15" s="1759" t="s">
        <v>129</v>
      </c>
      <c r="K15" s="1759" t="s">
        <v>182</v>
      </c>
      <c r="L15" s="1759" t="s">
        <v>183</v>
      </c>
      <c r="M15" s="1768" t="s">
        <v>130</v>
      </c>
      <c r="N15" s="502"/>
      <c r="O15" s="811" t="str">
        <f>IF(O13=TRUE,"For Alterations Only.","Column not used.")</f>
        <v>Column not used.</v>
      </c>
      <c r="P15" s="502"/>
      <c r="Q15" s="1776" t="str">
        <f>'9.4.3 Tables'!J11</f>
        <v>9.4.1.4.a
Daylight hours  OFF</v>
      </c>
      <c r="R15" s="1777"/>
      <c r="S15" s="1770" t="str">
        <f>'9.4.3 Tables'!K11</f>
        <v>9.4.1.4.b
Façade automatic shutoff</v>
      </c>
      <c r="T15" s="1777"/>
      <c r="U15" s="1770" t="str">
        <f>'9.4.3 Tables'!L11</f>
        <v>9.4.1.4.c
50% reduction</v>
      </c>
      <c r="V15" s="1777"/>
      <c r="W15" s="1770" t="str">
        <f>'9.4.3 Tables'!M11</f>
        <v>9.4.1.4.d
Parking 50% reduction</v>
      </c>
      <c r="X15" s="1777"/>
      <c r="Y15" s="1770" t="str">
        <f>IF('9.4.3 Tables'!N11=0,"",'9.4.3 Tables'!N11)</f>
        <v>9.4.2
Controlled separately</v>
      </c>
      <c r="Z15" s="1606"/>
      <c r="AA15" s="502"/>
      <c r="AB15" s="1773" t="s">
        <v>191</v>
      </c>
      <c r="AC15" s="89"/>
      <c r="AD15" s="1767" t="s">
        <v>871</v>
      </c>
      <c r="AE15" s="1767" t="s">
        <v>1098</v>
      </c>
      <c r="AF15" s="89"/>
      <c r="AG15" s="1767" t="s">
        <v>1096</v>
      </c>
      <c r="AH15" s="797"/>
      <c r="AI15" s="1767" t="str">
        <f>Q15</f>
        <v>9.4.1.4.a
Daylight hours  OFF</v>
      </c>
      <c r="AJ15" s="1767" t="str">
        <f>S15</f>
        <v>9.4.1.4.b
Façade automatic shutoff</v>
      </c>
      <c r="AK15" s="1767" t="str">
        <f>U15</f>
        <v>9.4.1.4.c
50% reduction</v>
      </c>
      <c r="AL15" s="1767" t="str">
        <f>W15</f>
        <v>9.4.1.4.d
Parking 50% reduction</v>
      </c>
      <c r="AM15" s="1767" t="str">
        <f>Y15</f>
        <v>9.4.2
Controlled separately</v>
      </c>
      <c r="AN15" s="797"/>
      <c r="AO15" s="1767" t="s">
        <v>1097</v>
      </c>
    </row>
    <row r="16" spans="2:51" ht="5.15" customHeight="1" x14ac:dyDescent="0.3">
      <c r="B16" s="1765"/>
      <c r="C16" s="1766"/>
      <c r="D16" s="1766"/>
      <c r="E16" s="1766"/>
      <c r="F16" s="1766"/>
      <c r="G16" s="808"/>
      <c r="H16" s="789"/>
      <c r="I16" s="1758"/>
      <c r="J16" s="1760"/>
      <c r="K16" s="1760"/>
      <c r="L16" s="1760"/>
      <c r="M16" s="1769"/>
      <c r="N16" s="502"/>
      <c r="O16" s="819"/>
      <c r="P16" s="502"/>
      <c r="Q16" s="1778"/>
      <c r="R16" s="1779"/>
      <c r="S16" s="1771"/>
      <c r="T16" s="1779"/>
      <c r="U16" s="1771"/>
      <c r="V16" s="1779"/>
      <c r="W16" s="1771"/>
      <c r="X16" s="1779"/>
      <c r="Y16" s="1771"/>
      <c r="Z16" s="1772"/>
      <c r="AA16" s="502"/>
      <c r="AB16" s="1774"/>
      <c r="AC16" s="89"/>
      <c r="AD16" s="1767"/>
      <c r="AE16" s="1767"/>
      <c r="AF16" s="89"/>
      <c r="AG16" s="1767"/>
      <c r="AH16" s="797"/>
      <c r="AI16" s="1767"/>
      <c r="AJ16" s="1767"/>
      <c r="AK16" s="1767"/>
      <c r="AL16" s="1767"/>
      <c r="AM16" s="1767"/>
      <c r="AN16" s="797"/>
      <c r="AO16" s="1767"/>
    </row>
    <row r="17" spans="1:48" ht="15" customHeight="1" x14ac:dyDescent="0.3">
      <c r="B17" s="1765"/>
      <c r="C17" s="1766"/>
      <c r="D17" s="1766"/>
      <c r="E17" s="1766"/>
      <c r="F17" s="1766"/>
      <c r="G17" s="808"/>
      <c r="H17" s="789"/>
      <c r="I17" s="1758"/>
      <c r="J17" s="1760"/>
      <c r="K17" s="1760"/>
      <c r="L17" s="1760"/>
      <c r="M17" s="1769"/>
      <c r="N17" s="502"/>
      <c r="O17" s="819"/>
      <c r="P17" s="502"/>
      <c r="Q17" s="1778"/>
      <c r="R17" s="1779"/>
      <c r="S17" s="1771"/>
      <c r="T17" s="1779"/>
      <c r="U17" s="1771"/>
      <c r="V17" s="1779"/>
      <c r="W17" s="1771"/>
      <c r="X17" s="1779"/>
      <c r="Y17" s="1771"/>
      <c r="Z17" s="1772"/>
      <c r="AA17" s="502"/>
      <c r="AB17" s="1774"/>
      <c r="AC17" s="89"/>
      <c r="AD17" s="1767"/>
      <c r="AE17" s="1767"/>
      <c r="AF17" s="89"/>
      <c r="AG17" s="1767"/>
      <c r="AH17" s="797"/>
      <c r="AI17" s="1767"/>
      <c r="AJ17" s="1767"/>
      <c r="AK17" s="1767"/>
      <c r="AL17" s="1767"/>
      <c r="AM17" s="1767"/>
      <c r="AN17" s="797"/>
      <c r="AO17" s="1767"/>
    </row>
    <row r="18" spans="1:48" ht="5.15" customHeight="1" x14ac:dyDescent="0.3">
      <c r="B18" s="788"/>
      <c r="C18" s="789"/>
      <c r="D18" s="789"/>
      <c r="E18" s="789"/>
      <c r="F18" s="789"/>
      <c r="G18" s="805"/>
      <c r="H18" s="789"/>
      <c r="I18" s="1758"/>
      <c r="J18" s="1760"/>
      <c r="K18" s="1760"/>
      <c r="L18" s="1760"/>
      <c r="M18" s="1769"/>
      <c r="N18" s="502"/>
      <c r="O18" s="819"/>
      <c r="P18" s="502"/>
      <c r="Q18" s="1778"/>
      <c r="R18" s="1779"/>
      <c r="S18" s="1771"/>
      <c r="T18" s="1779"/>
      <c r="U18" s="1771"/>
      <c r="V18" s="1779"/>
      <c r="W18" s="1771"/>
      <c r="X18" s="1779"/>
      <c r="Y18" s="1771"/>
      <c r="Z18" s="1772"/>
      <c r="AA18" s="502"/>
      <c r="AB18" s="1774"/>
      <c r="AC18" s="89"/>
      <c r="AD18" s="1767"/>
      <c r="AE18" s="1767"/>
      <c r="AF18" s="89"/>
      <c r="AG18" s="1767"/>
      <c r="AH18" s="797"/>
      <c r="AI18" s="1767"/>
      <c r="AJ18" s="1767"/>
      <c r="AK18" s="1767"/>
      <c r="AL18" s="1767"/>
      <c r="AM18" s="1767"/>
      <c r="AN18" s="797"/>
      <c r="AO18" s="1767"/>
    </row>
    <row r="19" spans="1:48" ht="15" customHeight="1" x14ac:dyDescent="0.3">
      <c r="B19" s="806"/>
      <c r="C19" s="807"/>
      <c r="D19" s="807"/>
      <c r="E19" s="807"/>
      <c r="F19" s="807"/>
      <c r="G19" s="808"/>
      <c r="H19" s="789"/>
      <c r="I19" s="1758"/>
      <c r="J19" s="1760"/>
      <c r="K19" s="1760"/>
      <c r="L19" s="1760"/>
      <c r="M19" s="1769"/>
      <c r="N19" s="502"/>
      <c r="O19" s="1775" t="str">
        <f>IF(O13=TRUE," Select ""New"", ""Existing Remains"", or ""Existing Removed"""," Leave cells blank.")</f>
        <v xml:space="preserve"> Leave cells blank.</v>
      </c>
      <c r="P19" s="502"/>
      <c r="Q19" s="1778"/>
      <c r="R19" s="1779"/>
      <c r="S19" s="1771"/>
      <c r="T19" s="1779"/>
      <c r="U19" s="1771"/>
      <c r="V19" s="1779"/>
      <c r="W19" s="1771"/>
      <c r="X19" s="1779"/>
      <c r="Y19" s="1771"/>
      <c r="Z19" s="1772"/>
      <c r="AA19" s="502"/>
      <c r="AB19" s="1774"/>
      <c r="AC19" s="89"/>
      <c r="AD19" s="1767"/>
      <c r="AE19" s="1767"/>
      <c r="AF19" s="89"/>
      <c r="AG19" s="1767"/>
      <c r="AH19" s="797"/>
      <c r="AI19" s="1767"/>
      <c r="AJ19" s="1767"/>
      <c r="AK19" s="1767"/>
      <c r="AL19" s="1767"/>
      <c r="AM19" s="1767"/>
      <c r="AN19" s="797"/>
      <c r="AO19" s="1767"/>
    </row>
    <row r="20" spans="1:48" ht="5.15" customHeight="1" x14ac:dyDescent="0.3">
      <c r="B20" s="806"/>
      <c r="C20" s="807"/>
      <c r="D20" s="807"/>
      <c r="E20" s="807"/>
      <c r="F20" s="807"/>
      <c r="G20" s="808"/>
      <c r="H20" s="789"/>
      <c r="I20" s="823"/>
      <c r="J20" s="804"/>
      <c r="K20" s="804"/>
      <c r="L20" s="804"/>
      <c r="M20" s="862"/>
      <c r="N20" s="502"/>
      <c r="O20" s="1775"/>
      <c r="P20" s="502"/>
      <c r="Q20" s="820"/>
      <c r="R20" s="802"/>
      <c r="S20" s="803"/>
      <c r="T20" s="802"/>
      <c r="U20" s="803"/>
      <c r="V20" s="802"/>
      <c r="W20" s="803"/>
      <c r="X20" s="802"/>
      <c r="Y20" s="803"/>
      <c r="Z20" s="821"/>
      <c r="AA20" s="502"/>
      <c r="AB20" s="822"/>
      <c r="AC20" s="89"/>
      <c r="AD20" s="1767"/>
      <c r="AE20" s="1767"/>
      <c r="AF20" s="89"/>
      <c r="AG20" s="1767"/>
      <c r="AH20" s="797"/>
      <c r="AI20" s="1767"/>
      <c r="AJ20" s="1767"/>
      <c r="AK20" s="1767"/>
      <c r="AL20" s="1767"/>
      <c r="AM20" s="1767"/>
      <c r="AN20" s="797"/>
      <c r="AO20" s="1767"/>
    </row>
    <row r="21" spans="1:48" ht="15" customHeight="1" x14ac:dyDescent="0.3">
      <c r="B21" s="806"/>
      <c r="C21" s="807"/>
      <c r="D21" s="807"/>
      <c r="E21" s="807"/>
      <c r="F21" s="807"/>
      <c r="G21" s="808"/>
      <c r="H21" s="789"/>
      <c r="I21" s="823"/>
      <c r="J21" s="804"/>
      <c r="K21" s="804"/>
      <c r="L21" s="804"/>
      <c r="M21" s="862"/>
      <c r="N21" s="502"/>
      <c r="O21" s="1775"/>
      <c r="P21" s="502"/>
      <c r="Q21" s="820"/>
      <c r="R21" s="802"/>
      <c r="S21" s="803"/>
      <c r="T21" s="802"/>
      <c r="U21" s="803"/>
      <c r="V21" s="802"/>
      <c r="W21" s="803"/>
      <c r="X21" s="802"/>
      <c r="Y21" s="803"/>
      <c r="Z21" s="821"/>
      <c r="AA21" s="502"/>
      <c r="AB21" s="822"/>
      <c r="AC21" s="89"/>
      <c r="AD21" s="1767"/>
      <c r="AE21" s="1767"/>
      <c r="AF21" s="89"/>
      <c r="AG21" s="1767"/>
      <c r="AH21" s="797"/>
      <c r="AI21" s="1767"/>
      <c r="AJ21" s="1767"/>
      <c r="AK21" s="1767"/>
      <c r="AL21" s="1767"/>
      <c r="AM21" s="1767"/>
      <c r="AN21" s="797"/>
      <c r="AO21" s="1767"/>
    </row>
    <row r="22" spans="1:48" ht="5.15" customHeight="1" x14ac:dyDescent="0.3">
      <c r="B22" s="806"/>
      <c r="C22" s="807"/>
      <c r="D22" s="807"/>
      <c r="E22" s="807"/>
      <c r="F22" s="807"/>
      <c r="G22" s="808"/>
      <c r="H22" s="789"/>
      <c r="I22" s="823"/>
      <c r="J22" s="804"/>
      <c r="K22" s="804"/>
      <c r="L22" s="804"/>
      <c r="M22" s="862"/>
      <c r="N22" s="502"/>
      <c r="O22" s="1775"/>
      <c r="P22" s="502"/>
      <c r="Q22" s="820"/>
      <c r="R22" s="802"/>
      <c r="S22" s="803"/>
      <c r="T22" s="802"/>
      <c r="U22" s="803"/>
      <c r="V22" s="802"/>
      <c r="W22" s="803"/>
      <c r="X22" s="802"/>
      <c r="Y22" s="803"/>
      <c r="Z22" s="821"/>
      <c r="AA22" s="502"/>
      <c r="AB22" s="822"/>
      <c r="AC22" s="89"/>
      <c r="AD22" s="1767"/>
      <c r="AE22" s="1767"/>
      <c r="AF22" s="89"/>
      <c r="AG22" s="1767"/>
      <c r="AH22" s="797"/>
      <c r="AI22" s="1767"/>
      <c r="AJ22" s="1767"/>
      <c r="AK22" s="1767"/>
      <c r="AL22" s="1767"/>
      <c r="AM22" s="1767"/>
      <c r="AN22" s="797"/>
      <c r="AO22" s="1767"/>
    </row>
    <row r="23" spans="1:48" ht="15" customHeight="1" x14ac:dyDescent="0.3">
      <c r="B23" s="806"/>
      <c r="C23" s="807"/>
      <c r="D23" s="807"/>
      <c r="E23" s="807"/>
      <c r="F23" s="807"/>
      <c r="G23" s="808"/>
      <c r="H23" s="789"/>
      <c r="I23" s="824"/>
      <c r="J23" s="804"/>
      <c r="K23" s="804"/>
      <c r="L23" s="804"/>
      <c r="M23" s="862"/>
      <c r="N23" s="502"/>
      <c r="O23" s="1775"/>
      <c r="P23" s="502"/>
      <c r="Q23" s="824"/>
      <c r="R23" s="832" t="str">
        <f>IF(Q13="Incomplete","Select","")</f>
        <v/>
      </c>
      <c r="S23" s="827"/>
      <c r="T23" s="826" t="str">
        <f>IF(S13="Incomplete","Select","")</f>
        <v/>
      </c>
      <c r="U23" s="827"/>
      <c r="V23" s="826" t="str">
        <f>IF(U13="Incomplete","Select","")</f>
        <v/>
      </c>
      <c r="W23" s="827"/>
      <c r="X23" s="826" t="str">
        <f>IF(W13="Incomplete","Select","")</f>
        <v/>
      </c>
      <c r="Y23" s="827"/>
      <c r="Z23" s="828" t="str">
        <f>IF(Y13="Incomplete","Select","")</f>
        <v/>
      </c>
      <c r="AA23" s="176"/>
      <c r="AB23" s="829"/>
      <c r="AC23" s="89"/>
      <c r="AD23" s="1767"/>
      <c r="AE23" s="1767"/>
      <c r="AF23" s="89"/>
      <c r="AG23" s="1767"/>
      <c r="AH23" s="797"/>
      <c r="AI23" s="1767"/>
      <c r="AJ23" s="1767"/>
      <c r="AK23" s="1767"/>
      <c r="AL23" s="1767"/>
      <c r="AM23" s="1767"/>
      <c r="AN23" s="797"/>
      <c r="AO23" s="1767"/>
      <c r="AS23" s="42" t="str">
        <f>VLOOKUP(COLUMN(),AU26:AV103,2,FALSE)</f>
        <v>AS</v>
      </c>
      <c r="AU23" s="730" t="s">
        <v>1059</v>
      </c>
      <c r="AV23" s="730" t="s">
        <v>1060</v>
      </c>
    </row>
    <row r="24" spans="1:48" ht="5.15" customHeight="1" thickBot="1" x14ac:dyDescent="0.35">
      <c r="B24" s="816"/>
      <c r="C24" s="817"/>
      <c r="D24" s="817"/>
      <c r="E24" s="817"/>
      <c r="F24" s="817"/>
      <c r="G24" s="818"/>
      <c r="H24" s="789"/>
      <c r="I24" s="812"/>
      <c r="J24" s="810"/>
      <c r="K24" s="810"/>
      <c r="L24" s="810"/>
      <c r="M24" s="863"/>
      <c r="N24" s="502"/>
      <c r="O24" s="825"/>
      <c r="P24" s="502"/>
      <c r="Q24" s="812"/>
      <c r="R24" s="833"/>
      <c r="S24" s="813"/>
      <c r="T24" s="830"/>
      <c r="U24" s="813"/>
      <c r="V24" s="830"/>
      <c r="W24" s="813"/>
      <c r="X24" s="830"/>
      <c r="Y24" s="813"/>
      <c r="Z24" s="831"/>
      <c r="AA24" s="176"/>
      <c r="AB24" s="814"/>
      <c r="AC24" s="89"/>
      <c r="AD24" s="89"/>
      <c r="AE24" s="89"/>
      <c r="AF24" s="89"/>
      <c r="AG24" s="89"/>
      <c r="AH24" s="89"/>
      <c r="AI24" s="89"/>
      <c r="AJ24" s="89"/>
      <c r="AK24" s="89"/>
      <c r="AL24" s="89"/>
      <c r="AM24" s="89"/>
      <c r="AN24" s="89"/>
      <c r="AO24" s="73"/>
      <c r="AU24" s="48"/>
      <c r="AV24" s="48"/>
    </row>
    <row r="25" spans="1:48" ht="1" customHeight="1" thickBot="1" x14ac:dyDescent="0.35">
      <c r="B25" s="788"/>
      <c r="C25" s="789"/>
      <c r="D25" s="789"/>
      <c r="E25" s="789"/>
      <c r="F25" s="789"/>
      <c r="G25" s="1754"/>
      <c r="H25" s="1755"/>
      <c r="I25" s="1754"/>
      <c r="J25" s="1754"/>
      <c r="K25" s="1754"/>
      <c r="L25" s="1754"/>
      <c r="M25" s="1754"/>
      <c r="N25" s="502"/>
      <c r="O25" s="886"/>
      <c r="P25" s="502"/>
      <c r="Q25" s="1753"/>
      <c r="R25" s="1753"/>
      <c r="S25" s="1753"/>
      <c r="T25" s="1753"/>
      <c r="U25" s="1753"/>
      <c r="V25" s="1753"/>
      <c r="W25" s="1753"/>
      <c r="X25" s="1753"/>
      <c r="Y25" s="1753"/>
      <c r="Z25" s="1753"/>
      <c r="AA25" s="1753"/>
      <c r="AB25" s="1753"/>
      <c r="AC25" s="89"/>
      <c r="AD25" s="89"/>
      <c r="AE25" s="89"/>
      <c r="AF25" s="89"/>
      <c r="AG25" s="89"/>
      <c r="AH25" s="89"/>
      <c r="AI25" s="89"/>
      <c r="AJ25" s="89"/>
      <c r="AK25" s="89"/>
      <c r="AL25" s="89"/>
      <c r="AM25" s="89"/>
      <c r="AN25" s="89"/>
      <c r="AO25" s="73"/>
      <c r="AU25" s="48"/>
      <c r="AV25" s="48"/>
    </row>
    <row r="26" spans="1:48" x14ac:dyDescent="0.25">
      <c r="A26" s="326">
        <v>1</v>
      </c>
      <c r="B26" s="1761"/>
      <c r="C26" s="1762"/>
      <c r="D26" s="1762"/>
      <c r="E26" s="1762"/>
      <c r="F26" s="858"/>
      <c r="G26" s="859"/>
      <c r="H26" s="798" t="str">
        <f>IFERROR(VLOOKUP(B26,'Ext Area Schedule'!Y$16:AA$65,3,FALSE),"")</f>
        <v/>
      </c>
      <c r="I26" s="866"/>
      <c r="J26" s="867" t="str">
        <f t="shared" ref="J26:J45" si="0">IF($B26="","",IF($I26&lt;&gt;"",VLOOKUP($I26,_Luminaire_Schedule,5,FALSE)," "))</f>
        <v/>
      </c>
      <c r="K26" s="868"/>
      <c r="L26" s="867" t="str">
        <f t="shared" ref="L26:L45" si="1">IF(I26&lt;&gt;"",VLOOKUP(I26,_Luminaire_Schedule,9,FALSE)," ")</f>
        <v xml:space="preserve"> </v>
      </c>
      <c r="M26" s="869" t="str">
        <f>IFERROR(IF(B26="","",IF(K26&gt;0,K26*L26," ")),0)</f>
        <v/>
      </c>
      <c r="N26" s="794"/>
      <c r="O26" s="887"/>
      <c r="P26" s="794"/>
      <c r="Q26" s="879" t="str">
        <f>IF(OR($B26="",$M26=""),"",IF(AND($O$13=TRUE,OR($O26="Existing Remains",$O26="Existing Removed")),"NA",VLOOKUP($H26,'9.4.3 Tables'!B$15:O$37,9,FALSE)))</f>
        <v/>
      </c>
      <c r="R26" s="985"/>
      <c r="S26" s="876" t="str">
        <f>IF(OR($B26="",$M26=""),"",IF(AND($O$13=TRUE,OR($O26="Existing Remains",$O26="Existing Removed")),"NA",VLOOKUP($H26,'9.4.3 Tables'!B$15:O$37,10,FALSE)))</f>
        <v/>
      </c>
      <c r="T26" s="985"/>
      <c r="U26" s="876" t="str">
        <f>IF(OR($B26="",$M26=""),"",IF(AND($O$13=TRUE,OR($O26="Existing Remains",$O26="Existing Removed")),"NA",VLOOKUP($H26,'9.4.3 Tables'!B$15:O$37,11,FALSE)))</f>
        <v/>
      </c>
      <c r="V26" s="985"/>
      <c r="W26" s="876" t="str">
        <f>IF(OR($B26="",$M26=""),"",IF(AND($O$13=TRUE,OR($O26="Existing Remains",$O26="Existing Removed")),"NA",VLOOKUP($H26,'9.4.3 Tables'!B$15:O$37,12,FALSE)))</f>
        <v/>
      </c>
      <c r="X26" s="877"/>
      <c r="Y26" s="876" t="str">
        <f>IF(OR($B26="",$M26=""),"",IF(AND($O$13=TRUE,OR($O26="Existing Remains",$O26="Existing Removed")),"NA",VLOOKUP($H26,'9.4.3 Tables'!B$15:O$37,13,FALSE)))</f>
        <v/>
      </c>
      <c r="Z26" s="878"/>
      <c r="AA26" s="236"/>
      <c r="AB26" s="890" t="str">
        <f t="shared" ref="AB26:AB45" si="2">IF(B26="","",IF(AO26=5,"Complete","Incomplete"))</f>
        <v/>
      </c>
      <c r="AC26" s="90"/>
      <c r="AD26" s="795" t="str">
        <f t="shared" ref="AD26:AD45" si="3">M26</f>
        <v/>
      </c>
      <c r="AE26" s="795" t="str">
        <f t="shared" ref="AE26:AE45" si="4">IF(AND(O$13=TRUE,OR(O26="Existing Removed",O26="Existing Remains")),0,M26)</f>
        <v/>
      </c>
      <c r="AF26" s="236"/>
      <c r="AG26" s="795">
        <f t="shared" ref="AG26:AG45" si="5">IF(B26&lt;&gt;"",1,0)</f>
        <v>0</v>
      </c>
      <c r="AH26" s="926"/>
      <c r="AI26" s="795">
        <f>IF(B26="",0,IF(OR(Q26="NA",R26&lt;&gt;""),1,0))</f>
        <v>0</v>
      </c>
      <c r="AJ26" s="795">
        <f>IF(B26="",0,IF(OR(S26="NA",T26&lt;&gt;""),1,0))</f>
        <v>0</v>
      </c>
      <c r="AK26" s="795">
        <f>IF(B26="",0,IF(OR(U26="NA",V26&lt;&gt;""),1,0))</f>
        <v>0</v>
      </c>
      <c r="AL26" s="795">
        <f>IF(B26="",0,IF(OR(W26="NA",X26&lt;&gt;""),1,0))</f>
        <v>0</v>
      </c>
      <c r="AM26" s="795">
        <f>IF(B26="",0,IF(OR(Y26="NA",Z26&lt;&gt;""),1,0))</f>
        <v>0</v>
      </c>
      <c r="AN26" s="926"/>
      <c r="AO26" s="795">
        <f>SUM(AI26:AM26)</f>
        <v>0</v>
      </c>
      <c r="AQ26" s="43" t="str">
        <f t="shared" ref="AQ26:AQ45" si="6">IF(B26="","",IF(O26="","New",O26))</f>
        <v/>
      </c>
      <c r="AR26" s="43" t="str">
        <f t="shared" ref="AR26:AR45" si="7">IF(B26="","",IFERROR(I26,""))</f>
        <v/>
      </c>
      <c r="AS26" s="43" t="str">
        <f t="shared" ref="AS26:AS45" si="8">IF(B26="","",CONCATENATE("(",K26,") ",AR26," @ ",L26," watts each (",AQ26,")",CHAR(10)))</f>
        <v/>
      </c>
      <c r="AU26" s="737">
        <v>1</v>
      </c>
      <c r="AV26" s="737" t="s">
        <v>1039</v>
      </c>
    </row>
    <row r="27" spans="1:48" x14ac:dyDescent="0.25">
      <c r="A27" s="326">
        <v>2</v>
      </c>
      <c r="B27" s="1670"/>
      <c r="C27" s="1671"/>
      <c r="D27" s="1671"/>
      <c r="E27" s="1671"/>
      <c r="F27" s="809"/>
      <c r="G27" s="860"/>
      <c r="H27" s="798" t="str">
        <f>IFERROR(VLOOKUP(B27,'Ext Area Schedule'!Y$16:AA$65,3,FALSE),"")</f>
        <v/>
      </c>
      <c r="I27" s="870"/>
      <c r="J27" s="799" t="str">
        <f t="shared" si="0"/>
        <v/>
      </c>
      <c r="K27" s="769"/>
      <c r="L27" s="799" t="str">
        <f t="shared" si="1"/>
        <v xml:space="preserve"> </v>
      </c>
      <c r="M27" s="871" t="str">
        <f>IFERROR(IF(B27="","",IF(K27&gt;0,K27*L27," ")),0)</f>
        <v/>
      </c>
      <c r="N27" s="794"/>
      <c r="O27" s="888"/>
      <c r="P27" s="794"/>
      <c r="Q27" s="879" t="str">
        <f>IF(OR($B27="",$M27=""),"",IF(AND($O$13=TRUE,OR($O27="Existing Remains",$O27="Existing Removed")),"NA",VLOOKUP($H27,'9.4.3 Tables'!B$15:O$37,9,FALSE)))</f>
        <v/>
      </c>
      <c r="R27" s="793"/>
      <c r="S27" s="766" t="str">
        <f>IF(OR($B27="",$M27=""),"",IF(AND($O$13=TRUE,OR($O27="Existing Remains",$O27="Existing Removed")),"NA",VLOOKUP($H27,'9.4.3 Tables'!B$15:O$37,10,FALSE)))</f>
        <v/>
      </c>
      <c r="T27" s="793"/>
      <c r="U27" s="766" t="str">
        <f>IF(OR($B27="",$M27=""),"",IF(AND($O$13=TRUE,OR($O27="Existing Remains",$O27="Existing Removed")),"NA",VLOOKUP($H27,'9.4.3 Tables'!B$15:O$37,11,FALSE)))</f>
        <v/>
      </c>
      <c r="V27" s="793"/>
      <c r="W27" s="766" t="str">
        <f>IF(OR($B27="",$M27=""),"",IF(AND($O$13=TRUE,OR($O27="Existing Remains",$O27="Existing Removed")),"NA",VLOOKUP($H27,'9.4.3 Tables'!B$15:O$37,12,FALSE)))</f>
        <v/>
      </c>
      <c r="X27" s="801"/>
      <c r="Y27" s="766" t="str">
        <f>IF(OR($B27="",$M27=""),"",IF(AND($O$13=TRUE,OR($O27="Existing Remains",$O27="Existing Removed")),"NA",VLOOKUP($H27,'9.4.3 Tables'!B$15:O$37,13,FALSE)))</f>
        <v/>
      </c>
      <c r="Z27" s="880"/>
      <c r="AA27" s="236"/>
      <c r="AB27" s="891" t="str">
        <f t="shared" si="2"/>
        <v/>
      </c>
      <c r="AC27" s="90"/>
      <c r="AD27" s="795" t="str">
        <f t="shared" si="3"/>
        <v/>
      </c>
      <c r="AE27" s="795" t="str">
        <f t="shared" si="4"/>
        <v/>
      </c>
      <c r="AF27" s="236"/>
      <c r="AG27" s="795">
        <f t="shared" si="5"/>
        <v>0</v>
      </c>
      <c r="AH27" s="926"/>
      <c r="AI27" s="795">
        <f t="shared" ref="AI27:AI45" si="9">IF(B27="",0,IF(OR(Q27="NA",R27&lt;&gt;""),1,0))</f>
        <v>0</v>
      </c>
      <c r="AJ27" s="795">
        <f t="shared" ref="AJ27:AJ45" si="10">IF(B27="",0,IF(OR(S27="NA",T27&lt;&gt;""),1,0))</f>
        <v>0</v>
      </c>
      <c r="AK27" s="795">
        <f t="shared" ref="AK27:AK45" si="11">IF(B27="",0,IF(OR(U27="NA",V27&lt;&gt;""),1,0))</f>
        <v>0</v>
      </c>
      <c r="AL27" s="795">
        <f t="shared" ref="AL27:AL45" si="12">IF(B27="",0,IF(OR(W27="NA",X27&lt;&gt;""),1,0))</f>
        <v>0</v>
      </c>
      <c r="AM27" s="795">
        <f t="shared" ref="AM27:AM45" si="13">IF(B27="",0,IF(OR(Y27="NA",Z27&lt;&gt;""),1,0))</f>
        <v>0</v>
      </c>
      <c r="AN27" s="926"/>
      <c r="AO27" s="795">
        <f>SUM(AI27:AM27)</f>
        <v>0</v>
      </c>
      <c r="AQ27" s="43" t="str">
        <f t="shared" si="6"/>
        <v/>
      </c>
      <c r="AR27" s="43" t="str">
        <f t="shared" si="7"/>
        <v/>
      </c>
      <c r="AS27" s="43" t="str">
        <f t="shared" si="8"/>
        <v/>
      </c>
      <c r="AU27" s="737">
        <v>2</v>
      </c>
      <c r="AV27" s="737" t="s">
        <v>1040</v>
      </c>
    </row>
    <row r="28" spans="1:48" x14ac:dyDescent="0.25">
      <c r="A28" s="326">
        <v>3</v>
      </c>
      <c r="B28" s="1670"/>
      <c r="C28" s="1671"/>
      <c r="D28" s="1671"/>
      <c r="E28" s="1671"/>
      <c r="F28" s="809"/>
      <c r="G28" s="860"/>
      <c r="H28" s="798" t="str">
        <f>IFERROR(VLOOKUP(B28,'Ext Area Schedule'!Y$16:AA$65,3,FALSE),"")</f>
        <v/>
      </c>
      <c r="I28" s="870"/>
      <c r="J28" s="799" t="str">
        <f t="shared" si="0"/>
        <v/>
      </c>
      <c r="K28" s="769"/>
      <c r="L28" s="799" t="str">
        <f t="shared" si="1"/>
        <v xml:space="preserve"> </v>
      </c>
      <c r="M28" s="871" t="str">
        <f t="shared" ref="M28:M45" si="14">IFERROR(IF(B28="","",IF(K28&gt;0,K28*L28," ")),0)</f>
        <v/>
      </c>
      <c r="N28" s="794"/>
      <c r="O28" s="888"/>
      <c r="P28" s="794"/>
      <c r="Q28" s="879" t="str">
        <f>IF(OR($B28="",$M28=""),"",IF(AND($O$13=TRUE,OR($O28="Existing Remains",$O28="Existing Removed")),"NA",VLOOKUP($H28,'9.4.3 Tables'!B$15:O$37,9,FALSE)))</f>
        <v/>
      </c>
      <c r="R28" s="793"/>
      <c r="S28" s="766" t="str">
        <f>IF(OR($B28="",$M28=""),"",IF(AND($O$13=TRUE,OR($O28="Existing Remains",$O28="Existing Removed")),"NA",VLOOKUP($H28,'9.4.3 Tables'!B$15:O$37,10,FALSE)))</f>
        <v/>
      </c>
      <c r="T28" s="793"/>
      <c r="U28" s="766" t="str">
        <f>IF(OR($B28="",$M28=""),"",IF(AND($O$13=TRUE,OR($O28="Existing Remains",$O28="Existing Removed")),"NA",VLOOKUP($H28,'9.4.3 Tables'!B$15:O$37,11,FALSE)))</f>
        <v/>
      </c>
      <c r="V28" s="793"/>
      <c r="W28" s="766" t="str">
        <f>IF(OR($B28="",$M28=""),"",IF(AND($O$13=TRUE,OR($O28="Existing Remains",$O28="Existing Removed")),"NA",VLOOKUP($H28,'9.4.3 Tables'!B$15:O$37,12,FALSE)))</f>
        <v/>
      </c>
      <c r="X28" s="801"/>
      <c r="Y28" s="766" t="str">
        <f>IF(OR($B28="",$M28=""),"",IF(AND($O$13=TRUE,OR($O28="Existing Remains",$O28="Existing Removed")),"NA",VLOOKUP($H28,'9.4.3 Tables'!B$15:O$37,13,FALSE)))</f>
        <v/>
      </c>
      <c r="Z28" s="880"/>
      <c r="AA28" s="236"/>
      <c r="AB28" s="891" t="str">
        <f t="shared" si="2"/>
        <v/>
      </c>
      <c r="AC28" s="90"/>
      <c r="AD28" s="795" t="str">
        <f t="shared" si="3"/>
        <v/>
      </c>
      <c r="AE28" s="795" t="str">
        <f t="shared" si="4"/>
        <v/>
      </c>
      <c r="AF28" s="236"/>
      <c r="AG28" s="795">
        <f t="shared" si="5"/>
        <v>0</v>
      </c>
      <c r="AH28" s="926"/>
      <c r="AI28" s="795">
        <f t="shared" si="9"/>
        <v>0</v>
      </c>
      <c r="AJ28" s="795">
        <f t="shared" si="10"/>
        <v>0</v>
      </c>
      <c r="AK28" s="795">
        <f t="shared" si="11"/>
        <v>0</v>
      </c>
      <c r="AL28" s="795">
        <f t="shared" si="12"/>
        <v>0</v>
      </c>
      <c r="AM28" s="795">
        <f t="shared" si="13"/>
        <v>0</v>
      </c>
      <c r="AN28" s="926"/>
      <c r="AO28" s="795">
        <f t="shared" ref="AO28:AO45" si="15">SUM(AI28:AM28)</f>
        <v>0</v>
      </c>
      <c r="AQ28" s="43" t="str">
        <f t="shared" si="6"/>
        <v/>
      </c>
      <c r="AR28" s="43" t="str">
        <f t="shared" si="7"/>
        <v/>
      </c>
      <c r="AS28" s="43" t="str">
        <f t="shared" si="8"/>
        <v/>
      </c>
      <c r="AU28" s="737">
        <v>3</v>
      </c>
      <c r="AV28" s="737" t="s">
        <v>1041</v>
      </c>
    </row>
    <row r="29" spans="1:48" x14ac:dyDescent="0.25">
      <c r="A29" s="326">
        <v>4</v>
      </c>
      <c r="B29" s="1670"/>
      <c r="C29" s="1671"/>
      <c r="D29" s="1671"/>
      <c r="E29" s="1671"/>
      <c r="F29" s="809"/>
      <c r="G29" s="860"/>
      <c r="H29" s="798" t="str">
        <f>IFERROR(VLOOKUP(B29,'Ext Area Schedule'!Y$16:AA$65,3,FALSE),"")</f>
        <v/>
      </c>
      <c r="I29" s="870"/>
      <c r="J29" s="799" t="str">
        <f t="shared" si="0"/>
        <v/>
      </c>
      <c r="K29" s="769"/>
      <c r="L29" s="799" t="str">
        <f t="shared" si="1"/>
        <v xml:space="preserve"> </v>
      </c>
      <c r="M29" s="871" t="str">
        <f t="shared" si="14"/>
        <v/>
      </c>
      <c r="N29" s="794"/>
      <c r="O29" s="888"/>
      <c r="P29" s="794"/>
      <c r="Q29" s="879" t="str">
        <f>IF(OR($B29="",$M29=""),"",IF(AND($O$13=TRUE,OR($O29="Existing Remains",$O29="Existing Removed")),"NA",VLOOKUP($H29,'9.4.3 Tables'!B$15:O$37,9,FALSE)))</f>
        <v/>
      </c>
      <c r="R29" s="793"/>
      <c r="S29" s="766" t="str">
        <f>IF(OR($B29="",$M29=""),"",IF(AND($O$13=TRUE,OR($O29="Existing Remains",$O29="Existing Removed")),"NA",VLOOKUP($H29,'9.4.3 Tables'!B$15:O$37,10,FALSE)))</f>
        <v/>
      </c>
      <c r="T29" s="793"/>
      <c r="U29" s="766" t="str">
        <f>IF(OR($B29="",$M29=""),"",IF(AND($O$13=TRUE,OR($O29="Existing Remains",$O29="Existing Removed")),"NA",VLOOKUP($H29,'9.4.3 Tables'!B$15:O$37,11,FALSE)))</f>
        <v/>
      </c>
      <c r="V29" s="793"/>
      <c r="W29" s="766" t="str">
        <f>IF(OR($B29="",$M29=""),"",IF(AND($O$13=TRUE,OR($O29="Existing Remains",$O29="Existing Removed")),"NA",VLOOKUP($H29,'9.4.3 Tables'!B$15:O$37,12,FALSE)))</f>
        <v/>
      </c>
      <c r="X29" s="801"/>
      <c r="Y29" s="766" t="str">
        <f>IF(OR($B29="",$M29=""),"",IF(AND($O$13=TRUE,OR($O29="Existing Remains",$O29="Existing Removed")),"NA",VLOOKUP($H29,'9.4.3 Tables'!B$15:O$37,13,FALSE)))</f>
        <v/>
      </c>
      <c r="Z29" s="880"/>
      <c r="AA29" s="236"/>
      <c r="AB29" s="891" t="str">
        <f t="shared" si="2"/>
        <v/>
      </c>
      <c r="AC29" s="90"/>
      <c r="AD29" s="795" t="str">
        <f t="shared" si="3"/>
        <v/>
      </c>
      <c r="AE29" s="795" t="str">
        <f t="shared" si="4"/>
        <v/>
      </c>
      <c r="AF29" s="236"/>
      <c r="AG29" s="795">
        <f t="shared" si="5"/>
        <v>0</v>
      </c>
      <c r="AH29" s="926"/>
      <c r="AI29" s="795">
        <f t="shared" si="9"/>
        <v>0</v>
      </c>
      <c r="AJ29" s="795">
        <f t="shared" si="10"/>
        <v>0</v>
      </c>
      <c r="AK29" s="795">
        <f t="shared" si="11"/>
        <v>0</v>
      </c>
      <c r="AL29" s="795">
        <f t="shared" si="12"/>
        <v>0</v>
      </c>
      <c r="AM29" s="795">
        <f t="shared" si="13"/>
        <v>0</v>
      </c>
      <c r="AN29" s="926"/>
      <c r="AO29" s="795">
        <f t="shared" si="15"/>
        <v>0</v>
      </c>
      <c r="AQ29" s="43" t="str">
        <f t="shared" si="6"/>
        <v/>
      </c>
      <c r="AR29" s="43" t="str">
        <f t="shared" si="7"/>
        <v/>
      </c>
      <c r="AS29" s="43" t="str">
        <f t="shared" si="8"/>
        <v/>
      </c>
      <c r="AU29" s="737">
        <v>4</v>
      </c>
      <c r="AV29" s="737" t="s">
        <v>1042</v>
      </c>
    </row>
    <row r="30" spans="1:48" x14ac:dyDescent="0.25">
      <c r="A30" s="326">
        <v>5</v>
      </c>
      <c r="B30" s="1670"/>
      <c r="C30" s="1671"/>
      <c r="D30" s="1671"/>
      <c r="E30" s="1671"/>
      <c r="F30" s="809"/>
      <c r="G30" s="860"/>
      <c r="H30" s="798" t="str">
        <f>IFERROR(VLOOKUP(B30,'Ext Area Schedule'!Y$16:AA$65,3,FALSE),"")</f>
        <v/>
      </c>
      <c r="I30" s="870"/>
      <c r="J30" s="799" t="str">
        <f t="shared" si="0"/>
        <v/>
      </c>
      <c r="K30" s="769"/>
      <c r="L30" s="799" t="str">
        <f t="shared" si="1"/>
        <v xml:space="preserve"> </v>
      </c>
      <c r="M30" s="871" t="str">
        <f t="shared" si="14"/>
        <v/>
      </c>
      <c r="N30" s="794"/>
      <c r="O30" s="888"/>
      <c r="P30" s="794"/>
      <c r="Q30" s="879" t="str">
        <f>IF(OR($B30="",$M30=""),"",IF(AND($O$13=TRUE,OR($O30="Existing Remains",$O30="Existing Removed")),"NA",VLOOKUP($H30,'9.4.3 Tables'!B$15:O$37,9,FALSE)))</f>
        <v/>
      </c>
      <c r="R30" s="793"/>
      <c r="S30" s="766" t="str">
        <f>IF(OR($B30="",$M30=""),"",IF(AND($O$13=TRUE,OR($O30="Existing Remains",$O30="Existing Removed")),"NA",VLOOKUP($H30,'9.4.3 Tables'!B$15:O$37,10,FALSE)))</f>
        <v/>
      </c>
      <c r="T30" s="793"/>
      <c r="U30" s="766" t="str">
        <f>IF(OR($B30="",$M30=""),"",IF(AND($O$13=TRUE,OR($O30="Existing Remains",$O30="Existing Removed")),"NA",VLOOKUP($H30,'9.4.3 Tables'!B$15:O$37,11,FALSE)))</f>
        <v/>
      </c>
      <c r="V30" s="793"/>
      <c r="W30" s="766" t="str">
        <f>IF(OR($B30="",$M30=""),"",IF(AND($O$13=TRUE,OR($O30="Existing Remains",$O30="Existing Removed")),"NA",VLOOKUP($H30,'9.4.3 Tables'!B$15:O$37,12,FALSE)))</f>
        <v/>
      </c>
      <c r="X30" s="801"/>
      <c r="Y30" s="766" t="str">
        <f>IF(OR($B30="",$M30=""),"",IF(AND($O$13=TRUE,OR($O30="Existing Remains",$O30="Existing Removed")),"NA",VLOOKUP($H30,'9.4.3 Tables'!B$15:O$37,13,FALSE)))</f>
        <v/>
      </c>
      <c r="Z30" s="880"/>
      <c r="AA30" s="236"/>
      <c r="AB30" s="891" t="str">
        <f t="shared" si="2"/>
        <v/>
      </c>
      <c r="AC30" s="90"/>
      <c r="AD30" s="795" t="str">
        <f t="shared" si="3"/>
        <v/>
      </c>
      <c r="AE30" s="795" t="str">
        <f t="shared" si="4"/>
        <v/>
      </c>
      <c r="AF30" s="236"/>
      <c r="AG30" s="795">
        <f t="shared" si="5"/>
        <v>0</v>
      </c>
      <c r="AH30" s="926"/>
      <c r="AI30" s="795">
        <f t="shared" si="9"/>
        <v>0</v>
      </c>
      <c r="AJ30" s="795">
        <f t="shared" si="10"/>
        <v>0</v>
      </c>
      <c r="AK30" s="795">
        <f t="shared" si="11"/>
        <v>0</v>
      </c>
      <c r="AL30" s="795">
        <f t="shared" si="12"/>
        <v>0</v>
      </c>
      <c r="AM30" s="795">
        <f t="shared" si="13"/>
        <v>0</v>
      </c>
      <c r="AN30" s="926"/>
      <c r="AO30" s="795">
        <f t="shared" si="15"/>
        <v>0</v>
      </c>
      <c r="AQ30" s="43" t="str">
        <f t="shared" si="6"/>
        <v/>
      </c>
      <c r="AR30" s="43" t="str">
        <f t="shared" si="7"/>
        <v/>
      </c>
      <c r="AS30" s="43" t="str">
        <f t="shared" si="8"/>
        <v/>
      </c>
      <c r="AU30" s="737">
        <v>5</v>
      </c>
      <c r="AV30" s="737" t="s">
        <v>1043</v>
      </c>
    </row>
    <row r="31" spans="1:48" x14ac:dyDescent="0.25">
      <c r="A31" s="326">
        <v>6</v>
      </c>
      <c r="B31" s="1670"/>
      <c r="C31" s="1671"/>
      <c r="D31" s="1671"/>
      <c r="E31" s="1671"/>
      <c r="F31" s="809"/>
      <c r="G31" s="860"/>
      <c r="H31" s="798" t="str">
        <f>IFERROR(VLOOKUP(B31,'Ext Area Schedule'!Y$16:AA$65,3,FALSE),"")</f>
        <v/>
      </c>
      <c r="I31" s="870"/>
      <c r="J31" s="799" t="str">
        <f t="shared" si="0"/>
        <v/>
      </c>
      <c r="K31" s="769"/>
      <c r="L31" s="799" t="str">
        <f t="shared" si="1"/>
        <v xml:space="preserve"> </v>
      </c>
      <c r="M31" s="871" t="str">
        <f t="shared" si="14"/>
        <v/>
      </c>
      <c r="N31" s="794"/>
      <c r="O31" s="888"/>
      <c r="P31" s="794"/>
      <c r="Q31" s="879" t="str">
        <f>IF(OR($B31="",$M31=""),"",IF(AND($O$13=TRUE,OR($O31="Existing Remains",$O31="Existing Removed")),"NA",VLOOKUP($H31,'9.4.3 Tables'!B$15:O$37,9,FALSE)))</f>
        <v/>
      </c>
      <c r="R31" s="793"/>
      <c r="S31" s="766" t="str">
        <f>IF(OR($B31="",$M31=""),"",IF(AND($O$13=TRUE,OR($O31="Existing Remains",$O31="Existing Removed")),"NA",VLOOKUP($H31,'9.4.3 Tables'!B$15:O$37,10,FALSE)))</f>
        <v/>
      </c>
      <c r="T31" s="793"/>
      <c r="U31" s="766" t="str">
        <f>IF(OR($B31="",$M31=""),"",IF(AND($O$13=TRUE,OR($O31="Existing Remains",$O31="Existing Removed")),"NA",VLOOKUP($H31,'9.4.3 Tables'!B$15:O$37,11,FALSE)))</f>
        <v/>
      </c>
      <c r="V31" s="793"/>
      <c r="W31" s="766" t="str">
        <f>IF(OR($B31="",$M31=""),"",IF(AND($O$13=TRUE,OR($O31="Existing Remains",$O31="Existing Removed")),"NA",VLOOKUP($H31,'9.4.3 Tables'!B$15:O$37,12,FALSE)))</f>
        <v/>
      </c>
      <c r="X31" s="801"/>
      <c r="Y31" s="766" t="str">
        <f>IF(OR($B31="",$M31=""),"",IF(AND($O$13=TRUE,OR($O31="Existing Remains",$O31="Existing Removed")),"NA",VLOOKUP($H31,'9.4.3 Tables'!B$15:O$37,13,FALSE)))</f>
        <v/>
      </c>
      <c r="Z31" s="880"/>
      <c r="AA31" s="236"/>
      <c r="AB31" s="891" t="str">
        <f t="shared" si="2"/>
        <v/>
      </c>
      <c r="AC31" s="90"/>
      <c r="AD31" s="795" t="str">
        <f t="shared" si="3"/>
        <v/>
      </c>
      <c r="AE31" s="795" t="str">
        <f t="shared" si="4"/>
        <v/>
      </c>
      <c r="AF31" s="236"/>
      <c r="AG31" s="795">
        <f t="shared" si="5"/>
        <v>0</v>
      </c>
      <c r="AH31" s="926"/>
      <c r="AI31" s="795">
        <f t="shared" si="9"/>
        <v>0</v>
      </c>
      <c r="AJ31" s="795">
        <f t="shared" si="10"/>
        <v>0</v>
      </c>
      <c r="AK31" s="795">
        <f t="shared" si="11"/>
        <v>0</v>
      </c>
      <c r="AL31" s="795">
        <f t="shared" si="12"/>
        <v>0</v>
      </c>
      <c r="AM31" s="795">
        <f t="shared" si="13"/>
        <v>0</v>
      </c>
      <c r="AN31" s="926"/>
      <c r="AO31" s="795">
        <f t="shared" si="15"/>
        <v>0</v>
      </c>
      <c r="AQ31" s="43" t="str">
        <f t="shared" si="6"/>
        <v/>
      </c>
      <c r="AR31" s="43" t="str">
        <f t="shared" si="7"/>
        <v/>
      </c>
      <c r="AS31" s="43" t="str">
        <f t="shared" si="8"/>
        <v/>
      </c>
      <c r="AU31" s="737">
        <v>6</v>
      </c>
      <c r="AV31" s="737" t="s">
        <v>1044</v>
      </c>
    </row>
    <row r="32" spans="1:48" x14ac:dyDescent="0.25">
      <c r="A32" s="326">
        <v>7</v>
      </c>
      <c r="B32" s="1670"/>
      <c r="C32" s="1671"/>
      <c r="D32" s="1671"/>
      <c r="E32" s="1671"/>
      <c r="F32" s="809"/>
      <c r="G32" s="860"/>
      <c r="H32" s="798" t="str">
        <f>IFERROR(VLOOKUP(B32,'Ext Area Schedule'!Y$16:AA$65,3,FALSE),"")</f>
        <v/>
      </c>
      <c r="I32" s="870"/>
      <c r="J32" s="799" t="str">
        <f t="shared" si="0"/>
        <v/>
      </c>
      <c r="K32" s="769"/>
      <c r="L32" s="799" t="str">
        <f t="shared" si="1"/>
        <v xml:space="preserve"> </v>
      </c>
      <c r="M32" s="871" t="str">
        <f t="shared" si="14"/>
        <v/>
      </c>
      <c r="N32" s="794"/>
      <c r="O32" s="888"/>
      <c r="P32" s="794"/>
      <c r="Q32" s="879" t="str">
        <f>IF(OR($B32="",$M32=""),"",IF(AND($O$13=TRUE,OR($O32="Existing Remains",$O32="Existing Removed")),"NA",VLOOKUP($H32,'9.4.3 Tables'!B$15:O$37,9,FALSE)))</f>
        <v/>
      </c>
      <c r="R32" s="793"/>
      <c r="S32" s="766" t="str">
        <f>IF(OR($B32="",$M32=""),"",IF(AND($O$13=TRUE,OR($O32="Existing Remains",$O32="Existing Removed")),"NA",VLOOKUP($H32,'9.4.3 Tables'!B$15:O$37,10,FALSE)))</f>
        <v/>
      </c>
      <c r="T32" s="793"/>
      <c r="U32" s="766" t="str">
        <f>IF(OR($B32="",$M32=""),"",IF(AND($O$13=TRUE,OR($O32="Existing Remains",$O32="Existing Removed")),"NA",VLOOKUP($H32,'9.4.3 Tables'!B$15:O$37,11,FALSE)))</f>
        <v/>
      </c>
      <c r="V32" s="793"/>
      <c r="W32" s="766" t="str">
        <f>IF(OR($B32="",$M32=""),"",IF(AND($O$13=TRUE,OR($O32="Existing Remains",$O32="Existing Removed")),"NA",VLOOKUP($H32,'9.4.3 Tables'!B$15:O$37,12,FALSE)))</f>
        <v/>
      </c>
      <c r="X32" s="801"/>
      <c r="Y32" s="766" t="str">
        <f>IF(OR($B32="",$M32=""),"",IF(AND($O$13=TRUE,OR($O32="Existing Remains",$O32="Existing Removed")),"NA",VLOOKUP($H32,'9.4.3 Tables'!B$15:O$37,13,FALSE)))</f>
        <v/>
      </c>
      <c r="Z32" s="880"/>
      <c r="AA32" s="236"/>
      <c r="AB32" s="891" t="str">
        <f t="shared" si="2"/>
        <v/>
      </c>
      <c r="AC32" s="90"/>
      <c r="AD32" s="795" t="str">
        <f t="shared" si="3"/>
        <v/>
      </c>
      <c r="AE32" s="795" t="str">
        <f t="shared" si="4"/>
        <v/>
      </c>
      <c r="AF32" s="236"/>
      <c r="AG32" s="795">
        <f t="shared" si="5"/>
        <v>0</v>
      </c>
      <c r="AH32" s="926"/>
      <c r="AI32" s="795">
        <f t="shared" si="9"/>
        <v>0</v>
      </c>
      <c r="AJ32" s="795">
        <f t="shared" si="10"/>
        <v>0</v>
      </c>
      <c r="AK32" s="795">
        <f t="shared" si="11"/>
        <v>0</v>
      </c>
      <c r="AL32" s="795">
        <f t="shared" si="12"/>
        <v>0</v>
      </c>
      <c r="AM32" s="795">
        <f t="shared" si="13"/>
        <v>0</v>
      </c>
      <c r="AN32" s="926"/>
      <c r="AO32" s="795">
        <f t="shared" si="15"/>
        <v>0</v>
      </c>
      <c r="AQ32" s="43" t="str">
        <f t="shared" si="6"/>
        <v/>
      </c>
      <c r="AR32" s="43" t="str">
        <f t="shared" si="7"/>
        <v/>
      </c>
      <c r="AS32" s="43" t="str">
        <f t="shared" si="8"/>
        <v/>
      </c>
      <c r="AU32" s="737">
        <v>7</v>
      </c>
      <c r="AV32" s="737" t="s">
        <v>1045</v>
      </c>
    </row>
    <row r="33" spans="1:48" x14ac:dyDescent="0.25">
      <c r="A33" s="326">
        <v>8</v>
      </c>
      <c r="B33" s="1670"/>
      <c r="C33" s="1671"/>
      <c r="D33" s="1671"/>
      <c r="E33" s="1671"/>
      <c r="F33" s="809"/>
      <c r="G33" s="860"/>
      <c r="H33" s="798" t="str">
        <f>IFERROR(VLOOKUP(B33,'Ext Area Schedule'!Y$16:AA$65,3,FALSE),"")</f>
        <v/>
      </c>
      <c r="I33" s="870"/>
      <c r="J33" s="799" t="str">
        <f t="shared" si="0"/>
        <v/>
      </c>
      <c r="K33" s="769"/>
      <c r="L33" s="799" t="str">
        <f t="shared" si="1"/>
        <v xml:space="preserve"> </v>
      </c>
      <c r="M33" s="871" t="str">
        <f t="shared" si="14"/>
        <v/>
      </c>
      <c r="N33" s="794"/>
      <c r="O33" s="888"/>
      <c r="P33" s="794"/>
      <c r="Q33" s="879" t="str">
        <f>IF(OR($B33="",$M33=""),"",IF(AND($O$13=TRUE,OR($O33="Existing Remains",$O33="Existing Removed")),"NA",VLOOKUP($H33,'9.4.3 Tables'!B$15:O$37,9,FALSE)))</f>
        <v/>
      </c>
      <c r="R33" s="793"/>
      <c r="S33" s="766" t="str">
        <f>IF(OR($B33="",$M33=""),"",IF(AND($O$13=TRUE,OR($O33="Existing Remains",$O33="Existing Removed")),"NA",VLOOKUP($H33,'9.4.3 Tables'!B$15:O$37,10,FALSE)))</f>
        <v/>
      </c>
      <c r="T33" s="793"/>
      <c r="U33" s="766" t="str">
        <f>IF(OR($B33="",$M33=""),"",IF(AND($O$13=TRUE,OR($O33="Existing Remains",$O33="Existing Removed")),"NA",VLOOKUP($H33,'9.4.3 Tables'!B$15:O$37,11,FALSE)))</f>
        <v/>
      </c>
      <c r="V33" s="793"/>
      <c r="W33" s="766" t="str">
        <f>IF(OR($B33="",$M33=""),"",IF(AND($O$13=TRUE,OR($O33="Existing Remains",$O33="Existing Removed")),"NA",VLOOKUP($H33,'9.4.3 Tables'!B$15:O$37,12,FALSE)))</f>
        <v/>
      </c>
      <c r="X33" s="801"/>
      <c r="Y33" s="766" t="str">
        <f>IF(OR($B33="",$M33=""),"",IF(AND($O$13=TRUE,OR($O33="Existing Remains",$O33="Existing Removed")),"NA",VLOOKUP($H33,'9.4.3 Tables'!B$15:O$37,13,FALSE)))</f>
        <v/>
      </c>
      <c r="Z33" s="880"/>
      <c r="AA33" s="236"/>
      <c r="AB33" s="891" t="str">
        <f t="shared" si="2"/>
        <v/>
      </c>
      <c r="AC33" s="90"/>
      <c r="AD33" s="795" t="str">
        <f t="shared" si="3"/>
        <v/>
      </c>
      <c r="AE33" s="795" t="str">
        <f t="shared" si="4"/>
        <v/>
      </c>
      <c r="AF33" s="236"/>
      <c r="AG33" s="795">
        <f t="shared" si="5"/>
        <v>0</v>
      </c>
      <c r="AH33" s="926"/>
      <c r="AI33" s="795">
        <f t="shared" si="9"/>
        <v>0</v>
      </c>
      <c r="AJ33" s="795">
        <f t="shared" si="10"/>
        <v>0</v>
      </c>
      <c r="AK33" s="795">
        <f t="shared" si="11"/>
        <v>0</v>
      </c>
      <c r="AL33" s="795">
        <f t="shared" si="12"/>
        <v>0</v>
      </c>
      <c r="AM33" s="795">
        <f t="shared" si="13"/>
        <v>0</v>
      </c>
      <c r="AN33" s="926"/>
      <c r="AO33" s="795">
        <f t="shared" si="15"/>
        <v>0</v>
      </c>
      <c r="AQ33" s="43" t="str">
        <f t="shared" si="6"/>
        <v/>
      </c>
      <c r="AR33" s="43" t="str">
        <f t="shared" si="7"/>
        <v/>
      </c>
      <c r="AS33" s="43" t="str">
        <f t="shared" si="8"/>
        <v/>
      </c>
      <c r="AU33" s="737">
        <v>8</v>
      </c>
      <c r="AV33" s="737" t="s">
        <v>1046</v>
      </c>
    </row>
    <row r="34" spans="1:48" x14ac:dyDescent="0.25">
      <c r="A34" s="326">
        <v>9</v>
      </c>
      <c r="B34" s="1670"/>
      <c r="C34" s="1671"/>
      <c r="D34" s="1671"/>
      <c r="E34" s="1671"/>
      <c r="F34" s="809"/>
      <c r="G34" s="860"/>
      <c r="H34" s="798" t="str">
        <f>IFERROR(VLOOKUP(B34,'Ext Area Schedule'!Y$16:AA$65,3,FALSE),"")</f>
        <v/>
      </c>
      <c r="I34" s="870"/>
      <c r="J34" s="799" t="str">
        <f t="shared" si="0"/>
        <v/>
      </c>
      <c r="K34" s="769"/>
      <c r="L34" s="799" t="str">
        <f t="shared" si="1"/>
        <v xml:space="preserve"> </v>
      </c>
      <c r="M34" s="871" t="str">
        <f t="shared" si="14"/>
        <v/>
      </c>
      <c r="N34" s="794"/>
      <c r="O34" s="888"/>
      <c r="P34" s="794"/>
      <c r="Q34" s="879" t="str">
        <f>IF(OR($B34="",$M34=""),"",IF(AND($O$13=TRUE,OR($O34="Existing Remains",$O34="Existing Removed")),"NA",VLOOKUP($H34,'9.4.3 Tables'!B$15:O$37,9,FALSE)))</f>
        <v/>
      </c>
      <c r="R34" s="793"/>
      <c r="S34" s="766" t="str">
        <f>IF(OR($B34="",$M34=""),"",IF(AND($O$13=TRUE,OR($O34="Existing Remains",$O34="Existing Removed")),"NA",VLOOKUP($H34,'9.4.3 Tables'!B$15:O$37,10,FALSE)))</f>
        <v/>
      </c>
      <c r="T34" s="793"/>
      <c r="U34" s="766" t="str">
        <f>IF(OR($B34="",$M34=""),"",IF(AND($O$13=TRUE,OR($O34="Existing Remains",$O34="Existing Removed")),"NA",VLOOKUP($H34,'9.4.3 Tables'!B$15:O$37,11,FALSE)))</f>
        <v/>
      </c>
      <c r="V34" s="793"/>
      <c r="W34" s="766" t="str">
        <f>IF(OR($B34="",$M34=""),"",IF(AND($O$13=TRUE,OR($O34="Existing Remains",$O34="Existing Removed")),"NA",VLOOKUP($H34,'9.4.3 Tables'!B$15:O$37,12,FALSE)))</f>
        <v/>
      </c>
      <c r="X34" s="801"/>
      <c r="Y34" s="766" t="str">
        <f>IF(OR($B34="",$M34=""),"",IF(AND($O$13=TRUE,OR($O34="Existing Remains",$O34="Existing Removed")),"NA",VLOOKUP($H34,'9.4.3 Tables'!B$15:O$37,13,FALSE)))</f>
        <v/>
      </c>
      <c r="Z34" s="880"/>
      <c r="AA34" s="236"/>
      <c r="AB34" s="891" t="str">
        <f t="shared" si="2"/>
        <v/>
      </c>
      <c r="AC34" s="90"/>
      <c r="AD34" s="795" t="str">
        <f t="shared" si="3"/>
        <v/>
      </c>
      <c r="AE34" s="795" t="str">
        <f t="shared" si="4"/>
        <v/>
      </c>
      <c r="AF34" s="236"/>
      <c r="AG34" s="795">
        <f t="shared" si="5"/>
        <v>0</v>
      </c>
      <c r="AH34" s="926"/>
      <c r="AI34" s="795">
        <f t="shared" si="9"/>
        <v>0</v>
      </c>
      <c r="AJ34" s="795">
        <f t="shared" si="10"/>
        <v>0</v>
      </c>
      <c r="AK34" s="795">
        <f t="shared" si="11"/>
        <v>0</v>
      </c>
      <c r="AL34" s="795">
        <f t="shared" si="12"/>
        <v>0</v>
      </c>
      <c r="AM34" s="795">
        <f t="shared" si="13"/>
        <v>0</v>
      </c>
      <c r="AN34" s="926"/>
      <c r="AO34" s="795">
        <f t="shared" si="15"/>
        <v>0</v>
      </c>
      <c r="AQ34" s="43" t="str">
        <f t="shared" si="6"/>
        <v/>
      </c>
      <c r="AR34" s="43" t="str">
        <f t="shared" si="7"/>
        <v/>
      </c>
      <c r="AS34" s="43" t="str">
        <f t="shared" si="8"/>
        <v/>
      </c>
      <c r="AU34" s="737">
        <v>9</v>
      </c>
      <c r="AV34" s="737" t="s">
        <v>1047</v>
      </c>
    </row>
    <row r="35" spans="1:48" x14ac:dyDescent="0.25">
      <c r="A35" s="326">
        <v>10</v>
      </c>
      <c r="B35" s="1670"/>
      <c r="C35" s="1671"/>
      <c r="D35" s="1671"/>
      <c r="E35" s="1671"/>
      <c r="F35" s="809"/>
      <c r="G35" s="860"/>
      <c r="H35" s="798" t="str">
        <f>IFERROR(VLOOKUP(B35,'Ext Area Schedule'!Y$16:AA$65,3,FALSE),"")</f>
        <v/>
      </c>
      <c r="I35" s="870"/>
      <c r="J35" s="799" t="str">
        <f t="shared" si="0"/>
        <v/>
      </c>
      <c r="K35" s="769"/>
      <c r="L35" s="799" t="str">
        <f t="shared" si="1"/>
        <v xml:space="preserve"> </v>
      </c>
      <c r="M35" s="871" t="str">
        <f t="shared" si="14"/>
        <v/>
      </c>
      <c r="N35" s="794"/>
      <c r="O35" s="888"/>
      <c r="P35" s="794"/>
      <c r="Q35" s="879" t="str">
        <f>IF(OR($B35="",$M35=""),"",IF(AND($O$13=TRUE,OR($O35="Existing Remains",$O35="Existing Removed")),"NA",VLOOKUP($H35,'9.4.3 Tables'!B$15:O$37,9,FALSE)))</f>
        <v/>
      </c>
      <c r="R35" s="793"/>
      <c r="S35" s="766" t="str">
        <f>IF(OR($B35="",$M35=""),"",IF(AND($O$13=TRUE,OR($O35="Existing Remains",$O35="Existing Removed")),"NA",VLOOKUP($H35,'9.4.3 Tables'!B$15:O$37,10,FALSE)))</f>
        <v/>
      </c>
      <c r="T35" s="793"/>
      <c r="U35" s="766" t="str">
        <f>IF(OR($B35="",$M35=""),"",IF(AND($O$13=TRUE,OR($O35="Existing Remains",$O35="Existing Removed")),"NA",VLOOKUP($H35,'9.4.3 Tables'!B$15:O$37,11,FALSE)))</f>
        <v/>
      </c>
      <c r="V35" s="793"/>
      <c r="W35" s="766" t="str">
        <f>IF(OR($B35="",$M35=""),"",IF(AND($O$13=TRUE,OR($O35="Existing Remains",$O35="Existing Removed")),"NA",VLOOKUP($H35,'9.4.3 Tables'!B$15:O$37,12,FALSE)))</f>
        <v/>
      </c>
      <c r="X35" s="801"/>
      <c r="Y35" s="766" t="str">
        <f>IF(OR($B35="",$M35=""),"",IF(AND($O$13=TRUE,OR($O35="Existing Remains",$O35="Existing Removed")),"NA",VLOOKUP($H35,'9.4.3 Tables'!B$15:O$37,13,FALSE)))</f>
        <v/>
      </c>
      <c r="Z35" s="880"/>
      <c r="AA35" s="236"/>
      <c r="AB35" s="891" t="str">
        <f t="shared" si="2"/>
        <v/>
      </c>
      <c r="AC35" s="90"/>
      <c r="AD35" s="795" t="str">
        <f t="shared" si="3"/>
        <v/>
      </c>
      <c r="AE35" s="795" t="str">
        <f t="shared" si="4"/>
        <v/>
      </c>
      <c r="AF35" s="236"/>
      <c r="AG35" s="795">
        <f t="shared" si="5"/>
        <v>0</v>
      </c>
      <c r="AH35" s="926"/>
      <c r="AI35" s="795">
        <f t="shared" si="9"/>
        <v>0</v>
      </c>
      <c r="AJ35" s="795">
        <f t="shared" si="10"/>
        <v>0</v>
      </c>
      <c r="AK35" s="795">
        <f t="shared" si="11"/>
        <v>0</v>
      </c>
      <c r="AL35" s="795">
        <f t="shared" si="12"/>
        <v>0</v>
      </c>
      <c r="AM35" s="795">
        <f t="shared" si="13"/>
        <v>0</v>
      </c>
      <c r="AN35" s="926"/>
      <c r="AO35" s="795">
        <f t="shared" si="15"/>
        <v>0</v>
      </c>
      <c r="AQ35" s="43" t="str">
        <f t="shared" si="6"/>
        <v/>
      </c>
      <c r="AR35" s="43" t="str">
        <f t="shared" si="7"/>
        <v/>
      </c>
      <c r="AS35" s="43" t="str">
        <f t="shared" si="8"/>
        <v/>
      </c>
      <c r="AU35" s="737">
        <v>10</v>
      </c>
      <c r="AV35" s="737" t="s">
        <v>1048</v>
      </c>
    </row>
    <row r="36" spans="1:48" x14ac:dyDescent="0.25">
      <c r="A36" s="326">
        <v>11</v>
      </c>
      <c r="B36" s="1670"/>
      <c r="C36" s="1671"/>
      <c r="D36" s="1671"/>
      <c r="E36" s="1671"/>
      <c r="F36" s="809"/>
      <c r="G36" s="860"/>
      <c r="H36" s="798" t="str">
        <f>IFERROR(VLOOKUP(B36,'Ext Area Schedule'!Y$16:AA$65,3,FALSE),"")</f>
        <v/>
      </c>
      <c r="I36" s="870"/>
      <c r="J36" s="799" t="str">
        <f t="shared" si="0"/>
        <v/>
      </c>
      <c r="K36" s="769"/>
      <c r="L36" s="799" t="str">
        <f t="shared" si="1"/>
        <v xml:space="preserve"> </v>
      </c>
      <c r="M36" s="871" t="str">
        <f t="shared" si="14"/>
        <v/>
      </c>
      <c r="N36" s="794"/>
      <c r="O36" s="888"/>
      <c r="P36" s="794"/>
      <c r="Q36" s="879" t="str">
        <f>IF(OR($B36="",$M36=""),"",IF(AND($O$13=TRUE,OR($O36="Existing Remains",$O36="Existing Removed")),"NA",VLOOKUP($H36,'9.4.3 Tables'!B$15:O$37,9,FALSE)))</f>
        <v/>
      </c>
      <c r="R36" s="793"/>
      <c r="S36" s="766" t="str">
        <f>IF(OR($B36="",$M36=""),"",IF(AND($O$13=TRUE,OR($O36="Existing Remains",$O36="Existing Removed")),"NA",VLOOKUP($H36,'9.4.3 Tables'!B$15:O$37,10,FALSE)))</f>
        <v/>
      </c>
      <c r="T36" s="793"/>
      <c r="U36" s="766" t="str">
        <f>IF(OR($B36="",$M36=""),"",IF(AND($O$13=TRUE,OR($O36="Existing Remains",$O36="Existing Removed")),"NA",VLOOKUP($H36,'9.4.3 Tables'!B$15:O$37,11,FALSE)))</f>
        <v/>
      </c>
      <c r="V36" s="793"/>
      <c r="W36" s="766" t="str">
        <f>IF(OR($B36="",$M36=""),"",IF(AND($O$13=TRUE,OR($O36="Existing Remains",$O36="Existing Removed")),"NA",VLOOKUP($H36,'9.4.3 Tables'!B$15:O$37,12,FALSE)))</f>
        <v/>
      </c>
      <c r="X36" s="801"/>
      <c r="Y36" s="766" t="str">
        <f>IF(OR($B36="",$M36=""),"",IF(AND($O$13=TRUE,OR($O36="Existing Remains",$O36="Existing Removed")),"NA",VLOOKUP($H36,'9.4.3 Tables'!B$15:O$37,13,FALSE)))</f>
        <v/>
      </c>
      <c r="Z36" s="880"/>
      <c r="AA36" s="236"/>
      <c r="AB36" s="891" t="str">
        <f t="shared" si="2"/>
        <v/>
      </c>
      <c r="AC36" s="90"/>
      <c r="AD36" s="795" t="str">
        <f t="shared" si="3"/>
        <v/>
      </c>
      <c r="AE36" s="795" t="str">
        <f t="shared" si="4"/>
        <v/>
      </c>
      <c r="AF36" s="236"/>
      <c r="AG36" s="795">
        <f t="shared" si="5"/>
        <v>0</v>
      </c>
      <c r="AH36" s="926"/>
      <c r="AI36" s="795">
        <f t="shared" si="9"/>
        <v>0</v>
      </c>
      <c r="AJ36" s="795">
        <f t="shared" si="10"/>
        <v>0</v>
      </c>
      <c r="AK36" s="795">
        <f t="shared" si="11"/>
        <v>0</v>
      </c>
      <c r="AL36" s="795">
        <f t="shared" si="12"/>
        <v>0</v>
      </c>
      <c r="AM36" s="795">
        <f t="shared" si="13"/>
        <v>0</v>
      </c>
      <c r="AN36" s="926"/>
      <c r="AO36" s="795">
        <f t="shared" si="15"/>
        <v>0</v>
      </c>
      <c r="AQ36" s="43" t="str">
        <f t="shared" si="6"/>
        <v/>
      </c>
      <c r="AR36" s="43" t="str">
        <f t="shared" si="7"/>
        <v/>
      </c>
      <c r="AS36" s="43" t="str">
        <f t="shared" si="8"/>
        <v/>
      </c>
      <c r="AU36" s="737">
        <v>11</v>
      </c>
      <c r="AV36" s="737" t="s">
        <v>1049</v>
      </c>
    </row>
    <row r="37" spans="1:48" x14ac:dyDescent="0.25">
      <c r="A37" s="326">
        <v>12</v>
      </c>
      <c r="B37" s="1670"/>
      <c r="C37" s="1671"/>
      <c r="D37" s="1671"/>
      <c r="E37" s="1671"/>
      <c r="F37" s="809"/>
      <c r="G37" s="860"/>
      <c r="H37" s="798" t="str">
        <f>IFERROR(VLOOKUP(B37,'Ext Area Schedule'!Y$16:AA$65,3,FALSE),"")</f>
        <v/>
      </c>
      <c r="I37" s="870"/>
      <c r="J37" s="799" t="str">
        <f t="shared" si="0"/>
        <v/>
      </c>
      <c r="K37" s="769"/>
      <c r="L37" s="799" t="str">
        <f t="shared" si="1"/>
        <v xml:space="preserve"> </v>
      </c>
      <c r="M37" s="871" t="str">
        <f t="shared" si="14"/>
        <v/>
      </c>
      <c r="N37" s="794"/>
      <c r="O37" s="888"/>
      <c r="P37" s="794"/>
      <c r="Q37" s="879" t="str">
        <f>IF(OR($B37="",$M37=""),"",IF(AND($O$13=TRUE,OR($O37="Existing Remains",$O37="Existing Removed")),"NA",VLOOKUP($H37,'9.4.3 Tables'!B$15:O$37,9,FALSE)))</f>
        <v/>
      </c>
      <c r="R37" s="793"/>
      <c r="S37" s="766" t="str">
        <f>IF(OR($B37="",$M37=""),"",IF(AND($O$13=TRUE,OR($O37="Existing Remains",$O37="Existing Removed")),"NA",VLOOKUP($H37,'9.4.3 Tables'!B$15:O$37,10,FALSE)))</f>
        <v/>
      </c>
      <c r="T37" s="793"/>
      <c r="U37" s="766" t="str">
        <f>IF(OR($B37="",$M37=""),"",IF(AND($O$13=TRUE,OR($O37="Existing Remains",$O37="Existing Removed")),"NA",VLOOKUP($H37,'9.4.3 Tables'!B$15:O$37,11,FALSE)))</f>
        <v/>
      </c>
      <c r="V37" s="793"/>
      <c r="W37" s="766" t="str">
        <f>IF(OR($B37="",$M37=""),"",IF(AND($O$13=TRUE,OR($O37="Existing Remains",$O37="Existing Removed")),"NA",VLOOKUP($H37,'9.4.3 Tables'!B$15:O$37,12,FALSE)))</f>
        <v/>
      </c>
      <c r="X37" s="801"/>
      <c r="Y37" s="766" t="str">
        <f>IF(OR($B37="",$M37=""),"",IF(AND($O$13=TRUE,OR($O37="Existing Remains",$O37="Existing Removed")),"NA",VLOOKUP($H37,'9.4.3 Tables'!B$15:O$37,13,FALSE)))</f>
        <v/>
      </c>
      <c r="Z37" s="880"/>
      <c r="AA37" s="236"/>
      <c r="AB37" s="891" t="str">
        <f t="shared" si="2"/>
        <v/>
      </c>
      <c r="AC37" s="90"/>
      <c r="AD37" s="795" t="str">
        <f t="shared" si="3"/>
        <v/>
      </c>
      <c r="AE37" s="795" t="str">
        <f t="shared" si="4"/>
        <v/>
      </c>
      <c r="AF37" s="236"/>
      <c r="AG37" s="795">
        <f t="shared" si="5"/>
        <v>0</v>
      </c>
      <c r="AH37" s="926"/>
      <c r="AI37" s="795">
        <f t="shared" si="9"/>
        <v>0</v>
      </c>
      <c r="AJ37" s="795">
        <f t="shared" si="10"/>
        <v>0</v>
      </c>
      <c r="AK37" s="795">
        <f t="shared" si="11"/>
        <v>0</v>
      </c>
      <c r="AL37" s="795">
        <f t="shared" si="12"/>
        <v>0</v>
      </c>
      <c r="AM37" s="795">
        <f t="shared" si="13"/>
        <v>0</v>
      </c>
      <c r="AN37" s="926"/>
      <c r="AO37" s="795">
        <f t="shared" si="15"/>
        <v>0</v>
      </c>
      <c r="AQ37" s="43" t="str">
        <f t="shared" si="6"/>
        <v/>
      </c>
      <c r="AR37" s="43" t="str">
        <f t="shared" si="7"/>
        <v/>
      </c>
      <c r="AS37" s="43" t="str">
        <f t="shared" si="8"/>
        <v/>
      </c>
      <c r="AU37" s="737">
        <v>12</v>
      </c>
      <c r="AV37" s="737" t="s">
        <v>1050</v>
      </c>
    </row>
    <row r="38" spans="1:48" x14ac:dyDescent="0.25">
      <c r="A38" s="326">
        <v>13</v>
      </c>
      <c r="B38" s="1670"/>
      <c r="C38" s="1671"/>
      <c r="D38" s="1671"/>
      <c r="E38" s="1671"/>
      <c r="F38" s="809"/>
      <c r="G38" s="860"/>
      <c r="H38" s="798" t="str">
        <f>IFERROR(VLOOKUP(B38,'Ext Area Schedule'!Y$16:AA$65,3,FALSE),"")</f>
        <v/>
      </c>
      <c r="I38" s="870"/>
      <c r="J38" s="799" t="str">
        <f t="shared" si="0"/>
        <v/>
      </c>
      <c r="K38" s="769"/>
      <c r="L38" s="799" t="str">
        <f t="shared" si="1"/>
        <v xml:space="preserve"> </v>
      </c>
      <c r="M38" s="871" t="str">
        <f t="shared" si="14"/>
        <v/>
      </c>
      <c r="N38" s="794"/>
      <c r="O38" s="888"/>
      <c r="P38" s="794"/>
      <c r="Q38" s="879" t="str">
        <f>IF(OR($B38="",$M38=""),"",IF(AND($O$13=TRUE,OR($O38="Existing Remains",$O38="Existing Removed")),"NA",VLOOKUP($H38,'9.4.3 Tables'!B$15:O$37,9,FALSE)))</f>
        <v/>
      </c>
      <c r="R38" s="793"/>
      <c r="S38" s="766" t="str">
        <f>IF(OR($B38="",$M38=""),"",IF(AND($O$13=TRUE,OR($O38="Existing Remains",$O38="Existing Removed")),"NA",VLOOKUP($H38,'9.4.3 Tables'!B$15:O$37,10,FALSE)))</f>
        <v/>
      </c>
      <c r="T38" s="793"/>
      <c r="U38" s="766" t="str">
        <f>IF(OR($B38="",$M38=""),"",IF(AND($O$13=TRUE,OR($O38="Existing Remains",$O38="Existing Removed")),"NA",VLOOKUP($H38,'9.4.3 Tables'!B$15:O$37,11,FALSE)))</f>
        <v/>
      </c>
      <c r="V38" s="793"/>
      <c r="W38" s="766" t="str">
        <f>IF(OR($B38="",$M38=""),"",IF(AND($O$13=TRUE,OR($O38="Existing Remains",$O38="Existing Removed")),"NA",VLOOKUP($H38,'9.4.3 Tables'!B$15:O$37,12,FALSE)))</f>
        <v/>
      </c>
      <c r="X38" s="801"/>
      <c r="Y38" s="766" t="str">
        <f>IF(OR($B38="",$M38=""),"",IF(AND($O$13=TRUE,OR($O38="Existing Remains",$O38="Existing Removed")),"NA",VLOOKUP($H38,'9.4.3 Tables'!B$15:O$37,13,FALSE)))</f>
        <v/>
      </c>
      <c r="Z38" s="880"/>
      <c r="AA38" s="236"/>
      <c r="AB38" s="891" t="str">
        <f t="shared" si="2"/>
        <v/>
      </c>
      <c r="AC38" s="90"/>
      <c r="AD38" s="795" t="str">
        <f t="shared" si="3"/>
        <v/>
      </c>
      <c r="AE38" s="795" t="str">
        <f t="shared" si="4"/>
        <v/>
      </c>
      <c r="AF38" s="236"/>
      <c r="AG38" s="795">
        <f t="shared" si="5"/>
        <v>0</v>
      </c>
      <c r="AH38" s="926"/>
      <c r="AI38" s="795">
        <f t="shared" si="9"/>
        <v>0</v>
      </c>
      <c r="AJ38" s="795">
        <f t="shared" si="10"/>
        <v>0</v>
      </c>
      <c r="AK38" s="795">
        <f t="shared" si="11"/>
        <v>0</v>
      </c>
      <c r="AL38" s="795">
        <f t="shared" si="12"/>
        <v>0</v>
      </c>
      <c r="AM38" s="795">
        <f t="shared" si="13"/>
        <v>0</v>
      </c>
      <c r="AN38" s="926"/>
      <c r="AO38" s="795">
        <f t="shared" si="15"/>
        <v>0</v>
      </c>
      <c r="AQ38" s="43" t="str">
        <f t="shared" si="6"/>
        <v/>
      </c>
      <c r="AR38" s="43" t="str">
        <f t="shared" si="7"/>
        <v/>
      </c>
      <c r="AS38" s="43" t="str">
        <f t="shared" si="8"/>
        <v/>
      </c>
      <c r="AU38" s="737">
        <v>13</v>
      </c>
      <c r="AV38" s="737" t="s">
        <v>1051</v>
      </c>
    </row>
    <row r="39" spans="1:48" x14ac:dyDescent="0.25">
      <c r="A39" s="326">
        <v>14</v>
      </c>
      <c r="B39" s="1670"/>
      <c r="C39" s="1671"/>
      <c r="D39" s="1671"/>
      <c r="E39" s="1671"/>
      <c r="F39" s="809"/>
      <c r="G39" s="860"/>
      <c r="H39" s="798" t="str">
        <f>IFERROR(VLOOKUP(B39,'Ext Area Schedule'!Y$16:AA$65,3,FALSE),"")</f>
        <v/>
      </c>
      <c r="I39" s="870"/>
      <c r="J39" s="799" t="str">
        <f t="shared" si="0"/>
        <v/>
      </c>
      <c r="K39" s="769"/>
      <c r="L39" s="799" t="str">
        <f t="shared" si="1"/>
        <v xml:space="preserve"> </v>
      </c>
      <c r="M39" s="871" t="str">
        <f t="shared" si="14"/>
        <v/>
      </c>
      <c r="N39" s="794"/>
      <c r="O39" s="888"/>
      <c r="P39" s="794"/>
      <c r="Q39" s="879" t="str">
        <f>IF(OR($B39="",$M39=""),"",IF(AND($O$13=TRUE,OR($O39="Existing Remains",$O39="Existing Removed")),"NA",VLOOKUP($H39,'9.4.3 Tables'!B$15:O$37,9,FALSE)))</f>
        <v/>
      </c>
      <c r="R39" s="793"/>
      <c r="S39" s="766" t="str">
        <f>IF(OR($B39="",$M39=""),"",IF(AND($O$13=TRUE,OR($O39="Existing Remains",$O39="Existing Removed")),"NA",VLOOKUP($H39,'9.4.3 Tables'!B$15:O$37,10,FALSE)))</f>
        <v/>
      </c>
      <c r="T39" s="793"/>
      <c r="U39" s="766" t="str">
        <f>IF(OR($B39="",$M39=""),"",IF(AND($O$13=TRUE,OR($O39="Existing Remains",$O39="Existing Removed")),"NA",VLOOKUP($H39,'9.4.3 Tables'!B$15:O$37,11,FALSE)))</f>
        <v/>
      </c>
      <c r="V39" s="793"/>
      <c r="W39" s="766" t="str">
        <f>IF(OR($B39="",$M39=""),"",IF(AND($O$13=TRUE,OR($O39="Existing Remains",$O39="Existing Removed")),"NA",VLOOKUP($H39,'9.4.3 Tables'!B$15:O$37,12,FALSE)))</f>
        <v/>
      </c>
      <c r="X39" s="801"/>
      <c r="Y39" s="766" t="str">
        <f>IF(OR($B39="",$M39=""),"",IF(AND($O$13=TRUE,OR($O39="Existing Remains",$O39="Existing Removed")),"NA",VLOOKUP($H39,'9.4.3 Tables'!B$15:O$37,13,FALSE)))</f>
        <v/>
      </c>
      <c r="Z39" s="880"/>
      <c r="AA39" s="236"/>
      <c r="AB39" s="891" t="str">
        <f t="shared" si="2"/>
        <v/>
      </c>
      <c r="AC39" s="90"/>
      <c r="AD39" s="795" t="str">
        <f t="shared" si="3"/>
        <v/>
      </c>
      <c r="AE39" s="795" t="str">
        <f t="shared" si="4"/>
        <v/>
      </c>
      <c r="AF39" s="236"/>
      <c r="AG39" s="795">
        <f t="shared" si="5"/>
        <v>0</v>
      </c>
      <c r="AH39" s="926"/>
      <c r="AI39" s="795">
        <f t="shared" si="9"/>
        <v>0</v>
      </c>
      <c r="AJ39" s="795">
        <f t="shared" si="10"/>
        <v>0</v>
      </c>
      <c r="AK39" s="795">
        <f t="shared" si="11"/>
        <v>0</v>
      </c>
      <c r="AL39" s="795">
        <f t="shared" si="12"/>
        <v>0</v>
      </c>
      <c r="AM39" s="795">
        <f t="shared" si="13"/>
        <v>0</v>
      </c>
      <c r="AN39" s="926"/>
      <c r="AO39" s="795">
        <f t="shared" si="15"/>
        <v>0</v>
      </c>
      <c r="AQ39" s="43" t="str">
        <f t="shared" si="6"/>
        <v/>
      </c>
      <c r="AR39" s="43" t="str">
        <f t="shared" si="7"/>
        <v/>
      </c>
      <c r="AS39" s="43" t="str">
        <f t="shared" si="8"/>
        <v/>
      </c>
      <c r="AU39" s="737">
        <v>14</v>
      </c>
      <c r="AV39" s="737" t="s">
        <v>1052</v>
      </c>
    </row>
    <row r="40" spans="1:48" x14ac:dyDescent="0.25">
      <c r="A40" s="326">
        <v>15</v>
      </c>
      <c r="B40" s="1670"/>
      <c r="C40" s="1671"/>
      <c r="D40" s="1671"/>
      <c r="E40" s="1671"/>
      <c r="F40" s="809"/>
      <c r="G40" s="860"/>
      <c r="H40" s="798" t="str">
        <f>IFERROR(VLOOKUP(B40,'Ext Area Schedule'!Y$16:AA$65,3,FALSE),"")</f>
        <v/>
      </c>
      <c r="I40" s="870"/>
      <c r="J40" s="799" t="str">
        <f t="shared" si="0"/>
        <v/>
      </c>
      <c r="K40" s="769"/>
      <c r="L40" s="799" t="str">
        <f t="shared" si="1"/>
        <v xml:space="preserve"> </v>
      </c>
      <c r="M40" s="871" t="str">
        <f t="shared" si="14"/>
        <v/>
      </c>
      <c r="N40" s="794"/>
      <c r="O40" s="888"/>
      <c r="P40" s="794"/>
      <c r="Q40" s="879" t="str">
        <f>IF(OR($B40="",$M40=""),"",IF(AND($O$13=TRUE,OR($O40="Existing Remains",$O40="Existing Removed")),"NA",VLOOKUP($H40,'9.4.3 Tables'!B$15:O$37,9,FALSE)))</f>
        <v/>
      </c>
      <c r="R40" s="793"/>
      <c r="S40" s="766" t="str">
        <f>IF(OR($B40="",$M40=""),"",IF(AND($O$13=TRUE,OR($O40="Existing Remains",$O40="Existing Removed")),"NA",VLOOKUP($H40,'9.4.3 Tables'!B$15:O$37,10,FALSE)))</f>
        <v/>
      </c>
      <c r="T40" s="793"/>
      <c r="U40" s="766" t="str">
        <f>IF(OR($B40="",$M40=""),"",IF(AND($O$13=TRUE,OR($O40="Existing Remains",$O40="Existing Removed")),"NA",VLOOKUP($H40,'9.4.3 Tables'!B$15:O$37,11,FALSE)))</f>
        <v/>
      </c>
      <c r="V40" s="793"/>
      <c r="W40" s="766" t="str">
        <f>IF(OR($B40="",$M40=""),"",IF(AND($O$13=TRUE,OR($O40="Existing Remains",$O40="Existing Removed")),"NA",VLOOKUP($H40,'9.4.3 Tables'!B$15:O$37,12,FALSE)))</f>
        <v/>
      </c>
      <c r="X40" s="801"/>
      <c r="Y40" s="766" t="str">
        <f>IF(OR($B40="",$M40=""),"",IF(AND($O$13=TRUE,OR($O40="Existing Remains",$O40="Existing Removed")),"NA",VLOOKUP($H40,'9.4.3 Tables'!B$15:O$37,13,FALSE)))</f>
        <v/>
      </c>
      <c r="Z40" s="880"/>
      <c r="AA40" s="236"/>
      <c r="AB40" s="891" t="str">
        <f t="shared" si="2"/>
        <v/>
      </c>
      <c r="AC40" s="90"/>
      <c r="AD40" s="795" t="str">
        <f t="shared" si="3"/>
        <v/>
      </c>
      <c r="AE40" s="795" t="str">
        <f t="shared" si="4"/>
        <v/>
      </c>
      <c r="AF40" s="236"/>
      <c r="AG40" s="795">
        <f t="shared" si="5"/>
        <v>0</v>
      </c>
      <c r="AH40" s="926"/>
      <c r="AI40" s="795">
        <f t="shared" si="9"/>
        <v>0</v>
      </c>
      <c r="AJ40" s="795">
        <f t="shared" si="10"/>
        <v>0</v>
      </c>
      <c r="AK40" s="795">
        <f t="shared" si="11"/>
        <v>0</v>
      </c>
      <c r="AL40" s="795">
        <f t="shared" si="12"/>
        <v>0</v>
      </c>
      <c r="AM40" s="795">
        <f t="shared" si="13"/>
        <v>0</v>
      </c>
      <c r="AN40" s="926"/>
      <c r="AO40" s="795">
        <f t="shared" si="15"/>
        <v>0</v>
      </c>
      <c r="AQ40" s="43" t="str">
        <f t="shared" si="6"/>
        <v/>
      </c>
      <c r="AR40" s="43" t="str">
        <f t="shared" si="7"/>
        <v/>
      </c>
      <c r="AS40" s="43" t="str">
        <f t="shared" si="8"/>
        <v/>
      </c>
      <c r="AU40" s="737">
        <v>15</v>
      </c>
      <c r="AV40" s="737" t="s">
        <v>908</v>
      </c>
    </row>
    <row r="41" spans="1:48" x14ac:dyDescent="0.25">
      <c r="A41" s="326">
        <v>16</v>
      </c>
      <c r="B41" s="1670"/>
      <c r="C41" s="1671"/>
      <c r="D41" s="1671"/>
      <c r="E41" s="1671"/>
      <c r="F41" s="809"/>
      <c r="G41" s="860"/>
      <c r="H41" s="798" t="str">
        <f>IFERROR(VLOOKUP(B41,'Ext Area Schedule'!Y$16:AA$65,3,FALSE),"")</f>
        <v/>
      </c>
      <c r="I41" s="870"/>
      <c r="J41" s="799" t="str">
        <f t="shared" si="0"/>
        <v/>
      </c>
      <c r="K41" s="769"/>
      <c r="L41" s="799" t="str">
        <f t="shared" si="1"/>
        <v xml:space="preserve"> </v>
      </c>
      <c r="M41" s="871" t="str">
        <f t="shared" si="14"/>
        <v/>
      </c>
      <c r="N41" s="794"/>
      <c r="O41" s="888"/>
      <c r="P41" s="794"/>
      <c r="Q41" s="879" t="str">
        <f>IF(OR($B41="",$M41=""),"",IF(AND($O$13=TRUE,OR($O41="Existing Remains",$O41="Existing Removed")),"NA",VLOOKUP($H41,'9.4.3 Tables'!B$15:O$37,9,FALSE)))</f>
        <v/>
      </c>
      <c r="R41" s="793"/>
      <c r="S41" s="766" t="str">
        <f>IF(OR($B41="",$M41=""),"",IF(AND($O$13=TRUE,OR($O41="Existing Remains",$O41="Existing Removed")),"NA",VLOOKUP($H41,'9.4.3 Tables'!B$15:O$37,10,FALSE)))</f>
        <v/>
      </c>
      <c r="T41" s="793"/>
      <c r="U41" s="766" t="str">
        <f>IF(OR($B41="",$M41=""),"",IF(AND($O$13=TRUE,OR($O41="Existing Remains",$O41="Existing Removed")),"NA",VLOOKUP($H41,'9.4.3 Tables'!B$15:O$37,11,FALSE)))</f>
        <v/>
      </c>
      <c r="V41" s="793"/>
      <c r="W41" s="766" t="str">
        <f>IF(OR($B41="",$M41=""),"",IF(AND($O$13=TRUE,OR($O41="Existing Remains",$O41="Existing Removed")),"NA",VLOOKUP($H41,'9.4.3 Tables'!B$15:O$37,12,FALSE)))</f>
        <v/>
      </c>
      <c r="X41" s="801"/>
      <c r="Y41" s="766" t="str">
        <f>IF(OR($B41="",$M41=""),"",IF(AND($O$13=TRUE,OR($O41="Existing Remains",$O41="Existing Removed")),"NA",VLOOKUP($H41,'9.4.3 Tables'!B$15:O$37,13,FALSE)))</f>
        <v/>
      </c>
      <c r="Z41" s="880"/>
      <c r="AA41" s="236"/>
      <c r="AB41" s="891" t="str">
        <f t="shared" si="2"/>
        <v/>
      </c>
      <c r="AC41" s="90"/>
      <c r="AD41" s="795" t="str">
        <f t="shared" si="3"/>
        <v/>
      </c>
      <c r="AE41" s="795" t="str">
        <f t="shared" si="4"/>
        <v/>
      </c>
      <c r="AF41" s="236"/>
      <c r="AG41" s="795">
        <f t="shared" si="5"/>
        <v>0</v>
      </c>
      <c r="AH41" s="926"/>
      <c r="AI41" s="795">
        <f t="shared" si="9"/>
        <v>0</v>
      </c>
      <c r="AJ41" s="795">
        <f t="shared" si="10"/>
        <v>0</v>
      </c>
      <c r="AK41" s="795">
        <f t="shared" si="11"/>
        <v>0</v>
      </c>
      <c r="AL41" s="795">
        <f t="shared" si="12"/>
        <v>0</v>
      </c>
      <c r="AM41" s="795">
        <f t="shared" si="13"/>
        <v>0</v>
      </c>
      <c r="AN41" s="926"/>
      <c r="AO41" s="795">
        <f t="shared" si="15"/>
        <v>0</v>
      </c>
      <c r="AQ41" s="43" t="str">
        <f t="shared" si="6"/>
        <v/>
      </c>
      <c r="AR41" s="43" t="str">
        <f t="shared" si="7"/>
        <v/>
      </c>
      <c r="AS41" s="43" t="str">
        <f t="shared" si="8"/>
        <v/>
      </c>
      <c r="AU41" s="737">
        <v>16</v>
      </c>
      <c r="AV41" s="737" t="s">
        <v>1053</v>
      </c>
    </row>
    <row r="42" spans="1:48" x14ac:dyDescent="0.25">
      <c r="A42" s="326">
        <v>17</v>
      </c>
      <c r="B42" s="1670"/>
      <c r="C42" s="1671"/>
      <c r="D42" s="1671"/>
      <c r="E42" s="1671"/>
      <c r="F42" s="809"/>
      <c r="G42" s="860"/>
      <c r="H42" s="798" t="str">
        <f>IFERROR(VLOOKUP(B42,'Ext Area Schedule'!Y$16:AA$65,3,FALSE),"")</f>
        <v/>
      </c>
      <c r="I42" s="870"/>
      <c r="J42" s="799" t="str">
        <f t="shared" si="0"/>
        <v/>
      </c>
      <c r="K42" s="769"/>
      <c r="L42" s="799" t="str">
        <f t="shared" si="1"/>
        <v xml:space="preserve"> </v>
      </c>
      <c r="M42" s="871" t="str">
        <f t="shared" si="14"/>
        <v/>
      </c>
      <c r="N42" s="794"/>
      <c r="O42" s="888"/>
      <c r="P42" s="794"/>
      <c r="Q42" s="879" t="str">
        <f>IF(OR($B42="",$M42=""),"",IF(AND($O$13=TRUE,OR($O42="Existing Remains",$O42="Existing Removed")),"NA",VLOOKUP($H42,'9.4.3 Tables'!B$15:O$37,9,FALSE)))</f>
        <v/>
      </c>
      <c r="R42" s="793"/>
      <c r="S42" s="766" t="str">
        <f>IF(OR($B42="",$M42=""),"",IF(AND($O$13=TRUE,OR($O42="Existing Remains",$O42="Existing Removed")),"NA",VLOOKUP($H42,'9.4.3 Tables'!B$15:O$37,10,FALSE)))</f>
        <v/>
      </c>
      <c r="T42" s="793"/>
      <c r="U42" s="766" t="str">
        <f>IF(OR($B42="",$M42=""),"",IF(AND($O$13=TRUE,OR($O42="Existing Remains",$O42="Existing Removed")),"NA",VLOOKUP($H42,'9.4.3 Tables'!B$15:O$37,11,FALSE)))</f>
        <v/>
      </c>
      <c r="V42" s="793"/>
      <c r="W42" s="766" t="str">
        <f>IF(OR($B42="",$M42=""),"",IF(AND($O$13=TRUE,OR($O42="Existing Remains",$O42="Existing Removed")),"NA",VLOOKUP($H42,'9.4.3 Tables'!B$15:O$37,12,FALSE)))</f>
        <v/>
      </c>
      <c r="X42" s="801"/>
      <c r="Y42" s="766" t="str">
        <f>IF(OR($B42="",$M42=""),"",IF(AND($O$13=TRUE,OR($O42="Existing Remains",$O42="Existing Removed")),"NA",VLOOKUP($H42,'9.4.3 Tables'!B$15:O$37,13,FALSE)))</f>
        <v/>
      </c>
      <c r="Z42" s="880"/>
      <c r="AA42" s="236"/>
      <c r="AB42" s="891" t="str">
        <f t="shared" si="2"/>
        <v/>
      </c>
      <c r="AC42" s="90"/>
      <c r="AD42" s="795" t="str">
        <f t="shared" si="3"/>
        <v/>
      </c>
      <c r="AE42" s="795" t="str">
        <f t="shared" si="4"/>
        <v/>
      </c>
      <c r="AF42" s="236"/>
      <c r="AG42" s="795">
        <f t="shared" si="5"/>
        <v>0</v>
      </c>
      <c r="AH42" s="926"/>
      <c r="AI42" s="795">
        <f t="shared" si="9"/>
        <v>0</v>
      </c>
      <c r="AJ42" s="795">
        <f t="shared" si="10"/>
        <v>0</v>
      </c>
      <c r="AK42" s="795">
        <f t="shared" si="11"/>
        <v>0</v>
      </c>
      <c r="AL42" s="795">
        <f t="shared" si="12"/>
        <v>0</v>
      </c>
      <c r="AM42" s="795">
        <f t="shared" si="13"/>
        <v>0</v>
      </c>
      <c r="AN42" s="926"/>
      <c r="AO42" s="795">
        <f t="shared" si="15"/>
        <v>0</v>
      </c>
      <c r="AQ42" s="43" t="str">
        <f t="shared" si="6"/>
        <v/>
      </c>
      <c r="AR42" s="43" t="str">
        <f t="shared" si="7"/>
        <v/>
      </c>
      <c r="AS42" s="43" t="str">
        <f t="shared" si="8"/>
        <v/>
      </c>
      <c r="AU42" s="737">
        <v>17</v>
      </c>
      <c r="AV42" s="737" t="s">
        <v>909</v>
      </c>
    </row>
    <row r="43" spans="1:48" x14ac:dyDescent="0.25">
      <c r="A43" s="326">
        <v>18</v>
      </c>
      <c r="B43" s="1670"/>
      <c r="C43" s="1671"/>
      <c r="D43" s="1671"/>
      <c r="E43" s="1671"/>
      <c r="F43" s="809"/>
      <c r="G43" s="860"/>
      <c r="H43" s="798" t="str">
        <f>IFERROR(VLOOKUP(B43,'Ext Area Schedule'!Y$16:AA$65,3,FALSE),"")</f>
        <v/>
      </c>
      <c r="I43" s="870"/>
      <c r="J43" s="799" t="str">
        <f t="shared" si="0"/>
        <v/>
      </c>
      <c r="K43" s="769"/>
      <c r="L43" s="799" t="str">
        <f t="shared" si="1"/>
        <v xml:space="preserve"> </v>
      </c>
      <c r="M43" s="871" t="str">
        <f t="shared" si="14"/>
        <v/>
      </c>
      <c r="N43" s="794"/>
      <c r="O43" s="888"/>
      <c r="P43" s="794"/>
      <c r="Q43" s="879" t="str">
        <f>IF(OR($B43="",$M43=""),"",IF(AND($O$13=TRUE,OR($O43="Existing Remains",$O43="Existing Removed")),"NA",VLOOKUP($H43,'9.4.3 Tables'!B$15:O$37,9,FALSE)))</f>
        <v/>
      </c>
      <c r="R43" s="793"/>
      <c r="S43" s="766" t="str">
        <f>IF(OR($B43="",$M43=""),"",IF(AND($O$13=TRUE,OR($O43="Existing Remains",$O43="Existing Removed")),"NA",VLOOKUP($H43,'9.4.3 Tables'!B$15:O$37,10,FALSE)))</f>
        <v/>
      </c>
      <c r="T43" s="793"/>
      <c r="U43" s="766" t="str">
        <f>IF(OR($B43="",$M43=""),"",IF(AND($O$13=TRUE,OR($O43="Existing Remains",$O43="Existing Removed")),"NA",VLOOKUP($H43,'9.4.3 Tables'!B$15:O$37,11,FALSE)))</f>
        <v/>
      </c>
      <c r="V43" s="793"/>
      <c r="W43" s="766" t="str">
        <f>IF(OR($B43="",$M43=""),"",IF(AND($O$13=TRUE,OR($O43="Existing Remains",$O43="Existing Removed")),"NA",VLOOKUP($H43,'9.4.3 Tables'!B$15:O$37,12,FALSE)))</f>
        <v/>
      </c>
      <c r="X43" s="801"/>
      <c r="Y43" s="766" t="str">
        <f>IF(OR($B43="",$M43=""),"",IF(AND($O$13=TRUE,OR($O43="Existing Remains",$O43="Existing Removed")),"NA",VLOOKUP($H43,'9.4.3 Tables'!B$15:O$37,13,FALSE)))</f>
        <v/>
      </c>
      <c r="Z43" s="880"/>
      <c r="AA43" s="236"/>
      <c r="AB43" s="891" t="str">
        <f t="shared" si="2"/>
        <v/>
      </c>
      <c r="AC43" s="90"/>
      <c r="AD43" s="795" t="str">
        <f t="shared" si="3"/>
        <v/>
      </c>
      <c r="AE43" s="795" t="str">
        <f t="shared" si="4"/>
        <v/>
      </c>
      <c r="AF43" s="236"/>
      <c r="AG43" s="795">
        <f t="shared" si="5"/>
        <v>0</v>
      </c>
      <c r="AH43" s="926"/>
      <c r="AI43" s="795">
        <f t="shared" si="9"/>
        <v>0</v>
      </c>
      <c r="AJ43" s="795">
        <f t="shared" si="10"/>
        <v>0</v>
      </c>
      <c r="AK43" s="795">
        <f t="shared" si="11"/>
        <v>0</v>
      </c>
      <c r="AL43" s="795">
        <f t="shared" si="12"/>
        <v>0</v>
      </c>
      <c r="AM43" s="795">
        <f t="shared" si="13"/>
        <v>0</v>
      </c>
      <c r="AN43" s="926"/>
      <c r="AO43" s="795">
        <f t="shared" si="15"/>
        <v>0</v>
      </c>
      <c r="AQ43" s="43" t="str">
        <f t="shared" si="6"/>
        <v/>
      </c>
      <c r="AR43" s="43" t="str">
        <f t="shared" si="7"/>
        <v/>
      </c>
      <c r="AS43" s="43" t="str">
        <f t="shared" si="8"/>
        <v/>
      </c>
      <c r="AU43" s="737">
        <v>18</v>
      </c>
      <c r="AV43" s="737" t="s">
        <v>1054</v>
      </c>
    </row>
    <row r="44" spans="1:48" x14ac:dyDescent="0.25">
      <c r="A44" s="326">
        <v>19</v>
      </c>
      <c r="B44" s="1670"/>
      <c r="C44" s="1671"/>
      <c r="D44" s="1671"/>
      <c r="E44" s="1671"/>
      <c r="F44" s="809"/>
      <c r="G44" s="860"/>
      <c r="H44" s="798" t="str">
        <f>IFERROR(VLOOKUP(B44,'Ext Area Schedule'!Y$16:AA$65,3,FALSE),"")</f>
        <v/>
      </c>
      <c r="I44" s="870"/>
      <c r="J44" s="799" t="str">
        <f t="shared" si="0"/>
        <v/>
      </c>
      <c r="K44" s="769"/>
      <c r="L44" s="799" t="str">
        <f t="shared" si="1"/>
        <v xml:space="preserve"> </v>
      </c>
      <c r="M44" s="871" t="str">
        <f t="shared" si="14"/>
        <v/>
      </c>
      <c r="N44" s="794"/>
      <c r="O44" s="888"/>
      <c r="P44" s="794"/>
      <c r="Q44" s="879" t="str">
        <f>IF(OR($B44="",$M44=""),"",IF(AND($O$13=TRUE,OR($O44="Existing Remains",$O44="Existing Removed")),"NA",VLOOKUP($H44,'9.4.3 Tables'!B$15:O$37,9,FALSE)))</f>
        <v/>
      </c>
      <c r="R44" s="793"/>
      <c r="S44" s="766" t="str">
        <f>IF(OR($B44="",$M44=""),"",IF(AND($O$13=TRUE,OR($O44="Existing Remains",$O44="Existing Removed")),"NA",VLOOKUP($H44,'9.4.3 Tables'!B$15:O$37,10,FALSE)))</f>
        <v/>
      </c>
      <c r="T44" s="793"/>
      <c r="U44" s="766" t="str">
        <f>IF(OR($B44="",$M44=""),"",IF(AND($O$13=TRUE,OR($O44="Existing Remains",$O44="Existing Removed")),"NA",VLOOKUP($H44,'9.4.3 Tables'!B$15:O$37,11,FALSE)))</f>
        <v/>
      </c>
      <c r="V44" s="793"/>
      <c r="W44" s="766" t="str">
        <f>IF(OR($B44="",$M44=""),"",IF(AND($O$13=TRUE,OR($O44="Existing Remains",$O44="Existing Removed")),"NA",VLOOKUP($H44,'9.4.3 Tables'!B$15:O$37,12,FALSE)))</f>
        <v/>
      </c>
      <c r="X44" s="801"/>
      <c r="Y44" s="766" t="str">
        <f>IF(OR($B44="",$M44=""),"",IF(AND($O$13=TRUE,OR($O44="Existing Remains",$O44="Existing Removed")),"NA",VLOOKUP($H44,'9.4.3 Tables'!B$15:O$37,13,FALSE)))</f>
        <v/>
      </c>
      <c r="Z44" s="880"/>
      <c r="AA44" s="236"/>
      <c r="AB44" s="891" t="str">
        <f t="shared" si="2"/>
        <v/>
      </c>
      <c r="AC44" s="90"/>
      <c r="AD44" s="795" t="str">
        <f t="shared" si="3"/>
        <v/>
      </c>
      <c r="AE44" s="795" t="str">
        <f t="shared" si="4"/>
        <v/>
      </c>
      <c r="AF44" s="236"/>
      <c r="AG44" s="795">
        <f t="shared" si="5"/>
        <v>0</v>
      </c>
      <c r="AH44" s="926"/>
      <c r="AI44" s="795">
        <f t="shared" si="9"/>
        <v>0</v>
      </c>
      <c r="AJ44" s="795">
        <f t="shared" si="10"/>
        <v>0</v>
      </c>
      <c r="AK44" s="795">
        <f t="shared" si="11"/>
        <v>0</v>
      </c>
      <c r="AL44" s="795">
        <f t="shared" si="12"/>
        <v>0</v>
      </c>
      <c r="AM44" s="795">
        <f t="shared" si="13"/>
        <v>0</v>
      </c>
      <c r="AN44" s="926"/>
      <c r="AO44" s="795">
        <f t="shared" si="15"/>
        <v>0</v>
      </c>
      <c r="AQ44" s="43" t="str">
        <f t="shared" si="6"/>
        <v/>
      </c>
      <c r="AR44" s="43" t="str">
        <f t="shared" si="7"/>
        <v/>
      </c>
      <c r="AS44" s="43" t="str">
        <f t="shared" si="8"/>
        <v/>
      </c>
      <c r="AU44" s="737">
        <v>19</v>
      </c>
      <c r="AV44" s="737" t="s">
        <v>910</v>
      </c>
    </row>
    <row r="45" spans="1:48" ht="13" thickBot="1" x14ac:dyDescent="0.3">
      <c r="A45" s="326">
        <v>20</v>
      </c>
      <c r="B45" s="1668"/>
      <c r="C45" s="1669"/>
      <c r="D45" s="1669"/>
      <c r="E45" s="1669"/>
      <c r="F45" s="747"/>
      <c r="G45" s="861"/>
      <c r="H45" s="798" t="str">
        <f>IFERROR(VLOOKUP(B45,'Ext Area Schedule'!Y$16:AA$65,3,FALSE),"")</f>
        <v/>
      </c>
      <c r="I45" s="872"/>
      <c r="J45" s="761" t="str">
        <f t="shared" si="0"/>
        <v/>
      </c>
      <c r="K45" s="489"/>
      <c r="L45" s="761" t="str">
        <f t="shared" si="1"/>
        <v xml:space="preserve"> </v>
      </c>
      <c r="M45" s="873" t="str">
        <f t="shared" si="14"/>
        <v/>
      </c>
      <c r="N45" s="794"/>
      <c r="O45" s="889"/>
      <c r="P45" s="794"/>
      <c r="Q45" s="881" t="str">
        <f>IF(OR($B45="",$M45=""),"",IF(AND($O$13=TRUE,OR($O45="Existing Remains",$O45="Existing Removed")),"NA",VLOOKUP($H45,'9.4.3 Tables'!B$15:O$37,9,FALSE)))</f>
        <v/>
      </c>
      <c r="R45" s="882"/>
      <c r="S45" s="883" t="str">
        <f>IF(OR($B45="",$M45=""),"",IF(AND($O$13=TRUE,OR($O45="Existing Remains",$O45="Existing Removed")),"NA",VLOOKUP($H45,'9.4.3 Tables'!B$15:O$37,10,FALSE)))</f>
        <v/>
      </c>
      <c r="T45" s="882"/>
      <c r="U45" s="883" t="str">
        <f>IF(OR($B45="",$M45=""),"",IF(AND($O$13=TRUE,OR($O45="Existing Remains",$O45="Existing Removed")),"NA",VLOOKUP($H45,'9.4.3 Tables'!B$15:O$37,11,FALSE)))</f>
        <v/>
      </c>
      <c r="V45" s="882"/>
      <c r="W45" s="883" t="str">
        <f>IF(OR($B45="",$M45=""),"",IF(AND($O$13=TRUE,OR($O45="Existing Remains",$O45="Existing Removed")),"NA",VLOOKUP($H45,'9.4.3 Tables'!B$15:O$37,12,FALSE)))</f>
        <v/>
      </c>
      <c r="X45" s="884"/>
      <c r="Y45" s="883" t="str">
        <f>IF(OR($B45="",$M45=""),"",IF(AND($O$13=TRUE,OR($O45="Existing Remains",$O45="Existing Removed")),"NA",VLOOKUP($H45,'9.4.3 Tables'!B$15:O$37,13,FALSE)))</f>
        <v/>
      </c>
      <c r="Z45" s="885"/>
      <c r="AA45" s="236"/>
      <c r="AB45" s="892" t="str">
        <f t="shared" si="2"/>
        <v/>
      </c>
      <c r="AC45" s="90"/>
      <c r="AD45" s="927" t="str">
        <f t="shared" si="3"/>
        <v/>
      </c>
      <c r="AE45" s="795" t="str">
        <f t="shared" si="4"/>
        <v/>
      </c>
      <c r="AF45" s="236"/>
      <c r="AG45" s="795">
        <f t="shared" si="5"/>
        <v>0</v>
      </c>
      <c r="AH45" s="926"/>
      <c r="AI45" s="795">
        <f t="shared" si="9"/>
        <v>0</v>
      </c>
      <c r="AJ45" s="795">
        <f t="shared" si="10"/>
        <v>0</v>
      </c>
      <c r="AK45" s="795">
        <f t="shared" si="11"/>
        <v>0</v>
      </c>
      <c r="AL45" s="795">
        <f t="shared" si="12"/>
        <v>0</v>
      </c>
      <c r="AM45" s="795">
        <f t="shared" si="13"/>
        <v>0</v>
      </c>
      <c r="AN45" s="926"/>
      <c r="AO45" s="795">
        <f t="shared" si="15"/>
        <v>0</v>
      </c>
      <c r="AQ45" s="43" t="str">
        <f t="shared" si="6"/>
        <v/>
      </c>
      <c r="AR45" s="43" t="str">
        <f t="shared" si="7"/>
        <v/>
      </c>
      <c r="AS45" s="43" t="str">
        <f t="shared" si="8"/>
        <v/>
      </c>
      <c r="AU45" s="737">
        <v>20</v>
      </c>
      <c r="AV45" s="737" t="s">
        <v>1055</v>
      </c>
    </row>
    <row r="46" spans="1:48" ht="13.5" thickBot="1" x14ac:dyDescent="0.35">
      <c r="P46" s="73"/>
      <c r="Q46" s="91"/>
      <c r="R46" s="91"/>
      <c r="S46" s="91"/>
      <c r="T46" s="91"/>
      <c r="U46" s="91"/>
      <c r="V46" s="91"/>
      <c r="W46" s="91"/>
      <c r="X46" s="47"/>
      <c r="Y46" s="91"/>
      <c r="Z46" s="47"/>
      <c r="AA46" s="800"/>
      <c r="AC46" s="73"/>
      <c r="AD46" s="928">
        <f>SUM(AD26:AD45)</f>
        <v>0</v>
      </c>
      <c r="AE46" s="928">
        <f>SUM(AE26:AE45)</f>
        <v>0</v>
      </c>
      <c r="AF46" s="95"/>
      <c r="AG46" s="795">
        <f>SUM(AG26:AG45)</f>
        <v>0</v>
      </c>
      <c r="AH46" s="926"/>
      <c r="AI46" s="795">
        <f t="shared" ref="AI46:AM46" si="16">SUM(AI26:AI45)</f>
        <v>0</v>
      </c>
      <c r="AJ46" s="795">
        <f t="shared" si="16"/>
        <v>0</v>
      </c>
      <c r="AK46" s="795">
        <f t="shared" si="16"/>
        <v>0</v>
      </c>
      <c r="AL46" s="795">
        <f t="shared" si="16"/>
        <v>0</v>
      </c>
      <c r="AM46" s="795">
        <f t="shared" si="16"/>
        <v>0</v>
      </c>
      <c r="AN46" s="794"/>
      <c r="AO46" s="95"/>
      <c r="AU46" s="737">
        <v>21</v>
      </c>
      <c r="AV46" s="737" t="s">
        <v>911</v>
      </c>
    </row>
    <row r="47" spans="1:48" x14ac:dyDescent="0.25">
      <c r="AA47" s="73"/>
      <c r="AH47" s="63"/>
      <c r="AN47" s="63"/>
      <c r="AU47" s="737">
        <v>22</v>
      </c>
      <c r="AV47" s="737" t="s">
        <v>1056</v>
      </c>
    </row>
    <row r="48" spans="1:48" x14ac:dyDescent="0.25">
      <c r="AU48" s="737">
        <v>23</v>
      </c>
      <c r="AV48" s="737" t="s">
        <v>912</v>
      </c>
    </row>
    <row r="49" spans="1:48" x14ac:dyDescent="0.25">
      <c r="AU49" s="737">
        <v>24</v>
      </c>
      <c r="AV49" s="737" t="s">
        <v>1057</v>
      </c>
    </row>
    <row r="50" spans="1:48" x14ac:dyDescent="0.25">
      <c r="AU50" s="737">
        <v>25</v>
      </c>
      <c r="AV50" s="737" t="s">
        <v>913</v>
      </c>
    </row>
    <row r="51" spans="1:48" x14ac:dyDescent="0.25">
      <c r="AU51" s="737">
        <v>26</v>
      </c>
      <c r="AV51" s="737" t="s">
        <v>1058</v>
      </c>
    </row>
    <row r="52" spans="1:48" x14ac:dyDescent="0.25">
      <c r="AU52" s="737">
        <v>27</v>
      </c>
      <c r="AV52" s="737" t="str">
        <f>CONCATENATE("A",AV26)</f>
        <v>AA</v>
      </c>
    </row>
    <row r="53" spans="1:48" x14ac:dyDescent="0.25">
      <c r="AU53" s="737">
        <v>28</v>
      </c>
      <c r="AV53" s="737" t="str">
        <f t="shared" ref="AV53:AV77" si="17">CONCATENATE("A",AV27)</f>
        <v>AB</v>
      </c>
    </row>
    <row r="54" spans="1:48" x14ac:dyDescent="0.25">
      <c r="AU54" s="737">
        <v>29</v>
      </c>
      <c r="AV54" s="737" t="str">
        <f t="shared" si="17"/>
        <v>AC</v>
      </c>
    </row>
    <row r="55" spans="1:48" x14ac:dyDescent="0.25">
      <c r="AU55" s="737">
        <v>30</v>
      </c>
      <c r="AV55" s="737" t="str">
        <f t="shared" si="17"/>
        <v>AD</v>
      </c>
    </row>
    <row r="56" spans="1:48" x14ac:dyDescent="0.25">
      <c r="AU56" s="737">
        <v>31</v>
      </c>
      <c r="AV56" s="737" t="str">
        <f t="shared" si="17"/>
        <v>AE</v>
      </c>
    </row>
    <row r="57" spans="1:48" x14ac:dyDescent="0.25">
      <c r="AU57" s="737">
        <v>32</v>
      </c>
      <c r="AV57" s="737" t="str">
        <f t="shared" si="17"/>
        <v>AF</v>
      </c>
    </row>
    <row r="58" spans="1:48" x14ac:dyDescent="0.25">
      <c r="AU58" s="737">
        <v>33</v>
      </c>
      <c r="AV58" s="737" t="str">
        <f t="shared" si="17"/>
        <v>AG</v>
      </c>
    </row>
    <row r="59" spans="1:48" x14ac:dyDescent="0.25">
      <c r="AU59" s="737">
        <v>34</v>
      </c>
      <c r="AV59" s="737" t="str">
        <f t="shared" si="17"/>
        <v>AH</v>
      </c>
    </row>
    <row r="60" spans="1:48" x14ac:dyDescent="0.25">
      <c r="AU60" s="737">
        <v>35</v>
      </c>
      <c r="AV60" s="737" t="str">
        <f t="shared" si="17"/>
        <v>AI</v>
      </c>
    </row>
    <row r="61" spans="1:48" x14ac:dyDescent="0.25">
      <c r="AU61" s="737">
        <v>36</v>
      </c>
      <c r="AV61" s="737" t="str">
        <f t="shared" si="17"/>
        <v>AJ</v>
      </c>
    </row>
    <row r="62" spans="1:48" x14ac:dyDescent="0.25">
      <c r="AU62" s="737">
        <v>37</v>
      </c>
      <c r="AV62" s="737" t="str">
        <f t="shared" si="17"/>
        <v>AK</v>
      </c>
    </row>
    <row r="63" spans="1:48" x14ac:dyDescent="0.25">
      <c r="A63" s="65">
        <v>1</v>
      </c>
      <c r="AU63" s="737">
        <v>38</v>
      </c>
      <c r="AV63" s="737" t="str">
        <f t="shared" si="17"/>
        <v>Al</v>
      </c>
    </row>
    <row r="64" spans="1:48" x14ac:dyDescent="0.25">
      <c r="AU64" s="737">
        <v>39</v>
      </c>
      <c r="AV64" s="737" t="str">
        <f t="shared" si="17"/>
        <v>AM</v>
      </c>
    </row>
    <row r="65" spans="47:48" x14ac:dyDescent="0.25">
      <c r="AU65" s="737">
        <v>40</v>
      </c>
      <c r="AV65" s="737" t="str">
        <f t="shared" si="17"/>
        <v>AN</v>
      </c>
    </row>
    <row r="66" spans="47:48" x14ac:dyDescent="0.25">
      <c r="AU66" s="737">
        <v>41</v>
      </c>
      <c r="AV66" s="737" t="str">
        <f t="shared" si="17"/>
        <v>AO</v>
      </c>
    </row>
    <row r="67" spans="47:48" x14ac:dyDescent="0.25">
      <c r="AU67" s="737">
        <v>42</v>
      </c>
      <c r="AV67" s="737" t="str">
        <f t="shared" si="17"/>
        <v>AP</v>
      </c>
    </row>
    <row r="68" spans="47:48" x14ac:dyDescent="0.25">
      <c r="AU68" s="737">
        <v>43</v>
      </c>
      <c r="AV68" s="737" t="str">
        <f t="shared" si="17"/>
        <v>AQ</v>
      </c>
    </row>
    <row r="69" spans="47:48" x14ac:dyDescent="0.25">
      <c r="AU69" s="737">
        <v>44</v>
      </c>
      <c r="AV69" s="737" t="str">
        <f t="shared" si="17"/>
        <v>AR</v>
      </c>
    </row>
    <row r="70" spans="47:48" x14ac:dyDescent="0.25">
      <c r="AU70" s="737">
        <v>45</v>
      </c>
      <c r="AV70" s="737" t="str">
        <f t="shared" si="17"/>
        <v>AS</v>
      </c>
    </row>
    <row r="71" spans="47:48" x14ac:dyDescent="0.25">
      <c r="AU71" s="737">
        <v>46</v>
      </c>
      <c r="AV71" s="737" t="str">
        <f t="shared" si="17"/>
        <v>AT</v>
      </c>
    </row>
    <row r="72" spans="47:48" x14ac:dyDescent="0.25">
      <c r="AU72" s="737">
        <v>47</v>
      </c>
      <c r="AV72" s="737" t="str">
        <f t="shared" si="17"/>
        <v>AU</v>
      </c>
    </row>
    <row r="73" spans="47:48" x14ac:dyDescent="0.25">
      <c r="AU73" s="737">
        <v>48</v>
      </c>
      <c r="AV73" s="737" t="str">
        <f t="shared" si="17"/>
        <v>AV</v>
      </c>
    </row>
    <row r="74" spans="47:48" x14ac:dyDescent="0.25">
      <c r="AU74" s="737">
        <v>49</v>
      </c>
      <c r="AV74" s="737" t="str">
        <f t="shared" si="17"/>
        <v>AW</v>
      </c>
    </row>
    <row r="75" spans="47:48" x14ac:dyDescent="0.25">
      <c r="AU75" s="737">
        <v>50</v>
      </c>
      <c r="AV75" s="737" t="str">
        <f t="shared" si="17"/>
        <v>AX</v>
      </c>
    </row>
    <row r="76" spans="47:48" x14ac:dyDescent="0.25">
      <c r="AU76" s="737">
        <v>51</v>
      </c>
      <c r="AV76" s="737" t="str">
        <f t="shared" si="17"/>
        <v>AY</v>
      </c>
    </row>
    <row r="77" spans="47:48" x14ac:dyDescent="0.25">
      <c r="AU77" s="737">
        <v>52</v>
      </c>
      <c r="AV77" s="737" t="str">
        <f t="shared" si="17"/>
        <v>AZ</v>
      </c>
    </row>
    <row r="78" spans="47:48" x14ac:dyDescent="0.25">
      <c r="AU78" s="737">
        <v>53</v>
      </c>
      <c r="AV78" s="737" t="str">
        <f>CONCATENATE("B",AV26)</f>
        <v>BA</v>
      </c>
    </row>
    <row r="79" spans="47:48" x14ac:dyDescent="0.25">
      <c r="AU79" s="737">
        <v>54</v>
      </c>
      <c r="AV79" s="737" t="str">
        <f t="shared" ref="AV79:AV103" si="18">CONCATENATE("B",AV27)</f>
        <v>BB</v>
      </c>
    </row>
    <row r="80" spans="47:48" x14ac:dyDescent="0.25">
      <c r="AU80" s="737">
        <v>55</v>
      </c>
      <c r="AV80" s="737" t="str">
        <f t="shared" si="18"/>
        <v>BC</v>
      </c>
    </row>
    <row r="81" spans="47:48" x14ac:dyDescent="0.25">
      <c r="AU81" s="737">
        <v>56</v>
      </c>
      <c r="AV81" s="737" t="str">
        <f t="shared" si="18"/>
        <v>BD</v>
      </c>
    </row>
    <row r="82" spans="47:48" x14ac:dyDescent="0.25">
      <c r="AU82" s="737">
        <v>57</v>
      </c>
      <c r="AV82" s="737" t="str">
        <f t="shared" si="18"/>
        <v>BE</v>
      </c>
    </row>
    <row r="83" spans="47:48" x14ac:dyDescent="0.25">
      <c r="AU83" s="737">
        <v>58</v>
      </c>
      <c r="AV83" s="737" t="str">
        <f t="shared" si="18"/>
        <v>BF</v>
      </c>
    </row>
    <row r="84" spans="47:48" x14ac:dyDescent="0.25">
      <c r="AU84" s="737">
        <v>59</v>
      </c>
      <c r="AV84" s="737" t="str">
        <f t="shared" si="18"/>
        <v>BG</v>
      </c>
    </row>
    <row r="85" spans="47:48" x14ac:dyDescent="0.25">
      <c r="AU85" s="737">
        <v>60</v>
      </c>
      <c r="AV85" s="737" t="str">
        <f t="shared" si="18"/>
        <v>BH</v>
      </c>
    </row>
    <row r="86" spans="47:48" x14ac:dyDescent="0.25">
      <c r="AU86" s="737">
        <v>61</v>
      </c>
      <c r="AV86" s="737" t="str">
        <f t="shared" si="18"/>
        <v>BI</v>
      </c>
    </row>
    <row r="87" spans="47:48" x14ac:dyDescent="0.25">
      <c r="AU87" s="737">
        <v>62</v>
      </c>
      <c r="AV87" s="737" t="str">
        <f t="shared" si="18"/>
        <v>BJ</v>
      </c>
    </row>
    <row r="88" spans="47:48" x14ac:dyDescent="0.25">
      <c r="AU88" s="737">
        <v>63</v>
      </c>
      <c r="AV88" s="737" t="str">
        <f t="shared" si="18"/>
        <v>BK</v>
      </c>
    </row>
    <row r="89" spans="47:48" x14ac:dyDescent="0.25">
      <c r="AU89" s="737">
        <v>64</v>
      </c>
      <c r="AV89" s="737" t="str">
        <f t="shared" si="18"/>
        <v>Bl</v>
      </c>
    </row>
    <row r="90" spans="47:48" x14ac:dyDescent="0.25">
      <c r="AU90" s="737">
        <v>65</v>
      </c>
      <c r="AV90" s="737" t="str">
        <f t="shared" si="18"/>
        <v>BM</v>
      </c>
    </row>
    <row r="91" spans="47:48" x14ac:dyDescent="0.25">
      <c r="AU91" s="737">
        <v>66</v>
      </c>
      <c r="AV91" s="737" t="str">
        <f t="shared" si="18"/>
        <v>BN</v>
      </c>
    </row>
    <row r="92" spans="47:48" x14ac:dyDescent="0.25">
      <c r="AU92" s="737">
        <v>67</v>
      </c>
      <c r="AV92" s="737" t="str">
        <f t="shared" si="18"/>
        <v>BO</v>
      </c>
    </row>
    <row r="93" spans="47:48" x14ac:dyDescent="0.25">
      <c r="AU93" s="737">
        <v>68</v>
      </c>
      <c r="AV93" s="737" t="str">
        <f t="shared" si="18"/>
        <v>BP</v>
      </c>
    </row>
    <row r="94" spans="47:48" x14ac:dyDescent="0.25">
      <c r="AU94" s="737">
        <v>69</v>
      </c>
      <c r="AV94" s="737" t="str">
        <f t="shared" si="18"/>
        <v>BQ</v>
      </c>
    </row>
    <row r="95" spans="47:48" x14ac:dyDescent="0.25">
      <c r="AU95" s="737">
        <v>70</v>
      </c>
      <c r="AV95" s="737" t="str">
        <f t="shared" si="18"/>
        <v>BR</v>
      </c>
    </row>
    <row r="96" spans="47:48" x14ac:dyDescent="0.25">
      <c r="AU96" s="737">
        <v>71</v>
      </c>
      <c r="AV96" s="737" t="str">
        <f t="shared" si="18"/>
        <v>BS</v>
      </c>
    </row>
    <row r="97" spans="47:48" x14ac:dyDescent="0.25">
      <c r="AU97" s="737">
        <v>72</v>
      </c>
      <c r="AV97" s="737" t="str">
        <f t="shared" si="18"/>
        <v>BT</v>
      </c>
    </row>
    <row r="98" spans="47:48" x14ac:dyDescent="0.25">
      <c r="AU98" s="737">
        <v>73</v>
      </c>
      <c r="AV98" s="737" t="str">
        <f t="shared" si="18"/>
        <v>BU</v>
      </c>
    </row>
    <row r="99" spans="47:48" x14ac:dyDescent="0.25">
      <c r="AU99" s="737">
        <v>74</v>
      </c>
      <c r="AV99" s="737" t="str">
        <f t="shared" si="18"/>
        <v>BV</v>
      </c>
    </row>
    <row r="100" spans="47:48" x14ac:dyDescent="0.25">
      <c r="AU100" s="737">
        <v>75</v>
      </c>
      <c r="AV100" s="737" t="str">
        <f t="shared" si="18"/>
        <v>BW</v>
      </c>
    </row>
    <row r="101" spans="47:48" x14ac:dyDescent="0.25">
      <c r="AU101" s="737">
        <v>76</v>
      </c>
      <c r="AV101" s="737" t="str">
        <f t="shared" si="18"/>
        <v>BX</v>
      </c>
    </row>
    <row r="102" spans="47:48" x14ac:dyDescent="0.25">
      <c r="AU102" s="737">
        <v>77</v>
      </c>
      <c r="AV102" s="737" t="str">
        <f t="shared" si="18"/>
        <v>BY</v>
      </c>
    </row>
    <row r="103" spans="47:48" x14ac:dyDescent="0.25">
      <c r="AU103" s="737">
        <v>78</v>
      </c>
      <c r="AV103" s="737" t="str">
        <f t="shared" si="18"/>
        <v>BZ</v>
      </c>
    </row>
    <row r="104" spans="47:48" x14ac:dyDescent="0.25">
      <c r="AU104"/>
      <c r="AV104"/>
    </row>
  </sheetData>
  <sheetProtection sheet="1" objects="1" scenarios="1" selectLockedCells="1"/>
  <mergeCells count="54">
    <mergeCell ref="M15:M19"/>
    <mergeCell ref="AI15:AI23"/>
    <mergeCell ref="AJ15:AJ23"/>
    <mergeCell ref="AK15:AK23"/>
    <mergeCell ref="AL15:AL23"/>
    <mergeCell ref="Y15:Z19"/>
    <mergeCell ref="AB15:AB19"/>
    <mergeCell ref="O19:O23"/>
    <mergeCell ref="Q15:R19"/>
    <mergeCell ref="S15:T19"/>
    <mergeCell ref="U15:V19"/>
    <mergeCell ref="W15:X19"/>
    <mergeCell ref="AM15:AM23"/>
    <mergeCell ref="AG15:AG23"/>
    <mergeCell ref="AO15:AO23"/>
    <mergeCell ref="AD15:AD23"/>
    <mergeCell ref="AE15:AE23"/>
    <mergeCell ref="I15:I19"/>
    <mergeCell ref="J15:J19"/>
    <mergeCell ref="K15:K19"/>
    <mergeCell ref="L15:L19"/>
    <mergeCell ref="B26:E26"/>
    <mergeCell ref="B15:F17"/>
    <mergeCell ref="D1:F1"/>
    <mergeCell ref="I1:M1"/>
    <mergeCell ref="I3:M3"/>
    <mergeCell ref="B14:C14"/>
    <mergeCell ref="B13:C13"/>
    <mergeCell ref="Q13:R13"/>
    <mergeCell ref="S13:T13"/>
    <mergeCell ref="U13:V13"/>
    <mergeCell ref="Y13:Z13"/>
    <mergeCell ref="W13:X13"/>
    <mergeCell ref="B28:E28"/>
    <mergeCell ref="B29:E29"/>
    <mergeCell ref="B30:E30"/>
    <mergeCell ref="B31:E31"/>
    <mergeCell ref="B32:E32"/>
    <mergeCell ref="B42:E42"/>
    <mergeCell ref="B43:E43"/>
    <mergeCell ref="B44:E44"/>
    <mergeCell ref="B45:E45"/>
    <mergeCell ref="Q25:AB25"/>
    <mergeCell ref="G25:M25"/>
    <mergeCell ref="B37:E37"/>
    <mergeCell ref="B38:E38"/>
    <mergeCell ref="B39:E39"/>
    <mergeCell ref="B40:E40"/>
    <mergeCell ref="B41:E41"/>
    <mergeCell ref="B33:E33"/>
    <mergeCell ref="B34:E34"/>
    <mergeCell ref="B35:E35"/>
    <mergeCell ref="B36:E36"/>
    <mergeCell ref="B27:E27"/>
  </mergeCells>
  <phoneticPr fontId="79" type="noConversion"/>
  <conditionalFormatting sqref="I26:I45">
    <cfRule type="expression" dxfId="201" priority="18">
      <formula>AND($B26&lt;&gt;"",$I26="")</formula>
    </cfRule>
    <cfRule type="expression" dxfId="200" priority="19">
      <formula>AND($B26&lt;&gt;"",$I26&lt;&gt;"")</formula>
    </cfRule>
  </conditionalFormatting>
  <conditionalFormatting sqref="I26:Z45">
    <cfRule type="expression" dxfId="199" priority="2">
      <formula>$B26=""</formula>
    </cfRule>
  </conditionalFormatting>
  <conditionalFormatting sqref="K9">
    <cfRule type="cellIs" dxfId="198" priority="23" operator="equal">
      <formula>"Error"</formula>
    </cfRule>
  </conditionalFormatting>
  <conditionalFormatting sqref="K11">
    <cfRule type="cellIs" dxfId="197" priority="22" operator="equal">
      <formula>"Error"</formula>
    </cfRule>
  </conditionalFormatting>
  <conditionalFormatting sqref="K13">
    <cfRule type="expression" dxfId="196" priority="5">
      <formula>$M$11="OVER"</formula>
    </cfRule>
    <cfRule type="cellIs" dxfId="195" priority="6" operator="greaterThanOrEqual">
      <formula>0</formula>
    </cfRule>
    <cfRule type="cellIs" dxfId="194" priority="9" operator="lessThan">
      <formula>0</formula>
    </cfRule>
  </conditionalFormatting>
  <conditionalFormatting sqref="K26:K45">
    <cfRule type="expression" dxfId="193" priority="3">
      <formula>AND($B26&lt;&gt;"",$K26="")</formula>
    </cfRule>
    <cfRule type="expression" dxfId="192" priority="4">
      <formula>AND($B26&lt;&gt;"",$K26&lt;&gt;"")</formula>
    </cfRule>
  </conditionalFormatting>
  <conditionalFormatting sqref="M7">
    <cfRule type="cellIs" dxfId="191" priority="15" operator="equal">
      <formula>"Not compliant"</formula>
    </cfRule>
    <cfRule type="cellIs" dxfId="190" priority="14" operator="equal">
      <formula>"Compliant"</formula>
    </cfRule>
  </conditionalFormatting>
  <conditionalFormatting sqref="M9">
    <cfRule type="cellIs" dxfId="189" priority="24" operator="equal">
      <formula>"Error"</formula>
    </cfRule>
  </conditionalFormatting>
  <conditionalFormatting sqref="M11">
    <cfRule type="cellIs" dxfId="188" priority="7" operator="equal">
      <formula>"OVER"</formula>
    </cfRule>
    <cfRule type="cellIs" dxfId="187" priority="17" operator="equal">
      <formula>"Error"</formula>
    </cfRule>
  </conditionalFormatting>
  <conditionalFormatting sqref="M13">
    <cfRule type="cellIs" dxfId="186" priority="8" operator="equal">
      <formula>"OVER"</formula>
    </cfRule>
    <cfRule type="cellIs" dxfId="185" priority="11" operator="greaterThanOrEqual">
      <formula>0</formula>
    </cfRule>
    <cfRule type="cellIs" dxfId="184" priority="13" operator="lessThan">
      <formula>0</formula>
    </cfRule>
  </conditionalFormatting>
  <conditionalFormatting sqref="M26:N45">
    <cfRule type="cellIs" dxfId="183" priority="78" operator="equal">
      <formula>"Error"</formula>
    </cfRule>
  </conditionalFormatting>
  <conditionalFormatting sqref="O13">
    <cfRule type="cellIs" dxfId="182" priority="1" operator="equal">
      <formula>FALSE</formula>
    </cfRule>
  </conditionalFormatting>
  <conditionalFormatting sqref="O26:O45">
    <cfRule type="expression" dxfId="181" priority="2837">
      <formula>$O$13=FALSE</formula>
    </cfRule>
  </conditionalFormatting>
  <conditionalFormatting sqref="P26:P45 N13">
    <cfRule type="cellIs" dxfId="180" priority="122" operator="equal">
      <formula>"Error"</formula>
    </cfRule>
  </conditionalFormatting>
  <conditionalFormatting sqref="Q13:Z13">
    <cfRule type="cellIs" dxfId="179" priority="27" operator="equal">
      <formula>"Complete"</formula>
    </cfRule>
    <cfRule type="cellIs" dxfId="178" priority="28" operator="equal">
      <formula>"Incomplete"</formula>
    </cfRule>
  </conditionalFormatting>
  <conditionalFormatting sqref="Q26:Z45">
    <cfRule type="expression" dxfId="177" priority="30" stopIfTrue="1">
      <formula>AND(OR($O26="Existing Removed",$O26="Existing Remains"),$O$13=TRUE)</formula>
    </cfRule>
  </conditionalFormatting>
  <conditionalFormatting sqref="R26:R45 T26:T45 V26:V45 X26:X45 Z26:Z45">
    <cfRule type="expression" dxfId="176" priority="31" stopIfTrue="1">
      <formula>AND($H26&lt;&gt;"",Q26="NA")</formula>
    </cfRule>
  </conditionalFormatting>
  <conditionalFormatting sqref="R26:R45">
    <cfRule type="expression" dxfId="175" priority="43" stopIfTrue="1">
      <formula>AND($H26&lt;&gt;"",R26&lt;&gt;"")</formula>
    </cfRule>
    <cfRule type="expression" dxfId="174" priority="49">
      <formula>$B26&lt;&gt;""</formula>
    </cfRule>
  </conditionalFormatting>
  <conditionalFormatting sqref="T26:T45">
    <cfRule type="expression" dxfId="173" priority="50" stopIfTrue="1">
      <formula>AND($H26&lt;&gt;"",T26&lt;&gt;"")</formula>
    </cfRule>
    <cfRule type="expression" dxfId="172" priority="2838">
      <formula>$B26&lt;&gt;""</formula>
    </cfRule>
  </conditionalFormatting>
  <conditionalFormatting sqref="V26:V45">
    <cfRule type="expression" dxfId="171" priority="40" stopIfTrue="1">
      <formula>AND($H26&lt;&gt;"",V26&lt;&gt;"")</formula>
    </cfRule>
    <cfRule type="expression" dxfId="170" priority="42">
      <formula>$B26&lt;&gt;""</formula>
    </cfRule>
  </conditionalFormatting>
  <conditionalFormatting sqref="X26:X45">
    <cfRule type="expression" dxfId="169" priority="36" stopIfTrue="1">
      <formula>AND($H26&lt;&gt;"",X26&lt;&gt;"")</formula>
    </cfRule>
    <cfRule type="expression" dxfId="168" priority="39">
      <formula>$B26&lt;&gt;""</formula>
    </cfRule>
  </conditionalFormatting>
  <conditionalFormatting sqref="Z26:Z45">
    <cfRule type="expression" dxfId="167" priority="44">
      <formula>$B26&lt;&gt;""</formula>
    </cfRule>
    <cfRule type="expression" dxfId="166" priority="37" stopIfTrue="1">
      <formula>AND($H26&lt;&gt;"",Z26&lt;&gt;"")</formula>
    </cfRule>
  </conditionalFormatting>
  <conditionalFormatting sqref="AB3">
    <cfRule type="cellIs" dxfId="165" priority="118" operator="equal">
      <formula>"Compliant"</formula>
    </cfRule>
    <cfRule type="cellIs" dxfId="164" priority="119" operator="equal">
      <formula>"Not compliant"</formula>
    </cfRule>
  </conditionalFormatting>
  <conditionalFormatting sqref="AB5 R12">
    <cfRule type="cellIs" dxfId="163" priority="57" operator="equal">
      <formula>"Non-Compliant"</formula>
    </cfRule>
    <cfRule type="cellIs" dxfId="162" priority="58" operator="equal">
      <formula>"Compliant"</formula>
    </cfRule>
  </conditionalFormatting>
  <conditionalFormatting sqref="AB13">
    <cfRule type="cellIs" dxfId="161" priority="110" operator="equal">
      <formula>"Compliant"</formula>
    </cfRule>
    <cfRule type="cellIs" dxfId="160" priority="111" operator="equal">
      <formula>"Not Compliant"</formula>
    </cfRule>
  </conditionalFormatting>
  <conditionalFormatting sqref="AB26:AB45">
    <cfRule type="cellIs" dxfId="159" priority="123" operator="equal">
      <formula>"Complete"</formula>
    </cfRule>
    <cfRule type="cellIs" dxfId="158" priority="124" operator="equal">
      <formula>"Incomplete"</formula>
    </cfRule>
  </conditionalFormatting>
  <dataValidations count="4">
    <dataValidation type="list" allowBlank="1" showInputMessage="1" showErrorMessage="1" sqref="I26:I45" xr:uid="{00000000-0002-0000-0C00-000000000000}">
      <formula1>_FixtureList</formula1>
    </dataValidation>
    <dataValidation type="list" allowBlank="1" showInputMessage="1" showErrorMessage="1" sqref="B26:E45" xr:uid="{00000000-0002-0000-0C00-000001000000}">
      <formula1>_Exterior_Tradable_Areas</formula1>
    </dataValidation>
    <dataValidation type="list" allowBlank="1" showInputMessage="1" showErrorMessage="1" sqref="R26:R45 X26:X45 T26:T45 V26:V45 Z26:AA45" xr:uid="{00000000-0002-0000-0C00-000002000000}">
      <formula1>"Yes, N/A"</formula1>
    </dataValidation>
    <dataValidation type="list" allowBlank="1" showInputMessage="1" showErrorMessage="1" sqref="O26:O45" xr:uid="{00000000-0002-0000-0C00-000003000000}">
      <formula1>"New, Existing Remains, Existing Removed,"</formula1>
    </dataValidation>
  </dataValidations>
  <hyperlinks>
    <hyperlink ref="AR14:AY14" location="STEP3" display="c. Step 3 - Determine the exterior lighting power allowances." xr:uid="{00000000-0004-0000-0C00-000000000000}"/>
  </hyperlinks>
  <pageMargins left="0.5" right="0.5" top="1" bottom="1" header="0.5" footer="0.5"/>
  <pageSetup scale="31" orientation="portrait" r:id="rId1"/>
  <headerFooter alignWithMargins="0">
    <oddHeader>&amp;LLighting Compliance Documentation&amp;R&amp;D</oddHeader>
    <oddFooter>&amp;RPage &amp;P of &amp;N</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CQ62"/>
  <sheetViews>
    <sheetView topLeftCell="G1" workbookViewId="0">
      <selection activeCell="R13" sqref="R13"/>
    </sheetView>
  </sheetViews>
  <sheetFormatPr defaultRowHeight="12.5" x14ac:dyDescent="0.25"/>
  <cols>
    <col min="1" max="1" width="3" bestFit="1" customWidth="1"/>
    <col min="2" max="2" width="46" bestFit="1" customWidth="1"/>
    <col min="3" max="3" width="34.81640625" bestFit="1" customWidth="1"/>
    <col min="4" max="4" width="11.7265625" customWidth="1"/>
    <col min="5" max="5" width="2.7265625" customWidth="1"/>
    <col min="6" max="7" width="11.7265625" customWidth="1"/>
    <col min="8" max="8" width="2.7265625" customWidth="1"/>
    <col min="9" max="9" width="11.7265625" customWidth="1"/>
    <col min="10" max="10" width="2.7265625" customWidth="1"/>
    <col min="11" max="18" width="11.7265625" customWidth="1"/>
    <col min="19" max="20" width="11.7265625" style="7" customWidth="1"/>
    <col min="21" max="22" width="11.7265625" customWidth="1"/>
    <col min="23" max="23" width="2.7265625" style="7" customWidth="1"/>
    <col min="24" max="27" width="11.7265625" customWidth="1"/>
    <col min="28" max="28" width="2.7265625" style="7" hidden="1" customWidth="1"/>
    <col min="29" max="31" width="11.7265625" hidden="1" customWidth="1"/>
    <col min="32" max="32" width="2.7265625" customWidth="1"/>
    <col min="33" max="35" width="11.7265625" customWidth="1"/>
    <col min="36" max="36" width="2.7265625" customWidth="1"/>
    <col min="37" max="38" width="15.26953125" customWidth="1"/>
    <col min="39" max="39" width="27.54296875" customWidth="1"/>
    <col min="40" max="40" width="10.1796875" bestFit="1" customWidth="1"/>
    <col min="44" max="44" width="64.26953125" customWidth="1"/>
  </cols>
  <sheetData>
    <row r="1" spans="1:95" x14ac:dyDescent="0.25">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row>
    <row r="2" spans="1:95" x14ac:dyDescent="0.25">
      <c r="AF2" s="14"/>
      <c r="AG2" s="14"/>
      <c r="AS2" t="b">
        <f>IF(_Step2_AlterationsYesNo="Yes",TRUE,FALSE)</f>
        <v>0</v>
      </c>
    </row>
    <row r="3" spans="1:95" ht="13" x14ac:dyDescent="0.3">
      <c r="S3" s="540" t="s">
        <v>636</v>
      </c>
      <c r="T3" s="540"/>
      <c r="AF3" s="14"/>
      <c r="AG3" s="14"/>
      <c r="AH3" s="1780" t="s">
        <v>1030</v>
      </c>
      <c r="AI3" s="1780"/>
    </row>
    <row r="4" spans="1:95" ht="13" x14ac:dyDescent="0.3">
      <c r="S4" s="458">
        <f>'Ext Tradable'!M9</f>
        <v>0</v>
      </c>
      <c r="T4" s="458"/>
      <c r="AF4" s="14"/>
      <c r="AG4" s="14"/>
      <c r="AI4" s="722" t="b">
        <f>IF(AH6&gt;AI6,FALSE,TRUE)</f>
        <v>1</v>
      </c>
    </row>
    <row r="5" spans="1:95" ht="13" x14ac:dyDescent="0.3">
      <c r="X5" s="453" t="s">
        <v>1029</v>
      </c>
      <c r="Z5" s="453" t="s">
        <v>1035</v>
      </c>
      <c r="AF5" s="14"/>
      <c r="AG5" s="14"/>
    </row>
    <row r="6" spans="1:95" ht="13" x14ac:dyDescent="0.3">
      <c r="I6" s="734">
        <f>SUM(I10:I59)</f>
        <v>0</v>
      </c>
      <c r="J6" s="453"/>
      <c r="K6" s="734">
        <f>SUM(K10:K59)</f>
        <v>0</v>
      </c>
      <c r="L6" s="734">
        <f>SUM(L10:L59)</f>
        <v>0</v>
      </c>
      <c r="M6" s="453"/>
      <c r="N6" s="734">
        <f>SUM(N10:N59)</f>
        <v>0</v>
      </c>
      <c r="O6" s="734">
        <f>SUM(O10:O59)</f>
        <v>0</v>
      </c>
      <c r="P6" s="453"/>
      <c r="Q6" s="734">
        <f>SUM(Q10:Q59)</f>
        <v>0</v>
      </c>
      <c r="R6" s="734">
        <f>SUM(R10:R59)</f>
        <v>0</v>
      </c>
      <c r="S6" s="953">
        <f>S4-SUM(S10:S59)</f>
        <v>0</v>
      </c>
      <c r="T6" s="1127"/>
      <c r="U6" s="1780" t="s">
        <v>1107</v>
      </c>
      <c r="V6" s="1780"/>
      <c r="X6" s="722" t="b">
        <f>'SpxSp (step-b)'!N13</f>
        <v>0</v>
      </c>
      <c r="Z6" s="722" t="b">
        <f>IF(AND(_Step2_AlterationsYesNo="Yes",'Main Compliance Page'!J25="Yes"),TRUE,FALSE)</f>
        <v>0</v>
      </c>
      <c r="AC6" s="1786" t="s">
        <v>1102</v>
      </c>
      <c r="AD6" s="1786"/>
      <c r="AE6" s="1786"/>
      <c r="AF6" s="14"/>
      <c r="AG6" s="14"/>
      <c r="AH6" s="701">
        <f>SUM(AH10:AH59)</f>
        <v>0</v>
      </c>
      <c r="AI6" s="701">
        <f>SUM(AI10:AI59)+AI61</f>
        <v>0</v>
      </c>
      <c r="AN6" t="str">
        <f>IF(AN9=0,"Compliant","Not Compliant")</f>
        <v>Compliant</v>
      </c>
    </row>
    <row r="7" spans="1:95" ht="13" thickBot="1" x14ac:dyDescent="0.3">
      <c r="AF7" s="14"/>
      <c r="AG7" s="14"/>
    </row>
    <row r="8" spans="1:95" ht="13" x14ac:dyDescent="0.3">
      <c r="D8" s="760">
        <v>7</v>
      </c>
      <c r="F8" s="760">
        <v>12</v>
      </c>
      <c r="G8" s="760">
        <v>8</v>
      </c>
      <c r="U8" s="1781" t="s">
        <v>843</v>
      </c>
      <c r="V8" s="1782"/>
      <c r="X8" s="1783" t="s">
        <v>1025</v>
      </c>
      <c r="Y8" s="1784"/>
      <c r="Z8" s="1784"/>
      <c r="AA8" s="1785"/>
      <c r="AB8" s="708"/>
      <c r="AC8" s="1783" t="s">
        <v>1026</v>
      </c>
      <c r="AD8" s="1784"/>
      <c r="AE8" s="1785"/>
      <c r="AF8" s="724"/>
      <c r="AG8" s="724"/>
      <c r="AH8" s="1780" t="s">
        <v>1032</v>
      </c>
      <c r="AI8" s="1780"/>
      <c r="AN8" s="936" t="s">
        <v>1129</v>
      </c>
      <c r="AS8" s="760">
        <v>1</v>
      </c>
      <c r="AT8" s="760">
        <v>2</v>
      </c>
      <c r="AU8" s="760">
        <v>3</v>
      </c>
      <c r="AV8" s="760">
        <v>4</v>
      </c>
      <c r="AW8" s="760">
        <v>5</v>
      </c>
      <c r="AX8" s="760">
        <v>6</v>
      </c>
      <c r="AY8" s="760">
        <v>7</v>
      </c>
      <c r="AZ8" s="760">
        <v>8</v>
      </c>
      <c r="BA8" s="760">
        <v>9</v>
      </c>
      <c r="BB8" s="760">
        <v>10</v>
      </c>
      <c r="BC8" s="760">
        <v>11</v>
      </c>
      <c r="BD8" s="760">
        <v>12</v>
      </c>
      <c r="BE8" s="760">
        <v>13</v>
      </c>
      <c r="BF8" s="760">
        <v>14</v>
      </c>
      <c r="BG8" s="760">
        <v>15</v>
      </c>
      <c r="BH8" s="760">
        <v>16</v>
      </c>
      <c r="BI8" s="760">
        <v>17</v>
      </c>
      <c r="BJ8" s="760">
        <v>18</v>
      </c>
      <c r="BK8" s="760">
        <v>19</v>
      </c>
      <c r="BL8" s="760">
        <v>20</v>
      </c>
      <c r="BM8" s="760">
        <v>21</v>
      </c>
      <c r="BN8" s="760">
        <v>22</v>
      </c>
      <c r="BO8" s="760">
        <v>23</v>
      </c>
      <c r="BP8" s="760">
        <v>24</v>
      </c>
      <c r="BQ8" s="760">
        <v>25</v>
      </c>
      <c r="BR8" s="760">
        <v>26</v>
      </c>
      <c r="BS8" s="760">
        <v>27</v>
      </c>
      <c r="BT8" s="760">
        <v>28</v>
      </c>
      <c r="BU8" s="760">
        <v>29</v>
      </c>
      <c r="BV8" s="760">
        <v>30</v>
      </c>
      <c r="BW8" s="760">
        <v>31</v>
      </c>
      <c r="BX8" s="760">
        <v>32</v>
      </c>
      <c r="BY8" s="760">
        <v>33</v>
      </c>
      <c r="BZ8" s="760">
        <v>34</v>
      </c>
      <c r="CA8" s="760">
        <v>35</v>
      </c>
      <c r="CB8" s="760">
        <v>36</v>
      </c>
      <c r="CC8" s="760">
        <v>37</v>
      </c>
      <c r="CD8" s="760">
        <v>38</v>
      </c>
      <c r="CE8" s="760">
        <v>39</v>
      </c>
      <c r="CF8" s="760">
        <v>40</v>
      </c>
      <c r="CG8" s="760">
        <v>41</v>
      </c>
      <c r="CH8" s="760">
        <v>42</v>
      </c>
      <c r="CI8" s="760">
        <v>43</v>
      </c>
      <c r="CJ8" s="760">
        <v>44</v>
      </c>
      <c r="CK8" s="760">
        <v>45</v>
      </c>
      <c r="CL8" s="760">
        <v>46</v>
      </c>
      <c r="CM8" s="760">
        <v>47</v>
      </c>
      <c r="CN8" s="760">
        <v>48</v>
      </c>
      <c r="CO8" s="760">
        <v>49</v>
      </c>
      <c r="CP8" s="760">
        <v>50</v>
      </c>
    </row>
    <row r="9" spans="1:95" ht="39" x14ac:dyDescent="0.3">
      <c r="B9" s="453" t="s">
        <v>1013</v>
      </c>
      <c r="C9" s="453" t="s">
        <v>1012</v>
      </c>
      <c r="D9" s="704" t="s">
        <v>1014</v>
      </c>
      <c r="F9" s="704" t="s">
        <v>857</v>
      </c>
      <c r="G9" s="704" t="s">
        <v>853</v>
      </c>
      <c r="I9" s="704" t="s">
        <v>1015</v>
      </c>
      <c r="K9" s="704" t="s">
        <v>1017</v>
      </c>
      <c r="L9" s="704" t="s">
        <v>1016</v>
      </c>
      <c r="M9" s="704" t="s">
        <v>1023</v>
      </c>
      <c r="N9" s="704" t="s">
        <v>1019</v>
      </c>
      <c r="O9" s="704" t="s">
        <v>1020</v>
      </c>
      <c r="P9" s="704" t="s">
        <v>1022</v>
      </c>
      <c r="Q9" s="704" t="s">
        <v>1021</v>
      </c>
      <c r="R9" s="704" t="s">
        <v>1018</v>
      </c>
      <c r="S9" s="706" t="s">
        <v>1128</v>
      </c>
      <c r="T9" s="706" t="s">
        <v>188</v>
      </c>
      <c r="U9" s="709" t="s">
        <v>852</v>
      </c>
      <c r="V9" s="710" t="s">
        <v>1024</v>
      </c>
      <c r="W9" s="706"/>
      <c r="X9" s="713">
        <f>IF(Compliance_Version_Year=2010,0.1,0.2)</f>
        <v>0.2</v>
      </c>
      <c r="Y9" s="714" t="str">
        <f>CONCATENATE(X9*100,"% Pass/ Fail")</f>
        <v>20% Pass/ Fail</v>
      </c>
      <c r="Z9" s="714" t="s">
        <v>1027</v>
      </c>
      <c r="AA9" s="715" t="s">
        <v>1028</v>
      </c>
      <c r="AB9" s="706"/>
      <c r="AC9" s="716" t="s">
        <v>872</v>
      </c>
      <c r="AD9" s="714" t="s">
        <v>843</v>
      </c>
      <c r="AE9" s="715" t="s">
        <v>1028</v>
      </c>
      <c r="AF9" s="725"/>
      <c r="AG9" s="725" t="s">
        <v>1034</v>
      </c>
      <c r="AH9" s="704" t="s">
        <v>1031</v>
      </c>
      <c r="AI9" s="704" t="s">
        <v>1015</v>
      </c>
      <c r="AN9" s="703">
        <f>SUM(AN10:AN59)</f>
        <v>0</v>
      </c>
      <c r="AS9" s="701">
        <f>'SpxSp (step-b)'!CB26</f>
        <v>26</v>
      </c>
      <c r="AT9" s="701">
        <f>AS9+1</f>
        <v>27</v>
      </c>
      <c r="AU9" s="701">
        <f t="shared" ref="AU9:CP9" si="0">AT9+1</f>
        <v>28</v>
      </c>
      <c r="AV9" s="701">
        <f t="shared" si="0"/>
        <v>29</v>
      </c>
      <c r="AW9" s="701">
        <f t="shared" si="0"/>
        <v>30</v>
      </c>
      <c r="AX9" s="701">
        <f t="shared" si="0"/>
        <v>31</v>
      </c>
      <c r="AY9" s="701">
        <f t="shared" si="0"/>
        <v>32</v>
      </c>
      <c r="AZ9" s="701">
        <f t="shared" si="0"/>
        <v>33</v>
      </c>
      <c r="BA9" s="701">
        <f t="shared" si="0"/>
        <v>34</v>
      </c>
      <c r="BB9" s="701">
        <f t="shared" si="0"/>
        <v>35</v>
      </c>
      <c r="BC9" s="701">
        <f t="shared" si="0"/>
        <v>36</v>
      </c>
      <c r="BD9" s="701">
        <f t="shared" si="0"/>
        <v>37</v>
      </c>
      <c r="BE9" s="701">
        <f t="shared" si="0"/>
        <v>38</v>
      </c>
      <c r="BF9" s="701">
        <f t="shared" si="0"/>
        <v>39</v>
      </c>
      <c r="BG9" s="701">
        <f t="shared" si="0"/>
        <v>40</v>
      </c>
      <c r="BH9" s="701">
        <f t="shared" si="0"/>
        <v>41</v>
      </c>
      <c r="BI9" s="701">
        <f t="shared" si="0"/>
        <v>42</v>
      </c>
      <c r="BJ9" s="701">
        <f t="shared" si="0"/>
        <v>43</v>
      </c>
      <c r="BK9" s="701">
        <f t="shared" si="0"/>
        <v>44</v>
      </c>
      <c r="BL9" s="701">
        <f t="shared" si="0"/>
        <v>45</v>
      </c>
      <c r="BM9" s="701">
        <f t="shared" si="0"/>
        <v>46</v>
      </c>
      <c r="BN9" s="701">
        <f t="shared" si="0"/>
        <v>47</v>
      </c>
      <c r="BO9" s="701">
        <f t="shared" si="0"/>
        <v>48</v>
      </c>
      <c r="BP9" s="701">
        <f t="shared" si="0"/>
        <v>49</v>
      </c>
      <c r="BQ9" s="701">
        <f t="shared" si="0"/>
        <v>50</v>
      </c>
      <c r="BR9" s="701">
        <f t="shared" si="0"/>
        <v>51</v>
      </c>
      <c r="BS9" s="701">
        <f t="shared" si="0"/>
        <v>52</v>
      </c>
      <c r="BT9" s="701">
        <f t="shared" si="0"/>
        <v>53</v>
      </c>
      <c r="BU9" s="701">
        <f t="shared" si="0"/>
        <v>54</v>
      </c>
      <c r="BV9" s="701">
        <f t="shared" si="0"/>
        <v>55</v>
      </c>
      <c r="BW9" s="701">
        <f t="shared" si="0"/>
        <v>56</v>
      </c>
      <c r="BX9" s="701">
        <f t="shared" si="0"/>
        <v>57</v>
      </c>
      <c r="BY9" s="701">
        <f t="shared" si="0"/>
        <v>58</v>
      </c>
      <c r="BZ9" s="701">
        <f t="shared" si="0"/>
        <v>59</v>
      </c>
      <c r="CA9" s="701">
        <f t="shared" si="0"/>
        <v>60</v>
      </c>
      <c r="CB9" s="701">
        <f t="shared" si="0"/>
        <v>61</v>
      </c>
      <c r="CC9" s="701">
        <f t="shared" si="0"/>
        <v>62</v>
      </c>
      <c r="CD9" s="701">
        <f t="shared" si="0"/>
        <v>63</v>
      </c>
      <c r="CE9" s="701">
        <f t="shared" si="0"/>
        <v>64</v>
      </c>
      <c r="CF9" s="701">
        <f t="shared" si="0"/>
        <v>65</v>
      </c>
      <c r="CG9" s="701">
        <f t="shared" si="0"/>
        <v>66</v>
      </c>
      <c r="CH9" s="701">
        <f t="shared" si="0"/>
        <v>67</v>
      </c>
      <c r="CI9" s="701">
        <f t="shared" si="0"/>
        <v>68</v>
      </c>
      <c r="CJ9" s="701">
        <f t="shared" si="0"/>
        <v>69</v>
      </c>
      <c r="CK9" s="701">
        <f t="shared" si="0"/>
        <v>70</v>
      </c>
      <c r="CL9" s="701">
        <f t="shared" si="0"/>
        <v>71</v>
      </c>
      <c r="CM9" s="701">
        <f t="shared" si="0"/>
        <v>72</v>
      </c>
      <c r="CN9" s="701">
        <f t="shared" si="0"/>
        <v>73</v>
      </c>
      <c r="CO9" s="701">
        <f t="shared" si="0"/>
        <v>74</v>
      </c>
      <c r="CP9" s="701">
        <f t="shared" si="0"/>
        <v>75</v>
      </c>
    </row>
    <row r="10" spans="1:95" ht="60" customHeight="1" x14ac:dyDescent="0.25">
      <c r="A10" s="705">
        <v>1</v>
      </c>
      <c r="B10" s="707" t="str">
        <f>'Ext Area Schedule'!Y16</f>
        <v/>
      </c>
      <c r="C10" s="707" t="str">
        <f>VLOOKUP($B10,'Ext Area Schedule'!$Y$16:$AE$65,3,FALSE)</f>
        <v/>
      </c>
      <c r="D10" s="792" t="str">
        <f>VLOOKUP($B10,'Ext Area Schedule'!$Y$16:$AE$65,4,FALSE)</f>
        <v/>
      </c>
      <c r="F10" s="792" t="str">
        <f>VLOOKUP($B10,'Ext Area Schedule'!$Y$16:$AE$65,5,FALSE)</f>
        <v/>
      </c>
      <c r="G10" s="792" t="str">
        <f>VLOOKUP($B10,'Ext Area Schedule'!$Y$16:$AE$65,7,FALSE)</f>
        <v/>
      </c>
      <c r="I10" s="703">
        <f>IF(OR($R10=0,$B10=""),0,F10)</f>
        <v>0</v>
      </c>
      <c r="K10" s="703" t="str">
        <f>IF($B10="","",SUMIFS('Ext Tradable'!$M$26:$M$45,'Ext Tradable'!$B$26:$B$45,$B10,'Ext Tradable'!$O$26:$O$45,"New"))</f>
        <v/>
      </c>
      <c r="L10" s="703" t="str">
        <f>IF($B10="","",SUMIFS('Ext Tradable'!$M$26:$M$45,'Ext Tradable'!$B$26:$B$45,$B10,'Ext Tradable'!$O$26:$O$45,""))</f>
        <v/>
      </c>
      <c r="M10" s="703" t="str">
        <f>IF($B10="","",SUMIFS('Ext Tradable'!$K$26:$K$45,'Ext Tradable'!$B$26:$B$45,$B10,'Ext Tradable'!$O$26:$O$45,"New")+SUMIFS('Ext Tradable'!$K$26:$K$45,'Ext Tradable'!$B$26:$B$45,$B10,'Ext Tradable'!$O$26:$O$45,""))</f>
        <v/>
      </c>
      <c r="N10" s="703" t="str">
        <f>IF($B10="","",SUMIFS('Ext Tradable'!$M$26:$M$45,'Ext Tradable'!$B$26:$B$45,$B10,'Ext Tradable'!$O$26:$O$45,"Existing Remains"))</f>
        <v/>
      </c>
      <c r="O10" s="703" t="str">
        <f>IF($B10="","",SUMIFS('Ext Tradable'!$M$26:$M$45,'Ext Tradable'!$B$26:$B$45,$B10,'Ext Tradable'!$O$26:$O$45,"Existing Removed"))</f>
        <v/>
      </c>
      <c r="P10" s="703" t="str">
        <f>IF($B10="","",SUMIFS('Ext Tradable'!$K$26:$K$45,'Ext Tradable'!$B$26:$B$45,$B10,'Ext Tradable'!$O$26:$O$45,"Existing Removed"))</f>
        <v/>
      </c>
      <c r="Q10" s="703" t="str">
        <f t="shared" ref="Q10" si="1">IF($B10="","",N10+O10)</f>
        <v/>
      </c>
      <c r="R10" s="703" t="str">
        <f>IF(B10="","",IF($X$6=TRUE,K10+L10+N10,K10+L10+Q10))</f>
        <v/>
      </c>
      <c r="S10" s="703" t="str">
        <f>IF(B10="","",IF(R10-I10&lt;0,0,R10-I10))</f>
        <v/>
      </c>
      <c r="T10" s="1128" t="str">
        <f>IFERROR(S4-S10,"")</f>
        <v/>
      </c>
      <c r="U10" s="711" t="str">
        <f>IF(B10="","",IFERROR(ROUND((R10-S10)/D10,2),0))</f>
        <v/>
      </c>
      <c r="V10" s="712" t="str">
        <f>IF(OR($B10="",R10=0),"",IF($S$6&lt;0,"Fail","Pass"))</f>
        <v/>
      </c>
      <c r="W10" s="762"/>
      <c r="X10" s="720" t="str">
        <f>IF(OR($X$6=FALSE,$B10="",R10=0,Z$6=FALSE),"",IFERROR(O10/Q10,1))</f>
        <v/>
      </c>
      <c r="Y10" s="721" t="str">
        <f>IF(OR($X$6=FALSE,$B10="",$X10="",Z$6=FALSE),"",IF(X10&gt;X$9,"Fail","Pass"))</f>
        <v/>
      </c>
      <c r="Z10" s="721" t="str">
        <f>IF(OR($X$6=FALSE,$B10="",R10=0,Z$6=FALSE),"",IF(R10&gt;Q10,"Fail","Pass"))</f>
        <v/>
      </c>
      <c r="AA10" s="719" t="str">
        <f t="shared" ref="AA10:AA59" si="2">IF(AND(Y10="Pass",Z10="Pass"),"Pass",IF(OR(Y10="",Z10=""),"","Fail"))</f>
        <v/>
      </c>
      <c r="AB10" s="762"/>
      <c r="AC10" s="717" t="str">
        <f>IF(OR($X$6=FALSE,$B10="",R10=0,Z$6=FALSE),"",IF(M10=P10,"Pass","Fail"))</f>
        <v/>
      </c>
      <c r="AD10" s="718" t="str">
        <f>IF(OR($X$6=FALSE,Z$6=FALSE),"",V10)</f>
        <v/>
      </c>
      <c r="AE10" s="719" t="str">
        <f t="shared" ref="AE10:AE59" si="3">IF(AND(AC10="Pass",AD10="Pass"),"Pass",IF(OR(AC10="",AD10=""),"","Fail"))</f>
        <v/>
      </c>
      <c r="AF10" s="726"/>
      <c r="AG10" s="727" t="str">
        <f>IF(OR(R10=0,B10=""),"",IF(Z$6=FALSE,"",IF(AA10="Pass","Pass","Fail")))</f>
        <v/>
      </c>
      <c r="AH10" s="703" t="str">
        <f>IF(OR(AA10="Pass",AE10="Pass"),0,R10)</f>
        <v/>
      </c>
      <c r="AI10" s="703">
        <f>IFERROR(IF(AH10&gt;0,IF(T10&gt;0,I10+S10,I10+S10+T10),0),0)</f>
        <v>0</v>
      </c>
      <c r="AJ10" s="723" t="s">
        <v>1103</v>
      </c>
      <c r="AK10" s="1112" t="str">
        <f t="shared" ref="AK10:AK59" si="4">IF(OR(V10="",B10=""),"",IF(AND($X$6=TRUE,$Z$6=TRUE),IF(AA10="Pass","Pass Exception #1",IF(AE10="Pass","Pass Exception #2",IF(OR(V10="Pass",$AI$4=TRUE),"Pass LPA","Fail LPA"))),IF($AI$4=TRUE,"Pass LPA","Fail LPA")))</f>
        <v/>
      </c>
      <c r="AL10" s="791" t="str">
        <f>IF(OR(V10="",B10=""),"",
IF(AND($X$6=TRUE,$Z$6=TRUE),IF(AA10="Pass","#1",IF(OR(V10="Pass",$AI$4=TRUE),"ALT","")),IF($X$6=TRUE,"ALT","")))</f>
        <v/>
      </c>
      <c r="AM10" s="707" t="str">
        <f>IF(OR(AK10="Fail",AK10="Fail LPA",AK10=""),"",IF(AL10&lt;&gt;"#1",VLOOKUP(C10,'9.4.3 Tables'!B$142:O$154,14,FALSE),"No NEW controls required"))</f>
        <v/>
      </c>
      <c r="AN10" s="703">
        <f>IF(ISNUMBER(SEARCH("Fail",AK10))=TRUE,1,0)</f>
        <v>0</v>
      </c>
      <c r="AQ10">
        <v>1</v>
      </c>
      <c r="AR10" s="15" t="str">
        <f>IF(B10="","",CQ10)</f>
        <v/>
      </c>
      <c r="AS10" s="700" t="str">
        <f ca="1">IF(INDIRECT("'Ext Tradable'!$B" &amp; AS$9)=$B10,INDIRECT("'Ext Tradable'!$" &amp; 'Ext Tradable'!$AS$23 &amp; AS$9),"")</f>
        <v/>
      </c>
      <c r="AT10" s="700" t="str">
        <f ca="1">IF(INDIRECT("'Ext Tradable'!$B" &amp; AT$9)=$B10,INDIRECT("'Ext Tradable'!$" &amp; 'Ext Tradable'!$AS$23 &amp; AT$9),"")</f>
        <v/>
      </c>
      <c r="AU10" s="700" t="str">
        <f ca="1">IF(INDIRECT("'Ext Tradable'!$B" &amp; AU$9)=$B10,INDIRECT("'Ext Tradable'!$" &amp; 'Ext Tradable'!$AS$23 &amp; AU$9),"")</f>
        <v/>
      </c>
      <c r="AV10" s="700" t="str">
        <f ca="1">IF(INDIRECT("'Ext Tradable'!$B" &amp; AV$9)=$B10,INDIRECT("'Ext Tradable'!$" &amp; 'Ext Tradable'!$AS$23 &amp; AV$9),"")</f>
        <v/>
      </c>
      <c r="AW10" s="700" t="str">
        <f ca="1">IF(INDIRECT("'Ext Tradable'!$B" &amp; AW$9)=$B10,INDIRECT("'Ext Tradable'!$" &amp; 'Ext Tradable'!$AS$23 &amp; AW$9),"")</f>
        <v/>
      </c>
      <c r="AX10" s="700" t="str">
        <f ca="1">IF(INDIRECT("'Ext Tradable'!$B" &amp; AX$9)=$B10,INDIRECT("'Ext Tradable'!$" &amp; 'Ext Tradable'!$AS$23 &amp; AX$9),"")</f>
        <v/>
      </c>
      <c r="AY10" s="700" t="str">
        <f ca="1">IF(INDIRECT("'Ext Tradable'!$B" &amp; AY$9)=$B10,INDIRECT("'Ext Tradable'!$" &amp; 'Ext Tradable'!$AS$23 &amp; AY$9),"")</f>
        <v/>
      </c>
      <c r="AZ10" s="700" t="str">
        <f ca="1">IF(INDIRECT("'Ext Tradable'!$B" &amp; AZ$9)=$B10,INDIRECT("'Ext Tradable'!$" &amp; 'Ext Tradable'!$AS$23 &amp; AZ$9),"")</f>
        <v/>
      </c>
      <c r="BA10" s="700" t="str">
        <f ca="1">IF(INDIRECT("'Ext Tradable'!$B" &amp; BA$9)=$B10,INDIRECT("'Ext Tradable'!$" &amp; 'Ext Tradable'!$AS$23 &amp; BA$9),"")</f>
        <v/>
      </c>
      <c r="BB10" s="700" t="str">
        <f ca="1">IF(INDIRECT("'Ext Tradable'!$B" &amp; BB$9)=$B10,INDIRECT("'Ext Tradable'!$" &amp; 'Ext Tradable'!$AS$23 &amp; BB$9),"")</f>
        <v/>
      </c>
      <c r="BC10" s="700" t="str">
        <f ca="1">IF(INDIRECT("'Ext Tradable'!$B" &amp; BC$9)=$B10,INDIRECT("'Ext Tradable'!$" &amp; 'Ext Tradable'!$AS$23 &amp; BC$9),"")</f>
        <v/>
      </c>
      <c r="BD10" s="700" t="str">
        <f ca="1">IF(INDIRECT("'Ext Tradable'!$B" &amp; BD$9)=$B10,INDIRECT("'Ext Tradable'!$" &amp; 'Ext Tradable'!$AS$23 &amp; BD$9),"")</f>
        <v/>
      </c>
      <c r="BE10" s="700" t="str">
        <f ca="1">IF(INDIRECT("'Ext Tradable'!$B" &amp; BE$9)=$B10,INDIRECT("'Ext Tradable'!$" &amp; 'Ext Tradable'!$AS$23 &amp; BE$9),"")</f>
        <v/>
      </c>
      <c r="BF10" s="700" t="str">
        <f ca="1">IF(INDIRECT("'Ext Tradable'!$B" &amp; BF$9)=$B10,INDIRECT("'Ext Tradable'!$" &amp; 'Ext Tradable'!$AS$23 &amp; BF$9),"")</f>
        <v/>
      </c>
      <c r="BG10" s="700" t="str">
        <f ca="1">IF(INDIRECT("'Ext Tradable'!$B" &amp; BG$9)=$B10,INDIRECT("'Ext Tradable'!$" &amp; 'Ext Tradable'!$AS$23 &amp; BG$9),"")</f>
        <v/>
      </c>
      <c r="BH10" s="700" t="str">
        <f ca="1">IF(INDIRECT("'Ext Tradable'!$B" &amp; BH$9)=$B10,INDIRECT("'Ext Tradable'!$" &amp; 'Ext Tradable'!$AS$23 &amp; BH$9),"")</f>
        <v/>
      </c>
      <c r="BI10" s="700" t="str">
        <f ca="1">IF(INDIRECT("'Ext Tradable'!$B" &amp; BI$9)=$B10,INDIRECT("'Ext Tradable'!$" &amp; 'Ext Tradable'!$AS$23 &amp; BI$9),"")</f>
        <v/>
      </c>
      <c r="BJ10" s="700" t="str">
        <f ca="1">IF(INDIRECT("'Ext Tradable'!$B" &amp; BJ$9)=$B10,INDIRECT("'Ext Tradable'!$" &amp; 'Ext Tradable'!$AS$23 &amp; BJ$9),"")</f>
        <v/>
      </c>
      <c r="BK10" s="700" t="str">
        <f ca="1">IF(INDIRECT("'Ext Tradable'!$B" &amp; BK$9)=$B10,INDIRECT("'Ext Tradable'!$" &amp; 'Ext Tradable'!$AS$23 &amp; BK$9),"")</f>
        <v/>
      </c>
      <c r="BL10" s="700" t="str">
        <f ca="1">IF(INDIRECT("'Ext Tradable'!$B" &amp; BL$9)=$B10,INDIRECT("'Ext Tradable'!$" &amp; 'Ext Tradable'!$AS$23 &amp; BL$9),"")</f>
        <v/>
      </c>
      <c r="BM10" s="700">
        <f ca="1">IF(INDIRECT("'Ext Tradable'!$B" &amp; BM$9)=$B10,INDIRECT("'Ext Tradable'!$" &amp; 'Ext Tradable'!$AS$23 &amp; BM$9),"")</f>
        <v>0</v>
      </c>
      <c r="BN10" s="700">
        <f ca="1">IF(INDIRECT("'Ext Tradable'!$B" &amp; BN$9)=$B10,INDIRECT("'Ext Tradable'!$" &amp; 'Ext Tradable'!$AS$23 &amp; BN$9),"")</f>
        <v>0</v>
      </c>
      <c r="BO10" s="700">
        <f ca="1">IF(INDIRECT("'Ext Tradable'!$B" &amp; BO$9)=$B10,INDIRECT("'Ext Tradable'!$" &amp; 'Ext Tradable'!$AS$23 &amp; BO$9),"")</f>
        <v>0</v>
      </c>
      <c r="BP10" s="700">
        <f ca="1">IF(INDIRECT("'Ext Tradable'!$B" &amp; BP$9)=$B10,INDIRECT("'Ext Tradable'!$" &amp; 'Ext Tradable'!$AS$23 &amp; BP$9),"")</f>
        <v>0</v>
      </c>
      <c r="BQ10" s="700">
        <f ca="1">IF(INDIRECT("'Ext Tradable'!$B" &amp; BQ$9)=$B10,INDIRECT("'Ext Tradable'!$" &amp; 'Ext Tradable'!$AS$23 &amp; BQ$9),"")</f>
        <v>0</v>
      </c>
      <c r="BR10" s="700">
        <f ca="1">IF(INDIRECT("'Ext Tradable'!$B" &amp; BR$9)=$B10,INDIRECT("'Ext Tradable'!$" &amp; 'Ext Tradable'!$AS$23 &amp; BR$9),"")</f>
        <v>0</v>
      </c>
      <c r="BS10" s="700">
        <f ca="1">IF(INDIRECT("'Ext Tradable'!$B" &amp; BS$9)=$B10,INDIRECT("'Ext Tradable'!$" &amp; 'Ext Tradable'!$AS$23 &amp; BS$9),"")</f>
        <v>0</v>
      </c>
      <c r="BT10" s="700">
        <f ca="1">IF(INDIRECT("'Ext Tradable'!$B" &amp; BT$9)=$B10,INDIRECT("'Ext Tradable'!$" &amp; 'Ext Tradable'!$AS$23 &amp; BT$9),"")</f>
        <v>0</v>
      </c>
      <c r="BU10" s="700">
        <f ca="1">IF(INDIRECT("'Ext Tradable'!$B" &amp; BU$9)=$B10,INDIRECT("'Ext Tradable'!$" &amp; 'Ext Tradable'!$AS$23 &amp; BU$9),"")</f>
        <v>0</v>
      </c>
      <c r="BV10" s="700">
        <f ca="1">IF(INDIRECT("'Ext Tradable'!$B" &amp; BV$9)=$B10,INDIRECT("'Ext Tradable'!$" &amp; 'Ext Tradable'!$AS$23 &amp; BV$9),"")</f>
        <v>0</v>
      </c>
      <c r="BW10" s="700">
        <f ca="1">IF(INDIRECT("'Ext Tradable'!$B" &amp; BW$9)=$B10,INDIRECT("'Ext Tradable'!$" &amp; 'Ext Tradable'!$AS$23 &amp; BW$9),"")</f>
        <v>0</v>
      </c>
      <c r="BX10" s="700">
        <f ca="1">IF(INDIRECT("'Ext Tradable'!$B" &amp; BX$9)=$B10,INDIRECT("'Ext Tradable'!$" &amp; 'Ext Tradable'!$AS$23 &amp; BX$9),"")</f>
        <v>0</v>
      </c>
      <c r="BY10" s="700">
        <f ca="1">IF(INDIRECT("'Ext Tradable'!$B" &amp; BY$9)=$B10,INDIRECT("'Ext Tradable'!$" &amp; 'Ext Tradable'!$AS$23 &amp; BY$9),"")</f>
        <v>0</v>
      </c>
      <c r="BZ10" s="700">
        <f ca="1">IF(INDIRECT("'Ext Tradable'!$B" &amp; BZ$9)=$B10,INDIRECT("'Ext Tradable'!$" &amp; 'Ext Tradable'!$AS$23 &amp; BZ$9),"")</f>
        <v>0</v>
      </c>
      <c r="CA10" s="700">
        <f ca="1">IF(INDIRECT("'Ext Tradable'!$B" &amp; CA$9)=$B10,INDIRECT("'Ext Tradable'!$" &amp; 'Ext Tradable'!$AS$23 &amp; CA$9),"")</f>
        <v>0</v>
      </c>
      <c r="CB10" s="700">
        <f ca="1">IF(INDIRECT("'Ext Tradable'!$B" &amp; CB$9)=$B10,INDIRECT("'Ext Tradable'!$" &amp; 'Ext Tradable'!$AS$23 &amp; CB$9),"")</f>
        <v>0</v>
      </c>
      <c r="CC10" s="700">
        <f ca="1">IF(INDIRECT("'Ext Tradable'!$B" &amp; CC$9)=$B10,INDIRECT("'Ext Tradable'!$" &amp; 'Ext Tradable'!$AS$23 &amp; CC$9),"")</f>
        <v>0</v>
      </c>
      <c r="CD10" s="700">
        <f ca="1">IF(INDIRECT("'Ext Tradable'!$B" &amp; CD$9)=$B10,INDIRECT("'Ext Tradable'!$" &amp; 'Ext Tradable'!$AS$23 &amp; CD$9),"")</f>
        <v>0</v>
      </c>
      <c r="CE10" s="700">
        <f ca="1">IF(INDIRECT("'Ext Tradable'!$B" &amp; CE$9)=$B10,INDIRECT("'Ext Tradable'!$" &amp; 'Ext Tradable'!$AS$23 &amp; CE$9),"")</f>
        <v>0</v>
      </c>
      <c r="CF10" s="700">
        <f ca="1">IF(INDIRECT("'Ext Tradable'!$B" &amp; CF$9)=$B10,INDIRECT("'Ext Tradable'!$" &amp; 'Ext Tradable'!$AS$23 &amp; CF$9),"")</f>
        <v>0</v>
      </c>
      <c r="CG10" s="700">
        <f ca="1">IF(INDIRECT("'Ext Tradable'!$B" &amp; CG$9)=$B10,INDIRECT("'Ext Tradable'!$" &amp; 'Ext Tradable'!$AS$23 &amp; CG$9),"")</f>
        <v>0</v>
      </c>
      <c r="CH10" s="700">
        <f ca="1">IF(INDIRECT("'Ext Tradable'!$B" &amp; CH$9)=$B10,INDIRECT("'Ext Tradable'!$" &amp; 'Ext Tradable'!$AS$23 &amp; CH$9),"")</f>
        <v>0</v>
      </c>
      <c r="CI10" s="700">
        <f ca="1">IF(INDIRECT("'Ext Tradable'!$B" &amp; CI$9)=$B10,INDIRECT("'Ext Tradable'!$" &amp; 'Ext Tradable'!$AS$23 &amp; CI$9),"")</f>
        <v>0</v>
      </c>
      <c r="CJ10" s="700">
        <f ca="1">IF(INDIRECT("'Ext Tradable'!$B" &amp; CJ$9)=$B10,INDIRECT("'Ext Tradable'!$" &amp; 'Ext Tradable'!$AS$23 &amp; CJ$9),"")</f>
        <v>0</v>
      </c>
      <c r="CK10" s="700">
        <f ca="1">IF(INDIRECT("'Ext Tradable'!$B" &amp; CK$9)=$B10,INDIRECT("'Ext Tradable'!$" &amp; 'Ext Tradable'!$AS$23 &amp; CK$9),"")</f>
        <v>0</v>
      </c>
      <c r="CL10" s="700">
        <f ca="1">IF(INDIRECT("'Ext Tradable'!$B" &amp; CL$9)=$B10,INDIRECT("'Ext Tradable'!$" &amp; 'Ext Tradable'!$AS$23 &amp; CL$9),"")</f>
        <v>0</v>
      </c>
      <c r="CM10" s="700">
        <f ca="1">IF(INDIRECT("'Ext Tradable'!$B" &amp; CM$9)=$B10,INDIRECT("'Ext Tradable'!$" &amp; 'Ext Tradable'!$AS$23 &amp; CM$9),"")</f>
        <v>0</v>
      </c>
      <c r="CN10" s="700">
        <f ca="1">IF(INDIRECT("'Ext Tradable'!$B" &amp; CN$9)=$B10,INDIRECT("'Ext Tradable'!$" &amp; 'Ext Tradable'!$AS$23 &amp; CN$9),"")</f>
        <v>0</v>
      </c>
      <c r="CO10" s="700">
        <f ca="1">IF(INDIRECT("'Ext Tradable'!$B" &amp; CO$9)=$B10,INDIRECT("'Ext Tradable'!$" &amp; 'Ext Tradable'!$AS$23 &amp; CO$9),"")</f>
        <v>0</v>
      </c>
      <c r="CP10" s="700">
        <f ca="1">IF(INDIRECT("'Ext Tradable'!$B" &amp; CP$9)=$B10,INDIRECT("'Ext Tradable'!$" &amp; 'Ext Tradable'!$AS$23 &amp; CP$9),"")</f>
        <v>0</v>
      </c>
      <c r="CQ10" s="702" t="str">
        <f t="shared" ref="CQ10:CQ12" ca="1" si="5">CONCATENATE(AS10,AT10,AU10,AV10,AW10,AX10,AY10,AZ10,BA10,BB10,BC10,BD10,BE10,BF10,BG10,BH10,BI10,BJ10,BK10,BL10,BM10,BN10,BO10,BP10,BQ10,BR10,BS10,BT10,BU10,BV10,BW10,BX10,BY10,BZ10,CA10,CB10,CC10,CD10,CE10,CF10,CG10,CH10,CI10,CJ10,CK10,CL10,CM10,CN10,CO10,CP10)</f>
        <v>000000000000000000000000000000</v>
      </c>
    </row>
    <row r="11" spans="1:95" ht="60" customHeight="1" x14ac:dyDescent="0.25">
      <c r="A11" s="705">
        <v>2</v>
      </c>
      <c r="B11" s="707" t="str">
        <f>'Ext Area Schedule'!Y17</f>
        <v/>
      </c>
      <c r="C11" s="707" t="str">
        <f>VLOOKUP($B11,'Ext Area Schedule'!$Y$16:$AE$65,3,FALSE)</f>
        <v/>
      </c>
      <c r="D11" s="792" t="str">
        <f>VLOOKUP($B11,'Ext Area Schedule'!$Y$16:$AE$65,4,FALSE)</f>
        <v/>
      </c>
      <c r="F11" s="792" t="str">
        <f>VLOOKUP($B11,'Ext Area Schedule'!$Y$16:$AE$65,5,FALSE)</f>
        <v/>
      </c>
      <c r="G11" s="792" t="str">
        <f>VLOOKUP($B11,'Ext Area Schedule'!$Y$16:$AE$65,7,FALSE)</f>
        <v/>
      </c>
      <c r="I11" s="703">
        <f t="shared" ref="I11:I59" si="6">IF(OR($R11=0,$B11=""),0,F11)</f>
        <v>0</v>
      </c>
      <c r="K11" s="703" t="str">
        <f>IF($B11="","",SUMIFS('Ext Tradable'!$M$26:$M$45,'Ext Tradable'!$B$26:$B$45,$B11,'Ext Tradable'!$O$26:$O$45,"New"))</f>
        <v/>
      </c>
      <c r="L11" s="703" t="str">
        <f>IF($B11="","",SUMIFS('Ext Tradable'!$M$26:$M$45,'Ext Tradable'!$B$26:$B$45,$B11,'Ext Tradable'!$O$26:$O$45,""))</f>
        <v/>
      </c>
      <c r="M11" s="703" t="str">
        <f>IF($B11="","",SUMIFS('Ext Tradable'!$K$26:$K$45,'Ext Tradable'!$B$26:$B$45,$B11,'Ext Tradable'!$O$26:$O$45,"New")+SUMIFS('Ext Tradable'!$K$26:$K$45,'Ext Tradable'!$B$26:$B$45,$B11,'Ext Tradable'!$O$26:$O$45,""))</f>
        <v/>
      </c>
      <c r="N11" s="703" t="str">
        <f>IF($B11="","",SUMIFS('Ext Tradable'!$M$26:$M$45,'Ext Tradable'!$B$26:$B$45,$B11,'Ext Tradable'!$O$26:$O$45,"Existing Remains"))</f>
        <v/>
      </c>
      <c r="O11" s="703" t="str">
        <f>IF($B11="","",SUMIFS('Ext Tradable'!$M$26:$M$45,'Ext Tradable'!$B$26:$B$45,$B11,'Ext Tradable'!$O$26:$O$45,"Existing Removed"))</f>
        <v/>
      </c>
      <c r="P11" s="703" t="str">
        <f>IF($B11="","",SUMIFS('Ext Tradable'!$K$26:$K$45,'Ext Tradable'!$B$26:$B$45,$B11,'Ext Tradable'!$O$26:$O$45,"Existing Removed"))</f>
        <v/>
      </c>
      <c r="Q11" s="703" t="str">
        <f t="shared" ref="Q11:Q59" si="7">IF($B11="","",N11+O11)</f>
        <v/>
      </c>
      <c r="R11" s="703" t="str">
        <f t="shared" ref="R11:R59" si="8">IF(B11="","",IF($X$6=TRUE,K11+L11+N11,K11+L11+Q11))</f>
        <v/>
      </c>
      <c r="S11" s="1123" t="str">
        <f t="shared" ref="S11:S59" si="9">IF(B11="","",IF(R11-I11&lt;0,0,R11-I11))</f>
        <v/>
      </c>
      <c r="T11" s="1128" t="str">
        <f t="shared" ref="T11" si="10">IFERROR(T10-S11,"")</f>
        <v/>
      </c>
      <c r="U11" s="711" t="str">
        <f t="shared" ref="U11:U59" si="11">IF(B11="","",IFERROR(ROUND((R11-S11)/D11,2),0))</f>
        <v/>
      </c>
      <c r="V11" s="712" t="str">
        <f t="shared" ref="V11:V59" si="12">IF(OR($B11="",R11=0),"",IF($S$6&lt;0,"Fail","Pass"))</f>
        <v/>
      </c>
      <c r="W11" s="762"/>
      <c r="X11" s="720" t="str">
        <f t="shared" ref="X11:X59" si="13">IF(OR($X$6=FALSE,$B11="",R11=0,Z$6=FALSE),"",IFERROR(O11/Q11,1))</f>
        <v/>
      </c>
      <c r="Y11" s="721" t="str">
        <f t="shared" ref="Y11:Y59" si="14">IF(OR($X$6=FALSE,$B11="",$X11="",Z$6=FALSE),"",IF(X11&gt;X$9,"Fail","Pass"))</f>
        <v/>
      </c>
      <c r="Z11" s="721" t="str">
        <f t="shared" ref="Z11:Z59" si="15">IF(OR($X$6=FALSE,$B11="",R11=0,Z$6=FALSE),"",IF(R11&gt;Q11,"Fail","Pass"))</f>
        <v/>
      </c>
      <c r="AA11" s="719" t="str">
        <f t="shared" si="2"/>
        <v/>
      </c>
      <c r="AB11" s="762"/>
      <c r="AC11" s="717" t="str">
        <f t="shared" ref="AC11:AC59" si="16">IF(OR($X$6=FALSE,$B11="",R11=0,Z$6=FALSE),"",IF(M11=P11,"Pass","Fail"))</f>
        <v/>
      </c>
      <c r="AD11" s="718" t="str">
        <f t="shared" ref="AD11:AD59" si="17">IF(OR($X$6=FALSE,Z$6=FALSE),"",V11)</f>
        <v/>
      </c>
      <c r="AE11" s="719" t="str">
        <f t="shared" si="3"/>
        <v/>
      </c>
      <c r="AF11" s="726"/>
      <c r="AG11" s="727" t="str">
        <f t="shared" ref="AG11:AG59" si="18">IF(OR(R11=0,B11=""),"",IF(Z$6=FALSE,"",IF(AA11="Pass","Pass","Fail")))</f>
        <v/>
      </c>
      <c r="AH11" s="703" t="str">
        <f t="shared" ref="AH11:AH59" si="19">IF(OR(AA11="Pass",AE11="Pass"),0,R11)</f>
        <v/>
      </c>
      <c r="AI11" s="1114">
        <f>IFERROR(IF(AH11&gt;0,IF(T11&gt;0,I11+S11,I11+S11+T11),0),0)</f>
        <v>0</v>
      </c>
      <c r="AK11" s="791" t="str">
        <f t="shared" si="4"/>
        <v/>
      </c>
      <c r="AL11" s="791" t="str">
        <f>IF(OR(V11="",B11=""),"",
IF(AND($X$6=TRUE,$Z$6=TRUE),IF(AA11="Pass","#1",IF(OR(V11="Pass",$AI$4=TRUE),"ALT","")),IF($X$6=TRUE,"ALT","")))</f>
        <v/>
      </c>
      <c r="AM11" s="707" t="str">
        <f>IF(OR(AK11="Fail",AK11="Fail LPA",AK11=""),"",IF(AL11&lt;&gt;"#1",VLOOKUP(C11,'9.4.3 Tables'!B$142:O$154,14,FALSE),"No NEW controls required"))</f>
        <v/>
      </c>
      <c r="AN11" s="703">
        <f>IF(ISNUMBER(SEARCH("Fail",AK11))=TRUE,1,0)</f>
        <v>0</v>
      </c>
      <c r="AQ11">
        <v>2</v>
      </c>
      <c r="AR11" s="15" t="str">
        <f>IF(B11="","",CQ11)</f>
        <v/>
      </c>
      <c r="AS11" s="700" t="str">
        <f ca="1">IF(INDIRECT("'Ext Tradable'!$B" &amp; AS$9)=$B11,INDIRECT("'Ext Tradable'!$" &amp; 'Ext Tradable'!$AS$23 &amp; AS$9),"")</f>
        <v/>
      </c>
      <c r="AT11" s="700" t="str">
        <f ca="1">IF(INDIRECT("'Ext Tradable'!$B" &amp; AT$9)=$B11,INDIRECT("'Ext Tradable'!$" &amp; 'Ext Tradable'!$AS$23 &amp; AT$9),"")</f>
        <v/>
      </c>
      <c r="AU11" s="700" t="str">
        <f ca="1">IF(INDIRECT("'Ext Tradable'!$B" &amp; AU$9)=$B11,INDIRECT("'Ext Tradable'!$" &amp; 'Ext Tradable'!$AS$23 &amp; AU$9),"")</f>
        <v/>
      </c>
      <c r="AV11" s="700" t="str">
        <f ca="1">IF(INDIRECT("'Ext Tradable'!$B" &amp; AV$9)=$B11,INDIRECT("'Ext Tradable'!$" &amp; 'Ext Tradable'!$AS$23 &amp; AV$9),"")</f>
        <v/>
      </c>
      <c r="AW11" s="700" t="str">
        <f ca="1">IF(INDIRECT("'Ext Tradable'!$B" &amp; AW$9)=$B11,INDIRECT("'Ext Tradable'!$" &amp; 'Ext Tradable'!$AS$23 &amp; AW$9),"")</f>
        <v/>
      </c>
      <c r="AX11" s="700" t="str">
        <f ca="1">IF(INDIRECT("'Ext Tradable'!$B" &amp; AX$9)=$B11,INDIRECT("'Ext Tradable'!$" &amp; 'Ext Tradable'!$AS$23 &amp; AX$9),"")</f>
        <v/>
      </c>
      <c r="AY11" s="700" t="str">
        <f ca="1">IF(INDIRECT("'Ext Tradable'!$B" &amp; AY$9)=$B11,INDIRECT("'Ext Tradable'!$" &amp; 'Ext Tradable'!$AS$23 &amp; AY$9),"")</f>
        <v/>
      </c>
      <c r="AZ11" s="700" t="str">
        <f ca="1">IF(INDIRECT("'Ext Tradable'!$B" &amp; AZ$9)=$B11,INDIRECT("'Ext Tradable'!$" &amp; 'Ext Tradable'!$AS$23 &amp; AZ$9),"")</f>
        <v/>
      </c>
      <c r="BA11" s="700" t="str">
        <f ca="1">IF(INDIRECT("'Ext Tradable'!$B" &amp; BA$9)=$B11,INDIRECT("'Ext Tradable'!$" &amp; 'Ext Tradable'!$AS$23 &amp; BA$9),"")</f>
        <v/>
      </c>
      <c r="BB11" s="700" t="str">
        <f ca="1">IF(INDIRECT("'Ext Tradable'!$B" &amp; BB$9)=$B11,INDIRECT("'Ext Tradable'!$" &amp; 'Ext Tradable'!$AS$23 &amp; BB$9),"")</f>
        <v/>
      </c>
      <c r="BC11" s="700" t="str">
        <f ca="1">IF(INDIRECT("'Ext Tradable'!$B" &amp; BC$9)=$B11,INDIRECT("'Ext Tradable'!$" &amp; 'Ext Tradable'!$AS$23 &amp; BC$9),"")</f>
        <v/>
      </c>
      <c r="BD11" s="700" t="str">
        <f ca="1">IF(INDIRECT("'Ext Tradable'!$B" &amp; BD$9)=$B11,INDIRECT("'Ext Tradable'!$" &amp; 'Ext Tradable'!$AS$23 &amp; BD$9),"")</f>
        <v/>
      </c>
      <c r="BE11" s="700" t="str">
        <f ca="1">IF(INDIRECT("'Ext Tradable'!$B" &amp; BE$9)=$B11,INDIRECT("'Ext Tradable'!$" &amp; 'Ext Tradable'!$AS$23 &amp; BE$9),"")</f>
        <v/>
      </c>
      <c r="BF11" s="700" t="str">
        <f ca="1">IF(INDIRECT("'Ext Tradable'!$B" &amp; BF$9)=$B11,INDIRECT("'Ext Tradable'!$" &amp; 'Ext Tradable'!$AS$23 &amp; BF$9),"")</f>
        <v/>
      </c>
      <c r="BG11" s="700" t="str">
        <f ca="1">IF(INDIRECT("'Ext Tradable'!$B" &amp; BG$9)=$B11,INDIRECT("'Ext Tradable'!$" &amp; 'Ext Tradable'!$AS$23 &amp; BG$9),"")</f>
        <v/>
      </c>
      <c r="BH11" s="700" t="str">
        <f ca="1">IF(INDIRECT("'Ext Tradable'!$B" &amp; BH$9)=$B11,INDIRECT("'Ext Tradable'!$" &amp; 'Ext Tradable'!$AS$23 &amp; BH$9),"")</f>
        <v/>
      </c>
      <c r="BI11" s="700" t="str">
        <f ca="1">IF(INDIRECT("'Ext Tradable'!$B" &amp; BI$9)=$B11,INDIRECT("'Ext Tradable'!$" &amp; 'Ext Tradable'!$AS$23 &amp; BI$9),"")</f>
        <v/>
      </c>
      <c r="BJ11" s="700" t="str">
        <f ca="1">IF(INDIRECT("'Ext Tradable'!$B" &amp; BJ$9)=$B11,INDIRECT("'Ext Tradable'!$" &amp; 'Ext Tradable'!$AS$23 &amp; BJ$9),"")</f>
        <v/>
      </c>
      <c r="BK11" s="700" t="str">
        <f ca="1">IF(INDIRECT("'Ext Tradable'!$B" &amp; BK$9)=$B11,INDIRECT("'Ext Tradable'!$" &amp; 'Ext Tradable'!$AS$23 &amp; BK$9),"")</f>
        <v/>
      </c>
      <c r="BL11" s="700" t="str">
        <f ca="1">IF(INDIRECT("'Ext Tradable'!$B" &amp; BL$9)=$B11,INDIRECT("'Ext Tradable'!$" &amp; 'Ext Tradable'!$AS$23 &amp; BL$9),"")</f>
        <v/>
      </c>
      <c r="BM11" s="700">
        <f ca="1">IF(INDIRECT("'Ext Tradable'!$B" &amp; BM$9)=$B11,INDIRECT("'Ext Tradable'!$" &amp; 'Ext Tradable'!$AS$23 &amp; BM$9),"")</f>
        <v>0</v>
      </c>
      <c r="BN11" s="700">
        <f ca="1">IF(INDIRECT("'Ext Tradable'!$B" &amp; BN$9)=$B11,INDIRECT("'Ext Tradable'!$" &amp; 'Ext Tradable'!$AS$23 &amp; BN$9),"")</f>
        <v>0</v>
      </c>
      <c r="BO11" s="700">
        <f ca="1">IF(INDIRECT("'Ext Tradable'!$B" &amp; BO$9)=$B11,INDIRECT("'Ext Tradable'!$" &amp; 'Ext Tradable'!$AS$23 &amp; BO$9),"")</f>
        <v>0</v>
      </c>
      <c r="BP11" s="700">
        <f ca="1">IF(INDIRECT("'Ext Tradable'!$B" &amp; BP$9)=$B11,INDIRECT("'Ext Tradable'!$" &amp; 'Ext Tradable'!$AS$23 &amp; BP$9),"")</f>
        <v>0</v>
      </c>
      <c r="BQ11" s="700">
        <f ca="1">IF(INDIRECT("'Ext Tradable'!$B" &amp; BQ$9)=$B11,INDIRECT("'Ext Tradable'!$" &amp; 'Ext Tradable'!$AS$23 &amp; BQ$9),"")</f>
        <v>0</v>
      </c>
      <c r="BR11" s="700">
        <f ca="1">IF(INDIRECT("'Ext Tradable'!$B" &amp; BR$9)=$B11,INDIRECT("'Ext Tradable'!$" &amp; 'Ext Tradable'!$AS$23 &amp; BR$9),"")</f>
        <v>0</v>
      </c>
      <c r="BS11" s="700">
        <f ca="1">IF(INDIRECT("'Ext Tradable'!$B" &amp; BS$9)=$B11,INDIRECT("'Ext Tradable'!$" &amp; 'Ext Tradable'!$AS$23 &amp; BS$9),"")</f>
        <v>0</v>
      </c>
      <c r="BT11" s="700">
        <f ca="1">IF(INDIRECT("'Ext Tradable'!$B" &amp; BT$9)=$B11,INDIRECT("'Ext Tradable'!$" &amp; 'Ext Tradable'!$AS$23 &amp; BT$9),"")</f>
        <v>0</v>
      </c>
      <c r="BU11" s="700">
        <f ca="1">IF(INDIRECT("'Ext Tradable'!$B" &amp; BU$9)=$B11,INDIRECT("'Ext Tradable'!$" &amp; 'Ext Tradable'!$AS$23 &amp; BU$9),"")</f>
        <v>0</v>
      </c>
      <c r="BV11" s="700">
        <f ca="1">IF(INDIRECT("'Ext Tradable'!$B" &amp; BV$9)=$B11,INDIRECT("'Ext Tradable'!$" &amp; 'Ext Tradable'!$AS$23 &amp; BV$9),"")</f>
        <v>0</v>
      </c>
      <c r="BW11" s="700">
        <f ca="1">IF(INDIRECT("'Ext Tradable'!$B" &amp; BW$9)=$B11,INDIRECT("'Ext Tradable'!$" &amp; 'Ext Tradable'!$AS$23 &amp; BW$9),"")</f>
        <v>0</v>
      </c>
      <c r="BX11" s="700">
        <f ca="1">IF(INDIRECT("'Ext Tradable'!$B" &amp; BX$9)=$B11,INDIRECT("'Ext Tradable'!$" &amp; 'Ext Tradable'!$AS$23 &amp; BX$9),"")</f>
        <v>0</v>
      </c>
      <c r="BY11" s="700">
        <f ca="1">IF(INDIRECT("'Ext Tradable'!$B" &amp; BY$9)=$B11,INDIRECT("'Ext Tradable'!$" &amp; 'Ext Tradable'!$AS$23 &amp; BY$9),"")</f>
        <v>0</v>
      </c>
      <c r="BZ11" s="700">
        <f ca="1">IF(INDIRECT("'Ext Tradable'!$B" &amp; BZ$9)=$B11,INDIRECT("'Ext Tradable'!$" &amp; 'Ext Tradable'!$AS$23 &amp; BZ$9),"")</f>
        <v>0</v>
      </c>
      <c r="CA11" s="700">
        <f ca="1">IF(INDIRECT("'Ext Tradable'!$B" &amp; CA$9)=$B11,INDIRECT("'Ext Tradable'!$" &amp; 'Ext Tradable'!$AS$23 &amp; CA$9),"")</f>
        <v>0</v>
      </c>
      <c r="CB11" s="700">
        <f ca="1">IF(INDIRECT("'Ext Tradable'!$B" &amp; CB$9)=$B11,INDIRECT("'Ext Tradable'!$" &amp; 'Ext Tradable'!$AS$23 &amp; CB$9),"")</f>
        <v>0</v>
      </c>
      <c r="CC11" s="700">
        <f ca="1">IF(INDIRECT("'Ext Tradable'!$B" &amp; CC$9)=$B11,INDIRECT("'Ext Tradable'!$" &amp; 'Ext Tradable'!$AS$23 &amp; CC$9),"")</f>
        <v>0</v>
      </c>
      <c r="CD11" s="700">
        <f ca="1">IF(INDIRECT("'Ext Tradable'!$B" &amp; CD$9)=$B11,INDIRECT("'Ext Tradable'!$" &amp; 'Ext Tradable'!$AS$23 &amp; CD$9),"")</f>
        <v>0</v>
      </c>
      <c r="CE11" s="700">
        <f ca="1">IF(INDIRECT("'Ext Tradable'!$B" &amp; CE$9)=$B11,INDIRECT("'Ext Tradable'!$" &amp; 'Ext Tradable'!$AS$23 &amp; CE$9),"")</f>
        <v>0</v>
      </c>
      <c r="CF11" s="700">
        <f ca="1">IF(INDIRECT("'Ext Tradable'!$B" &amp; CF$9)=$B11,INDIRECT("'Ext Tradable'!$" &amp; 'Ext Tradable'!$AS$23 &amp; CF$9),"")</f>
        <v>0</v>
      </c>
      <c r="CG11" s="700">
        <f ca="1">IF(INDIRECT("'Ext Tradable'!$B" &amp; CG$9)=$B11,INDIRECT("'Ext Tradable'!$" &amp; 'Ext Tradable'!$AS$23 &amp; CG$9),"")</f>
        <v>0</v>
      </c>
      <c r="CH11" s="700">
        <f ca="1">IF(INDIRECT("'Ext Tradable'!$B" &amp; CH$9)=$B11,INDIRECT("'Ext Tradable'!$" &amp; 'Ext Tradable'!$AS$23 &amp; CH$9),"")</f>
        <v>0</v>
      </c>
      <c r="CI11" s="700">
        <f ca="1">IF(INDIRECT("'Ext Tradable'!$B" &amp; CI$9)=$B11,INDIRECT("'Ext Tradable'!$" &amp; 'Ext Tradable'!$AS$23 &amp; CI$9),"")</f>
        <v>0</v>
      </c>
      <c r="CJ11" s="700">
        <f ca="1">IF(INDIRECT("'Ext Tradable'!$B" &amp; CJ$9)=$B11,INDIRECT("'Ext Tradable'!$" &amp; 'Ext Tradable'!$AS$23 &amp; CJ$9),"")</f>
        <v>0</v>
      </c>
      <c r="CK11" s="700">
        <f ca="1">IF(INDIRECT("'Ext Tradable'!$B" &amp; CK$9)=$B11,INDIRECT("'Ext Tradable'!$" &amp; 'Ext Tradable'!$AS$23 &amp; CK$9),"")</f>
        <v>0</v>
      </c>
      <c r="CL11" s="700">
        <f ca="1">IF(INDIRECT("'Ext Tradable'!$B" &amp; CL$9)=$B11,INDIRECT("'Ext Tradable'!$" &amp; 'Ext Tradable'!$AS$23 &amp; CL$9),"")</f>
        <v>0</v>
      </c>
      <c r="CM11" s="700">
        <f ca="1">IF(INDIRECT("'Ext Tradable'!$B" &amp; CM$9)=$B11,INDIRECT("'Ext Tradable'!$" &amp; 'Ext Tradable'!$AS$23 &amp; CM$9),"")</f>
        <v>0</v>
      </c>
      <c r="CN11" s="700">
        <f ca="1">IF(INDIRECT("'Ext Tradable'!$B" &amp; CN$9)=$B11,INDIRECT("'Ext Tradable'!$" &amp; 'Ext Tradable'!$AS$23 &amp; CN$9),"")</f>
        <v>0</v>
      </c>
      <c r="CO11" s="700">
        <f ca="1">IF(INDIRECT("'Ext Tradable'!$B" &amp; CO$9)=$B11,INDIRECT("'Ext Tradable'!$" &amp; 'Ext Tradable'!$AS$23 &amp; CO$9),"")</f>
        <v>0</v>
      </c>
      <c r="CP11" s="700">
        <f ca="1">IF(INDIRECT("'Ext Tradable'!$B" &amp; CP$9)=$B11,INDIRECT("'Ext Tradable'!$" &amp; 'Ext Tradable'!$AS$23 &amp; CP$9),"")</f>
        <v>0</v>
      </c>
      <c r="CQ11" s="702" t="str">
        <f t="shared" ca="1" si="5"/>
        <v>000000000000000000000000000000</v>
      </c>
    </row>
    <row r="12" spans="1:95" ht="60" customHeight="1" x14ac:dyDescent="0.25">
      <c r="A12" s="705">
        <v>3</v>
      </c>
      <c r="B12" s="707" t="str">
        <f>'Ext Area Schedule'!Y18</f>
        <v/>
      </c>
      <c r="C12" s="707" t="str">
        <f>VLOOKUP($B12,'Ext Area Schedule'!$Y$16:$AE$65,3,FALSE)</f>
        <v/>
      </c>
      <c r="D12" s="792" t="str">
        <f>VLOOKUP($B12,'Ext Area Schedule'!$Y$16:$AE$65,4,FALSE)</f>
        <v/>
      </c>
      <c r="F12" s="792" t="str">
        <f>VLOOKUP($B12,'Ext Area Schedule'!$Y$16:$AE$65,5,FALSE)</f>
        <v/>
      </c>
      <c r="G12" s="792" t="str">
        <f>VLOOKUP($B12,'Ext Area Schedule'!$Y$16:$AE$65,7,FALSE)</f>
        <v/>
      </c>
      <c r="I12" s="703">
        <f t="shared" si="6"/>
        <v>0</v>
      </c>
      <c r="K12" s="703" t="str">
        <f>IF($B12="","",SUMIFS('Ext Tradable'!$M$26:$M$45,'Ext Tradable'!$B$26:$B$45,$B12,'Ext Tradable'!$O$26:$O$45,"New"))</f>
        <v/>
      </c>
      <c r="L12" s="703" t="str">
        <f>IF($B12="","",SUMIFS('Ext Tradable'!$M$26:$M$45,'Ext Tradable'!$B$26:$B$45,$B12,'Ext Tradable'!$O$26:$O$45,""))</f>
        <v/>
      </c>
      <c r="M12" s="703" t="str">
        <f>IF($B12="","",SUMIFS('Ext Tradable'!$K$26:$K$45,'Ext Tradable'!$B$26:$B$45,$B12,'Ext Tradable'!$O$26:$O$45,"New")+SUMIFS('Ext Tradable'!$K$26:$K$45,'Ext Tradable'!$B$26:$B$45,$B12,'Ext Tradable'!$O$26:$O$45,""))</f>
        <v/>
      </c>
      <c r="N12" s="703" t="str">
        <f>IF($B12="","",SUMIFS('Ext Tradable'!$M$26:$M$45,'Ext Tradable'!$B$26:$B$45,$B12,'Ext Tradable'!$O$26:$O$45,"Existing Remains"))</f>
        <v/>
      </c>
      <c r="O12" s="703" t="str">
        <f>IF($B12="","",SUMIFS('Ext Tradable'!$M$26:$M$45,'Ext Tradable'!$B$26:$B$45,$B12,'Ext Tradable'!$O$26:$O$45,"Existing Removed"))</f>
        <v/>
      </c>
      <c r="P12" s="703" t="str">
        <f>IF($B12="","",SUMIFS('Ext Tradable'!$K$26:$K$45,'Ext Tradable'!$B$26:$B$45,$B12,'Ext Tradable'!$O$26:$O$45,"Existing Removed"))</f>
        <v/>
      </c>
      <c r="Q12" s="703" t="str">
        <f t="shared" si="7"/>
        <v/>
      </c>
      <c r="R12" s="703" t="str">
        <f t="shared" si="8"/>
        <v/>
      </c>
      <c r="S12" s="1123" t="str">
        <f t="shared" si="9"/>
        <v/>
      </c>
      <c r="T12" s="1128" t="str">
        <f>IFERROR(T11-S12,"")</f>
        <v/>
      </c>
      <c r="U12" s="711" t="str">
        <f t="shared" si="11"/>
        <v/>
      </c>
      <c r="V12" s="712" t="str">
        <f t="shared" si="12"/>
        <v/>
      </c>
      <c r="W12" s="762"/>
      <c r="X12" s="720" t="str">
        <f t="shared" si="13"/>
        <v/>
      </c>
      <c r="Y12" s="721" t="str">
        <f t="shared" si="14"/>
        <v/>
      </c>
      <c r="Z12" s="721" t="str">
        <f t="shared" si="15"/>
        <v/>
      </c>
      <c r="AA12" s="719" t="str">
        <f t="shared" si="2"/>
        <v/>
      </c>
      <c r="AB12" s="762"/>
      <c r="AC12" s="717" t="str">
        <f t="shared" si="16"/>
        <v/>
      </c>
      <c r="AD12" s="718" t="str">
        <f t="shared" si="17"/>
        <v/>
      </c>
      <c r="AE12" s="719" t="str">
        <f t="shared" si="3"/>
        <v/>
      </c>
      <c r="AF12" s="726"/>
      <c r="AG12" s="727" t="str">
        <f t="shared" si="18"/>
        <v/>
      </c>
      <c r="AH12" s="703" t="str">
        <f t="shared" si="19"/>
        <v/>
      </c>
      <c r="AI12" s="1114">
        <f t="shared" ref="AI12:AI59" si="20">IFERROR(IF(AH12&gt;0,IF(T12&gt;0,I12+S12,I12+S12+T12),0),0)</f>
        <v>0</v>
      </c>
      <c r="AK12" s="791" t="str">
        <f t="shared" si="4"/>
        <v/>
      </c>
      <c r="AL12" s="791" t="str">
        <f t="shared" ref="AL12:AL59" si="21">IF(OR(V12="",B12=""),"",
IF(AND($X$6=TRUE,$Z$6=TRUE),IF(AA12="Pass","#1",IF(OR(V12="Pass",$AI$4=TRUE),"ALT","")),IF($X$6=TRUE,"ALT","")))</f>
        <v/>
      </c>
      <c r="AM12" s="707" t="str">
        <f>IF(OR(AK12="Fail",AK12="Fail LPA",AK12=""),"",IF(AL12&lt;&gt;"#1",VLOOKUP(C12,'9.4.3 Tables'!B$142:O$154,14,FALSE),"No NEW controls required"))</f>
        <v/>
      </c>
      <c r="AN12" s="703">
        <f t="shared" ref="AN12:AN59" si="22">IF(ISNUMBER(SEARCH("Fail",AK12))=TRUE,1,0)</f>
        <v>0</v>
      </c>
      <c r="AQ12">
        <v>3</v>
      </c>
      <c r="AR12" s="15" t="str">
        <f>IF(B12="","",CQ12)</f>
        <v/>
      </c>
      <c r="AS12" s="700" t="str">
        <f ca="1">IF(INDIRECT("'Ext Tradable'!$B" &amp; AS$9)=$B12,INDIRECT("'Ext Tradable'!$" &amp; 'Ext Tradable'!$AS$23 &amp; AS$9),"")</f>
        <v/>
      </c>
      <c r="AT12" s="700" t="str">
        <f ca="1">IF(INDIRECT("'Ext Tradable'!$B" &amp; AT$9)=$B12,INDIRECT("'Ext Tradable'!$" &amp; 'Ext Tradable'!$AS$23 &amp; AT$9),"")</f>
        <v/>
      </c>
      <c r="AU12" s="700" t="str">
        <f ca="1">IF(INDIRECT("'Ext Tradable'!$B" &amp; AU$9)=$B12,INDIRECT("'Ext Tradable'!$" &amp; 'Ext Tradable'!$AS$23 &amp; AU$9),"")</f>
        <v/>
      </c>
      <c r="AV12" s="700" t="str">
        <f ca="1">IF(INDIRECT("'Ext Tradable'!$B" &amp; AV$9)=$B12,INDIRECT("'Ext Tradable'!$" &amp; 'Ext Tradable'!$AS$23 &amp; AV$9),"")</f>
        <v/>
      </c>
      <c r="AW12" s="700" t="str">
        <f ca="1">IF(INDIRECT("'Ext Tradable'!$B" &amp; AW$9)=$B12,INDIRECT("'Ext Tradable'!$" &amp; 'Ext Tradable'!$AS$23 &amp; AW$9),"")</f>
        <v/>
      </c>
      <c r="AX12" s="700" t="str">
        <f ca="1">IF(INDIRECT("'Ext Tradable'!$B" &amp; AX$9)=$B12,INDIRECT("'Ext Tradable'!$" &amp; 'Ext Tradable'!$AS$23 &amp; AX$9),"")</f>
        <v/>
      </c>
      <c r="AY12" s="700" t="str">
        <f ca="1">IF(INDIRECT("'Ext Tradable'!$B" &amp; AY$9)=$B12,INDIRECT("'Ext Tradable'!$" &amp; 'Ext Tradable'!$AS$23 &amp; AY$9),"")</f>
        <v/>
      </c>
      <c r="AZ12" s="700" t="str">
        <f ca="1">IF(INDIRECT("'Ext Tradable'!$B" &amp; AZ$9)=$B12,INDIRECT("'Ext Tradable'!$" &amp; 'Ext Tradable'!$AS$23 &amp; AZ$9),"")</f>
        <v/>
      </c>
      <c r="BA12" s="700" t="str">
        <f ca="1">IF(INDIRECT("'Ext Tradable'!$B" &amp; BA$9)=$B12,INDIRECT("'Ext Tradable'!$" &amp; 'Ext Tradable'!$AS$23 &amp; BA$9),"")</f>
        <v/>
      </c>
      <c r="BB12" s="700" t="str">
        <f ca="1">IF(INDIRECT("'Ext Tradable'!$B" &amp; BB$9)=$B12,INDIRECT("'Ext Tradable'!$" &amp; 'Ext Tradable'!$AS$23 &amp; BB$9),"")</f>
        <v/>
      </c>
      <c r="BC12" s="700" t="str">
        <f ca="1">IF(INDIRECT("'Ext Tradable'!$B" &amp; BC$9)=$B12,INDIRECT("'Ext Tradable'!$" &amp; 'Ext Tradable'!$AS$23 &amp; BC$9),"")</f>
        <v/>
      </c>
      <c r="BD12" s="700" t="str">
        <f ca="1">IF(INDIRECT("'Ext Tradable'!$B" &amp; BD$9)=$B12,INDIRECT("'Ext Tradable'!$" &amp; 'Ext Tradable'!$AS$23 &amp; BD$9),"")</f>
        <v/>
      </c>
      <c r="BE12" s="700" t="str">
        <f ca="1">IF(INDIRECT("'Ext Tradable'!$B" &amp; BE$9)=$B12,INDIRECT("'Ext Tradable'!$" &amp; 'Ext Tradable'!$AS$23 &amp; BE$9),"")</f>
        <v/>
      </c>
      <c r="BF12" s="700" t="str">
        <f ca="1">IF(INDIRECT("'Ext Tradable'!$B" &amp; BF$9)=$B12,INDIRECT("'Ext Tradable'!$" &amp; 'Ext Tradable'!$AS$23 &amp; BF$9),"")</f>
        <v/>
      </c>
      <c r="BG12" s="700" t="str">
        <f ca="1">IF(INDIRECT("'Ext Tradable'!$B" &amp; BG$9)=$B12,INDIRECT("'Ext Tradable'!$" &amp; 'Ext Tradable'!$AS$23 &amp; BG$9),"")</f>
        <v/>
      </c>
      <c r="BH12" s="700" t="str">
        <f ca="1">IF(INDIRECT("'Ext Tradable'!$B" &amp; BH$9)=$B12,INDIRECT("'Ext Tradable'!$" &amp; 'Ext Tradable'!$AS$23 &amp; BH$9),"")</f>
        <v/>
      </c>
      <c r="BI12" s="700" t="str">
        <f ca="1">IF(INDIRECT("'Ext Tradable'!$B" &amp; BI$9)=$B12,INDIRECT("'Ext Tradable'!$" &amp; 'Ext Tradable'!$AS$23 &amp; BI$9),"")</f>
        <v/>
      </c>
      <c r="BJ12" s="700" t="str">
        <f ca="1">IF(INDIRECT("'Ext Tradable'!$B" &amp; BJ$9)=$B12,INDIRECT("'Ext Tradable'!$" &amp; 'Ext Tradable'!$AS$23 &amp; BJ$9),"")</f>
        <v/>
      </c>
      <c r="BK12" s="700" t="str">
        <f ca="1">IF(INDIRECT("'Ext Tradable'!$B" &amp; BK$9)=$B12,INDIRECT("'Ext Tradable'!$" &amp; 'Ext Tradable'!$AS$23 &amp; BK$9),"")</f>
        <v/>
      </c>
      <c r="BL12" s="700" t="str">
        <f ca="1">IF(INDIRECT("'Ext Tradable'!$B" &amp; BL$9)=$B12,INDIRECT("'Ext Tradable'!$" &amp; 'Ext Tradable'!$AS$23 &amp; BL$9),"")</f>
        <v/>
      </c>
      <c r="BM12" s="700">
        <f ca="1">IF(INDIRECT("'Ext Tradable'!$B" &amp; BM$9)=$B12,INDIRECT("'Ext Tradable'!$" &amp; 'Ext Tradable'!$AS$23 &amp; BM$9),"")</f>
        <v>0</v>
      </c>
      <c r="BN12" s="700">
        <f ca="1">IF(INDIRECT("'Ext Tradable'!$B" &amp; BN$9)=$B12,INDIRECT("'Ext Tradable'!$" &amp; 'Ext Tradable'!$AS$23 &amp; BN$9),"")</f>
        <v>0</v>
      </c>
      <c r="BO12" s="700">
        <f ca="1">IF(INDIRECT("'Ext Tradable'!$B" &amp; BO$9)=$B12,INDIRECT("'Ext Tradable'!$" &amp; 'Ext Tradable'!$AS$23 &amp; BO$9),"")</f>
        <v>0</v>
      </c>
      <c r="BP12" s="700">
        <f ca="1">IF(INDIRECT("'Ext Tradable'!$B" &amp; BP$9)=$B12,INDIRECT("'Ext Tradable'!$" &amp; 'Ext Tradable'!$AS$23 &amp; BP$9),"")</f>
        <v>0</v>
      </c>
      <c r="BQ12" s="700">
        <f ca="1">IF(INDIRECT("'Ext Tradable'!$B" &amp; BQ$9)=$B12,INDIRECT("'Ext Tradable'!$" &amp; 'Ext Tradable'!$AS$23 &amp; BQ$9),"")</f>
        <v>0</v>
      </c>
      <c r="BR12" s="700">
        <f ca="1">IF(INDIRECT("'Ext Tradable'!$B" &amp; BR$9)=$B12,INDIRECT("'Ext Tradable'!$" &amp; 'Ext Tradable'!$AS$23 &amp; BR$9),"")</f>
        <v>0</v>
      </c>
      <c r="BS12" s="700">
        <f ca="1">IF(INDIRECT("'Ext Tradable'!$B" &amp; BS$9)=$B12,INDIRECT("'Ext Tradable'!$" &amp; 'Ext Tradable'!$AS$23 &amp; BS$9),"")</f>
        <v>0</v>
      </c>
      <c r="BT12" s="700">
        <f ca="1">IF(INDIRECT("'Ext Tradable'!$B" &amp; BT$9)=$B12,INDIRECT("'Ext Tradable'!$" &amp; 'Ext Tradable'!$AS$23 &amp; BT$9),"")</f>
        <v>0</v>
      </c>
      <c r="BU12" s="700">
        <f ca="1">IF(INDIRECT("'Ext Tradable'!$B" &amp; BU$9)=$B12,INDIRECT("'Ext Tradable'!$" &amp; 'Ext Tradable'!$AS$23 &amp; BU$9),"")</f>
        <v>0</v>
      </c>
      <c r="BV12" s="700">
        <f ca="1">IF(INDIRECT("'Ext Tradable'!$B" &amp; BV$9)=$B12,INDIRECT("'Ext Tradable'!$" &amp; 'Ext Tradable'!$AS$23 &amp; BV$9),"")</f>
        <v>0</v>
      </c>
      <c r="BW12" s="700">
        <f ca="1">IF(INDIRECT("'Ext Tradable'!$B" &amp; BW$9)=$B12,INDIRECT("'Ext Tradable'!$" &amp; 'Ext Tradable'!$AS$23 &amp; BW$9),"")</f>
        <v>0</v>
      </c>
      <c r="BX12" s="700">
        <f ca="1">IF(INDIRECT("'Ext Tradable'!$B" &amp; BX$9)=$B12,INDIRECT("'Ext Tradable'!$" &amp; 'Ext Tradable'!$AS$23 &amp; BX$9),"")</f>
        <v>0</v>
      </c>
      <c r="BY12" s="700">
        <f ca="1">IF(INDIRECT("'Ext Tradable'!$B" &amp; BY$9)=$B12,INDIRECT("'Ext Tradable'!$" &amp; 'Ext Tradable'!$AS$23 &amp; BY$9),"")</f>
        <v>0</v>
      </c>
      <c r="BZ12" s="700">
        <f ca="1">IF(INDIRECT("'Ext Tradable'!$B" &amp; BZ$9)=$B12,INDIRECT("'Ext Tradable'!$" &amp; 'Ext Tradable'!$AS$23 &amp; BZ$9),"")</f>
        <v>0</v>
      </c>
      <c r="CA12" s="700">
        <f ca="1">IF(INDIRECT("'Ext Tradable'!$B" &amp; CA$9)=$B12,INDIRECT("'Ext Tradable'!$" &amp; 'Ext Tradable'!$AS$23 &amp; CA$9),"")</f>
        <v>0</v>
      </c>
      <c r="CB12" s="700">
        <f ca="1">IF(INDIRECT("'Ext Tradable'!$B" &amp; CB$9)=$B12,INDIRECT("'Ext Tradable'!$" &amp; 'Ext Tradable'!$AS$23 &amp; CB$9),"")</f>
        <v>0</v>
      </c>
      <c r="CC12" s="700">
        <f ca="1">IF(INDIRECT("'Ext Tradable'!$B" &amp; CC$9)=$B12,INDIRECT("'Ext Tradable'!$" &amp; 'Ext Tradable'!$AS$23 &amp; CC$9),"")</f>
        <v>0</v>
      </c>
      <c r="CD12" s="700">
        <f ca="1">IF(INDIRECT("'Ext Tradable'!$B" &amp; CD$9)=$B12,INDIRECT("'Ext Tradable'!$" &amp; 'Ext Tradable'!$AS$23 &amp; CD$9),"")</f>
        <v>0</v>
      </c>
      <c r="CE12" s="700">
        <f ca="1">IF(INDIRECT("'Ext Tradable'!$B" &amp; CE$9)=$B12,INDIRECT("'Ext Tradable'!$" &amp; 'Ext Tradable'!$AS$23 &amp; CE$9),"")</f>
        <v>0</v>
      </c>
      <c r="CF12" s="700">
        <f ca="1">IF(INDIRECT("'Ext Tradable'!$B" &amp; CF$9)=$B12,INDIRECT("'Ext Tradable'!$" &amp; 'Ext Tradable'!$AS$23 &amp; CF$9),"")</f>
        <v>0</v>
      </c>
      <c r="CG12" s="700">
        <f ca="1">IF(INDIRECT("'Ext Tradable'!$B" &amp; CG$9)=$B12,INDIRECT("'Ext Tradable'!$" &amp; 'Ext Tradable'!$AS$23 &amp; CG$9),"")</f>
        <v>0</v>
      </c>
      <c r="CH12" s="700">
        <f ca="1">IF(INDIRECT("'Ext Tradable'!$B" &amp; CH$9)=$B12,INDIRECT("'Ext Tradable'!$" &amp; 'Ext Tradable'!$AS$23 &amp; CH$9),"")</f>
        <v>0</v>
      </c>
      <c r="CI12" s="700">
        <f ca="1">IF(INDIRECT("'Ext Tradable'!$B" &amp; CI$9)=$B12,INDIRECT("'Ext Tradable'!$" &amp; 'Ext Tradable'!$AS$23 &amp; CI$9),"")</f>
        <v>0</v>
      </c>
      <c r="CJ12" s="700">
        <f ca="1">IF(INDIRECT("'Ext Tradable'!$B" &amp; CJ$9)=$B12,INDIRECT("'Ext Tradable'!$" &amp; 'Ext Tradable'!$AS$23 &amp; CJ$9),"")</f>
        <v>0</v>
      </c>
      <c r="CK12" s="700">
        <f ca="1">IF(INDIRECT("'Ext Tradable'!$B" &amp; CK$9)=$B12,INDIRECT("'Ext Tradable'!$" &amp; 'Ext Tradable'!$AS$23 &amp; CK$9),"")</f>
        <v>0</v>
      </c>
      <c r="CL12" s="700">
        <f ca="1">IF(INDIRECT("'Ext Tradable'!$B" &amp; CL$9)=$B12,INDIRECT("'Ext Tradable'!$" &amp; 'Ext Tradable'!$AS$23 &amp; CL$9),"")</f>
        <v>0</v>
      </c>
      <c r="CM12" s="700">
        <f ca="1">IF(INDIRECT("'Ext Tradable'!$B" &amp; CM$9)=$B12,INDIRECT("'Ext Tradable'!$" &amp; 'Ext Tradable'!$AS$23 &amp; CM$9),"")</f>
        <v>0</v>
      </c>
      <c r="CN12" s="700">
        <f ca="1">IF(INDIRECT("'Ext Tradable'!$B" &amp; CN$9)=$B12,INDIRECT("'Ext Tradable'!$" &amp; 'Ext Tradable'!$AS$23 &amp; CN$9),"")</f>
        <v>0</v>
      </c>
      <c r="CO12" s="700">
        <f ca="1">IF(INDIRECT("'Ext Tradable'!$B" &amp; CO$9)=$B12,INDIRECT("'Ext Tradable'!$" &amp; 'Ext Tradable'!$AS$23 &amp; CO$9),"")</f>
        <v>0</v>
      </c>
      <c r="CP12" s="700">
        <f ca="1">IF(INDIRECT("'Ext Tradable'!$B" &amp; CP$9)=$B12,INDIRECT("'Ext Tradable'!$" &amp; 'Ext Tradable'!$AS$23 &amp; CP$9),"")</f>
        <v>0</v>
      </c>
      <c r="CQ12" s="702" t="str">
        <f t="shared" ca="1" si="5"/>
        <v>000000000000000000000000000000</v>
      </c>
    </row>
    <row r="13" spans="1:95" ht="60" customHeight="1" x14ac:dyDescent="0.25">
      <c r="A13" s="705">
        <v>4</v>
      </c>
      <c r="B13" s="707" t="str">
        <f>'Ext Area Schedule'!Y19</f>
        <v/>
      </c>
      <c r="C13" s="707" t="str">
        <f>VLOOKUP($B13,'Ext Area Schedule'!$Y$16:$AE$65,3,FALSE)</f>
        <v/>
      </c>
      <c r="D13" s="792" t="str">
        <f>VLOOKUP($B13,'Ext Area Schedule'!$Y$16:$AE$65,4,FALSE)</f>
        <v/>
      </c>
      <c r="F13" s="792" t="str">
        <f>VLOOKUP($B13,'Ext Area Schedule'!$Y$16:$AE$65,5,FALSE)</f>
        <v/>
      </c>
      <c r="G13" s="792" t="str">
        <f>VLOOKUP($B13,'Ext Area Schedule'!$Y$16:$AE$65,7,FALSE)</f>
        <v/>
      </c>
      <c r="I13" s="703">
        <f t="shared" si="6"/>
        <v>0</v>
      </c>
      <c r="K13" s="703" t="str">
        <f>IF($B13="","",SUMIFS('Ext Tradable'!$M$26:$M$45,'Ext Tradable'!$B$26:$B$45,$B13,'Ext Tradable'!$O$26:$O$45,"New"))</f>
        <v/>
      </c>
      <c r="L13" s="703" t="str">
        <f>IF($B13="","",SUMIFS('Ext Tradable'!$M$26:$M$45,'Ext Tradable'!$B$26:$B$45,$B13,'Ext Tradable'!$O$26:$O$45,""))</f>
        <v/>
      </c>
      <c r="M13" s="703" t="str">
        <f>IF($B13="","",SUMIFS('Ext Tradable'!$K$26:$K$45,'Ext Tradable'!$B$26:$B$45,$B13,'Ext Tradable'!$O$26:$O$45,"New")+SUMIFS('Ext Tradable'!$K$26:$K$45,'Ext Tradable'!$B$26:$B$45,$B13,'Ext Tradable'!$O$26:$O$45,""))</f>
        <v/>
      </c>
      <c r="N13" s="703" t="str">
        <f>IF($B13="","",SUMIFS('Ext Tradable'!$M$26:$M$45,'Ext Tradable'!$B$26:$B$45,$B13,'Ext Tradable'!$O$26:$O$45,"Existing Remains"))</f>
        <v/>
      </c>
      <c r="O13" s="703" t="str">
        <f>IF($B13="","",SUMIFS('Ext Tradable'!$M$26:$M$45,'Ext Tradable'!$B$26:$B$45,$B13,'Ext Tradable'!$O$26:$O$45,"Existing Removed"))</f>
        <v/>
      </c>
      <c r="P13" s="703" t="str">
        <f>IF($B13="","",SUMIFS('Ext Tradable'!$K$26:$K$45,'Ext Tradable'!$B$26:$B$45,$B13,'Ext Tradable'!$O$26:$O$45,"Existing Removed"))</f>
        <v/>
      </c>
      <c r="Q13" s="703" t="str">
        <f t="shared" si="7"/>
        <v/>
      </c>
      <c r="R13" s="703" t="str">
        <f t="shared" si="8"/>
        <v/>
      </c>
      <c r="S13" s="1123" t="str">
        <f t="shared" si="9"/>
        <v/>
      </c>
      <c r="T13" s="1128" t="str">
        <f t="shared" ref="T13:T59" si="23">IFERROR(T12-S13,"")</f>
        <v/>
      </c>
      <c r="U13" s="711" t="str">
        <f t="shared" si="11"/>
        <v/>
      </c>
      <c r="V13" s="712" t="str">
        <f t="shared" si="12"/>
        <v/>
      </c>
      <c r="W13" s="762"/>
      <c r="X13" s="720" t="str">
        <f t="shared" si="13"/>
        <v/>
      </c>
      <c r="Y13" s="721" t="str">
        <f t="shared" si="14"/>
        <v/>
      </c>
      <c r="Z13" s="721" t="str">
        <f t="shared" si="15"/>
        <v/>
      </c>
      <c r="AA13" s="719" t="str">
        <f t="shared" si="2"/>
        <v/>
      </c>
      <c r="AB13" s="762"/>
      <c r="AC13" s="717" t="str">
        <f t="shared" si="16"/>
        <v/>
      </c>
      <c r="AD13" s="718" t="str">
        <f t="shared" si="17"/>
        <v/>
      </c>
      <c r="AE13" s="719" t="str">
        <f t="shared" si="3"/>
        <v/>
      </c>
      <c r="AF13" s="726"/>
      <c r="AG13" s="727" t="str">
        <f t="shared" si="18"/>
        <v/>
      </c>
      <c r="AH13" s="703" t="str">
        <f t="shared" si="19"/>
        <v/>
      </c>
      <c r="AI13" s="1114">
        <f t="shared" si="20"/>
        <v>0</v>
      </c>
      <c r="AK13" s="791" t="str">
        <f t="shared" si="4"/>
        <v/>
      </c>
      <c r="AL13" s="791" t="str">
        <f t="shared" si="21"/>
        <v/>
      </c>
      <c r="AM13" s="707" t="str">
        <f>IF(OR(AK13="Fail",AK13="Fail LPA",AK13=""),"",IF(AL13&lt;&gt;"#1",VLOOKUP(C13,'9.4.3 Tables'!B$142:O$154,14,FALSE),"No NEW controls required"))</f>
        <v/>
      </c>
      <c r="AN13" s="703">
        <f t="shared" si="22"/>
        <v>0</v>
      </c>
      <c r="AQ13">
        <v>4</v>
      </c>
      <c r="AR13" s="15" t="str">
        <f t="shared" ref="AR13:AR59" si="24">IF(B13="","",CQ13)</f>
        <v/>
      </c>
      <c r="AS13" s="700" t="str">
        <f ca="1">IF(INDIRECT("'Ext Tradable'!$B" &amp; AS$9)=$B13,INDIRECT("'Ext Tradable'!$" &amp; 'Ext Tradable'!$AS$23 &amp; AS$9),"")</f>
        <v/>
      </c>
      <c r="AT13" s="700" t="str">
        <f ca="1">IF(INDIRECT("'Ext Tradable'!$B" &amp; AT$9)=$B13,INDIRECT("'Ext Tradable'!$" &amp; 'Ext Tradable'!$AS$23 &amp; AT$9),"")</f>
        <v/>
      </c>
      <c r="AU13" s="700" t="str">
        <f ca="1">IF(INDIRECT("'Ext Tradable'!$B" &amp; AU$9)=$B13,INDIRECT("'Ext Tradable'!$" &amp; 'Ext Tradable'!$AS$23 &amp; AU$9),"")</f>
        <v/>
      </c>
      <c r="AV13" s="700" t="str">
        <f ca="1">IF(INDIRECT("'Ext Tradable'!$B" &amp; AV$9)=$B13,INDIRECT("'Ext Tradable'!$" &amp; 'Ext Tradable'!$AS$23 &amp; AV$9),"")</f>
        <v/>
      </c>
      <c r="AW13" s="700" t="str">
        <f ca="1">IF(INDIRECT("'Ext Tradable'!$B" &amp; AW$9)=$B13,INDIRECT("'Ext Tradable'!$" &amp; 'Ext Tradable'!$AS$23 &amp; AW$9),"")</f>
        <v/>
      </c>
      <c r="AX13" s="700" t="str">
        <f ca="1">IF(INDIRECT("'Ext Tradable'!$B" &amp; AX$9)=$B13,INDIRECT("'Ext Tradable'!$" &amp; 'Ext Tradable'!$AS$23 &amp; AX$9),"")</f>
        <v/>
      </c>
      <c r="AY13" s="700" t="str">
        <f ca="1">IF(INDIRECT("'Ext Tradable'!$B" &amp; AY$9)=$B13,INDIRECT("'Ext Tradable'!$" &amp; 'Ext Tradable'!$AS$23 &amp; AY$9),"")</f>
        <v/>
      </c>
      <c r="AZ13" s="700" t="str">
        <f ca="1">IF(INDIRECT("'Ext Tradable'!$B" &amp; AZ$9)=$B13,INDIRECT("'Ext Tradable'!$" &amp; 'Ext Tradable'!$AS$23 &amp; AZ$9),"")</f>
        <v/>
      </c>
      <c r="BA13" s="700" t="str">
        <f ca="1">IF(INDIRECT("'Ext Tradable'!$B" &amp; BA$9)=$B13,INDIRECT("'Ext Tradable'!$" &amp; 'Ext Tradable'!$AS$23 &amp; BA$9),"")</f>
        <v/>
      </c>
      <c r="BB13" s="700" t="str">
        <f ca="1">IF(INDIRECT("'Ext Tradable'!$B" &amp; BB$9)=$B13,INDIRECT("'Ext Tradable'!$" &amp; 'Ext Tradable'!$AS$23 &amp; BB$9),"")</f>
        <v/>
      </c>
      <c r="BC13" s="700" t="str">
        <f ca="1">IF(INDIRECT("'Ext Tradable'!$B" &amp; BC$9)=$B13,INDIRECT("'Ext Tradable'!$" &amp; 'Ext Tradable'!$AS$23 &amp; BC$9),"")</f>
        <v/>
      </c>
      <c r="BD13" s="700" t="str">
        <f ca="1">IF(INDIRECT("'Ext Tradable'!$B" &amp; BD$9)=$B13,INDIRECT("'Ext Tradable'!$" &amp; 'Ext Tradable'!$AS$23 &amp; BD$9),"")</f>
        <v/>
      </c>
      <c r="BE13" s="700" t="str">
        <f ca="1">IF(INDIRECT("'Ext Tradable'!$B" &amp; BE$9)=$B13,INDIRECT("'Ext Tradable'!$" &amp; 'Ext Tradable'!$AS$23 &amp; BE$9),"")</f>
        <v/>
      </c>
      <c r="BF13" s="700" t="str">
        <f ca="1">IF(INDIRECT("'Ext Tradable'!$B" &amp; BF$9)=$B13,INDIRECT("'Ext Tradable'!$" &amp; 'Ext Tradable'!$AS$23 &amp; BF$9),"")</f>
        <v/>
      </c>
      <c r="BG13" s="700" t="str">
        <f ca="1">IF(INDIRECT("'Ext Tradable'!$B" &amp; BG$9)=$B13,INDIRECT("'Ext Tradable'!$" &amp; 'Ext Tradable'!$AS$23 &amp; BG$9),"")</f>
        <v/>
      </c>
      <c r="BH13" s="700" t="str">
        <f ca="1">IF(INDIRECT("'Ext Tradable'!$B" &amp; BH$9)=$B13,INDIRECT("'Ext Tradable'!$" &amp; 'Ext Tradable'!$AS$23 &amp; BH$9),"")</f>
        <v/>
      </c>
      <c r="BI13" s="700" t="str">
        <f ca="1">IF(INDIRECT("'Ext Tradable'!$B" &amp; BI$9)=$B13,INDIRECT("'Ext Tradable'!$" &amp; 'Ext Tradable'!$AS$23 &amp; BI$9),"")</f>
        <v/>
      </c>
      <c r="BJ13" s="700" t="str">
        <f ca="1">IF(INDIRECT("'Ext Tradable'!$B" &amp; BJ$9)=$B13,INDIRECT("'Ext Tradable'!$" &amp; 'Ext Tradable'!$AS$23 &amp; BJ$9),"")</f>
        <v/>
      </c>
      <c r="BK13" s="700" t="str">
        <f ca="1">IF(INDIRECT("'Ext Tradable'!$B" &amp; BK$9)=$B13,INDIRECT("'Ext Tradable'!$" &amp; 'Ext Tradable'!$AS$23 &amp; BK$9),"")</f>
        <v/>
      </c>
      <c r="BL13" s="700" t="str">
        <f ca="1">IF(INDIRECT("'Ext Tradable'!$B" &amp; BL$9)=$B13,INDIRECT("'Ext Tradable'!$" &amp; 'Ext Tradable'!$AS$23 &amp; BL$9),"")</f>
        <v/>
      </c>
      <c r="BM13" s="700">
        <f ca="1">IF(INDIRECT("'Ext Tradable'!$B" &amp; BM$9)=$B13,INDIRECT("'Ext Tradable'!$" &amp; 'Ext Tradable'!$AS$23 &amp; BM$9),"")</f>
        <v>0</v>
      </c>
      <c r="BN13" s="700">
        <f ca="1">IF(INDIRECT("'Ext Tradable'!$B" &amp; BN$9)=$B13,INDIRECT("'Ext Tradable'!$" &amp; 'Ext Tradable'!$AS$23 &amp; BN$9),"")</f>
        <v>0</v>
      </c>
      <c r="BO13" s="700">
        <f ca="1">IF(INDIRECT("'Ext Tradable'!$B" &amp; BO$9)=$B13,INDIRECT("'Ext Tradable'!$" &amp; 'Ext Tradable'!$AS$23 &amp; BO$9),"")</f>
        <v>0</v>
      </c>
      <c r="BP13" s="700">
        <f ca="1">IF(INDIRECT("'Ext Tradable'!$B" &amp; BP$9)=$B13,INDIRECT("'Ext Tradable'!$" &amp; 'Ext Tradable'!$AS$23 &amp; BP$9),"")</f>
        <v>0</v>
      </c>
      <c r="BQ13" s="700">
        <f ca="1">IF(INDIRECT("'Ext Tradable'!$B" &amp; BQ$9)=$B13,INDIRECT("'Ext Tradable'!$" &amp; 'Ext Tradable'!$AS$23 &amp; BQ$9),"")</f>
        <v>0</v>
      </c>
      <c r="BR13" s="700">
        <f ca="1">IF(INDIRECT("'Ext Tradable'!$B" &amp; BR$9)=$B13,INDIRECT("'Ext Tradable'!$" &amp; 'Ext Tradable'!$AS$23 &amp; BR$9),"")</f>
        <v>0</v>
      </c>
      <c r="BS13" s="700">
        <f ca="1">IF(INDIRECT("'Ext Tradable'!$B" &amp; BS$9)=$B13,INDIRECT("'Ext Tradable'!$" &amp; 'Ext Tradable'!$AS$23 &amp; BS$9),"")</f>
        <v>0</v>
      </c>
      <c r="BT13" s="700">
        <f ca="1">IF(INDIRECT("'Ext Tradable'!$B" &amp; BT$9)=$B13,INDIRECT("'Ext Tradable'!$" &amp; 'Ext Tradable'!$AS$23 &amp; BT$9),"")</f>
        <v>0</v>
      </c>
      <c r="BU13" s="700">
        <f ca="1">IF(INDIRECT("'Ext Tradable'!$B" &amp; BU$9)=$B13,INDIRECT("'Ext Tradable'!$" &amp; 'Ext Tradable'!$AS$23 &amp; BU$9),"")</f>
        <v>0</v>
      </c>
      <c r="BV13" s="700">
        <f ca="1">IF(INDIRECT("'Ext Tradable'!$B" &amp; BV$9)=$B13,INDIRECT("'Ext Tradable'!$" &amp; 'Ext Tradable'!$AS$23 &amp; BV$9),"")</f>
        <v>0</v>
      </c>
      <c r="BW13" s="700">
        <f ca="1">IF(INDIRECT("'Ext Tradable'!$B" &amp; BW$9)=$B13,INDIRECT("'Ext Tradable'!$" &amp; 'Ext Tradable'!$AS$23 &amp; BW$9),"")</f>
        <v>0</v>
      </c>
      <c r="BX13" s="700">
        <f ca="1">IF(INDIRECT("'Ext Tradable'!$B" &amp; BX$9)=$B13,INDIRECT("'Ext Tradable'!$" &amp; 'Ext Tradable'!$AS$23 &amp; BX$9),"")</f>
        <v>0</v>
      </c>
      <c r="BY13" s="700">
        <f ca="1">IF(INDIRECT("'Ext Tradable'!$B" &amp; BY$9)=$B13,INDIRECT("'Ext Tradable'!$" &amp; 'Ext Tradable'!$AS$23 &amp; BY$9),"")</f>
        <v>0</v>
      </c>
      <c r="BZ13" s="700">
        <f ca="1">IF(INDIRECT("'Ext Tradable'!$B" &amp; BZ$9)=$B13,INDIRECT("'Ext Tradable'!$" &amp; 'Ext Tradable'!$AS$23 &amp; BZ$9),"")</f>
        <v>0</v>
      </c>
      <c r="CA13" s="700">
        <f ca="1">IF(INDIRECT("'Ext Tradable'!$B" &amp; CA$9)=$B13,INDIRECT("'Ext Tradable'!$" &amp; 'Ext Tradable'!$AS$23 &amp; CA$9),"")</f>
        <v>0</v>
      </c>
      <c r="CB13" s="700">
        <f ca="1">IF(INDIRECT("'Ext Tradable'!$B" &amp; CB$9)=$B13,INDIRECT("'Ext Tradable'!$" &amp; 'Ext Tradable'!$AS$23 &amp; CB$9),"")</f>
        <v>0</v>
      </c>
      <c r="CC13" s="700">
        <f ca="1">IF(INDIRECT("'Ext Tradable'!$B" &amp; CC$9)=$B13,INDIRECT("'Ext Tradable'!$" &amp; 'Ext Tradable'!$AS$23 &amp; CC$9),"")</f>
        <v>0</v>
      </c>
      <c r="CD13" s="700">
        <f ca="1">IF(INDIRECT("'Ext Tradable'!$B" &amp; CD$9)=$B13,INDIRECT("'Ext Tradable'!$" &amp; 'Ext Tradable'!$AS$23 &amp; CD$9),"")</f>
        <v>0</v>
      </c>
      <c r="CE13" s="700">
        <f ca="1">IF(INDIRECT("'Ext Tradable'!$B" &amp; CE$9)=$B13,INDIRECT("'Ext Tradable'!$" &amp; 'Ext Tradable'!$AS$23 &amp; CE$9),"")</f>
        <v>0</v>
      </c>
      <c r="CF13" s="700">
        <f ca="1">IF(INDIRECT("'Ext Tradable'!$B" &amp; CF$9)=$B13,INDIRECT("'Ext Tradable'!$" &amp; 'Ext Tradable'!$AS$23 &amp; CF$9),"")</f>
        <v>0</v>
      </c>
      <c r="CG13" s="700">
        <f ca="1">IF(INDIRECT("'Ext Tradable'!$B" &amp; CG$9)=$B13,INDIRECT("'Ext Tradable'!$" &amp; 'Ext Tradable'!$AS$23 &amp; CG$9),"")</f>
        <v>0</v>
      </c>
      <c r="CH13" s="700">
        <f ca="1">IF(INDIRECT("'Ext Tradable'!$B" &amp; CH$9)=$B13,INDIRECT("'Ext Tradable'!$" &amp; 'Ext Tradable'!$AS$23 &amp; CH$9),"")</f>
        <v>0</v>
      </c>
      <c r="CI13" s="700">
        <f ca="1">IF(INDIRECT("'Ext Tradable'!$B" &amp; CI$9)=$B13,INDIRECT("'Ext Tradable'!$" &amp; 'Ext Tradable'!$AS$23 &amp; CI$9),"")</f>
        <v>0</v>
      </c>
      <c r="CJ13" s="700">
        <f ca="1">IF(INDIRECT("'Ext Tradable'!$B" &amp; CJ$9)=$B13,INDIRECT("'Ext Tradable'!$" &amp; 'Ext Tradable'!$AS$23 &amp; CJ$9),"")</f>
        <v>0</v>
      </c>
      <c r="CK13" s="700">
        <f ca="1">IF(INDIRECT("'Ext Tradable'!$B" &amp; CK$9)=$B13,INDIRECT("'Ext Tradable'!$" &amp; 'Ext Tradable'!$AS$23 &amp; CK$9),"")</f>
        <v>0</v>
      </c>
      <c r="CL13" s="700">
        <f ca="1">IF(INDIRECT("'Ext Tradable'!$B" &amp; CL$9)=$B13,INDIRECT("'Ext Tradable'!$" &amp; 'Ext Tradable'!$AS$23 &amp; CL$9),"")</f>
        <v>0</v>
      </c>
      <c r="CM13" s="700">
        <f ca="1">IF(INDIRECT("'Ext Tradable'!$B" &amp; CM$9)=$B13,INDIRECT("'Ext Tradable'!$" &amp; 'Ext Tradable'!$AS$23 &amp; CM$9),"")</f>
        <v>0</v>
      </c>
      <c r="CN13" s="700">
        <f ca="1">IF(INDIRECT("'Ext Tradable'!$B" &amp; CN$9)=$B13,INDIRECT("'Ext Tradable'!$" &amp; 'Ext Tradable'!$AS$23 &amp; CN$9),"")</f>
        <v>0</v>
      </c>
      <c r="CO13" s="700">
        <f ca="1">IF(INDIRECT("'Ext Tradable'!$B" &amp; CO$9)=$B13,INDIRECT("'Ext Tradable'!$" &amp; 'Ext Tradable'!$AS$23 &amp; CO$9),"")</f>
        <v>0</v>
      </c>
      <c r="CP13" s="700">
        <f ca="1">IF(INDIRECT("'Ext Tradable'!$B" &amp; CP$9)=$B13,INDIRECT("'Ext Tradable'!$" &amp; 'Ext Tradable'!$AS$23 &amp; CP$9),"")</f>
        <v>0</v>
      </c>
      <c r="CQ13" s="702" t="str">
        <f ca="1">CONCATENATE(AS13,AT13,AU13,AV13,AW13,AX13,AY13,AZ13,BA13,BB13,BC13,BD13,BE13,BF13,BG13,BH13,BI13,BJ13,BK13,BL13,BM13,BN13,BO13,BP13,BQ13,BR13,BS13,BT13,BU13,BV13,BW13,BX13,BY13,BZ13,CA13,CB13,CC13,CD13,CE13,CF13,CG13,CH13,CI13,CJ13,CK13,CL13,CM13,CN13,CO13,CP13)</f>
        <v>000000000000000000000000000000</v>
      </c>
    </row>
    <row r="14" spans="1:95" ht="60" customHeight="1" x14ac:dyDescent="0.25">
      <c r="A14" s="705">
        <v>5</v>
      </c>
      <c r="B14" s="707" t="str">
        <f>'Ext Area Schedule'!Y20</f>
        <v/>
      </c>
      <c r="C14" s="707" t="str">
        <f>VLOOKUP($B14,'Ext Area Schedule'!$Y$16:$AE$65,3,FALSE)</f>
        <v/>
      </c>
      <c r="D14" s="792" t="str">
        <f>VLOOKUP($B14,'Ext Area Schedule'!$Y$16:$AE$65,4,FALSE)</f>
        <v/>
      </c>
      <c r="F14" s="792" t="str">
        <f>VLOOKUP($B14,'Ext Area Schedule'!$Y$16:$AE$65,5,FALSE)</f>
        <v/>
      </c>
      <c r="G14" s="792" t="str">
        <f>VLOOKUP($B14,'Ext Area Schedule'!$Y$16:$AE$65,7,FALSE)</f>
        <v/>
      </c>
      <c r="I14" s="703">
        <f t="shared" si="6"/>
        <v>0</v>
      </c>
      <c r="K14" s="703" t="str">
        <f>IF($B14="","",SUMIFS('Ext Tradable'!$M$26:$M$45,'Ext Tradable'!$B$26:$B$45,$B14,'Ext Tradable'!$O$26:$O$45,"New"))</f>
        <v/>
      </c>
      <c r="L14" s="703" t="str">
        <f>IF($B14="","",SUMIFS('Ext Tradable'!$M$26:$M$45,'Ext Tradable'!$B$26:$B$45,$B14,'Ext Tradable'!$O$26:$O$45,""))</f>
        <v/>
      </c>
      <c r="M14" s="703" t="str">
        <f>IF($B14="","",SUMIFS('Ext Tradable'!$K$26:$K$45,'Ext Tradable'!$B$26:$B$45,$B14,'Ext Tradable'!$O$26:$O$45,"New")+SUMIFS('Ext Tradable'!$K$26:$K$45,'Ext Tradable'!$B$26:$B$45,$B14,'Ext Tradable'!$O$26:$O$45,""))</f>
        <v/>
      </c>
      <c r="N14" s="703" t="str">
        <f>IF($B14="","",SUMIFS('Ext Tradable'!$M$26:$M$45,'Ext Tradable'!$B$26:$B$45,$B14,'Ext Tradable'!$O$26:$O$45,"Existing Remains"))</f>
        <v/>
      </c>
      <c r="O14" s="703" t="str">
        <f>IF($B14="","",SUMIFS('Ext Tradable'!$M$26:$M$45,'Ext Tradable'!$B$26:$B$45,$B14,'Ext Tradable'!$O$26:$O$45,"Existing Removed"))</f>
        <v/>
      </c>
      <c r="P14" s="703" t="str">
        <f>IF($B14="","",SUMIFS('Ext Tradable'!$K$26:$K$45,'Ext Tradable'!$B$26:$B$45,$B14,'Ext Tradable'!$O$26:$O$45,"Existing Removed"))</f>
        <v/>
      </c>
      <c r="Q14" s="703" t="str">
        <f t="shared" si="7"/>
        <v/>
      </c>
      <c r="R14" s="703" t="str">
        <f t="shared" si="8"/>
        <v/>
      </c>
      <c r="S14" s="1123" t="str">
        <f t="shared" si="9"/>
        <v/>
      </c>
      <c r="T14" s="1128" t="str">
        <f t="shared" si="23"/>
        <v/>
      </c>
      <c r="U14" s="711" t="str">
        <f t="shared" si="11"/>
        <v/>
      </c>
      <c r="V14" s="712" t="str">
        <f t="shared" si="12"/>
        <v/>
      </c>
      <c r="W14" s="762"/>
      <c r="X14" s="720" t="str">
        <f t="shared" si="13"/>
        <v/>
      </c>
      <c r="Y14" s="721" t="str">
        <f t="shared" si="14"/>
        <v/>
      </c>
      <c r="Z14" s="721" t="str">
        <f t="shared" si="15"/>
        <v/>
      </c>
      <c r="AA14" s="719" t="str">
        <f t="shared" si="2"/>
        <v/>
      </c>
      <c r="AB14" s="762"/>
      <c r="AC14" s="717" t="str">
        <f t="shared" si="16"/>
        <v/>
      </c>
      <c r="AD14" s="718" t="str">
        <f t="shared" si="17"/>
        <v/>
      </c>
      <c r="AE14" s="719" t="str">
        <f t="shared" si="3"/>
        <v/>
      </c>
      <c r="AF14" s="726"/>
      <c r="AG14" s="727" t="str">
        <f t="shared" si="18"/>
        <v/>
      </c>
      <c r="AH14" s="703" t="str">
        <f t="shared" si="19"/>
        <v/>
      </c>
      <c r="AI14" s="1114">
        <f t="shared" si="20"/>
        <v>0</v>
      </c>
      <c r="AK14" s="791" t="str">
        <f t="shared" si="4"/>
        <v/>
      </c>
      <c r="AL14" s="791" t="str">
        <f t="shared" si="21"/>
        <v/>
      </c>
      <c r="AM14" s="707" t="str">
        <f>IF(OR(AK14="Fail",AK14="Fail LPA",AK14=""),"",IF(AL14&lt;&gt;"#1",VLOOKUP(C14,'9.4.3 Tables'!B$142:O$154,14,FALSE),"No NEW controls required"))</f>
        <v/>
      </c>
      <c r="AN14" s="703">
        <f t="shared" si="22"/>
        <v>0</v>
      </c>
      <c r="AQ14">
        <v>5</v>
      </c>
      <c r="AR14" s="15" t="str">
        <f t="shared" si="24"/>
        <v/>
      </c>
      <c r="AS14" s="700" t="str">
        <f ca="1">IF(INDIRECT("'Ext Tradable'!$B" &amp; AS$9)=$B14,INDIRECT("'Ext Tradable'!$" &amp; 'Ext Tradable'!$AS$23 &amp; AS$9),"")</f>
        <v/>
      </c>
      <c r="AT14" s="700" t="str">
        <f ca="1">IF(INDIRECT("'Ext Tradable'!$B" &amp; AT$9)=$B14,INDIRECT("'Ext Tradable'!$" &amp; 'Ext Tradable'!$AS$23 &amp; AT$9),"")</f>
        <v/>
      </c>
      <c r="AU14" s="700" t="str">
        <f ca="1">IF(INDIRECT("'Ext Tradable'!$B" &amp; AU$9)=$B14,INDIRECT("'Ext Tradable'!$" &amp; 'Ext Tradable'!$AS$23 &amp; AU$9),"")</f>
        <v/>
      </c>
      <c r="AV14" s="700" t="str">
        <f ca="1">IF(INDIRECT("'Ext Tradable'!$B" &amp; AV$9)=$B14,INDIRECT("'Ext Tradable'!$" &amp; 'Ext Tradable'!$AS$23 &amp; AV$9),"")</f>
        <v/>
      </c>
      <c r="AW14" s="700" t="str">
        <f ca="1">IF(INDIRECT("'Ext Tradable'!$B" &amp; AW$9)=$B14,INDIRECT("'Ext Tradable'!$" &amp; 'Ext Tradable'!$AS$23 &amp; AW$9),"")</f>
        <v/>
      </c>
      <c r="AX14" s="700" t="str">
        <f ca="1">IF(INDIRECT("'Ext Tradable'!$B" &amp; AX$9)=$B14,INDIRECT("'Ext Tradable'!$" &amp; 'Ext Tradable'!$AS$23 &amp; AX$9),"")</f>
        <v/>
      </c>
      <c r="AY14" s="700" t="str">
        <f ca="1">IF(INDIRECT("'Ext Tradable'!$B" &amp; AY$9)=$B14,INDIRECT("'Ext Tradable'!$" &amp; 'Ext Tradable'!$AS$23 &amp; AY$9),"")</f>
        <v/>
      </c>
      <c r="AZ14" s="700" t="str">
        <f ca="1">IF(INDIRECT("'Ext Tradable'!$B" &amp; AZ$9)=$B14,INDIRECT("'Ext Tradable'!$" &amp; 'Ext Tradable'!$AS$23 &amp; AZ$9),"")</f>
        <v/>
      </c>
      <c r="BA14" s="700" t="str">
        <f ca="1">IF(INDIRECT("'Ext Tradable'!$B" &amp; BA$9)=$B14,INDIRECT("'Ext Tradable'!$" &amp; 'Ext Tradable'!$AS$23 &amp; BA$9),"")</f>
        <v/>
      </c>
      <c r="BB14" s="700" t="str">
        <f ca="1">IF(INDIRECT("'Ext Tradable'!$B" &amp; BB$9)=$B14,INDIRECT("'Ext Tradable'!$" &amp; 'Ext Tradable'!$AS$23 &amp; BB$9),"")</f>
        <v/>
      </c>
      <c r="BC14" s="700" t="str">
        <f ca="1">IF(INDIRECT("'Ext Tradable'!$B" &amp; BC$9)=$B14,INDIRECT("'Ext Tradable'!$" &amp; 'Ext Tradable'!$AS$23 &amp; BC$9),"")</f>
        <v/>
      </c>
      <c r="BD14" s="700" t="str">
        <f ca="1">IF(INDIRECT("'Ext Tradable'!$B" &amp; BD$9)=$B14,INDIRECT("'Ext Tradable'!$" &amp; 'Ext Tradable'!$AS$23 &amp; BD$9),"")</f>
        <v/>
      </c>
      <c r="BE14" s="700" t="str">
        <f ca="1">IF(INDIRECT("'Ext Tradable'!$B" &amp; BE$9)=$B14,INDIRECT("'Ext Tradable'!$" &amp; 'Ext Tradable'!$AS$23 &amp; BE$9),"")</f>
        <v/>
      </c>
      <c r="BF14" s="700" t="str">
        <f ca="1">IF(INDIRECT("'Ext Tradable'!$B" &amp; BF$9)=$B14,INDIRECT("'Ext Tradable'!$" &amp; 'Ext Tradable'!$AS$23 &amp; BF$9),"")</f>
        <v/>
      </c>
      <c r="BG14" s="700" t="str">
        <f ca="1">IF(INDIRECT("'Ext Tradable'!$B" &amp; BG$9)=$B14,INDIRECT("'Ext Tradable'!$" &amp; 'Ext Tradable'!$AS$23 &amp; BG$9),"")</f>
        <v/>
      </c>
      <c r="BH14" s="700" t="str">
        <f ca="1">IF(INDIRECT("'Ext Tradable'!$B" &amp; BH$9)=$B14,INDIRECT("'Ext Tradable'!$" &amp; 'Ext Tradable'!$AS$23 &amp; BH$9),"")</f>
        <v/>
      </c>
      <c r="BI14" s="700" t="str">
        <f ca="1">IF(INDIRECT("'Ext Tradable'!$B" &amp; BI$9)=$B14,INDIRECT("'Ext Tradable'!$" &amp; 'Ext Tradable'!$AS$23 &amp; BI$9),"")</f>
        <v/>
      </c>
      <c r="BJ14" s="700" t="str">
        <f ca="1">IF(INDIRECT("'Ext Tradable'!$B" &amp; BJ$9)=$B14,INDIRECT("'Ext Tradable'!$" &amp; 'Ext Tradable'!$AS$23 &amp; BJ$9),"")</f>
        <v/>
      </c>
      <c r="BK14" s="700" t="str">
        <f ca="1">IF(INDIRECT("'Ext Tradable'!$B" &amp; BK$9)=$B14,INDIRECT("'Ext Tradable'!$" &amp; 'Ext Tradable'!$AS$23 &amp; BK$9),"")</f>
        <v/>
      </c>
      <c r="BL14" s="700" t="str">
        <f ca="1">IF(INDIRECT("'Ext Tradable'!$B" &amp; BL$9)=$B14,INDIRECT("'Ext Tradable'!$" &amp; 'Ext Tradable'!$AS$23 &amp; BL$9),"")</f>
        <v/>
      </c>
      <c r="BM14" s="700">
        <f ca="1">IF(INDIRECT("'Ext Tradable'!$B" &amp; BM$9)=$B14,INDIRECT("'Ext Tradable'!$" &amp; 'Ext Tradable'!$AS$23 &amp; BM$9),"")</f>
        <v>0</v>
      </c>
      <c r="BN14" s="700">
        <f ca="1">IF(INDIRECT("'Ext Tradable'!$B" &amp; BN$9)=$B14,INDIRECT("'Ext Tradable'!$" &amp; 'Ext Tradable'!$AS$23 &amp; BN$9),"")</f>
        <v>0</v>
      </c>
      <c r="BO14" s="700">
        <f ca="1">IF(INDIRECT("'Ext Tradable'!$B" &amp; BO$9)=$B14,INDIRECT("'Ext Tradable'!$" &amp; 'Ext Tradable'!$AS$23 &amp; BO$9),"")</f>
        <v>0</v>
      </c>
      <c r="BP14" s="700">
        <f ca="1">IF(INDIRECT("'Ext Tradable'!$B" &amp; BP$9)=$B14,INDIRECT("'Ext Tradable'!$" &amp; 'Ext Tradable'!$AS$23 &amp; BP$9),"")</f>
        <v>0</v>
      </c>
      <c r="BQ14" s="700">
        <f ca="1">IF(INDIRECT("'Ext Tradable'!$B" &amp; BQ$9)=$B14,INDIRECT("'Ext Tradable'!$" &amp; 'Ext Tradable'!$AS$23 &amp; BQ$9),"")</f>
        <v>0</v>
      </c>
      <c r="BR14" s="700">
        <f ca="1">IF(INDIRECT("'Ext Tradable'!$B" &amp; BR$9)=$B14,INDIRECT("'Ext Tradable'!$" &amp; 'Ext Tradable'!$AS$23 &amp; BR$9),"")</f>
        <v>0</v>
      </c>
      <c r="BS14" s="700">
        <f ca="1">IF(INDIRECT("'Ext Tradable'!$B" &amp; BS$9)=$B14,INDIRECT("'Ext Tradable'!$" &amp; 'Ext Tradable'!$AS$23 &amp; BS$9),"")</f>
        <v>0</v>
      </c>
      <c r="BT14" s="700">
        <f ca="1">IF(INDIRECT("'Ext Tradable'!$B" &amp; BT$9)=$B14,INDIRECT("'Ext Tradable'!$" &amp; 'Ext Tradable'!$AS$23 &amp; BT$9),"")</f>
        <v>0</v>
      </c>
      <c r="BU14" s="700">
        <f ca="1">IF(INDIRECT("'Ext Tradable'!$B" &amp; BU$9)=$B14,INDIRECT("'Ext Tradable'!$" &amp; 'Ext Tradable'!$AS$23 &amp; BU$9),"")</f>
        <v>0</v>
      </c>
      <c r="BV14" s="700">
        <f ca="1">IF(INDIRECT("'Ext Tradable'!$B" &amp; BV$9)=$B14,INDIRECT("'Ext Tradable'!$" &amp; 'Ext Tradable'!$AS$23 &amp; BV$9),"")</f>
        <v>0</v>
      </c>
      <c r="BW14" s="700">
        <f ca="1">IF(INDIRECT("'Ext Tradable'!$B" &amp; BW$9)=$B14,INDIRECT("'Ext Tradable'!$" &amp; 'Ext Tradable'!$AS$23 &amp; BW$9),"")</f>
        <v>0</v>
      </c>
      <c r="BX14" s="700">
        <f ca="1">IF(INDIRECT("'Ext Tradable'!$B" &amp; BX$9)=$B14,INDIRECT("'Ext Tradable'!$" &amp; 'Ext Tradable'!$AS$23 &amp; BX$9),"")</f>
        <v>0</v>
      </c>
      <c r="BY14" s="700">
        <f ca="1">IF(INDIRECT("'Ext Tradable'!$B" &amp; BY$9)=$B14,INDIRECT("'Ext Tradable'!$" &amp; 'Ext Tradable'!$AS$23 &amp; BY$9),"")</f>
        <v>0</v>
      </c>
      <c r="BZ14" s="700">
        <f ca="1">IF(INDIRECT("'Ext Tradable'!$B" &amp; BZ$9)=$B14,INDIRECT("'Ext Tradable'!$" &amp; 'Ext Tradable'!$AS$23 &amp; BZ$9),"")</f>
        <v>0</v>
      </c>
      <c r="CA14" s="700">
        <f ca="1">IF(INDIRECT("'Ext Tradable'!$B" &amp; CA$9)=$B14,INDIRECT("'Ext Tradable'!$" &amp; 'Ext Tradable'!$AS$23 &amp; CA$9),"")</f>
        <v>0</v>
      </c>
      <c r="CB14" s="700">
        <f ca="1">IF(INDIRECT("'Ext Tradable'!$B" &amp; CB$9)=$B14,INDIRECT("'Ext Tradable'!$" &amp; 'Ext Tradable'!$AS$23 &amp; CB$9),"")</f>
        <v>0</v>
      </c>
      <c r="CC14" s="700">
        <f ca="1">IF(INDIRECT("'Ext Tradable'!$B" &amp; CC$9)=$B14,INDIRECT("'Ext Tradable'!$" &amp; 'Ext Tradable'!$AS$23 &amp; CC$9),"")</f>
        <v>0</v>
      </c>
      <c r="CD14" s="700">
        <f ca="1">IF(INDIRECT("'Ext Tradable'!$B" &amp; CD$9)=$B14,INDIRECT("'Ext Tradable'!$" &amp; 'Ext Tradable'!$AS$23 &amp; CD$9),"")</f>
        <v>0</v>
      </c>
      <c r="CE14" s="700">
        <f ca="1">IF(INDIRECT("'Ext Tradable'!$B" &amp; CE$9)=$B14,INDIRECT("'Ext Tradable'!$" &amp; 'Ext Tradable'!$AS$23 &amp; CE$9),"")</f>
        <v>0</v>
      </c>
      <c r="CF14" s="700">
        <f ca="1">IF(INDIRECT("'Ext Tradable'!$B" &amp; CF$9)=$B14,INDIRECT("'Ext Tradable'!$" &amp; 'Ext Tradable'!$AS$23 &amp; CF$9),"")</f>
        <v>0</v>
      </c>
      <c r="CG14" s="700">
        <f ca="1">IF(INDIRECT("'Ext Tradable'!$B" &amp; CG$9)=$B14,INDIRECT("'Ext Tradable'!$" &amp; 'Ext Tradable'!$AS$23 &amp; CG$9),"")</f>
        <v>0</v>
      </c>
      <c r="CH14" s="700">
        <f ca="1">IF(INDIRECT("'Ext Tradable'!$B" &amp; CH$9)=$B14,INDIRECT("'Ext Tradable'!$" &amp; 'Ext Tradable'!$AS$23 &amp; CH$9),"")</f>
        <v>0</v>
      </c>
      <c r="CI14" s="700">
        <f ca="1">IF(INDIRECT("'Ext Tradable'!$B" &amp; CI$9)=$B14,INDIRECT("'Ext Tradable'!$" &amp; 'Ext Tradable'!$AS$23 &amp; CI$9),"")</f>
        <v>0</v>
      </c>
      <c r="CJ14" s="700">
        <f ca="1">IF(INDIRECT("'Ext Tradable'!$B" &amp; CJ$9)=$B14,INDIRECT("'Ext Tradable'!$" &amp; 'Ext Tradable'!$AS$23 &amp; CJ$9),"")</f>
        <v>0</v>
      </c>
      <c r="CK14" s="700">
        <f ca="1">IF(INDIRECT("'Ext Tradable'!$B" &amp; CK$9)=$B14,INDIRECT("'Ext Tradable'!$" &amp; 'Ext Tradable'!$AS$23 &amp; CK$9),"")</f>
        <v>0</v>
      </c>
      <c r="CL14" s="700">
        <f ca="1">IF(INDIRECT("'Ext Tradable'!$B" &amp; CL$9)=$B14,INDIRECT("'Ext Tradable'!$" &amp; 'Ext Tradable'!$AS$23 &amp; CL$9),"")</f>
        <v>0</v>
      </c>
      <c r="CM14" s="700">
        <f ca="1">IF(INDIRECT("'Ext Tradable'!$B" &amp; CM$9)=$B14,INDIRECT("'Ext Tradable'!$" &amp; 'Ext Tradable'!$AS$23 &amp; CM$9),"")</f>
        <v>0</v>
      </c>
      <c r="CN14" s="700">
        <f ca="1">IF(INDIRECT("'Ext Tradable'!$B" &amp; CN$9)=$B14,INDIRECT("'Ext Tradable'!$" &amp; 'Ext Tradable'!$AS$23 &amp; CN$9),"")</f>
        <v>0</v>
      </c>
      <c r="CO14" s="700">
        <f ca="1">IF(INDIRECT("'Ext Tradable'!$B" &amp; CO$9)=$B14,INDIRECT("'Ext Tradable'!$" &amp; 'Ext Tradable'!$AS$23 &amp; CO$9),"")</f>
        <v>0</v>
      </c>
      <c r="CP14" s="700">
        <f ca="1">IF(INDIRECT("'Ext Tradable'!$B" &amp; CP$9)=$B14,INDIRECT("'Ext Tradable'!$" &amp; 'Ext Tradable'!$AS$23 &amp; CP$9),"")</f>
        <v>0</v>
      </c>
      <c r="CQ14" s="702" t="str">
        <f t="shared" ref="CQ14:CQ59" ca="1" si="25">CONCATENATE(AS14,AT14,AU14,AV14,AW14,AX14,AY14,AZ14,BA14,BB14,BC14,BD14,BE14,BF14,BG14,BH14,BI14,BJ14,BK14,BL14,BM14,BN14,BO14,BP14,BQ14,BR14,BS14,BT14,BU14,BV14,BW14,BX14,BY14,BZ14,CA14,CB14,CC14,CD14,CE14,CF14,CG14,CH14,CI14,CJ14,CK14,CL14,CM14,CN14,CO14,CP14)</f>
        <v>000000000000000000000000000000</v>
      </c>
    </row>
    <row r="15" spans="1:95" ht="60" customHeight="1" x14ac:dyDescent="0.25">
      <c r="A15" s="705">
        <v>6</v>
      </c>
      <c r="B15" s="707" t="str">
        <f>'Ext Area Schedule'!Y21</f>
        <v/>
      </c>
      <c r="C15" s="707" t="str">
        <f>VLOOKUP($B15,'Ext Area Schedule'!$Y$16:$AE$65,3,FALSE)</f>
        <v/>
      </c>
      <c r="D15" s="792" t="str">
        <f>VLOOKUP($B15,'Ext Area Schedule'!$Y$16:$AE$65,4,FALSE)</f>
        <v/>
      </c>
      <c r="F15" s="792" t="str">
        <f>VLOOKUP($B15,'Ext Area Schedule'!$Y$16:$AE$65,5,FALSE)</f>
        <v/>
      </c>
      <c r="G15" s="792" t="str">
        <f>VLOOKUP($B15,'Ext Area Schedule'!$Y$16:$AE$65,7,FALSE)</f>
        <v/>
      </c>
      <c r="I15" s="703">
        <f t="shared" si="6"/>
        <v>0</v>
      </c>
      <c r="K15" s="703" t="str">
        <f>IF($B15="","",SUMIFS('Ext Tradable'!$M$26:$M$45,'Ext Tradable'!$B$26:$B$45,$B15,'Ext Tradable'!$O$26:$O$45,"New"))</f>
        <v/>
      </c>
      <c r="L15" s="703" t="str">
        <f>IF($B15="","",SUMIFS('Ext Tradable'!$M$26:$M$45,'Ext Tradable'!$B$26:$B$45,$B15,'Ext Tradable'!$O$26:$O$45,""))</f>
        <v/>
      </c>
      <c r="M15" s="703" t="str">
        <f>IF($B15="","",SUMIFS('Ext Tradable'!$K$26:$K$45,'Ext Tradable'!$B$26:$B$45,$B15,'Ext Tradable'!$O$26:$O$45,"New")+SUMIFS('Ext Tradable'!$K$26:$K$45,'Ext Tradable'!$B$26:$B$45,$B15,'Ext Tradable'!$O$26:$O$45,""))</f>
        <v/>
      </c>
      <c r="N15" s="703" t="str">
        <f>IF($B15="","",SUMIFS('Ext Tradable'!$M$26:$M$45,'Ext Tradable'!$B$26:$B$45,$B15,'Ext Tradable'!$O$26:$O$45,"Existing Remains"))</f>
        <v/>
      </c>
      <c r="O15" s="703" t="str">
        <f>IF($B15="","",SUMIFS('Ext Tradable'!$M$26:$M$45,'Ext Tradable'!$B$26:$B$45,$B15,'Ext Tradable'!$O$26:$O$45,"Existing Removed"))</f>
        <v/>
      </c>
      <c r="P15" s="703" t="str">
        <f>IF($B15="","",SUMIFS('Ext Tradable'!$K$26:$K$45,'Ext Tradable'!$B$26:$B$45,$B15,'Ext Tradable'!$O$26:$O$45,"Existing Removed"))</f>
        <v/>
      </c>
      <c r="Q15" s="703" t="str">
        <f t="shared" si="7"/>
        <v/>
      </c>
      <c r="R15" s="703" t="str">
        <f t="shared" si="8"/>
        <v/>
      </c>
      <c r="S15" s="1123" t="str">
        <f t="shared" si="9"/>
        <v/>
      </c>
      <c r="T15" s="1128" t="str">
        <f t="shared" si="23"/>
        <v/>
      </c>
      <c r="U15" s="711" t="str">
        <f t="shared" si="11"/>
        <v/>
      </c>
      <c r="V15" s="712" t="str">
        <f t="shared" si="12"/>
        <v/>
      </c>
      <c r="W15" s="762"/>
      <c r="X15" s="720" t="str">
        <f t="shared" si="13"/>
        <v/>
      </c>
      <c r="Y15" s="721" t="str">
        <f t="shared" si="14"/>
        <v/>
      </c>
      <c r="Z15" s="721" t="str">
        <f t="shared" si="15"/>
        <v/>
      </c>
      <c r="AA15" s="719" t="str">
        <f t="shared" si="2"/>
        <v/>
      </c>
      <c r="AB15" s="762"/>
      <c r="AC15" s="717" t="str">
        <f t="shared" si="16"/>
        <v/>
      </c>
      <c r="AD15" s="718" t="str">
        <f t="shared" si="17"/>
        <v/>
      </c>
      <c r="AE15" s="719" t="str">
        <f t="shared" si="3"/>
        <v/>
      </c>
      <c r="AF15" s="726"/>
      <c r="AG15" s="727" t="str">
        <f t="shared" si="18"/>
        <v/>
      </c>
      <c r="AH15" s="703" t="str">
        <f t="shared" si="19"/>
        <v/>
      </c>
      <c r="AI15" s="1114">
        <f t="shared" si="20"/>
        <v>0</v>
      </c>
      <c r="AK15" s="791" t="str">
        <f t="shared" si="4"/>
        <v/>
      </c>
      <c r="AL15" s="791" t="str">
        <f t="shared" si="21"/>
        <v/>
      </c>
      <c r="AM15" s="707" t="str">
        <f>IF(OR(AK15="Fail",AK15="Fail LPA",AK15=""),"",IF(AL15&lt;&gt;"#1",VLOOKUP(C15,'9.4.3 Tables'!B$142:O$154,14,FALSE),"No NEW controls required"))</f>
        <v/>
      </c>
      <c r="AN15" s="703">
        <f t="shared" si="22"/>
        <v>0</v>
      </c>
      <c r="AQ15">
        <v>6</v>
      </c>
      <c r="AR15" s="15" t="str">
        <f t="shared" si="24"/>
        <v/>
      </c>
      <c r="AS15" s="700" t="str">
        <f ca="1">IF(INDIRECT("'Ext Tradable'!$B" &amp; AS$9)=$B15,INDIRECT("'Ext Tradable'!$" &amp; 'Ext Tradable'!$AS$23 &amp; AS$9),"")</f>
        <v/>
      </c>
      <c r="AT15" s="700" t="str">
        <f ca="1">IF(INDIRECT("'Ext Tradable'!$B" &amp; AT$9)=$B15,INDIRECT("'Ext Tradable'!$" &amp; 'Ext Tradable'!$AS$23 &amp; AT$9),"")</f>
        <v/>
      </c>
      <c r="AU15" s="700" t="str">
        <f ca="1">IF(INDIRECT("'Ext Tradable'!$B" &amp; AU$9)=$B15,INDIRECT("'Ext Tradable'!$" &amp; 'Ext Tradable'!$AS$23 &amp; AU$9),"")</f>
        <v/>
      </c>
      <c r="AV15" s="700" t="str">
        <f ca="1">IF(INDIRECT("'Ext Tradable'!$B" &amp; AV$9)=$B15,INDIRECT("'Ext Tradable'!$" &amp; 'Ext Tradable'!$AS$23 &amp; AV$9),"")</f>
        <v/>
      </c>
      <c r="AW15" s="700" t="str">
        <f ca="1">IF(INDIRECT("'Ext Tradable'!$B" &amp; AW$9)=$B15,INDIRECT("'Ext Tradable'!$" &amp; 'Ext Tradable'!$AS$23 &amp; AW$9),"")</f>
        <v/>
      </c>
      <c r="AX15" s="700" t="str">
        <f ca="1">IF(INDIRECT("'Ext Tradable'!$B" &amp; AX$9)=$B15,INDIRECT("'Ext Tradable'!$" &amp; 'Ext Tradable'!$AS$23 &amp; AX$9),"")</f>
        <v/>
      </c>
      <c r="AY15" s="700" t="str">
        <f ca="1">IF(INDIRECT("'Ext Tradable'!$B" &amp; AY$9)=$B15,INDIRECT("'Ext Tradable'!$" &amp; 'Ext Tradable'!$AS$23 &amp; AY$9),"")</f>
        <v/>
      </c>
      <c r="AZ15" s="700" t="str">
        <f ca="1">IF(INDIRECT("'Ext Tradable'!$B" &amp; AZ$9)=$B15,INDIRECT("'Ext Tradable'!$" &amp; 'Ext Tradable'!$AS$23 &amp; AZ$9),"")</f>
        <v/>
      </c>
      <c r="BA15" s="700" t="str">
        <f ca="1">IF(INDIRECT("'Ext Tradable'!$B" &amp; BA$9)=$B15,INDIRECT("'Ext Tradable'!$" &amp; 'Ext Tradable'!$AS$23 &amp; BA$9),"")</f>
        <v/>
      </c>
      <c r="BB15" s="700" t="str">
        <f ca="1">IF(INDIRECT("'Ext Tradable'!$B" &amp; BB$9)=$B15,INDIRECT("'Ext Tradable'!$" &amp; 'Ext Tradable'!$AS$23 &amp; BB$9),"")</f>
        <v/>
      </c>
      <c r="BC15" s="700" t="str">
        <f ca="1">IF(INDIRECT("'Ext Tradable'!$B" &amp; BC$9)=$B15,INDIRECT("'Ext Tradable'!$" &amp; 'Ext Tradable'!$AS$23 &amp; BC$9),"")</f>
        <v/>
      </c>
      <c r="BD15" s="700" t="str">
        <f ca="1">IF(INDIRECT("'Ext Tradable'!$B" &amp; BD$9)=$B15,INDIRECT("'Ext Tradable'!$" &amp; 'Ext Tradable'!$AS$23 &amp; BD$9),"")</f>
        <v/>
      </c>
      <c r="BE15" s="700" t="str">
        <f ca="1">IF(INDIRECT("'Ext Tradable'!$B" &amp; BE$9)=$B15,INDIRECT("'Ext Tradable'!$" &amp; 'Ext Tradable'!$AS$23 &amp; BE$9),"")</f>
        <v/>
      </c>
      <c r="BF15" s="700" t="str">
        <f ca="1">IF(INDIRECT("'Ext Tradable'!$B" &amp; BF$9)=$B15,INDIRECT("'Ext Tradable'!$" &amp; 'Ext Tradable'!$AS$23 &amp; BF$9),"")</f>
        <v/>
      </c>
      <c r="BG15" s="700" t="str">
        <f ca="1">IF(INDIRECT("'Ext Tradable'!$B" &amp; BG$9)=$B15,INDIRECT("'Ext Tradable'!$" &amp; 'Ext Tradable'!$AS$23 &amp; BG$9),"")</f>
        <v/>
      </c>
      <c r="BH15" s="700" t="str">
        <f ca="1">IF(INDIRECT("'Ext Tradable'!$B" &amp; BH$9)=$B15,INDIRECT("'Ext Tradable'!$" &amp; 'Ext Tradable'!$AS$23 &amp; BH$9),"")</f>
        <v/>
      </c>
      <c r="BI15" s="700" t="str">
        <f ca="1">IF(INDIRECT("'Ext Tradable'!$B" &amp; BI$9)=$B15,INDIRECT("'Ext Tradable'!$" &amp; 'Ext Tradable'!$AS$23 &amp; BI$9),"")</f>
        <v/>
      </c>
      <c r="BJ15" s="700" t="str">
        <f ca="1">IF(INDIRECT("'Ext Tradable'!$B" &amp; BJ$9)=$B15,INDIRECT("'Ext Tradable'!$" &amp; 'Ext Tradable'!$AS$23 &amp; BJ$9),"")</f>
        <v/>
      </c>
      <c r="BK15" s="700" t="str">
        <f ca="1">IF(INDIRECT("'Ext Tradable'!$B" &amp; BK$9)=$B15,INDIRECT("'Ext Tradable'!$" &amp; 'Ext Tradable'!$AS$23 &amp; BK$9),"")</f>
        <v/>
      </c>
      <c r="BL15" s="700" t="str">
        <f ca="1">IF(INDIRECT("'Ext Tradable'!$B" &amp; BL$9)=$B15,INDIRECT("'Ext Tradable'!$" &amp; 'Ext Tradable'!$AS$23 &amp; BL$9),"")</f>
        <v/>
      </c>
      <c r="BM15" s="700">
        <f ca="1">IF(INDIRECT("'Ext Tradable'!$B" &amp; BM$9)=$B15,INDIRECT("'Ext Tradable'!$" &amp; 'Ext Tradable'!$AS$23 &amp; BM$9),"")</f>
        <v>0</v>
      </c>
      <c r="BN15" s="700">
        <f ca="1">IF(INDIRECT("'Ext Tradable'!$B" &amp; BN$9)=$B15,INDIRECT("'Ext Tradable'!$" &amp; 'Ext Tradable'!$AS$23 &amp; BN$9),"")</f>
        <v>0</v>
      </c>
      <c r="BO15" s="700">
        <f ca="1">IF(INDIRECT("'Ext Tradable'!$B" &amp; BO$9)=$B15,INDIRECT("'Ext Tradable'!$" &amp; 'Ext Tradable'!$AS$23 &amp; BO$9),"")</f>
        <v>0</v>
      </c>
      <c r="BP15" s="700">
        <f ca="1">IF(INDIRECT("'Ext Tradable'!$B" &amp; BP$9)=$B15,INDIRECT("'Ext Tradable'!$" &amp; 'Ext Tradable'!$AS$23 &amp; BP$9),"")</f>
        <v>0</v>
      </c>
      <c r="BQ15" s="700">
        <f ca="1">IF(INDIRECT("'Ext Tradable'!$B" &amp; BQ$9)=$B15,INDIRECT("'Ext Tradable'!$" &amp; 'Ext Tradable'!$AS$23 &amp; BQ$9),"")</f>
        <v>0</v>
      </c>
      <c r="BR15" s="700">
        <f ca="1">IF(INDIRECT("'Ext Tradable'!$B" &amp; BR$9)=$B15,INDIRECT("'Ext Tradable'!$" &amp; 'Ext Tradable'!$AS$23 &amp; BR$9),"")</f>
        <v>0</v>
      </c>
      <c r="BS15" s="700">
        <f ca="1">IF(INDIRECT("'Ext Tradable'!$B" &amp; BS$9)=$B15,INDIRECT("'Ext Tradable'!$" &amp; 'Ext Tradable'!$AS$23 &amp; BS$9),"")</f>
        <v>0</v>
      </c>
      <c r="BT15" s="700">
        <f ca="1">IF(INDIRECT("'Ext Tradable'!$B" &amp; BT$9)=$B15,INDIRECT("'Ext Tradable'!$" &amp; 'Ext Tradable'!$AS$23 &amp; BT$9),"")</f>
        <v>0</v>
      </c>
      <c r="BU15" s="700">
        <f ca="1">IF(INDIRECT("'Ext Tradable'!$B" &amp; BU$9)=$B15,INDIRECT("'Ext Tradable'!$" &amp; 'Ext Tradable'!$AS$23 &amp; BU$9),"")</f>
        <v>0</v>
      </c>
      <c r="BV15" s="700">
        <f ca="1">IF(INDIRECT("'Ext Tradable'!$B" &amp; BV$9)=$B15,INDIRECT("'Ext Tradable'!$" &amp; 'Ext Tradable'!$AS$23 &amp; BV$9),"")</f>
        <v>0</v>
      </c>
      <c r="BW15" s="700">
        <f ca="1">IF(INDIRECT("'Ext Tradable'!$B" &amp; BW$9)=$B15,INDIRECT("'Ext Tradable'!$" &amp; 'Ext Tradable'!$AS$23 &amp; BW$9),"")</f>
        <v>0</v>
      </c>
      <c r="BX15" s="700">
        <f ca="1">IF(INDIRECT("'Ext Tradable'!$B" &amp; BX$9)=$B15,INDIRECT("'Ext Tradable'!$" &amp; 'Ext Tradable'!$AS$23 &amp; BX$9),"")</f>
        <v>0</v>
      </c>
      <c r="BY15" s="700">
        <f ca="1">IF(INDIRECT("'Ext Tradable'!$B" &amp; BY$9)=$B15,INDIRECT("'Ext Tradable'!$" &amp; 'Ext Tradable'!$AS$23 &amp; BY$9),"")</f>
        <v>0</v>
      </c>
      <c r="BZ15" s="700">
        <f ca="1">IF(INDIRECT("'Ext Tradable'!$B" &amp; BZ$9)=$B15,INDIRECT("'Ext Tradable'!$" &amp; 'Ext Tradable'!$AS$23 &amp; BZ$9),"")</f>
        <v>0</v>
      </c>
      <c r="CA15" s="700">
        <f ca="1">IF(INDIRECT("'Ext Tradable'!$B" &amp; CA$9)=$B15,INDIRECT("'Ext Tradable'!$" &amp; 'Ext Tradable'!$AS$23 &amp; CA$9),"")</f>
        <v>0</v>
      </c>
      <c r="CB15" s="700">
        <f ca="1">IF(INDIRECT("'Ext Tradable'!$B" &amp; CB$9)=$B15,INDIRECT("'Ext Tradable'!$" &amp; 'Ext Tradable'!$AS$23 &amp; CB$9),"")</f>
        <v>0</v>
      </c>
      <c r="CC15" s="700">
        <f ca="1">IF(INDIRECT("'Ext Tradable'!$B" &amp; CC$9)=$B15,INDIRECT("'Ext Tradable'!$" &amp; 'Ext Tradable'!$AS$23 &amp; CC$9),"")</f>
        <v>0</v>
      </c>
      <c r="CD15" s="700">
        <f ca="1">IF(INDIRECT("'Ext Tradable'!$B" &amp; CD$9)=$B15,INDIRECT("'Ext Tradable'!$" &amp; 'Ext Tradable'!$AS$23 &amp; CD$9),"")</f>
        <v>0</v>
      </c>
      <c r="CE15" s="700">
        <f ca="1">IF(INDIRECT("'Ext Tradable'!$B" &amp; CE$9)=$B15,INDIRECT("'Ext Tradable'!$" &amp; 'Ext Tradable'!$AS$23 &amp; CE$9),"")</f>
        <v>0</v>
      </c>
      <c r="CF15" s="700">
        <f ca="1">IF(INDIRECT("'Ext Tradable'!$B" &amp; CF$9)=$B15,INDIRECT("'Ext Tradable'!$" &amp; 'Ext Tradable'!$AS$23 &amp; CF$9),"")</f>
        <v>0</v>
      </c>
      <c r="CG15" s="700">
        <f ca="1">IF(INDIRECT("'Ext Tradable'!$B" &amp; CG$9)=$B15,INDIRECT("'Ext Tradable'!$" &amp; 'Ext Tradable'!$AS$23 &amp; CG$9),"")</f>
        <v>0</v>
      </c>
      <c r="CH15" s="700">
        <f ca="1">IF(INDIRECT("'Ext Tradable'!$B" &amp; CH$9)=$B15,INDIRECT("'Ext Tradable'!$" &amp; 'Ext Tradable'!$AS$23 &amp; CH$9),"")</f>
        <v>0</v>
      </c>
      <c r="CI15" s="700">
        <f ca="1">IF(INDIRECT("'Ext Tradable'!$B" &amp; CI$9)=$B15,INDIRECT("'Ext Tradable'!$" &amp; 'Ext Tradable'!$AS$23 &amp; CI$9),"")</f>
        <v>0</v>
      </c>
      <c r="CJ15" s="700">
        <f ca="1">IF(INDIRECT("'Ext Tradable'!$B" &amp; CJ$9)=$B15,INDIRECT("'Ext Tradable'!$" &amp; 'Ext Tradable'!$AS$23 &amp; CJ$9),"")</f>
        <v>0</v>
      </c>
      <c r="CK15" s="700">
        <f ca="1">IF(INDIRECT("'Ext Tradable'!$B" &amp; CK$9)=$B15,INDIRECT("'Ext Tradable'!$" &amp; 'Ext Tradable'!$AS$23 &amp; CK$9),"")</f>
        <v>0</v>
      </c>
      <c r="CL15" s="700">
        <f ca="1">IF(INDIRECT("'Ext Tradable'!$B" &amp; CL$9)=$B15,INDIRECT("'Ext Tradable'!$" &amp; 'Ext Tradable'!$AS$23 &amp; CL$9),"")</f>
        <v>0</v>
      </c>
      <c r="CM15" s="700">
        <f ca="1">IF(INDIRECT("'Ext Tradable'!$B" &amp; CM$9)=$B15,INDIRECT("'Ext Tradable'!$" &amp; 'Ext Tradable'!$AS$23 &amp; CM$9),"")</f>
        <v>0</v>
      </c>
      <c r="CN15" s="700">
        <f ca="1">IF(INDIRECT("'Ext Tradable'!$B" &amp; CN$9)=$B15,INDIRECT("'Ext Tradable'!$" &amp; 'Ext Tradable'!$AS$23 &amp; CN$9),"")</f>
        <v>0</v>
      </c>
      <c r="CO15" s="700">
        <f ca="1">IF(INDIRECT("'Ext Tradable'!$B" &amp; CO$9)=$B15,INDIRECT("'Ext Tradable'!$" &amp; 'Ext Tradable'!$AS$23 &amp; CO$9),"")</f>
        <v>0</v>
      </c>
      <c r="CP15" s="700">
        <f ca="1">IF(INDIRECT("'Ext Tradable'!$B" &amp; CP$9)=$B15,INDIRECT("'Ext Tradable'!$" &amp; 'Ext Tradable'!$AS$23 &amp; CP$9),"")</f>
        <v>0</v>
      </c>
      <c r="CQ15" s="702" t="str">
        <f t="shared" ca="1" si="25"/>
        <v>000000000000000000000000000000</v>
      </c>
    </row>
    <row r="16" spans="1:95" ht="60" customHeight="1" x14ac:dyDescent="0.25">
      <c r="A16" s="705">
        <v>7</v>
      </c>
      <c r="B16" s="707" t="str">
        <f>'Ext Area Schedule'!Y22</f>
        <v/>
      </c>
      <c r="C16" s="707" t="str">
        <f>VLOOKUP($B16,'Ext Area Schedule'!$Y$16:$AE$65,3,FALSE)</f>
        <v/>
      </c>
      <c r="D16" s="792" t="str">
        <f>VLOOKUP($B16,'Ext Area Schedule'!$Y$16:$AE$65,4,FALSE)</f>
        <v/>
      </c>
      <c r="F16" s="792" t="str">
        <f>VLOOKUP($B16,'Ext Area Schedule'!$Y$16:$AE$65,5,FALSE)</f>
        <v/>
      </c>
      <c r="G16" s="792" t="str">
        <f>VLOOKUP($B16,'Ext Area Schedule'!$Y$16:$AE$65,7,FALSE)</f>
        <v/>
      </c>
      <c r="I16" s="703">
        <f t="shared" si="6"/>
        <v>0</v>
      </c>
      <c r="K16" s="703" t="str">
        <f>IF($B16="","",SUMIFS('Ext Tradable'!$M$26:$M$45,'Ext Tradable'!$B$26:$B$45,$B16,'Ext Tradable'!$O$26:$O$45,"New"))</f>
        <v/>
      </c>
      <c r="L16" s="703" t="str">
        <f>IF($B16="","",SUMIFS('Ext Tradable'!$M$26:$M$45,'Ext Tradable'!$B$26:$B$45,$B16,'Ext Tradable'!$O$26:$O$45,""))</f>
        <v/>
      </c>
      <c r="M16" s="703" t="str">
        <f>IF($B16="","",SUMIFS('Ext Tradable'!$K$26:$K$45,'Ext Tradable'!$B$26:$B$45,$B16,'Ext Tradable'!$O$26:$O$45,"New")+SUMIFS('Ext Tradable'!$K$26:$K$45,'Ext Tradable'!$B$26:$B$45,$B16,'Ext Tradable'!$O$26:$O$45,""))</f>
        <v/>
      </c>
      <c r="N16" s="703" t="str">
        <f>IF($B16="","",SUMIFS('Ext Tradable'!$M$26:$M$45,'Ext Tradable'!$B$26:$B$45,$B16,'Ext Tradable'!$O$26:$O$45,"Existing Remains"))</f>
        <v/>
      </c>
      <c r="O16" s="703" t="str">
        <f>IF($B16="","",SUMIFS('Ext Tradable'!$M$26:$M$45,'Ext Tradable'!$B$26:$B$45,$B16,'Ext Tradable'!$O$26:$O$45,"Existing Removed"))</f>
        <v/>
      </c>
      <c r="P16" s="703" t="str">
        <f>IF($B16="","",SUMIFS('Ext Tradable'!$K$26:$K$45,'Ext Tradable'!$B$26:$B$45,$B16,'Ext Tradable'!$O$26:$O$45,"Existing Removed"))</f>
        <v/>
      </c>
      <c r="Q16" s="703" t="str">
        <f t="shared" si="7"/>
        <v/>
      </c>
      <c r="R16" s="703" t="str">
        <f t="shared" si="8"/>
        <v/>
      </c>
      <c r="S16" s="1123" t="str">
        <f t="shared" si="9"/>
        <v/>
      </c>
      <c r="T16" s="1128" t="str">
        <f t="shared" si="23"/>
        <v/>
      </c>
      <c r="U16" s="711" t="str">
        <f t="shared" si="11"/>
        <v/>
      </c>
      <c r="V16" s="712" t="str">
        <f t="shared" si="12"/>
        <v/>
      </c>
      <c r="W16" s="762"/>
      <c r="X16" s="720" t="str">
        <f t="shared" si="13"/>
        <v/>
      </c>
      <c r="Y16" s="721" t="str">
        <f t="shared" si="14"/>
        <v/>
      </c>
      <c r="Z16" s="721" t="str">
        <f t="shared" si="15"/>
        <v/>
      </c>
      <c r="AA16" s="719" t="str">
        <f t="shared" si="2"/>
        <v/>
      </c>
      <c r="AB16" s="762"/>
      <c r="AC16" s="717" t="str">
        <f t="shared" si="16"/>
        <v/>
      </c>
      <c r="AD16" s="718" t="str">
        <f t="shared" si="17"/>
        <v/>
      </c>
      <c r="AE16" s="719" t="str">
        <f t="shared" si="3"/>
        <v/>
      </c>
      <c r="AF16" s="726"/>
      <c r="AG16" s="727" t="str">
        <f t="shared" si="18"/>
        <v/>
      </c>
      <c r="AH16" s="703" t="str">
        <f t="shared" si="19"/>
        <v/>
      </c>
      <c r="AI16" s="1114">
        <f t="shared" si="20"/>
        <v>0</v>
      </c>
      <c r="AK16" s="791" t="str">
        <f t="shared" si="4"/>
        <v/>
      </c>
      <c r="AL16" s="791" t="str">
        <f t="shared" si="21"/>
        <v/>
      </c>
      <c r="AM16" s="707" t="str">
        <f>IF(OR(AK16="Fail",AK16="Fail LPA",AK16=""),"",IF(AL16&lt;&gt;"#1",VLOOKUP(C16,'9.4.3 Tables'!B$142:O$154,14,FALSE),"No NEW controls required"))</f>
        <v/>
      </c>
      <c r="AN16" s="703">
        <f t="shared" si="22"/>
        <v>0</v>
      </c>
      <c r="AQ16">
        <v>7</v>
      </c>
      <c r="AR16" s="15" t="str">
        <f t="shared" si="24"/>
        <v/>
      </c>
      <c r="AS16" s="700" t="str">
        <f ca="1">IF(INDIRECT("'Ext Tradable'!$B" &amp; AS$9)=$B16,INDIRECT("'Ext Tradable'!$" &amp; 'Ext Tradable'!$AS$23 &amp; AS$9),"")</f>
        <v/>
      </c>
      <c r="AT16" s="700" t="str">
        <f ca="1">IF(INDIRECT("'Ext Tradable'!$B" &amp; AT$9)=$B16,INDIRECT("'Ext Tradable'!$" &amp; 'Ext Tradable'!$AS$23 &amp; AT$9),"")</f>
        <v/>
      </c>
      <c r="AU16" s="700" t="str">
        <f ca="1">IF(INDIRECT("'Ext Tradable'!$B" &amp; AU$9)=$B16,INDIRECT("'Ext Tradable'!$" &amp; 'Ext Tradable'!$AS$23 &amp; AU$9),"")</f>
        <v/>
      </c>
      <c r="AV16" s="700" t="str">
        <f ca="1">IF(INDIRECT("'Ext Tradable'!$B" &amp; AV$9)=$B16,INDIRECT("'Ext Tradable'!$" &amp; 'Ext Tradable'!$AS$23 &amp; AV$9),"")</f>
        <v/>
      </c>
      <c r="AW16" s="700" t="str">
        <f ca="1">IF(INDIRECT("'Ext Tradable'!$B" &amp; AW$9)=$B16,INDIRECT("'Ext Tradable'!$" &amp; 'Ext Tradable'!$AS$23 &amp; AW$9),"")</f>
        <v/>
      </c>
      <c r="AX16" s="700" t="str">
        <f ca="1">IF(INDIRECT("'Ext Tradable'!$B" &amp; AX$9)=$B16,INDIRECT("'Ext Tradable'!$" &amp; 'Ext Tradable'!$AS$23 &amp; AX$9),"")</f>
        <v/>
      </c>
      <c r="AY16" s="700" t="str">
        <f ca="1">IF(INDIRECT("'Ext Tradable'!$B" &amp; AY$9)=$B16,INDIRECT("'Ext Tradable'!$" &amp; 'Ext Tradable'!$AS$23 &amp; AY$9),"")</f>
        <v/>
      </c>
      <c r="AZ16" s="700" t="str">
        <f ca="1">IF(INDIRECT("'Ext Tradable'!$B" &amp; AZ$9)=$B16,INDIRECT("'Ext Tradable'!$" &amp; 'Ext Tradable'!$AS$23 &amp; AZ$9),"")</f>
        <v/>
      </c>
      <c r="BA16" s="700" t="str">
        <f ca="1">IF(INDIRECT("'Ext Tradable'!$B" &amp; BA$9)=$B16,INDIRECT("'Ext Tradable'!$" &amp; 'Ext Tradable'!$AS$23 &amp; BA$9),"")</f>
        <v/>
      </c>
      <c r="BB16" s="700" t="str">
        <f ca="1">IF(INDIRECT("'Ext Tradable'!$B" &amp; BB$9)=$B16,INDIRECT("'Ext Tradable'!$" &amp; 'Ext Tradable'!$AS$23 &amp; BB$9),"")</f>
        <v/>
      </c>
      <c r="BC16" s="700" t="str">
        <f ca="1">IF(INDIRECT("'Ext Tradable'!$B" &amp; BC$9)=$B16,INDIRECT("'Ext Tradable'!$" &amp; 'Ext Tradable'!$AS$23 &amp; BC$9),"")</f>
        <v/>
      </c>
      <c r="BD16" s="700" t="str">
        <f ca="1">IF(INDIRECT("'Ext Tradable'!$B" &amp; BD$9)=$B16,INDIRECT("'Ext Tradable'!$" &amp; 'Ext Tradable'!$AS$23 &amp; BD$9),"")</f>
        <v/>
      </c>
      <c r="BE16" s="700" t="str">
        <f ca="1">IF(INDIRECT("'Ext Tradable'!$B" &amp; BE$9)=$B16,INDIRECT("'Ext Tradable'!$" &amp; 'Ext Tradable'!$AS$23 &amp; BE$9),"")</f>
        <v/>
      </c>
      <c r="BF16" s="700" t="str">
        <f ca="1">IF(INDIRECT("'Ext Tradable'!$B" &amp; BF$9)=$B16,INDIRECT("'Ext Tradable'!$" &amp; 'Ext Tradable'!$AS$23 &amp; BF$9),"")</f>
        <v/>
      </c>
      <c r="BG16" s="700" t="str">
        <f ca="1">IF(INDIRECT("'Ext Tradable'!$B" &amp; BG$9)=$B16,INDIRECT("'Ext Tradable'!$" &amp; 'Ext Tradable'!$AS$23 &amp; BG$9),"")</f>
        <v/>
      </c>
      <c r="BH16" s="700" t="str">
        <f ca="1">IF(INDIRECT("'Ext Tradable'!$B" &amp; BH$9)=$B16,INDIRECT("'Ext Tradable'!$" &amp; 'Ext Tradable'!$AS$23 &amp; BH$9),"")</f>
        <v/>
      </c>
      <c r="BI16" s="700" t="str">
        <f ca="1">IF(INDIRECT("'Ext Tradable'!$B" &amp; BI$9)=$B16,INDIRECT("'Ext Tradable'!$" &amp; 'Ext Tradable'!$AS$23 &amp; BI$9),"")</f>
        <v/>
      </c>
      <c r="BJ16" s="700" t="str">
        <f ca="1">IF(INDIRECT("'Ext Tradable'!$B" &amp; BJ$9)=$B16,INDIRECT("'Ext Tradable'!$" &amp; 'Ext Tradable'!$AS$23 &amp; BJ$9),"")</f>
        <v/>
      </c>
      <c r="BK16" s="700" t="str">
        <f ca="1">IF(INDIRECT("'Ext Tradable'!$B" &amp; BK$9)=$B16,INDIRECT("'Ext Tradable'!$" &amp; 'Ext Tradable'!$AS$23 &amp; BK$9),"")</f>
        <v/>
      </c>
      <c r="BL16" s="700" t="str">
        <f ca="1">IF(INDIRECT("'Ext Tradable'!$B" &amp; BL$9)=$B16,INDIRECT("'Ext Tradable'!$" &amp; 'Ext Tradable'!$AS$23 &amp; BL$9),"")</f>
        <v/>
      </c>
      <c r="BM16" s="700">
        <f ca="1">IF(INDIRECT("'Ext Tradable'!$B" &amp; BM$9)=$B16,INDIRECT("'Ext Tradable'!$" &amp; 'Ext Tradable'!$AS$23 &amp; BM$9),"")</f>
        <v>0</v>
      </c>
      <c r="BN16" s="700">
        <f ca="1">IF(INDIRECT("'Ext Tradable'!$B" &amp; BN$9)=$B16,INDIRECT("'Ext Tradable'!$" &amp; 'Ext Tradable'!$AS$23 &amp; BN$9),"")</f>
        <v>0</v>
      </c>
      <c r="BO16" s="700">
        <f ca="1">IF(INDIRECT("'Ext Tradable'!$B" &amp; BO$9)=$B16,INDIRECT("'Ext Tradable'!$" &amp; 'Ext Tradable'!$AS$23 &amp; BO$9),"")</f>
        <v>0</v>
      </c>
      <c r="BP16" s="700">
        <f ca="1">IF(INDIRECT("'Ext Tradable'!$B" &amp; BP$9)=$B16,INDIRECT("'Ext Tradable'!$" &amp; 'Ext Tradable'!$AS$23 &amp; BP$9),"")</f>
        <v>0</v>
      </c>
      <c r="BQ16" s="700">
        <f ca="1">IF(INDIRECT("'Ext Tradable'!$B" &amp; BQ$9)=$B16,INDIRECT("'Ext Tradable'!$" &amp; 'Ext Tradable'!$AS$23 &amp; BQ$9),"")</f>
        <v>0</v>
      </c>
      <c r="BR16" s="700">
        <f ca="1">IF(INDIRECT("'Ext Tradable'!$B" &amp; BR$9)=$B16,INDIRECT("'Ext Tradable'!$" &amp; 'Ext Tradable'!$AS$23 &amp; BR$9),"")</f>
        <v>0</v>
      </c>
      <c r="BS16" s="700">
        <f ca="1">IF(INDIRECT("'Ext Tradable'!$B" &amp; BS$9)=$B16,INDIRECT("'Ext Tradable'!$" &amp; 'Ext Tradable'!$AS$23 &amp; BS$9),"")</f>
        <v>0</v>
      </c>
      <c r="BT16" s="700">
        <f ca="1">IF(INDIRECT("'Ext Tradable'!$B" &amp; BT$9)=$B16,INDIRECT("'Ext Tradable'!$" &amp; 'Ext Tradable'!$AS$23 &amp; BT$9),"")</f>
        <v>0</v>
      </c>
      <c r="BU16" s="700">
        <f ca="1">IF(INDIRECT("'Ext Tradable'!$B" &amp; BU$9)=$B16,INDIRECT("'Ext Tradable'!$" &amp; 'Ext Tradable'!$AS$23 &amp; BU$9),"")</f>
        <v>0</v>
      </c>
      <c r="BV16" s="700">
        <f ca="1">IF(INDIRECT("'Ext Tradable'!$B" &amp; BV$9)=$B16,INDIRECT("'Ext Tradable'!$" &amp; 'Ext Tradable'!$AS$23 &amp; BV$9),"")</f>
        <v>0</v>
      </c>
      <c r="BW16" s="700">
        <f ca="1">IF(INDIRECT("'Ext Tradable'!$B" &amp; BW$9)=$B16,INDIRECT("'Ext Tradable'!$" &amp; 'Ext Tradable'!$AS$23 &amp; BW$9),"")</f>
        <v>0</v>
      </c>
      <c r="BX16" s="700">
        <f ca="1">IF(INDIRECT("'Ext Tradable'!$B" &amp; BX$9)=$B16,INDIRECT("'Ext Tradable'!$" &amp; 'Ext Tradable'!$AS$23 &amp; BX$9),"")</f>
        <v>0</v>
      </c>
      <c r="BY16" s="700">
        <f ca="1">IF(INDIRECT("'Ext Tradable'!$B" &amp; BY$9)=$B16,INDIRECT("'Ext Tradable'!$" &amp; 'Ext Tradable'!$AS$23 &amp; BY$9),"")</f>
        <v>0</v>
      </c>
      <c r="BZ16" s="700">
        <f ca="1">IF(INDIRECT("'Ext Tradable'!$B" &amp; BZ$9)=$B16,INDIRECT("'Ext Tradable'!$" &amp; 'Ext Tradable'!$AS$23 &amp; BZ$9),"")</f>
        <v>0</v>
      </c>
      <c r="CA16" s="700">
        <f ca="1">IF(INDIRECT("'Ext Tradable'!$B" &amp; CA$9)=$B16,INDIRECT("'Ext Tradable'!$" &amp; 'Ext Tradable'!$AS$23 &amp; CA$9),"")</f>
        <v>0</v>
      </c>
      <c r="CB16" s="700">
        <f ca="1">IF(INDIRECT("'Ext Tradable'!$B" &amp; CB$9)=$B16,INDIRECT("'Ext Tradable'!$" &amp; 'Ext Tradable'!$AS$23 &amp; CB$9),"")</f>
        <v>0</v>
      </c>
      <c r="CC16" s="700">
        <f ca="1">IF(INDIRECT("'Ext Tradable'!$B" &amp; CC$9)=$B16,INDIRECT("'Ext Tradable'!$" &amp; 'Ext Tradable'!$AS$23 &amp; CC$9),"")</f>
        <v>0</v>
      </c>
      <c r="CD16" s="700">
        <f ca="1">IF(INDIRECT("'Ext Tradable'!$B" &amp; CD$9)=$B16,INDIRECT("'Ext Tradable'!$" &amp; 'Ext Tradable'!$AS$23 &amp; CD$9),"")</f>
        <v>0</v>
      </c>
      <c r="CE16" s="700">
        <f ca="1">IF(INDIRECT("'Ext Tradable'!$B" &amp; CE$9)=$B16,INDIRECT("'Ext Tradable'!$" &amp; 'Ext Tradable'!$AS$23 &amp; CE$9),"")</f>
        <v>0</v>
      </c>
      <c r="CF16" s="700">
        <f ca="1">IF(INDIRECT("'Ext Tradable'!$B" &amp; CF$9)=$B16,INDIRECT("'Ext Tradable'!$" &amp; 'Ext Tradable'!$AS$23 &amp; CF$9),"")</f>
        <v>0</v>
      </c>
      <c r="CG16" s="700">
        <f ca="1">IF(INDIRECT("'Ext Tradable'!$B" &amp; CG$9)=$B16,INDIRECT("'Ext Tradable'!$" &amp; 'Ext Tradable'!$AS$23 &amp; CG$9),"")</f>
        <v>0</v>
      </c>
      <c r="CH16" s="700">
        <f ca="1">IF(INDIRECT("'Ext Tradable'!$B" &amp; CH$9)=$B16,INDIRECT("'Ext Tradable'!$" &amp; 'Ext Tradable'!$AS$23 &amp; CH$9),"")</f>
        <v>0</v>
      </c>
      <c r="CI16" s="700">
        <f ca="1">IF(INDIRECT("'Ext Tradable'!$B" &amp; CI$9)=$B16,INDIRECT("'Ext Tradable'!$" &amp; 'Ext Tradable'!$AS$23 &amp; CI$9),"")</f>
        <v>0</v>
      </c>
      <c r="CJ16" s="700">
        <f ca="1">IF(INDIRECT("'Ext Tradable'!$B" &amp; CJ$9)=$B16,INDIRECT("'Ext Tradable'!$" &amp; 'Ext Tradable'!$AS$23 &amp; CJ$9),"")</f>
        <v>0</v>
      </c>
      <c r="CK16" s="700">
        <f ca="1">IF(INDIRECT("'Ext Tradable'!$B" &amp; CK$9)=$B16,INDIRECT("'Ext Tradable'!$" &amp; 'Ext Tradable'!$AS$23 &amp; CK$9),"")</f>
        <v>0</v>
      </c>
      <c r="CL16" s="700">
        <f ca="1">IF(INDIRECT("'Ext Tradable'!$B" &amp; CL$9)=$B16,INDIRECT("'Ext Tradable'!$" &amp; 'Ext Tradable'!$AS$23 &amp; CL$9),"")</f>
        <v>0</v>
      </c>
      <c r="CM16" s="700">
        <f ca="1">IF(INDIRECT("'Ext Tradable'!$B" &amp; CM$9)=$B16,INDIRECT("'Ext Tradable'!$" &amp; 'Ext Tradable'!$AS$23 &amp; CM$9),"")</f>
        <v>0</v>
      </c>
      <c r="CN16" s="700">
        <f ca="1">IF(INDIRECT("'Ext Tradable'!$B" &amp; CN$9)=$B16,INDIRECT("'Ext Tradable'!$" &amp; 'Ext Tradable'!$AS$23 &amp; CN$9),"")</f>
        <v>0</v>
      </c>
      <c r="CO16" s="700">
        <f ca="1">IF(INDIRECT("'Ext Tradable'!$B" &amp; CO$9)=$B16,INDIRECT("'Ext Tradable'!$" &amp; 'Ext Tradable'!$AS$23 &amp; CO$9),"")</f>
        <v>0</v>
      </c>
      <c r="CP16" s="700">
        <f ca="1">IF(INDIRECT("'Ext Tradable'!$B" &amp; CP$9)=$B16,INDIRECT("'Ext Tradable'!$" &amp; 'Ext Tradable'!$AS$23 &amp; CP$9),"")</f>
        <v>0</v>
      </c>
      <c r="CQ16" s="702" t="str">
        <f t="shared" ca="1" si="25"/>
        <v>000000000000000000000000000000</v>
      </c>
    </row>
    <row r="17" spans="1:95" ht="60" customHeight="1" x14ac:dyDescent="0.25">
      <c r="A17" s="705">
        <v>8</v>
      </c>
      <c r="B17" s="707" t="str">
        <f>'Ext Area Schedule'!Y23</f>
        <v/>
      </c>
      <c r="C17" s="707" t="str">
        <f>VLOOKUP($B17,'Ext Area Schedule'!$Y$16:$AE$65,3,FALSE)</f>
        <v/>
      </c>
      <c r="D17" s="792" t="str">
        <f>VLOOKUP($B17,'Ext Area Schedule'!$Y$16:$AE$65,4,FALSE)</f>
        <v/>
      </c>
      <c r="F17" s="792" t="str">
        <f>VLOOKUP($B17,'Ext Area Schedule'!$Y$16:$AE$65,5,FALSE)</f>
        <v/>
      </c>
      <c r="G17" s="792" t="str">
        <f>VLOOKUP($B17,'Ext Area Schedule'!$Y$16:$AE$65,7,FALSE)</f>
        <v/>
      </c>
      <c r="I17" s="703">
        <f t="shared" si="6"/>
        <v>0</v>
      </c>
      <c r="K17" s="703" t="str">
        <f>IF($B17="","",SUMIFS('Ext Tradable'!$M$26:$M$45,'Ext Tradable'!$B$26:$B$45,$B17,'Ext Tradable'!$O$26:$O$45,"New"))</f>
        <v/>
      </c>
      <c r="L17" s="703" t="str">
        <f>IF($B17="","",SUMIFS('Ext Tradable'!$M$26:$M$45,'Ext Tradable'!$B$26:$B$45,$B17,'Ext Tradable'!$O$26:$O$45,""))</f>
        <v/>
      </c>
      <c r="M17" s="703" t="str">
        <f>IF($B17="","",SUMIFS('Ext Tradable'!$K$26:$K$45,'Ext Tradable'!$B$26:$B$45,$B17,'Ext Tradable'!$O$26:$O$45,"New")+SUMIFS('Ext Tradable'!$K$26:$K$45,'Ext Tradable'!$B$26:$B$45,$B17,'Ext Tradable'!$O$26:$O$45,""))</f>
        <v/>
      </c>
      <c r="N17" s="703" t="str">
        <f>IF($B17="","",SUMIFS('Ext Tradable'!$M$26:$M$45,'Ext Tradable'!$B$26:$B$45,$B17,'Ext Tradable'!$O$26:$O$45,"Existing Remains"))</f>
        <v/>
      </c>
      <c r="O17" s="703" t="str">
        <f>IF($B17="","",SUMIFS('Ext Tradable'!$M$26:$M$45,'Ext Tradable'!$B$26:$B$45,$B17,'Ext Tradable'!$O$26:$O$45,"Existing Removed"))</f>
        <v/>
      </c>
      <c r="P17" s="703" t="str">
        <f>IF($B17="","",SUMIFS('Ext Tradable'!$K$26:$K$45,'Ext Tradable'!$B$26:$B$45,$B17,'Ext Tradable'!$O$26:$O$45,"Existing Removed"))</f>
        <v/>
      </c>
      <c r="Q17" s="703" t="str">
        <f t="shared" si="7"/>
        <v/>
      </c>
      <c r="R17" s="703" t="str">
        <f t="shared" si="8"/>
        <v/>
      </c>
      <c r="S17" s="1123" t="str">
        <f t="shared" si="9"/>
        <v/>
      </c>
      <c r="T17" s="1128" t="str">
        <f t="shared" si="23"/>
        <v/>
      </c>
      <c r="U17" s="711" t="str">
        <f t="shared" si="11"/>
        <v/>
      </c>
      <c r="V17" s="712" t="str">
        <f t="shared" si="12"/>
        <v/>
      </c>
      <c r="W17" s="762"/>
      <c r="X17" s="720" t="str">
        <f t="shared" si="13"/>
        <v/>
      </c>
      <c r="Y17" s="721" t="str">
        <f t="shared" si="14"/>
        <v/>
      </c>
      <c r="Z17" s="721" t="str">
        <f t="shared" si="15"/>
        <v/>
      </c>
      <c r="AA17" s="719" t="str">
        <f t="shared" si="2"/>
        <v/>
      </c>
      <c r="AB17" s="762"/>
      <c r="AC17" s="717" t="str">
        <f t="shared" si="16"/>
        <v/>
      </c>
      <c r="AD17" s="718" t="str">
        <f t="shared" si="17"/>
        <v/>
      </c>
      <c r="AE17" s="719" t="str">
        <f t="shared" si="3"/>
        <v/>
      </c>
      <c r="AF17" s="726"/>
      <c r="AG17" s="727" t="str">
        <f t="shared" si="18"/>
        <v/>
      </c>
      <c r="AH17" s="703" t="str">
        <f t="shared" si="19"/>
        <v/>
      </c>
      <c r="AI17" s="1114">
        <f t="shared" si="20"/>
        <v>0</v>
      </c>
      <c r="AK17" s="791" t="str">
        <f t="shared" si="4"/>
        <v/>
      </c>
      <c r="AL17" s="791" t="str">
        <f t="shared" si="21"/>
        <v/>
      </c>
      <c r="AM17" s="707" t="str">
        <f>IF(OR(AK17="Fail",AK17="Fail LPA",AK17=""),"",IF(AL17&lt;&gt;"#1",VLOOKUP(C17,'9.4.3 Tables'!B$142:O$154,14,FALSE),"No NEW controls required"))</f>
        <v/>
      </c>
      <c r="AN17" s="703">
        <f t="shared" si="22"/>
        <v>0</v>
      </c>
      <c r="AQ17">
        <v>8</v>
      </c>
      <c r="AR17" s="15" t="str">
        <f t="shared" si="24"/>
        <v/>
      </c>
      <c r="AS17" s="700" t="str">
        <f ca="1">IF(INDIRECT("'Ext Tradable'!$B" &amp; AS$9)=$B17,INDIRECT("'Ext Tradable'!$" &amp; 'Ext Tradable'!$AS$23 &amp; AS$9),"")</f>
        <v/>
      </c>
      <c r="AT17" s="700" t="str">
        <f ca="1">IF(INDIRECT("'Ext Tradable'!$B" &amp; AT$9)=$B17,INDIRECT("'Ext Tradable'!$" &amp; 'Ext Tradable'!$AS$23 &amp; AT$9),"")</f>
        <v/>
      </c>
      <c r="AU17" s="700" t="str">
        <f ca="1">IF(INDIRECT("'Ext Tradable'!$B" &amp; AU$9)=$B17,INDIRECT("'Ext Tradable'!$" &amp; 'Ext Tradable'!$AS$23 &amp; AU$9),"")</f>
        <v/>
      </c>
      <c r="AV17" s="700" t="str">
        <f ca="1">IF(INDIRECT("'Ext Tradable'!$B" &amp; AV$9)=$B17,INDIRECT("'Ext Tradable'!$" &amp; 'Ext Tradable'!$AS$23 &amp; AV$9),"")</f>
        <v/>
      </c>
      <c r="AW17" s="700" t="str">
        <f ca="1">IF(INDIRECT("'Ext Tradable'!$B" &amp; AW$9)=$B17,INDIRECT("'Ext Tradable'!$" &amp; 'Ext Tradable'!$AS$23 &amp; AW$9),"")</f>
        <v/>
      </c>
      <c r="AX17" s="700" t="str">
        <f ca="1">IF(INDIRECT("'Ext Tradable'!$B" &amp; AX$9)=$B17,INDIRECT("'Ext Tradable'!$" &amp; 'Ext Tradable'!$AS$23 &amp; AX$9),"")</f>
        <v/>
      </c>
      <c r="AY17" s="700" t="str">
        <f ca="1">IF(INDIRECT("'Ext Tradable'!$B" &amp; AY$9)=$B17,INDIRECT("'Ext Tradable'!$" &amp; 'Ext Tradable'!$AS$23 &amp; AY$9),"")</f>
        <v/>
      </c>
      <c r="AZ17" s="700" t="str">
        <f ca="1">IF(INDIRECT("'Ext Tradable'!$B" &amp; AZ$9)=$B17,INDIRECT("'Ext Tradable'!$" &amp; 'Ext Tradable'!$AS$23 &amp; AZ$9),"")</f>
        <v/>
      </c>
      <c r="BA17" s="700" t="str">
        <f ca="1">IF(INDIRECT("'Ext Tradable'!$B" &amp; BA$9)=$B17,INDIRECT("'Ext Tradable'!$" &amp; 'Ext Tradable'!$AS$23 &amp; BA$9),"")</f>
        <v/>
      </c>
      <c r="BB17" s="700" t="str">
        <f ca="1">IF(INDIRECT("'Ext Tradable'!$B" &amp; BB$9)=$B17,INDIRECT("'Ext Tradable'!$" &amp; 'Ext Tradable'!$AS$23 &amp; BB$9),"")</f>
        <v/>
      </c>
      <c r="BC17" s="700" t="str">
        <f ca="1">IF(INDIRECT("'Ext Tradable'!$B" &amp; BC$9)=$B17,INDIRECT("'Ext Tradable'!$" &amp; 'Ext Tradable'!$AS$23 &amp; BC$9),"")</f>
        <v/>
      </c>
      <c r="BD17" s="700" t="str">
        <f ca="1">IF(INDIRECT("'Ext Tradable'!$B" &amp; BD$9)=$B17,INDIRECT("'Ext Tradable'!$" &amp; 'Ext Tradable'!$AS$23 &amp; BD$9),"")</f>
        <v/>
      </c>
      <c r="BE17" s="700" t="str">
        <f ca="1">IF(INDIRECT("'Ext Tradable'!$B" &amp; BE$9)=$B17,INDIRECT("'Ext Tradable'!$" &amp; 'Ext Tradable'!$AS$23 &amp; BE$9),"")</f>
        <v/>
      </c>
      <c r="BF17" s="700" t="str">
        <f ca="1">IF(INDIRECT("'Ext Tradable'!$B" &amp; BF$9)=$B17,INDIRECT("'Ext Tradable'!$" &amp; 'Ext Tradable'!$AS$23 &amp; BF$9),"")</f>
        <v/>
      </c>
      <c r="BG17" s="700" t="str">
        <f ca="1">IF(INDIRECT("'Ext Tradable'!$B" &amp; BG$9)=$B17,INDIRECT("'Ext Tradable'!$" &amp; 'Ext Tradable'!$AS$23 &amp; BG$9),"")</f>
        <v/>
      </c>
      <c r="BH17" s="700" t="str">
        <f ca="1">IF(INDIRECT("'Ext Tradable'!$B" &amp; BH$9)=$B17,INDIRECT("'Ext Tradable'!$" &amp; 'Ext Tradable'!$AS$23 &amp; BH$9),"")</f>
        <v/>
      </c>
      <c r="BI17" s="700" t="str">
        <f ca="1">IF(INDIRECT("'Ext Tradable'!$B" &amp; BI$9)=$B17,INDIRECT("'Ext Tradable'!$" &amp; 'Ext Tradable'!$AS$23 &amp; BI$9),"")</f>
        <v/>
      </c>
      <c r="BJ17" s="700" t="str">
        <f ca="1">IF(INDIRECT("'Ext Tradable'!$B" &amp; BJ$9)=$B17,INDIRECT("'Ext Tradable'!$" &amp; 'Ext Tradable'!$AS$23 &amp; BJ$9),"")</f>
        <v/>
      </c>
      <c r="BK17" s="700" t="str">
        <f ca="1">IF(INDIRECT("'Ext Tradable'!$B" &amp; BK$9)=$B17,INDIRECT("'Ext Tradable'!$" &amp; 'Ext Tradable'!$AS$23 &amp; BK$9),"")</f>
        <v/>
      </c>
      <c r="BL17" s="700" t="str">
        <f ca="1">IF(INDIRECT("'Ext Tradable'!$B" &amp; BL$9)=$B17,INDIRECT("'Ext Tradable'!$" &amp; 'Ext Tradable'!$AS$23 &amp; BL$9),"")</f>
        <v/>
      </c>
      <c r="BM17" s="700">
        <f ca="1">IF(INDIRECT("'Ext Tradable'!$B" &amp; BM$9)=$B17,INDIRECT("'Ext Tradable'!$" &amp; 'Ext Tradable'!$AS$23 &amp; BM$9),"")</f>
        <v>0</v>
      </c>
      <c r="BN17" s="700">
        <f ca="1">IF(INDIRECT("'Ext Tradable'!$B" &amp; BN$9)=$B17,INDIRECT("'Ext Tradable'!$" &amp; 'Ext Tradable'!$AS$23 &amp; BN$9),"")</f>
        <v>0</v>
      </c>
      <c r="BO17" s="700">
        <f ca="1">IF(INDIRECT("'Ext Tradable'!$B" &amp; BO$9)=$B17,INDIRECT("'Ext Tradable'!$" &amp; 'Ext Tradable'!$AS$23 &amp; BO$9),"")</f>
        <v>0</v>
      </c>
      <c r="BP17" s="700">
        <f ca="1">IF(INDIRECT("'Ext Tradable'!$B" &amp; BP$9)=$B17,INDIRECT("'Ext Tradable'!$" &amp; 'Ext Tradable'!$AS$23 &amp; BP$9),"")</f>
        <v>0</v>
      </c>
      <c r="BQ17" s="700">
        <f ca="1">IF(INDIRECT("'Ext Tradable'!$B" &amp; BQ$9)=$B17,INDIRECT("'Ext Tradable'!$" &amp; 'Ext Tradable'!$AS$23 &amp; BQ$9),"")</f>
        <v>0</v>
      </c>
      <c r="BR17" s="700">
        <f ca="1">IF(INDIRECT("'Ext Tradable'!$B" &amp; BR$9)=$B17,INDIRECT("'Ext Tradable'!$" &amp; 'Ext Tradable'!$AS$23 &amp; BR$9),"")</f>
        <v>0</v>
      </c>
      <c r="BS17" s="700">
        <f ca="1">IF(INDIRECT("'Ext Tradable'!$B" &amp; BS$9)=$B17,INDIRECT("'Ext Tradable'!$" &amp; 'Ext Tradable'!$AS$23 &amp; BS$9),"")</f>
        <v>0</v>
      </c>
      <c r="BT17" s="700">
        <f ca="1">IF(INDIRECT("'Ext Tradable'!$B" &amp; BT$9)=$B17,INDIRECT("'Ext Tradable'!$" &amp; 'Ext Tradable'!$AS$23 &amp; BT$9),"")</f>
        <v>0</v>
      </c>
      <c r="BU17" s="700">
        <f ca="1">IF(INDIRECT("'Ext Tradable'!$B" &amp; BU$9)=$B17,INDIRECT("'Ext Tradable'!$" &amp; 'Ext Tradable'!$AS$23 &amp; BU$9),"")</f>
        <v>0</v>
      </c>
      <c r="BV17" s="700">
        <f ca="1">IF(INDIRECT("'Ext Tradable'!$B" &amp; BV$9)=$B17,INDIRECT("'Ext Tradable'!$" &amp; 'Ext Tradable'!$AS$23 &amp; BV$9),"")</f>
        <v>0</v>
      </c>
      <c r="BW17" s="700">
        <f ca="1">IF(INDIRECT("'Ext Tradable'!$B" &amp; BW$9)=$B17,INDIRECT("'Ext Tradable'!$" &amp; 'Ext Tradable'!$AS$23 &amp; BW$9),"")</f>
        <v>0</v>
      </c>
      <c r="BX17" s="700">
        <f ca="1">IF(INDIRECT("'Ext Tradable'!$B" &amp; BX$9)=$B17,INDIRECT("'Ext Tradable'!$" &amp; 'Ext Tradable'!$AS$23 &amp; BX$9),"")</f>
        <v>0</v>
      </c>
      <c r="BY17" s="700">
        <f ca="1">IF(INDIRECT("'Ext Tradable'!$B" &amp; BY$9)=$B17,INDIRECT("'Ext Tradable'!$" &amp; 'Ext Tradable'!$AS$23 &amp; BY$9),"")</f>
        <v>0</v>
      </c>
      <c r="BZ17" s="700">
        <f ca="1">IF(INDIRECT("'Ext Tradable'!$B" &amp; BZ$9)=$B17,INDIRECT("'Ext Tradable'!$" &amp; 'Ext Tradable'!$AS$23 &amp; BZ$9),"")</f>
        <v>0</v>
      </c>
      <c r="CA17" s="700">
        <f ca="1">IF(INDIRECT("'Ext Tradable'!$B" &amp; CA$9)=$B17,INDIRECT("'Ext Tradable'!$" &amp; 'Ext Tradable'!$AS$23 &amp; CA$9),"")</f>
        <v>0</v>
      </c>
      <c r="CB17" s="700">
        <f ca="1">IF(INDIRECT("'Ext Tradable'!$B" &amp; CB$9)=$B17,INDIRECT("'Ext Tradable'!$" &amp; 'Ext Tradable'!$AS$23 &amp; CB$9),"")</f>
        <v>0</v>
      </c>
      <c r="CC17" s="700">
        <f ca="1">IF(INDIRECT("'Ext Tradable'!$B" &amp; CC$9)=$B17,INDIRECT("'Ext Tradable'!$" &amp; 'Ext Tradable'!$AS$23 &amp; CC$9),"")</f>
        <v>0</v>
      </c>
      <c r="CD17" s="700">
        <f ca="1">IF(INDIRECT("'Ext Tradable'!$B" &amp; CD$9)=$B17,INDIRECT("'Ext Tradable'!$" &amp; 'Ext Tradable'!$AS$23 &amp; CD$9),"")</f>
        <v>0</v>
      </c>
      <c r="CE17" s="700">
        <f ca="1">IF(INDIRECT("'Ext Tradable'!$B" &amp; CE$9)=$B17,INDIRECT("'Ext Tradable'!$" &amp; 'Ext Tradable'!$AS$23 &amp; CE$9),"")</f>
        <v>0</v>
      </c>
      <c r="CF17" s="700">
        <f ca="1">IF(INDIRECT("'Ext Tradable'!$B" &amp; CF$9)=$B17,INDIRECT("'Ext Tradable'!$" &amp; 'Ext Tradable'!$AS$23 &amp; CF$9),"")</f>
        <v>0</v>
      </c>
      <c r="CG17" s="700">
        <f ca="1">IF(INDIRECT("'Ext Tradable'!$B" &amp; CG$9)=$B17,INDIRECT("'Ext Tradable'!$" &amp; 'Ext Tradable'!$AS$23 &amp; CG$9),"")</f>
        <v>0</v>
      </c>
      <c r="CH17" s="700">
        <f ca="1">IF(INDIRECT("'Ext Tradable'!$B" &amp; CH$9)=$B17,INDIRECT("'Ext Tradable'!$" &amp; 'Ext Tradable'!$AS$23 &amp; CH$9),"")</f>
        <v>0</v>
      </c>
      <c r="CI17" s="700">
        <f ca="1">IF(INDIRECT("'Ext Tradable'!$B" &amp; CI$9)=$B17,INDIRECT("'Ext Tradable'!$" &amp; 'Ext Tradable'!$AS$23 &amp; CI$9),"")</f>
        <v>0</v>
      </c>
      <c r="CJ17" s="700">
        <f ca="1">IF(INDIRECT("'Ext Tradable'!$B" &amp; CJ$9)=$B17,INDIRECT("'Ext Tradable'!$" &amp; 'Ext Tradable'!$AS$23 &amp; CJ$9),"")</f>
        <v>0</v>
      </c>
      <c r="CK17" s="700">
        <f ca="1">IF(INDIRECT("'Ext Tradable'!$B" &amp; CK$9)=$B17,INDIRECT("'Ext Tradable'!$" &amp; 'Ext Tradable'!$AS$23 &amp; CK$9),"")</f>
        <v>0</v>
      </c>
      <c r="CL17" s="700">
        <f ca="1">IF(INDIRECT("'Ext Tradable'!$B" &amp; CL$9)=$B17,INDIRECT("'Ext Tradable'!$" &amp; 'Ext Tradable'!$AS$23 &amp; CL$9),"")</f>
        <v>0</v>
      </c>
      <c r="CM17" s="700">
        <f ca="1">IF(INDIRECT("'Ext Tradable'!$B" &amp; CM$9)=$B17,INDIRECT("'Ext Tradable'!$" &amp; 'Ext Tradable'!$AS$23 &amp; CM$9),"")</f>
        <v>0</v>
      </c>
      <c r="CN17" s="700">
        <f ca="1">IF(INDIRECT("'Ext Tradable'!$B" &amp; CN$9)=$B17,INDIRECT("'Ext Tradable'!$" &amp; 'Ext Tradable'!$AS$23 &amp; CN$9),"")</f>
        <v>0</v>
      </c>
      <c r="CO17" s="700">
        <f ca="1">IF(INDIRECT("'Ext Tradable'!$B" &amp; CO$9)=$B17,INDIRECT("'Ext Tradable'!$" &amp; 'Ext Tradable'!$AS$23 &amp; CO$9),"")</f>
        <v>0</v>
      </c>
      <c r="CP17" s="700">
        <f ca="1">IF(INDIRECT("'Ext Tradable'!$B" &amp; CP$9)=$B17,INDIRECT("'Ext Tradable'!$" &amp; 'Ext Tradable'!$AS$23 &amp; CP$9),"")</f>
        <v>0</v>
      </c>
      <c r="CQ17" s="702" t="str">
        <f t="shared" ca="1" si="25"/>
        <v>000000000000000000000000000000</v>
      </c>
    </row>
    <row r="18" spans="1:95" ht="60" customHeight="1" x14ac:dyDescent="0.25">
      <c r="A18" s="705">
        <v>9</v>
      </c>
      <c r="B18" s="707" t="str">
        <f>'Ext Area Schedule'!Y24</f>
        <v/>
      </c>
      <c r="C18" s="707" t="str">
        <f>VLOOKUP($B18,'Ext Area Schedule'!$Y$16:$AE$65,3,FALSE)</f>
        <v/>
      </c>
      <c r="D18" s="792" t="str">
        <f>VLOOKUP($B18,'Ext Area Schedule'!$Y$16:$AE$65,4,FALSE)</f>
        <v/>
      </c>
      <c r="F18" s="792" t="str">
        <f>VLOOKUP($B18,'Ext Area Schedule'!$Y$16:$AE$65,5,FALSE)</f>
        <v/>
      </c>
      <c r="G18" s="792" t="str">
        <f>VLOOKUP($B18,'Ext Area Schedule'!$Y$16:$AE$65,7,FALSE)</f>
        <v/>
      </c>
      <c r="I18" s="703">
        <f t="shared" si="6"/>
        <v>0</v>
      </c>
      <c r="K18" s="703" t="str">
        <f>IF($B18="","",SUMIFS('Ext Tradable'!$M$26:$M$45,'Ext Tradable'!$B$26:$B$45,$B18,'Ext Tradable'!$O$26:$O$45,"New"))</f>
        <v/>
      </c>
      <c r="L18" s="703" t="str">
        <f>IF($B18="","",SUMIFS('Ext Tradable'!$M$26:$M$45,'Ext Tradable'!$B$26:$B$45,$B18,'Ext Tradable'!$O$26:$O$45,""))</f>
        <v/>
      </c>
      <c r="M18" s="703" t="str">
        <f>IF($B18="","",SUMIFS('Ext Tradable'!$K$26:$K$45,'Ext Tradable'!$B$26:$B$45,$B18,'Ext Tradable'!$O$26:$O$45,"New")+SUMIFS('Ext Tradable'!$K$26:$K$45,'Ext Tradable'!$B$26:$B$45,$B18,'Ext Tradable'!$O$26:$O$45,""))</f>
        <v/>
      </c>
      <c r="N18" s="703" t="str">
        <f>IF($B18="","",SUMIFS('Ext Tradable'!$M$26:$M$45,'Ext Tradable'!$B$26:$B$45,$B18,'Ext Tradable'!$O$26:$O$45,"Existing Remains"))</f>
        <v/>
      </c>
      <c r="O18" s="703" t="str">
        <f>IF($B18="","",SUMIFS('Ext Tradable'!$M$26:$M$45,'Ext Tradable'!$B$26:$B$45,$B18,'Ext Tradable'!$O$26:$O$45,"Existing Removed"))</f>
        <v/>
      </c>
      <c r="P18" s="703" t="str">
        <f>IF($B18="","",SUMIFS('Ext Tradable'!$K$26:$K$45,'Ext Tradable'!$B$26:$B$45,$B18,'Ext Tradable'!$O$26:$O$45,"Existing Removed"))</f>
        <v/>
      </c>
      <c r="Q18" s="703" t="str">
        <f t="shared" si="7"/>
        <v/>
      </c>
      <c r="R18" s="703" t="str">
        <f t="shared" si="8"/>
        <v/>
      </c>
      <c r="S18" s="1123" t="str">
        <f t="shared" si="9"/>
        <v/>
      </c>
      <c r="T18" s="1128" t="str">
        <f t="shared" si="23"/>
        <v/>
      </c>
      <c r="U18" s="711" t="str">
        <f t="shared" si="11"/>
        <v/>
      </c>
      <c r="V18" s="712" t="str">
        <f t="shared" si="12"/>
        <v/>
      </c>
      <c r="W18" s="762"/>
      <c r="X18" s="720" t="str">
        <f t="shared" si="13"/>
        <v/>
      </c>
      <c r="Y18" s="721" t="str">
        <f t="shared" si="14"/>
        <v/>
      </c>
      <c r="Z18" s="721" t="str">
        <f t="shared" si="15"/>
        <v/>
      </c>
      <c r="AA18" s="719" t="str">
        <f t="shared" si="2"/>
        <v/>
      </c>
      <c r="AB18" s="762"/>
      <c r="AC18" s="717" t="str">
        <f t="shared" si="16"/>
        <v/>
      </c>
      <c r="AD18" s="718" t="str">
        <f t="shared" si="17"/>
        <v/>
      </c>
      <c r="AE18" s="719" t="str">
        <f t="shared" si="3"/>
        <v/>
      </c>
      <c r="AF18" s="726"/>
      <c r="AG18" s="727" t="str">
        <f t="shared" si="18"/>
        <v/>
      </c>
      <c r="AH18" s="703" t="str">
        <f t="shared" si="19"/>
        <v/>
      </c>
      <c r="AI18" s="1114">
        <f t="shared" si="20"/>
        <v>0</v>
      </c>
      <c r="AK18" s="791" t="str">
        <f t="shared" si="4"/>
        <v/>
      </c>
      <c r="AL18" s="791" t="str">
        <f t="shared" si="21"/>
        <v/>
      </c>
      <c r="AM18" s="707" t="str">
        <f>IF(OR(AK18="Fail",AK18="Fail LPA",AK18=""),"",IF(AL18&lt;&gt;"#1",VLOOKUP(C18,'9.4.3 Tables'!B$142:O$154,14,FALSE),"No NEW controls required"))</f>
        <v/>
      </c>
      <c r="AN18" s="703">
        <f t="shared" si="22"/>
        <v>0</v>
      </c>
      <c r="AQ18">
        <v>9</v>
      </c>
      <c r="AR18" s="15" t="str">
        <f t="shared" si="24"/>
        <v/>
      </c>
      <c r="AS18" s="700" t="str">
        <f ca="1">IF(INDIRECT("'Ext Tradable'!$B" &amp; AS$9)=$B18,INDIRECT("'Ext Tradable'!$" &amp; 'Ext Tradable'!$AS$23 &amp; AS$9),"")</f>
        <v/>
      </c>
      <c r="AT18" s="700" t="str">
        <f ca="1">IF(INDIRECT("'Ext Tradable'!$B" &amp; AT$9)=$B18,INDIRECT("'Ext Tradable'!$" &amp; 'Ext Tradable'!$AS$23 &amp; AT$9),"")</f>
        <v/>
      </c>
      <c r="AU18" s="700" t="str">
        <f ca="1">IF(INDIRECT("'Ext Tradable'!$B" &amp; AU$9)=$B18,INDIRECT("'Ext Tradable'!$" &amp; 'Ext Tradable'!$AS$23 &amp; AU$9),"")</f>
        <v/>
      </c>
      <c r="AV18" s="700" t="str">
        <f ca="1">IF(INDIRECT("'Ext Tradable'!$B" &amp; AV$9)=$B18,INDIRECT("'Ext Tradable'!$" &amp; 'Ext Tradable'!$AS$23 &amp; AV$9),"")</f>
        <v/>
      </c>
      <c r="AW18" s="700" t="str">
        <f ca="1">IF(INDIRECT("'Ext Tradable'!$B" &amp; AW$9)=$B18,INDIRECT("'Ext Tradable'!$" &amp; 'Ext Tradable'!$AS$23 &amp; AW$9),"")</f>
        <v/>
      </c>
      <c r="AX18" s="700" t="str">
        <f ca="1">IF(INDIRECT("'Ext Tradable'!$B" &amp; AX$9)=$B18,INDIRECT("'Ext Tradable'!$" &amp; 'Ext Tradable'!$AS$23 &amp; AX$9),"")</f>
        <v/>
      </c>
      <c r="AY18" s="700" t="str">
        <f ca="1">IF(INDIRECT("'Ext Tradable'!$B" &amp; AY$9)=$B18,INDIRECT("'Ext Tradable'!$" &amp; 'Ext Tradable'!$AS$23 &amp; AY$9),"")</f>
        <v/>
      </c>
      <c r="AZ18" s="700" t="str">
        <f ca="1">IF(INDIRECT("'Ext Tradable'!$B" &amp; AZ$9)=$B18,INDIRECT("'Ext Tradable'!$" &amp; 'Ext Tradable'!$AS$23 &amp; AZ$9),"")</f>
        <v/>
      </c>
      <c r="BA18" s="700" t="str">
        <f ca="1">IF(INDIRECT("'Ext Tradable'!$B" &amp; BA$9)=$B18,INDIRECT("'Ext Tradable'!$" &amp; 'Ext Tradable'!$AS$23 &amp; BA$9),"")</f>
        <v/>
      </c>
      <c r="BB18" s="700" t="str">
        <f ca="1">IF(INDIRECT("'Ext Tradable'!$B" &amp; BB$9)=$B18,INDIRECT("'Ext Tradable'!$" &amp; 'Ext Tradable'!$AS$23 &amp; BB$9),"")</f>
        <v/>
      </c>
      <c r="BC18" s="700" t="str">
        <f ca="1">IF(INDIRECT("'Ext Tradable'!$B" &amp; BC$9)=$B18,INDIRECT("'Ext Tradable'!$" &amp; 'Ext Tradable'!$AS$23 &amp; BC$9),"")</f>
        <v/>
      </c>
      <c r="BD18" s="700" t="str">
        <f ca="1">IF(INDIRECT("'Ext Tradable'!$B" &amp; BD$9)=$B18,INDIRECT("'Ext Tradable'!$" &amp; 'Ext Tradable'!$AS$23 &amp; BD$9),"")</f>
        <v/>
      </c>
      <c r="BE18" s="700" t="str">
        <f ca="1">IF(INDIRECT("'Ext Tradable'!$B" &amp; BE$9)=$B18,INDIRECT("'Ext Tradable'!$" &amp; 'Ext Tradable'!$AS$23 &amp; BE$9),"")</f>
        <v/>
      </c>
      <c r="BF18" s="700" t="str">
        <f ca="1">IF(INDIRECT("'Ext Tradable'!$B" &amp; BF$9)=$B18,INDIRECT("'Ext Tradable'!$" &amp; 'Ext Tradable'!$AS$23 &amp; BF$9),"")</f>
        <v/>
      </c>
      <c r="BG18" s="700" t="str">
        <f ca="1">IF(INDIRECT("'Ext Tradable'!$B" &amp; BG$9)=$B18,INDIRECT("'Ext Tradable'!$" &amp; 'Ext Tradable'!$AS$23 &amp; BG$9),"")</f>
        <v/>
      </c>
      <c r="BH18" s="700" t="str">
        <f ca="1">IF(INDIRECT("'Ext Tradable'!$B" &amp; BH$9)=$B18,INDIRECT("'Ext Tradable'!$" &amp; 'Ext Tradable'!$AS$23 &amp; BH$9),"")</f>
        <v/>
      </c>
      <c r="BI18" s="700" t="str">
        <f ca="1">IF(INDIRECT("'Ext Tradable'!$B" &amp; BI$9)=$B18,INDIRECT("'Ext Tradable'!$" &amp; 'Ext Tradable'!$AS$23 &amp; BI$9),"")</f>
        <v/>
      </c>
      <c r="BJ18" s="700" t="str">
        <f ca="1">IF(INDIRECT("'Ext Tradable'!$B" &amp; BJ$9)=$B18,INDIRECT("'Ext Tradable'!$" &amp; 'Ext Tradable'!$AS$23 &amp; BJ$9),"")</f>
        <v/>
      </c>
      <c r="BK18" s="700" t="str">
        <f ca="1">IF(INDIRECT("'Ext Tradable'!$B" &amp; BK$9)=$B18,INDIRECT("'Ext Tradable'!$" &amp; 'Ext Tradable'!$AS$23 &amp; BK$9),"")</f>
        <v/>
      </c>
      <c r="BL18" s="700" t="str">
        <f ca="1">IF(INDIRECT("'Ext Tradable'!$B" &amp; BL$9)=$B18,INDIRECT("'Ext Tradable'!$" &amp; 'Ext Tradable'!$AS$23 &amp; BL$9),"")</f>
        <v/>
      </c>
      <c r="BM18" s="700">
        <f ca="1">IF(INDIRECT("'Ext Tradable'!$B" &amp; BM$9)=$B18,INDIRECT("'Ext Tradable'!$" &amp; 'Ext Tradable'!$AS$23 &amp; BM$9),"")</f>
        <v>0</v>
      </c>
      <c r="BN18" s="700">
        <f ca="1">IF(INDIRECT("'Ext Tradable'!$B" &amp; BN$9)=$B18,INDIRECT("'Ext Tradable'!$" &amp; 'Ext Tradable'!$AS$23 &amp; BN$9),"")</f>
        <v>0</v>
      </c>
      <c r="BO18" s="700">
        <f ca="1">IF(INDIRECT("'Ext Tradable'!$B" &amp; BO$9)=$B18,INDIRECT("'Ext Tradable'!$" &amp; 'Ext Tradable'!$AS$23 &amp; BO$9),"")</f>
        <v>0</v>
      </c>
      <c r="BP18" s="700">
        <f ca="1">IF(INDIRECT("'Ext Tradable'!$B" &amp; BP$9)=$B18,INDIRECT("'Ext Tradable'!$" &amp; 'Ext Tradable'!$AS$23 &amp; BP$9),"")</f>
        <v>0</v>
      </c>
      <c r="BQ18" s="700">
        <f ca="1">IF(INDIRECT("'Ext Tradable'!$B" &amp; BQ$9)=$B18,INDIRECT("'Ext Tradable'!$" &amp; 'Ext Tradable'!$AS$23 &amp; BQ$9),"")</f>
        <v>0</v>
      </c>
      <c r="BR18" s="700">
        <f ca="1">IF(INDIRECT("'Ext Tradable'!$B" &amp; BR$9)=$B18,INDIRECT("'Ext Tradable'!$" &amp; 'Ext Tradable'!$AS$23 &amp; BR$9),"")</f>
        <v>0</v>
      </c>
      <c r="BS18" s="700">
        <f ca="1">IF(INDIRECT("'Ext Tradable'!$B" &amp; BS$9)=$B18,INDIRECT("'Ext Tradable'!$" &amp; 'Ext Tradable'!$AS$23 &amp; BS$9),"")</f>
        <v>0</v>
      </c>
      <c r="BT18" s="700">
        <f ca="1">IF(INDIRECT("'Ext Tradable'!$B" &amp; BT$9)=$B18,INDIRECT("'Ext Tradable'!$" &amp; 'Ext Tradable'!$AS$23 &amp; BT$9),"")</f>
        <v>0</v>
      </c>
      <c r="BU18" s="700">
        <f ca="1">IF(INDIRECT("'Ext Tradable'!$B" &amp; BU$9)=$B18,INDIRECT("'Ext Tradable'!$" &amp; 'Ext Tradable'!$AS$23 &amp; BU$9),"")</f>
        <v>0</v>
      </c>
      <c r="BV18" s="700">
        <f ca="1">IF(INDIRECT("'Ext Tradable'!$B" &amp; BV$9)=$B18,INDIRECT("'Ext Tradable'!$" &amp; 'Ext Tradable'!$AS$23 &amp; BV$9),"")</f>
        <v>0</v>
      </c>
      <c r="BW18" s="700">
        <f ca="1">IF(INDIRECT("'Ext Tradable'!$B" &amp; BW$9)=$B18,INDIRECT("'Ext Tradable'!$" &amp; 'Ext Tradable'!$AS$23 &amp; BW$9),"")</f>
        <v>0</v>
      </c>
      <c r="BX18" s="700">
        <f ca="1">IF(INDIRECT("'Ext Tradable'!$B" &amp; BX$9)=$B18,INDIRECT("'Ext Tradable'!$" &amp; 'Ext Tradable'!$AS$23 &amp; BX$9),"")</f>
        <v>0</v>
      </c>
      <c r="BY18" s="700">
        <f ca="1">IF(INDIRECT("'Ext Tradable'!$B" &amp; BY$9)=$B18,INDIRECT("'Ext Tradable'!$" &amp; 'Ext Tradable'!$AS$23 &amp; BY$9),"")</f>
        <v>0</v>
      </c>
      <c r="BZ18" s="700">
        <f ca="1">IF(INDIRECT("'Ext Tradable'!$B" &amp; BZ$9)=$B18,INDIRECT("'Ext Tradable'!$" &amp; 'Ext Tradable'!$AS$23 &amp; BZ$9),"")</f>
        <v>0</v>
      </c>
      <c r="CA18" s="700">
        <f ca="1">IF(INDIRECT("'Ext Tradable'!$B" &amp; CA$9)=$B18,INDIRECT("'Ext Tradable'!$" &amp; 'Ext Tradable'!$AS$23 &amp; CA$9),"")</f>
        <v>0</v>
      </c>
      <c r="CB18" s="700">
        <f ca="1">IF(INDIRECT("'Ext Tradable'!$B" &amp; CB$9)=$B18,INDIRECT("'Ext Tradable'!$" &amp; 'Ext Tradable'!$AS$23 &amp; CB$9),"")</f>
        <v>0</v>
      </c>
      <c r="CC18" s="700">
        <f ca="1">IF(INDIRECT("'Ext Tradable'!$B" &amp; CC$9)=$B18,INDIRECT("'Ext Tradable'!$" &amp; 'Ext Tradable'!$AS$23 &amp; CC$9),"")</f>
        <v>0</v>
      </c>
      <c r="CD18" s="700">
        <f ca="1">IF(INDIRECT("'Ext Tradable'!$B" &amp; CD$9)=$B18,INDIRECT("'Ext Tradable'!$" &amp; 'Ext Tradable'!$AS$23 &amp; CD$9),"")</f>
        <v>0</v>
      </c>
      <c r="CE18" s="700">
        <f ca="1">IF(INDIRECT("'Ext Tradable'!$B" &amp; CE$9)=$B18,INDIRECT("'Ext Tradable'!$" &amp; 'Ext Tradable'!$AS$23 &amp; CE$9),"")</f>
        <v>0</v>
      </c>
      <c r="CF18" s="700">
        <f ca="1">IF(INDIRECT("'Ext Tradable'!$B" &amp; CF$9)=$B18,INDIRECT("'Ext Tradable'!$" &amp; 'Ext Tradable'!$AS$23 &amp; CF$9),"")</f>
        <v>0</v>
      </c>
      <c r="CG18" s="700">
        <f ca="1">IF(INDIRECT("'Ext Tradable'!$B" &amp; CG$9)=$B18,INDIRECT("'Ext Tradable'!$" &amp; 'Ext Tradable'!$AS$23 &amp; CG$9),"")</f>
        <v>0</v>
      </c>
      <c r="CH18" s="700">
        <f ca="1">IF(INDIRECT("'Ext Tradable'!$B" &amp; CH$9)=$B18,INDIRECT("'Ext Tradable'!$" &amp; 'Ext Tradable'!$AS$23 &amp; CH$9),"")</f>
        <v>0</v>
      </c>
      <c r="CI18" s="700">
        <f ca="1">IF(INDIRECT("'Ext Tradable'!$B" &amp; CI$9)=$B18,INDIRECT("'Ext Tradable'!$" &amp; 'Ext Tradable'!$AS$23 &amp; CI$9),"")</f>
        <v>0</v>
      </c>
      <c r="CJ18" s="700">
        <f ca="1">IF(INDIRECT("'Ext Tradable'!$B" &amp; CJ$9)=$B18,INDIRECT("'Ext Tradable'!$" &amp; 'Ext Tradable'!$AS$23 &amp; CJ$9),"")</f>
        <v>0</v>
      </c>
      <c r="CK18" s="700">
        <f ca="1">IF(INDIRECT("'Ext Tradable'!$B" &amp; CK$9)=$B18,INDIRECT("'Ext Tradable'!$" &amp; 'Ext Tradable'!$AS$23 &amp; CK$9),"")</f>
        <v>0</v>
      </c>
      <c r="CL18" s="700">
        <f ca="1">IF(INDIRECT("'Ext Tradable'!$B" &amp; CL$9)=$B18,INDIRECT("'Ext Tradable'!$" &amp; 'Ext Tradable'!$AS$23 &amp; CL$9),"")</f>
        <v>0</v>
      </c>
      <c r="CM18" s="700">
        <f ca="1">IF(INDIRECT("'Ext Tradable'!$B" &amp; CM$9)=$B18,INDIRECT("'Ext Tradable'!$" &amp; 'Ext Tradable'!$AS$23 &amp; CM$9),"")</f>
        <v>0</v>
      </c>
      <c r="CN18" s="700">
        <f ca="1">IF(INDIRECT("'Ext Tradable'!$B" &amp; CN$9)=$B18,INDIRECT("'Ext Tradable'!$" &amp; 'Ext Tradable'!$AS$23 &amp; CN$9),"")</f>
        <v>0</v>
      </c>
      <c r="CO18" s="700">
        <f ca="1">IF(INDIRECT("'Ext Tradable'!$B" &amp; CO$9)=$B18,INDIRECT("'Ext Tradable'!$" &amp; 'Ext Tradable'!$AS$23 &amp; CO$9),"")</f>
        <v>0</v>
      </c>
      <c r="CP18" s="700">
        <f ca="1">IF(INDIRECT("'Ext Tradable'!$B" &amp; CP$9)=$B18,INDIRECT("'Ext Tradable'!$" &amp; 'Ext Tradable'!$AS$23 &amp; CP$9),"")</f>
        <v>0</v>
      </c>
      <c r="CQ18" s="702" t="str">
        <f t="shared" ca="1" si="25"/>
        <v>000000000000000000000000000000</v>
      </c>
    </row>
    <row r="19" spans="1:95" ht="60" customHeight="1" x14ac:dyDescent="0.25">
      <c r="A19" s="705">
        <v>10</v>
      </c>
      <c r="B19" s="707" t="str">
        <f>'Ext Area Schedule'!Y25</f>
        <v/>
      </c>
      <c r="C19" s="707" t="str">
        <f>VLOOKUP($B19,'Ext Area Schedule'!$Y$16:$AE$65,3,FALSE)</f>
        <v/>
      </c>
      <c r="D19" s="792" t="str">
        <f>VLOOKUP($B19,'Ext Area Schedule'!$Y$16:$AE$65,4,FALSE)</f>
        <v/>
      </c>
      <c r="F19" s="792" t="str">
        <f>VLOOKUP($B19,'Ext Area Schedule'!$Y$16:$AE$65,5,FALSE)</f>
        <v/>
      </c>
      <c r="G19" s="792" t="str">
        <f>VLOOKUP($B19,'Ext Area Schedule'!$Y$16:$AE$65,7,FALSE)</f>
        <v/>
      </c>
      <c r="I19" s="703">
        <f t="shared" si="6"/>
        <v>0</v>
      </c>
      <c r="K19" s="703" t="str">
        <f>IF($B19="","",SUMIFS('Ext Tradable'!$M$26:$M$45,'Ext Tradable'!$B$26:$B$45,$B19,'Ext Tradable'!$O$26:$O$45,"New"))</f>
        <v/>
      </c>
      <c r="L19" s="703" t="str">
        <f>IF($B19="","",SUMIFS('Ext Tradable'!$M$26:$M$45,'Ext Tradable'!$B$26:$B$45,$B19,'Ext Tradable'!$O$26:$O$45,""))</f>
        <v/>
      </c>
      <c r="M19" s="703" t="str">
        <f>IF($B19="","",SUMIFS('Ext Tradable'!$K$26:$K$45,'Ext Tradable'!$B$26:$B$45,$B19,'Ext Tradable'!$O$26:$O$45,"New")+SUMIFS('Ext Tradable'!$K$26:$K$45,'Ext Tradable'!$B$26:$B$45,$B19,'Ext Tradable'!$O$26:$O$45,""))</f>
        <v/>
      </c>
      <c r="N19" s="703" t="str">
        <f>IF($B19="","",SUMIFS('Ext Tradable'!$M$26:$M$45,'Ext Tradable'!$B$26:$B$45,$B19,'Ext Tradable'!$O$26:$O$45,"Existing Remains"))</f>
        <v/>
      </c>
      <c r="O19" s="703" t="str">
        <f>IF($B19="","",SUMIFS('Ext Tradable'!$M$26:$M$45,'Ext Tradable'!$B$26:$B$45,$B19,'Ext Tradable'!$O$26:$O$45,"Existing Removed"))</f>
        <v/>
      </c>
      <c r="P19" s="703" t="str">
        <f>IF($B19="","",SUMIFS('Ext Tradable'!$K$26:$K$45,'Ext Tradable'!$B$26:$B$45,$B19,'Ext Tradable'!$O$26:$O$45,"Existing Removed"))</f>
        <v/>
      </c>
      <c r="Q19" s="703" t="str">
        <f t="shared" si="7"/>
        <v/>
      </c>
      <c r="R19" s="703" t="str">
        <f t="shared" si="8"/>
        <v/>
      </c>
      <c r="S19" s="1123" t="str">
        <f t="shared" si="9"/>
        <v/>
      </c>
      <c r="T19" s="1128" t="str">
        <f t="shared" si="23"/>
        <v/>
      </c>
      <c r="U19" s="711" t="str">
        <f t="shared" si="11"/>
        <v/>
      </c>
      <c r="V19" s="712" t="str">
        <f t="shared" si="12"/>
        <v/>
      </c>
      <c r="W19" s="762"/>
      <c r="X19" s="720" t="str">
        <f t="shared" si="13"/>
        <v/>
      </c>
      <c r="Y19" s="721" t="str">
        <f t="shared" si="14"/>
        <v/>
      </c>
      <c r="Z19" s="721" t="str">
        <f t="shared" si="15"/>
        <v/>
      </c>
      <c r="AA19" s="719" t="str">
        <f t="shared" si="2"/>
        <v/>
      </c>
      <c r="AB19" s="762"/>
      <c r="AC19" s="717" t="str">
        <f t="shared" si="16"/>
        <v/>
      </c>
      <c r="AD19" s="718" t="str">
        <f t="shared" si="17"/>
        <v/>
      </c>
      <c r="AE19" s="719" t="str">
        <f t="shared" si="3"/>
        <v/>
      </c>
      <c r="AF19" s="726"/>
      <c r="AG19" s="727" t="str">
        <f t="shared" si="18"/>
        <v/>
      </c>
      <c r="AH19" s="703" t="str">
        <f t="shared" si="19"/>
        <v/>
      </c>
      <c r="AI19" s="1114">
        <f t="shared" si="20"/>
        <v>0</v>
      </c>
      <c r="AK19" s="791" t="str">
        <f t="shared" si="4"/>
        <v/>
      </c>
      <c r="AL19" s="791" t="str">
        <f t="shared" si="21"/>
        <v/>
      </c>
      <c r="AM19" s="707" t="str">
        <f>IF(OR(AK19="Fail",AK19="Fail LPA",AK19=""),"",IF(AL19&lt;&gt;"#1",VLOOKUP(C19,'9.4.3 Tables'!B$142:O$154,14,FALSE),"No NEW controls required"))</f>
        <v/>
      </c>
      <c r="AN19" s="703">
        <f t="shared" si="22"/>
        <v>0</v>
      </c>
      <c r="AQ19">
        <v>10</v>
      </c>
      <c r="AR19" s="15" t="str">
        <f t="shared" si="24"/>
        <v/>
      </c>
      <c r="AS19" s="700" t="str">
        <f ca="1">IF(INDIRECT("'Ext Tradable'!$B" &amp; AS$9)=$B19,INDIRECT("'Ext Tradable'!$" &amp; 'Ext Tradable'!$AS$23 &amp; AS$9),"")</f>
        <v/>
      </c>
      <c r="AT19" s="700" t="str">
        <f ca="1">IF(INDIRECT("'Ext Tradable'!$B" &amp; AT$9)=$B19,INDIRECT("'Ext Tradable'!$" &amp; 'Ext Tradable'!$AS$23 &amp; AT$9),"")</f>
        <v/>
      </c>
      <c r="AU19" s="700" t="str">
        <f ca="1">IF(INDIRECT("'Ext Tradable'!$B" &amp; AU$9)=$B19,INDIRECT("'Ext Tradable'!$" &amp; 'Ext Tradable'!$AS$23 &amp; AU$9),"")</f>
        <v/>
      </c>
      <c r="AV19" s="700" t="str">
        <f ca="1">IF(INDIRECT("'Ext Tradable'!$B" &amp; AV$9)=$B19,INDIRECT("'Ext Tradable'!$" &amp; 'Ext Tradable'!$AS$23 &amp; AV$9),"")</f>
        <v/>
      </c>
      <c r="AW19" s="700" t="str">
        <f ca="1">IF(INDIRECT("'Ext Tradable'!$B" &amp; AW$9)=$B19,INDIRECT("'Ext Tradable'!$" &amp; 'Ext Tradable'!$AS$23 &amp; AW$9),"")</f>
        <v/>
      </c>
      <c r="AX19" s="700" t="str">
        <f ca="1">IF(INDIRECT("'Ext Tradable'!$B" &amp; AX$9)=$B19,INDIRECT("'Ext Tradable'!$" &amp; 'Ext Tradable'!$AS$23 &amp; AX$9),"")</f>
        <v/>
      </c>
      <c r="AY19" s="700" t="str">
        <f ca="1">IF(INDIRECT("'Ext Tradable'!$B" &amp; AY$9)=$B19,INDIRECT("'Ext Tradable'!$" &amp; 'Ext Tradable'!$AS$23 &amp; AY$9),"")</f>
        <v/>
      </c>
      <c r="AZ19" s="700" t="str">
        <f ca="1">IF(INDIRECT("'Ext Tradable'!$B" &amp; AZ$9)=$B19,INDIRECT("'Ext Tradable'!$" &amp; 'Ext Tradable'!$AS$23 &amp; AZ$9),"")</f>
        <v/>
      </c>
      <c r="BA19" s="700" t="str">
        <f ca="1">IF(INDIRECT("'Ext Tradable'!$B" &amp; BA$9)=$B19,INDIRECT("'Ext Tradable'!$" &amp; 'Ext Tradable'!$AS$23 &amp; BA$9),"")</f>
        <v/>
      </c>
      <c r="BB19" s="700" t="str">
        <f ca="1">IF(INDIRECT("'Ext Tradable'!$B" &amp; BB$9)=$B19,INDIRECT("'Ext Tradable'!$" &amp; 'Ext Tradable'!$AS$23 &amp; BB$9),"")</f>
        <v/>
      </c>
      <c r="BC19" s="700" t="str">
        <f ca="1">IF(INDIRECT("'Ext Tradable'!$B" &amp; BC$9)=$B19,INDIRECT("'Ext Tradable'!$" &amp; 'Ext Tradable'!$AS$23 &amp; BC$9),"")</f>
        <v/>
      </c>
      <c r="BD19" s="700" t="str">
        <f ca="1">IF(INDIRECT("'Ext Tradable'!$B" &amp; BD$9)=$B19,INDIRECT("'Ext Tradable'!$" &amp; 'Ext Tradable'!$AS$23 &amp; BD$9),"")</f>
        <v/>
      </c>
      <c r="BE19" s="700" t="str">
        <f ca="1">IF(INDIRECT("'Ext Tradable'!$B" &amp; BE$9)=$B19,INDIRECT("'Ext Tradable'!$" &amp; 'Ext Tradable'!$AS$23 &amp; BE$9),"")</f>
        <v/>
      </c>
      <c r="BF19" s="700" t="str">
        <f ca="1">IF(INDIRECT("'Ext Tradable'!$B" &amp; BF$9)=$B19,INDIRECT("'Ext Tradable'!$" &amp; 'Ext Tradable'!$AS$23 &amp; BF$9),"")</f>
        <v/>
      </c>
      <c r="BG19" s="700" t="str">
        <f ca="1">IF(INDIRECT("'Ext Tradable'!$B" &amp; BG$9)=$B19,INDIRECT("'Ext Tradable'!$" &amp; 'Ext Tradable'!$AS$23 &amp; BG$9),"")</f>
        <v/>
      </c>
      <c r="BH19" s="700" t="str">
        <f ca="1">IF(INDIRECT("'Ext Tradable'!$B" &amp; BH$9)=$B19,INDIRECT("'Ext Tradable'!$" &amp; 'Ext Tradable'!$AS$23 &amp; BH$9),"")</f>
        <v/>
      </c>
      <c r="BI19" s="700" t="str">
        <f ca="1">IF(INDIRECT("'Ext Tradable'!$B" &amp; BI$9)=$B19,INDIRECT("'Ext Tradable'!$" &amp; 'Ext Tradable'!$AS$23 &amp; BI$9),"")</f>
        <v/>
      </c>
      <c r="BJ19" s="700" t="str">
        <f ca="1">IF(INDIRECT("'Ext Tradable'!$B" &amp; BJ$9)=$B19,INDIRECT("'Ext Tradable'!$" &amp; 'Ext Tradable'!$AS$23 &amp; BJ$9),"")</f>
        <v/>
      </c>
      <c r="BK19" s="700" t="str">
        <f ca="1">IF(INDIRECT("'Ext Tradable'!$B" &amp; BK$9)=$B19,INDIRECT("'Ext Tradable'!$" &amp; 'Ext Tradable'!$AS$23 &amp; BK$9),"")</f>
        <v/>
      </c>
      <c r="BL19" s="700" t="str">
        <f ca="1">IF(INDIRECT("'Ext Tradable'!$B" &amp; BL$9)=$B19,INDIRECT("'Ext Tradable'!$" &amp; 'Ext Tradable'!$AS$23 &amp; BL$9),"")</f>
        <v/>
      </c>
      <c r="BM19" s="700">
        <f ca="1">IF(INDIRECT("'Ext Tradable'!$B" &amp; BM$9)=$B19,INDIRECT("'Ext Tradable'!$" &amp; 'Ext Tradable'!$AS$23 &amp; BM$9),"")</f>
        <v>0</v>
      </c>
      <c r="BN19" s="700">
        <f ca="1">IF(INDIRECT("'Ext Tradable'!$B" &amp; BN$9)=$B19,INDIRECT("'Ext Tradable'!$" &amp; 'Ext Tradable'!$AS$23 &amp; BN$9),"")</f>
        <v>0</v>
      </c>
      <c r="BO19" s="700">
        <f ca="1">IF(INDIRECT("'Ext Tradable'!$B" &amp; BO$9)=$B19,INDIRECT("'Ext Tradable'!$" &amp; 'Ext Tradable'!$AS$23 &amp; BO$9),"")</f>
        <v>0</v>
      </c>
      <c r="BP19" s="700">
        <f ca="1">IF(INDIRECT("'Ext Tradable'!$B" &amp; BP$9)=$B19,INDIRECT("'Ext Tradable'!$" &amp; 'Ext Tradable'!$AS$23 &amp; BP$9),"")</f>
        <v>0</v>
      </c>
      <c r="BQ19" s="700">
        <f ca="1">IF(INDIRECT("'Ext Tradable'!$B" &amp; BQ$9)=$B19,INDIRECT("'Ext Tradable'!$" &amp; 'Ext Tradable'!$AS$23 &amp; BQ$9),"")</f>
        <v>0</v>
      </c>
      <c r="BR19" s="700">
        <f ca="1">IF(INDIRECT("'Ext Tradable'!$B" &amp; BR$9)=$B19,INDIRECT("'Ext Tradable'!$" &amp; 'Ext Tradable'!$AS$23 &amp; BR$9),"")</f>
        <v>0</v>
      </c>
      <c r="BS19" s="700">
        <f ca="1">IF(INDIRECT("'Ext Tradable'!$B" &amp; BS$9)=$B19,INDIRECT("'Ext Tradable'!$" &amp; 'Ext Tradable'!$AS$23 &amp; BS$9),"")</f>
        <v>0</v>
      </c>
      <c r="BT19" s="700">
        <f ca="1">IF(INDIRECT("'Ext Tradable'!$B" &amp; BT$9)=$B19,INDIRECT("'Ext Tradable'!$" &amp; 'Ext Tradable'!$AS$23 &amp; BT$9),"")</f>
        <v>0</v>
      </c>
      <c r="BU19" s="700">
        <f ca="1">IF(INDIRECT("'Ext Tradable'!$B" &amp; BU$9)=$B19,INDIRECT("'Ext Tradable'!$" &amp; 'Ext Tradable'!$AS$23 &amp; BU$9),"")</f>
        <v>0</v>
      </c>
      <c r="BV19" s="700">
        <f ca="1">IF(INDIRECT("'Ext Tradable'!$B" &amp; BV$9)=$B19,INDIRECT("'Ext Tradable'!$" &amp; 'Ext Tradable'!$AS$23 &amp; BV$9),"")</f>
        <v>0</v>
      </c>
      <c r="BW19" s="700">
        <f ca="1">IF(INDIRECT("'Ext Tradable'!$B" &amp; BW$9)=$B19,INDIRECT("'Ext Tradable'!$" &amp; 'Ext Tradable'!$AS$23 &amp; BW$9),"")</f>
        <v>0</v>
      </c>
      <c r="BX19" s="700">
        <f ca="1">IF(INDIRECT("'Ext Tradable'!$B" &amp; BX$9)=$B19,INDIRECT("'Ext Tradable'!$" &amp; 'Ext Tradable'!$AS$23 &amp; BX$9),"")</f>
        <v>0</v>
      </c>
      <c r="BY19" s="700">
        <f ca="1">IF(INDIRECT("'Ext Tradable'!$B" &amp; BY$9)=$B19,INDIRECT("'Ext Tradable'!$" &amp; 'Ext Tradable'!$AS$23 &amp; BY$9),"")</f>
        <v>0</v>
      </c>
      <c r="BZ19" s="700">
        <f ca="1">IF(INDIRECT("'Ext Tradable'!$B" &amp; BZ$9)=$B19,INDIRECT("'Ext Tradable'!$" &amp; 'Ext Tradable'!$AS$23 &amp; BZ$9),"")</f>
        <v>0</v>
      </c>
      <c r="CA19" s="700">
        <f ca="1">IF(INDIRECT("'Ext Tradable'!$B" &amp; CA$9)=$B19,INDIRECT("'Ext Tradable'!$" &amp; 'Ext Tradable'!$AS$23 &amp; CA$9),"")</f>
        <v>0</v>
      </c>
      <c r="CB19" s="700">
        <f ca="1">IF(INDIRECT("'Ext Tradable'!$B" &amp; CB$9)=$B19,INDIRECT("'Ext Tradable'!$" &amp; 'Ext Tradable'!$AS$23 &amp; CB$9),"")</f>
        <v>0</v>
      </c>
      <c r="CC19" s="700">
        <f ca="1">IF(INDIRECT("'Ext Tradable'!$B" &amp; CC$9)=$B19,INDIRECT("'Ext Tradable'!$" &amp; 'Ext Tradable'!$AS$23 &amp; CC$9),"")</f>
        <v>0</v>
      </c>
      <c r="CD19" s="700">
        <f ca="1">IF(INDIRECT("'Ext Tradable'!$B" &amp; CD$9)=$B19,INDIRECT("'Ext Tradable'!$" &amp; 'Ext Tradable'!$AS$23 &amp; CD$9),"")</f>
        <v>0</v>
      </c>
      <c r="CE19" s="700">
        <f ca="1">IF(INDIRECT("'Ext Tradable'!$B" &amp; CE$9)=$B19,INDIRECT("'Ext Tradable'!$" &amp; 'Ext Tradable'!$AS$23 &amp; CE$9),"")</f>
        <v>0</v>
      </c>
      <c r="CF19" s="700">
        <f ca="1">IF(INDIRECT("'Ext Tradable'!$B" &amp; CF$9)=$B19,INDIRECT("'Ext Tradable'!$" &amp; 'Ext Tradable'!$AS$23 &amp; CF$9),"")</f>
        <v>0</v>
      </c>
      <c r="CG19" s="700">
        <f ca="1">IF(INDIRECT("'Ext Tradable'!$B" &amp; CG$9)=$B19,INDIRECT("'Ext Tradable'!$" &amp; 'Ext Tradable'!$AS$23 &amp; CG$9),"")</f>
        <v>0</v>
      </c>
      <c r="CH19" s="700">
        <f ca="1">IF(INDIRECT("'Ext Tradable'!$B" &amp; CH$9)=$B19,INDIRECT("'Ext Tradable'!$" &amp; 'Ext Tradable'!$AS$23 &amp; CH$9),"")</f>
        <v>0</v>
      </c>
      <c r="CI19" s="700">
        <f ca="1">IF(INDIRECT("'Ext Tradable'!$B" &amp; CI$9)=$B19,INDIRECT("'Ext Tradable'!$" &amp; 'Ext Tradable'!$AS$23 &amp; CI$9),"")</f>
        <v>0</v>
      </c>
      <c r="CJ19" s="700">
        <f ca="1">IF(INDIRECT("'Ext Tradable'!$B" &amp; CJ$9)=$B19,INDIRECT("'Ext Tradable'!$" &amp; 'Ext Tradable'!$AS$23 &amp; CJ$9),"")</f>
        <v>0</v>
      </c>
      <c r="CK19" s="700">
        <f ca="1">IF(INDIRECT("'Ext Tradable'!$B" &amp; CK$9)=$B19,INDIRECT("'Ext Tradable'!$" &amp; 'Ext Tradable'!$AS$23 &amp; CK$9),"")</f>
        <v>0</v>
      </c>
      <c r="CL19" s="700">
        <f ca="1">IF(INDIRECT("'Ext Tradable'!$B" &amp; CL$9)=$B19,INDIRECT("'Ext Tradable'!$" &amp; 'Ext Tradable'!$AS$23 &amp; CL$9),"")</f>
        <v>0</v>
      </c>
      <c r="CM19" s="700">
        <f ca="1">IF(INDIRECT("'Ext Tradable'!$B" &amp; CM$9)=$B19,INDIRECT("'Ext Tradable'!$" &amp; 'Ext Tradable'!$AS$23 &amp; CM$9),"")</f>
        <v>0</v>
      </c>
      <c r="CN19" s="700">
        <f ca="1">IF(INDIRECT("'Ext Tradable'!$B" &amp; CN$9)=$B19,INDIRECT("'Ext Tradable'!$" &amp; 'Ext Tradable'!$AS$23 &amp; CN$9),"")</f>
        <v>0</v>
      </c>
      <c r="CO19" s="700">
        <f ca="1">IF(INDIRECT("'Ext Tradable'!$B" &amp; CO$9)=$B19,INDIRECT("'Ext Tradable'!$" &amp; 'Ext Tradable'!$AS$23 &amp; CO$9),"")</f>
        <v>0</v>
      </c>
      <c r="CP19" s="700">
        <f ca="1">IF(INDIRECT("'Ext Tradable'!$B" &amp; CP$9)=$B19,INDIRECT("'Ext Tradable'!$" &amp; 'Ext Tradable'!$AS$23 &amp; CP$9),"")</f>
        <v>0</v>
      </c>
      <c r="CQ19" s="702" t="str">
        <f t="shared" ca="1" si="25"/>
        <v>000000000000000000000000000000</v>
      </c>
    </row>
    <row r="20" spans="1:95" ht="60" customHeight="1" x14ac:dyDescent="0.25">
      <c r="A20" s="705">
        <v>11</v>
      </c>
      <c r="B20" s="707" t="str">
        <f>'Ext Area Schedule'!Y26</f>
        <v/>
      </c>
      <c r="C20" s="707" t="str">
        <f>VLOOKUP($B20,'Ext Area Schedule'!$Y$16:$AE$65,3,FALSE)</f>
        <v/>
      </c>
      <c r="D20" s="792" t="str">
        <f>VLOOKUP($B20,'Ext Area Schedule'!$Y$16:$AE$65,4,FALSE)</f>
        <v/>
      </c>
      <c r="F20" s="792" t="str">
        <f>VLOOKUP($B20,'Ext Area Schedule'!$Y$16:$AE$65,5,FALSE)</f>
        <v/>
      </c>
      <c r="G20" s="792" t="str">
        <f>VLOOKUP($B20,'Ext Area Schedule'!$Y$16:$AE$65,7,FALSE)</f>
        <v/>
      </c>
      <c r="I20" s="703">
        <f t="shared" si="6"/>
        <v>0</v>
      </c>
      <c r="K20" s="703" t="str">
        <f>IF($B20="","",SUMIFS('Ext Tradable'!$M$26:$M$45,'Ext Tradable'!$B$26:$B$45,$B20,'Ext Tradable'!$O$26:$O$45,"New"))</f>
        <v/>
      </c>
      <c r="L20" s="703" t="str">
        <f>IF($B20="","",SUMIFS('Ext Tradable'!$M$26:$M$45,'Ext Tradable'!$B$26:$B$45,$B20,'Ext Tradable'!$O$26:$O$45,""))</f>
        <v/>
      </c>
      <c r="M20" s="703" t="str">
        <f>IF($B20="","",SUMIFS('Ext Tradable'!$K$26:$K$45,'Ext Tradable'!$B$26:$B$45,$B20,'Ext Tradable'!$O$26:$O$45,"New")+SUMIFS('Ext Tradable'!$K$26:$K$45,'Ext Tradable'!$B$26:$B$45,$B20,'Ext Tradable'!$O$26:$O$45,""))</f>
        <v/>
      </c>
      <c r="N20" s="703" t="str">
        <f>IF($B20="","",SUMIFS('Ext Tradable'!$M$26:$M$45,'Ext Tradable'!$B$26:$B$45,$B20,'Ext Tradable'!$O$26:$O$45,"Existing Remains"))</f>
        <v/>
      </c>
      <c r="O20" s="703" t="str">
        <f>IF($B20="","",SUMIFS('Ext Tradable'!$M$26:$M$45,'Ext Tradable'!$B$26:$B$45,$B20,'Ext Tradable'!$O$26:$O$45,"Existing Removed"))</f>
        <v/>
      </c>
      <c r="P20" s="703" t="str">
        <f>IF($B20="","",SUMIFS('Ext Tradable'!$K$26:$K$45,'Ext Tradable'!$B$26:$B$45,$B20,'Ext Tradable'!$O$26:$O$45,"Existing Removed"))</f>
        <v/>
      </c>
      <c r="Q20" s="703" t="str">
        <f t="shared" si="7"/>
        <v/>
      </c>
      <c r="R20" s="703" t="str">
        <f t="shared" si="8"/>
        <v/>
      </c>
      <c r="S20" s="1123" t="str">
        <f t="shared" si="9"/>
        <v/>
      </c>
      <c r="T20" s="1128" t="str">
        <f t="shared" si="23"/>
        <v/>
      </c>
      <c r="U20" s="711" t="str">
        <f t="shared" si="11"/>
        <v/>
      </c>
      <c r="V20" s="712" t="str">
        <f t="shared" si="12"/>
        <v/>
      </c>
      <c r="W20" s="762"/>
      <c r="X20" s="720" t="str">
        <f t="shared" si="13"/>
        <v/>
      </c>
      <c r="Y20" s="721" t="str">
        <f t="shared" si="14"/>
        <v/>
      </c>
      <c r="Z20" s="721" t="str">
        <f t="shared" si="15"/>
        <v/>
      </c>
      <c r="AA20" s="719" t="str">
        <f t="shared" si="2"/>
        <v/>
      </c>
      <c r="AB20" s="762"/>
      <c r="AC20" s="717" t="str">
        <f t="shared" si="16"/>
        <v/>
      </c>
      <c r="AD20" s="718" t="str">
        <f t="shared" si="17"/>
        <v/>
      </c>
      <c r="AE20" s="719" t="str">
        <f t="shared" si="3"/>
        <v/>
      </c>
      <c r="AF20" s="726"/>
      <c r="AG20" s="727" t="str">
        <f t="shared" si="18"/>
        <v/>
      </c>
      <c r="AH20" s="703" t="str">
        <f t="shared" si="19"/>
        <v/>
      </c>
      <c r="AI20" s="1114">
        <f t="shared" si="20"/>
        <v>0</v>
      </c>
      <c r="AK20" s="791" t="str">
        <f t="shared" si="4"/>
        <v/>
      </c>
      <c r="AL20" s="791" t="str">
        <f t="shared" si="21"/>
        <v/>
      </c>
      <c r="AM20" s="707" t="str">
        <f>IF(OR(AK20="Fail",AK20="Fail LPA",AK20=""),"",IF(AL20&lt;&gt;"#1",VLOOKUP(C20,'9.4.3 Tables'!B$142:O$154,14,FALSE),"No NEW controls required"))</f>
        <v/>
      </c>
      <c r="AN20" s="703">
        <f t="shared" si="22"/>
        <v>0</v>
      </c>
      <c r="AQ20">
        <v>11</v>
      </c>
      <c r="AR20" s="15" t="str">
        <f t="shared" si="24"/>
        <v/>
      </c>
      <c r="AS20" s="700" t="str">
        <f ca="1">IF(INDIRECT("'Ext Tradable'!$B" &amp; AS$9)=$B20,INDIRECT("'Ext Tradable'!$" &amp; 'Ext Tradable'!$AS$23 &amp; AS$9),"")</f>
        <v/>
      </c>
      <c r="AT20" s="700" t="str">
        <f ca="1">IF(INDIRECT("'Ext Tradable'!$B" &amp; AT$9)=$B20,INDIRECT("'Ext Tradable'!$" &amp; 'Ext Tradable'!$AS$23 &amp; AT$9),"")</f>
        <v/>
      </c>
      <c r="AU20" s="700" t="str">
        <f ca="1">IF(INDIRECT("'Ext Tradable'!$B" &amp; AU$9)=$B20,INDIRECT("'Ext Tradable'!$" &amp; 'Ext Tradable'!$AS$23 &amp; AU$9),"")</f>
        <v/>
      </c>
      <c r="AV20" s="700" t="str">
        <f ca="1">IF(INDIRECT("'Ext Tradable'!$B" &amp; AV$9)=$B20,INDIRECT("'Ext Tradable'!$" &amp; 'Ext Tradable'!$AS$23 &amp; AV$9),"")</f>
        <v/>
      </c>
      <c r="AW20" s="700" t="str">
        <f ca="1">IF(INDIRECT("'Ext Tradable'!$B" &amp; AW$9)=$B20,INDIRECT("'Ext Tradable'!$" &amp; 'Ext Tradable'!$AS$23 &amp; AW$9),"")</f>
        <v/>
      </c>
      <c r="AX20" s="700" t="str">
        <f ca="1">IF(INDIRECT("'Ext Tradable'!$B" &amp; AX$9)=$B20,INDIRECT("'Ext Tradable'!$" &amp; 'Ext Tradable'!$AS$23 &amp; AX$9),"")</f>
        <v/>
      </c>
      <c r="AY20" s="700" t="str">
        <f ca="1">IF(INDIRECT("'Ext Tradable'!$B" &amp; AY$9)=$B20,INDIRECT("'Ext Tradable'!$" &amp; 'Ext Tradable'!$AS$23 &amp; AY$9),"")</f>
        <v/>
      </c>
      <c r="AZ20" s="700" t="str">
        <f ca="1">IF(INDIRECT("'Ext Tradable'!$B" &amp; AZ$9)=$B20,INDIRECT("'Ext Tradable'!$" &amp; 'Ext Tradable'!$AS$23 &amp; AZ$9),"")</f>
        <v/>
      </c>
      <c r="BA20" s="700" t="str">
        <f ca="1">IF(INDIRECT("'Ext Tradable'!$B" &amp; BA$9)=$B20,INDIRECT("'Ext Tradable'!$" &amp; 'Ext Tradable'!$AS$23 &amp; BA$9),"")</f>
        <v/>
      </c>
      <c r="BB20" s="700" t="str">
        <f ca="1">IF(INDIRECT("'Ext Tradable'!$B" &amp; BB$9)=$B20,INDIRECT("'Ext Tradable'!$" &amp; 'Ext Tradable'!$AS$23 &amp; BB$9),"")</f>
        <v/>
      </c>
      <c r="BC20" s="700" t="str">
        <f ca="1">IF(INDIRECT("'Ext Tradable'!$B" &amp; BC$9)=$B20,INDIRECT("'Ext Tradable'!$" &amp; 'Ext Tradable'!$AS$23 &amp; BC$9),"")</f>
        <v/>
      </c>
      <c r="BD20" s="700" t="str">
        <f ca="1">IF(INDIRECT("'Ext Tradable'!$B" &amp; BD$9)=$B20,INDIRECT("'Ext Tradable'!$" &amp; 'Ext Tradable'!$AS$23 &amp; BD$9),"")</f>
        <v/>
      </c>
      <c r="BE20" s="700" t="str">
        <f ca="1">IF(INDIRECT("'Ext Tradable'!$B" &amp; BE$9)=$B20,INDIRECT("'Ext Tradable'!$" &amp; 'Ext Tradable'!$AS$23 &amp; BE$9),"")</f>
        <v/>
      </c>
      <c r="BF20" s="700" t="str">
        <f ca="1">IF(INDIRECT("'Ext Tradable'!$B" &amp; BF$9)=$B20,INDIRECT("'Ext Tradable'!$" &amp; 'Ext Tradable'!$AS$23 &amp; BF$9),"")</f>
        <v/>
      </c>
      <c r="BG20" s="700" t="str">
        <f ca="1">IF(INDIRECT("'Ext Tradable'!$B" &amp; BG$9)=$B20,INDIRECT("'Ext Tradable'!$" &amp; 'Ext Tradable'!$AS$23 &amp; BG$9),"")</f>
        <v/>
      </c>
      <c r="BH20" s="700" t="str">
        <f ca="1">IF(INDIRECT("'Ext Tradable'!$B" &amp; BH$9)=$B20,INDIRECT("'Ext Tradable'!$" &amp; 'Ext Tradable'!$AS$23 &amp; BH$9),"")</f>
        <v/>
      </c>
      <c r="BI20" s="700" t="str">
        <f ca="1">IF(INDIRECT("'Ext Tradable'!$B" &amp; BI$9)=$B20,INDIRECT("'Ext Tradable'!$" &amp; 'Ext Tradable'!$AS$23 &amp; BI$9),"")</f>
        <v/>
      </c>
      <c r="BJ20" s="700" t="str">
        <f ca="1">IF(INDIRECT("'Ext Tradable'!$B" &amp; BJ$9)=$B20,INDIRECT("'Ext Tradable'!$" &amp; 'Ext Tradable'!$AS$23 &amp; BJ$9),"")</f>
        <v/>
      </c>
      <c r="BK20" s="700" t="str">
        <f ca="1">IF(INDIRECT("'Ext Tradable'!$B" &amp; BK$9)=$B20,INDIRECT("'Ext Tradable'!$" &amp; 'Ext Tradable'!$AS$23 &amp; BK$9),"")</f>
        <v/>
      </c>
      <c r="BL20" s="700" t="str">
        <f ca="1">IF(INDIRECT("'Ext Tradable'!$B" &amp; BL$9)=$B20,INDIRECT("'Ext Tradable'!$" &amp; 'Ext Tradable'!$AS$23 &amp; BL$9),"")</f>
        <v/>
      </c>
      <c r="BM20" s="700">
        <f ca="1">IF(INDIRECT("'Ext Tradable'!$B" &amp; BM$9)=$B20,INDIRECT("'Ext Tradable'!$" &amp; 'Ext Tradable'!$AS$23 &amp; BM$9),"")</f>
        <v>0</v>
      </c>
      <c r="BN20" s="700">
        <f ca="1">IF(INDIRECT("'Ext Tradable'!$B" &amp; BN$9)=$B20,INDIRECT("'Ext Tradable'!$" &amp; 'Ext Tradable'!$AS$23 &amp; BN$9),"")</f>
        <v>0</v>
      </c>
      <c r="BO20" s="700">
        <f ca="1">IF(INDIRECT("'Ext Tradable'!$B" &amp; BO$9)=$B20,INDIRECT("'Ext Tradable'!$" &amp; 'Ext Tradable'!$AS$23 &amp; BO$9),"")</f>
        <v>0</v>
      </c>
      <c r="BP20" s="700">
        <f ca="1">IF(INDIRECT("'Ext Tradable'!$B" &amp; BP$9)=$B20,INDIRECT("'Ext Tradable'!$" &amp; 'Ext Tradable'!$AS$23 &amp; BP$9),"")</f>
        <v>0</v>
      </c>
      <c r="BQ20" s="700">
        <f ca="1">IF(INDIRECT("'Ext Tradable'!$B" &amp; BQ$9)=$B20,INDIRECT("'Ext Tradable'!$" &amp; 'Ext Tradable'!$AS$23 &amp; BQ$9),"")</f>
        <v>0</v>
      </c>
      <c r="BR20" s="700">
        <f ca="1">IF(INDIRECT("'Ext Tradable'!$B" &amp; BR$9)=$B20,INDIRECT("'Ext Tradable'!$" &amp; 'Ext Tradable'!$AS$23 &amp; BR$9),"")</f>
        <v>0</v>
      </c>
      <c r="BS20" s="700">
        <f ca="1">IF(INDIRECT("'Ext Tradable'!$B" &amp; BS$9)=$B20,INDIRECT("'Ext Tradable'!$" &amp; 'Ext Tradable'!$AS$23 &amp; BS$9),"")</f>
        <v>0</v>
      </c>
      <c r="BT20" s="700">
        <f ca="1">IF(INDIRECT("'Ext Tradable'!$B" &amp; BT$9)=$B20,INDIRECT("'Ext Tradable'!$" &amp; 'Ext Tradable'!$AS$23 &amp; BT$9),"")</f>
        <v>0</v>
      </c>
      <c r="BU20" s="700">
        <f ca="1">IF(INDIRECT("'Ext Tradable'!$B" &amp; BU$9)=$B20,INDIRECT("'Ext Tradable'!$" &amp; 'Ext Tradable'!$AS$23 &amp; BU$9),"")</f>
        <v>0</v>
      </c>
      <c r="BV20" s="700">
        <f ca="1">IF(INDIRECT("'Ext Tradable'!$B" &amp; BV$9)=$B20,INDIRECT("'Ext Tradable'!$" &amp; 'Ext Tradable'!$AS$23 &amp; BV$9),"")</f>
        <v>0</v>
      </c>
      <c r="BW20" s="700">
        <f ca="1">IF(INDIRECT("'Ext Tradable'!$B" &amp; BW$9)=$B20,INDIRECT("'Ext Tradable'!$" &amp; 'Ext Tradable'!$AS$23 &amp; BW$9),"")</f>
        <v>0</v>
      </c>
      <c r="BX20" s="700">
        <f ca="1">IF(INDIRECT("'Ext Tradable'!$B" &amp; BX$9)=$B20,INDIRECT("'Ext Tradable'!$" &amp; 'Ext Tradable'!$AS$23 &amp; BX$9),"")</f>
        <v>0</v>
      </c>
      <c r="BY20" s="700">
        <f ca="1">IF(INDIRECT("'Ext Tradable'!$B" &amp; BY$9)=$B20,INDIRECT("'Ext Tradable'!$" &amp; 'Ext Tradable'!$AS$23 &amp; BY$9),"")</f>
        <v>0</v>
      </c>
      <c r="BZ20" s="700">
        <f ca="1">IF(INDIRECT("'Ext Tradable'!$B" &amp; BZ$9)=$B20,INDIRECT("'Ext Tradable'!$" &amp; 'Ext Tradable'!$AS$23 &amp; BZ$9),"")</f>
        <v>0</v>
      </c>
      <c r="CA20" s="700">
        <f ca="1">IF(INDIRECT("'Ext Tradable'!$B" &amp; CA$9)=$B20,INDIRECT("'Ext Tradable'!$" &amp; 'Ext Tradable'!$AS$23 &amp; CA$9),"")</f>
        <v>0</v>
      </c>
      <c r="CB20" s="700">
        <f ca="1">IF(INDIRECT("'Ext Tradable'!$B" &amp; CB$9)=$B20,INDIRECT("'Ext Tradable'!$" &amp; 'Ext Tradable'!$AS$23 &amp; CB$9),"")</f>
        <v>0</v>
      </c>
      <c r="CC20" s="700">
        <f ca="1">IF(INDIRECT("'Ext Tradable'!$B" &amp; CC$9)=$B20,INDIRECT("'Ext Tradable'!$" &amp; 'Ext Tradable'!$AS$23 &amp; CC$9),"")</f>
        <v>0</v>
      </c>
      <c r="CD20" s="700">
        <f ca="1">IF(INDIRECT("'Ext Tradable'!$B" &amp; CD$9)=$B20,INDIRECT("'Ext Tradable'!$" &amp; 'Ext Tradable'!$AS$23 &amp; CD$9),"")</f>
        <v>0</v>
      </c>
      <c r="CE20" s="700">
        <f ca="1">IF(INDIRECT("'Ext Tradable'!$B" &amp; CE$9)=$B20,INDIRECT("'Ext Tradable'!$" &amp; 'Ext Tradable'!$AS$23 &amp; CE$9),"")</f>
        <v>0</v>
      </c>
      <c r="CF20" s="700">
        <f ca="1">IF(INDIRECT("'Ext Tradable'!$B" &amp; CF$9)=$B20,INDIRECT("'Ext Tradable'!$" &amp; 'Ext Tradable'!$AS$23 &amp; CF$9),"")</f>
        <v>0</v>
      </c>
      <c r="CG20" s="700">
        <f ca="1">IF(INDIRECT("'Ext Tradable'!$B" &amp; CG$9)=$B20,INDIRECT("'Ext Tradable'!$" &amp; 'Ext Tradable'!$AS$23 &amp; CG$9),"")</f>
        <v>0</v>
      </c>
      <c r="CH20" s="700">
        <f ca="1">IF(INDIRECT("'Ext Tradable'!$B" &amp; CH$9)=$B20,INDIRECT("'Ext Tradable'!$" &amp; 'Ext Tradable'!$AS$23 &amp; CH$9),"")</f>
        <v>0</v>
      </c>
      <c r="CI20" s="700">
        <f ca="1">IF(INDIRECT("'Ext Tradable'!$B" &amp; CI$9)=$B20,INDIRECT("'Ext Tradable'!$" &amp; 'Ext Tradable'!$AS$23 &amp; CI$9),"")</f>
        <v>0</v>
      </c>
      <c r="CJ20" s="700">
        <f ca="1">IF(INDIRECT("'Ext Tradable'!$B" &amp; CJ$9)=$B20,INDIRECT("'Ext Tradable'!$" &amp; 'Ext Tradable'!$AS$23 &amp; CJ$9),"")</f>
        <v>0</v>
      </c>
      <c r="CK20" s="700">
        <f ca="1">IF(INDIRECT("'Ext Tradable'!$B" &amp; CK$9)=$B20,INDIRECT("'Ext Tradable'!$" &amp; 'Ext Tradable'!$AS$23 &amp; CK$9),"")</f>
        <v>0</v>
      </c>
      <c r="CL20" s="700">
        <f ca="1">IF(INDIRECT("'Ext Tradable'!$B" &amp; CL$9)=$B20,INDIRECT("'Ext Tradable'!$" &amp; 'Ext Tradable'!$AS$23 &amp; CL$9),"")</f>
        <v>0</v>
      </c>
      <c r="CM20" s="700">
        <f ca="1">IF(INDIRECT("'Ext Tradable'!$B" &amp; CM$9)=$B20,INDIRECT("'Ext Tradable'!$" &amp; 'Ext Tradable'!$AS$23 &amp; CM$9),"")</f>
        <v>0</v>
      </c>
      <c r="CN20" s="700">
        <f ca="1">IF(INDIRECT("'Ext Tradable'!$B" &amp; CN$9)=$B20,INDIRECT("'Ext Tradable'!$" &amp; 'Ext Tradable'!$AS$23 &amp; CN$9),"")</f>
        <v>0</v>
      </c>
      <c r="CO20" s="700">
        <f ca="1">IF(INDIRECT("'Ext Tradable'!$B" &amp; CO$9)=$B20,INDIRECT("'Ext Tradable'!$" &amp; 'Ext Tradable'!$AS$23 &amp; CO$9),"")</f>
        <v>0</v>
      </c>
      <c r="CP20" s="700">
        <f ca="1">IF(INDIRECT("'Ext Tradable'!$B" &amp; CP$9)=$B20,INDIRECT("'Ext Tradable'!$" &amp; 'Ext Tradable'!$AS$23 &amp; CP$9),"")</f>
        <v>0</v>
      </c>
      <c r="CQ20" s="702" t="str">
        <f t="shared" ca="1" si="25"/>
        <v>000000000000000000000000000000</v>
      </c>
    </row>
    <row r="21" spans="1:95" ht="60" customHeight="1" x14ac:dyDescent="0.25">
      <c r="A21" s="705">
        <v>12</v>
      </c>
      <c r="B21" s="707" t="str">
        <f>'Ext Area Schedule'!Y27</f>
        <v/>
      </c>
      <c r="C21" s="707" t="str">
        <f>VLOOKUP($B21,'Ext Area Schedule'!$Y$16:$AE$65,3,FALSE)</f>
        <v/>
      </c>
      <c r="D21" s="792" t="str">
        <f>VLOOKUP($B21,'Ext Area Schedule'!$Y$16:$AE$65,4,FALSE)</f>
        <v/>
      </c>
      <c r="F21" s="792" t="str">
        <f>VLOOKUP($B21,'Ext Area Schedule'!$Y$16:$AE$65,5,FALSE)</f>
        <v/>
      </c>
      <c r="G21" s="792" t="str">
        <f>VLOOKUP($B21,'Ext Area Schedule'!$Y$16:$AE$65,7,FALSE)</f>
        <v/>
      </c>
      <c r="I21" s="703">
        <f t="shared" si="6"/>
        <v>0</v>
      </c>
      <c r="K21" s="703" t="str">
        <f>IF($B21="","",SUMIFS('Ext Tradable'!$M$26:$M$45,'Ext Tradable'!$B$26:$B$45,$B21,'Ext Tradable'!$O$26:$O$45,"New"))</f>
        <v/>
      </c>
      <c r="L21" s="703" t="str">
        <f>IF($B21="","",SUMIFS('Ext Tradable'!$M$26:$M$45,'Ext Tradable'!$B$26:$B$45,$B21,'Ext Tradable'!$O$26:$O$45,""))</f>
        <v/>
      </c>
      <c r="M21" s="703" t="str">
        <f>IF($B21="","",SUMIFS('Ext Tradable'!$K$26:$K$45,'Ext Tradable'!$B$26:$B$45,$B21,'Ext Tradable'!$O$26:$O$45,"New")+SUMIFS('Ext Tradable'!$K$26:$K$45,'Ext Tradable'!$B$26:$B$45,$B21,'Ext Tradable'!$O$26:$O$45,""))</f>
        <v/>
      </c>
      <c r="N21" s="703" t="str">
        <f>IF($B21="","",SUMIFS('Ext Tradable'!$M$26:$M$45,'Ext Tradable'!$B$26:$B$45,$B21,'Ext Tradable'!$O$26:$O$45,"Existing Remains"))</f>
        <v/>
      </c>
      <c r="O21" s="703" t="str">
        <f>IF($B21="","",SUMIFS('Ext Tradable'!$M$26:$M$45,'Ext Tradable'!$B$26:$B$45,$B21,'Ext Tradable'!$O$26:$O$45,"Existing Removed"))</f>
        <v/>
      </c>
      <c r="P21" s="703" t="str">
        <f>IF($B21="","",SUMIFS('Ext Tradable'!$K$26:$K$45,'Ext Tradable'!$B$26:$B$45,$B21,'Ext Tradable'!$O$26:$O$45,"Existing Removed"))</f>
        <v/>
      </c>
      <c r="Q21" s="703" t="str">
        <f t="shared" si="7"/>
        <v/>
      </c>
      <c r="R21" s="703" t="str">
        <f t="shared" si="8"/>
        <v/>
      </c>
      <c r="S21" s="1123" t="str">
        <f t="shared" si="9"/>
        <v/>
      </c>
      <c r="T21" s="1128" t="str">
        <f t="shared" si="23"/>
        <v/>
      </c>
      <c r="U21" s="711" t="str">
        <f t="shared" si="11"/>
        <v/>
      </c>
      <c r="V21" s="712" t="str">
        <f t="shared" si="12"/>
        <v/>
      </c>
      <c r="W21" s="762"/>
      <c r="X21" s="720" t="str">
        <f t="shared" si="13"/>
        <v/>
      </c>
      <c r="Y21" s="721" t="str">
        <f t="shared" si="14"/>
        <v/>
      </c>
      <c r="Z21" s="721" t="str">
        <f t="shared" si="15"/>
        <v/>
      </c>
      <c r="AA21" s="719" t="str">
        <f t="shared" si="2"/>
        <v/>
      </c>
      <c r="AB21" s="762"/>
      <c r="AC21" s="717" t="str">
        <f t="shared" si="16"/>
        <v/>
      </c>
      <c r="AD21" s="718" t="str">
        <f t="shared" si="17"/>
        <v/>
      </c>
      <c r="AE21" s="719" t="str">
        <f t="shared" si="3"/>
        <v/>
      </c>
      <c r="AF21" s="726"/>
      <c r="AG21" s="727" t="str">
        <f t="shared" si="18"/>
        <v/>
      </c>
      <c r="AH21" s="703" t="str">
        <f t="shared" si="19"/>
        <v/>
      </c>
      <c r="AI21" s="1114">
        <f t="shared" si="20"/>
        <v>0</v>
      </c>
      <c r="AK21" s="791" t="str">
        <f t="shared" si="4"/>
        <v/>
      </c>
      <c r="AL21" s="791" t="str">
        <f t="shared" si="21"/>
        <v/>
      </c>
      <c r="AM21" s="707" t="str">
        <f>IF(OR(AK21="Fail",AK21="Fail LPA",AK21=""),"",IF(AL21&lt;&gt;"#1",VLOOKUP(C21,'9.4.3 Tables'!B$142:O$154,14,FALSE),"No NEW controls required"))</f>
        <v/>
      </c>
      <c r="AN21" s="703">
        <f t="shared" si="22"/>
        <v>0</v>
      </c>
      <c r="AQ21">
        <v>12</v>
      </c>
      <c r="AR21" s="15" t="str">
        <f t="shared" si="24"/>
        <v/>
      </c>
      <c r="AS21" s="700" t="str">
        <f ca="1">IF(INDIRECT("'Ext Tradable'!$B" &amp; AS$9)=$B21,INDIRECT("'Ext Tradable'!$" &amp; 'Ext Tradable'!$AS$23 &amp; AS$9),"")</f>
        <v/>
      </c>
      <c r="AT21" s="700" t="str">
        <f ca="1">IF(INDIRECT("'Ext Tradable'!$B" &amp; AT$9)=$B21,INDIRECT("'Ext Tradable'!$" &amp; 'Ext Tradable'!$AS$23 &amp; AT$9),"")</f>
        <v/>
      </c>
      <c r="AU21" s="700" t="str">
        <f ca="1">IF(INDIRECT("'Ext Tradable'!$B" &amp; AU$9)=$B21,INDIRECT("'Ext Tradable'!$" &amp; 'Ext Tradable'!$AS$23 &amp; AU$9),"")</f>
        <v/>
      </c>
      <c r="AV21" s="700" t="str">
        <f ca="1">IF(INDIRECT("'Ext Tradable'!$B" &amp; AV$9)=$B21,INDIRECT("'Ext Tradable'!$" &amp; 'Ext Tradable'!$AS$23 &amp; AV$9),"")</f>
        <v/>
      </c>
      <c r="AW21" s="700" t="str">
        <f ca="1">IF(INDIRECT("'Ext Tradable'!$B" &amp; AW$9)=$B21,INDIRECT("'Ext Tradable'!$" &amp; 'Ext Tradable'!$AS$23 &amp; AW$9),"")</f>
        <v/>
      </c>
      <c r="AX21" s="700" t="str">
        <f ca="1">IF(INDIRECT("'Ext Tradable'!$B" &amp; AX$9)=$B21,INDIRECT("'Ext Tradable'!$" &amp; 'Ext Tradable'!$AS$23 &amp; AX$9),"")</f>
        <v/>
      </c>
      <c r="AY21" s="700" t="str">
        <f ca="1">IF(INDIRECT("'Ext Tradable'!$B" &amp; AY$9)=$B21,INDIRECT("'Ext Tradable'!$" &amp; 'Ext Tradable'!$AS$23 &amp; AY$9),"")</f>
        <v/>
      </c>
      <c r="AZ21" s="700" t="str">
        <f ca="1">IF(INDIRECT("'Ext Tradable'!$B" &amp; AZ$9)=$B21,INDIRECT("'Ext Tradable'!$" &amp; 'Ext Tradable'!$AS$23 &amp; AZ$9),"")</f>
        <v/>
      </c>
      <c r="BA21" s="700" t="str">
        <f ca="1">IF(INDIRECT("'Ext Tradable'!$B" &amp; BA$9)=$B21,INDIRECT("'Ext Tradable'!$" &amp; 'Ext Tradable'!$AS$23 &amp; BA$9),"")</f>
        <v/>
      </c>
      <c r="BB21" s="700" t="str">
        <f ca="1">IF(INDIRECT("'Ext Tradable'!$B" &amp; BB$9)=$B21,INDIRECT("'Ext Tradable'!$" &amp; 'Ext Tradable'!$AS$23 &amp; BB$9),"")</f>
        <v/>
      </c>
      <c r="BC21" s="700" t="str">
        <f ca="1">IF(INDIRECT("'Ext Tradable'!$B" &amp; BC$9)=$B21,INDIRECT("'Ext Tradable'!$" &amp; 'Ext Tradable'!$AS$23 &amp; BC$9),"")</f>
        <v/>
      </c>
      <c r="BD21" s="700" t="str">
        <f ca="1">IF(INDIRECT("'Ext Tradable'!$B" &amp; BD$9)=$B21,INDIRECT("'Ext Tradable'!$" &amp; 'Ext Tradable'!$AS$23 &amp; BD$9),"")</f>
        <v/>
      </c>
      <c r="BE21" s="700" t="str">
        <f ca="1">IF(INDIRECT("'Ext Tradable'!$B" &amp; BE$9)=$B21,INDIRECT("'Ext Tradable'!$" &amp; 'Ext Tradable'!$AS$23 &amp; BE$9),"")</f>
        <v/>
      </c>
      <c r="BF21" s="700" t="str">
        <f ca="1">IF(INDIRECT("'Ext Tradable'!$B" &amp; BF$9)=$B21,INDIRECT("'Ext Tradable'!$" &amp; 'Ext Tradable'!$AS$23 &amp; BF$9),"")</f>
        <v/>
      </c>
      <c r="BG21" s="700" t="str">
        <f ca="1">IF(INDIRECT("'Ext Tradable'!$B" &amp; BG$9)=$B21,INDIRECT("'Ext Tradable'!$" &amp; 'Ext Tradable'!$AS$23 &amp; BG$9),"")</f>
        <v/>
      </c>
      <c r="BH21" s="700" t="str">
        <f ca="1">IF(INDIRECT("'Ext Tradable'!$B" &amp; BH$9)=$B21,INDIRECT("'Ext Tradable'!$" &amp; 'Ext Tradable'!$AS$23 &amp; BH$9),"")</f>
        <v/>
      </c>
      <c r="BI21" s="700" t="str">
        <f ca="1">IF(INDIRECT("'Ext Tradable'!$B" &amp; BI$9)=$B21,INDIRECT("'Ext Tradable'!$" &amp; 'Ext Tradable'!$AS$23 &amp; BI$9),"")</f>
        <v/>
      </c>
      <c r="BJ21" s="700" t="str">
        <f ca="1">IF(INDIRECT("'Ext Tradable'!$B" &amp; BJ$9)=$B21,INDIRECT("'Ext Tradable'!$" &amp; 'Ext Tradable'!$AS$23 &amp; BJ$9),"")</f>
        <v/>
      </c>
      <c r="BK21" s="700" t="str">
        <f ca="1">IF(INDIRECT("'Ext Tradable'!$B" &amp; BK$9)=$B21,INDIRECT("'Ext Tradable'!$" &amp; 'Ext Tradable'!$AS$23 &amp; BK$9),"")</f>
        <v/>
      </c>
      <c r="BL21" s="700" t="str">
        <f ca="1">IF(INDIRECT("'Ext Tradable'!$B" &amp; BL$9)=$B21,INDIRECT("'Ext Tradable'!$" &amp; 'Ext Tradable'!$AS$23 &amp; BL$9),"")</f>
        <v/>
      </c>
      <c r="BM21" s="700">
        <f ca="1">IF(INDIRECT("'Ext Tradable'!$B" &amp; BM$9)=$B21,INDIRECT("'Ext Tradable'!$" &amp; 'Ext Tradable'!$AS$23 &amp; BM$9),"")</f>
        <v>0</v>
      </c>
      <c r="BN21" s="700">
        <f ca="1">IF(INDIRECT("'Ext Tradable'!$B" &amp; BN$9)=$B21,INDIRECT("'Ext Tradable'!$" &amp; 'Ext Tradable'!$AS$23 &amp; BN$9),"")</f>
        <v>0</v>
      </c>
      <c r="BO21" s="700">
        <f ca="1">IF(INDIRECT("'Ext Tradable'!$B" &amp; BO$9)=$B21,INDIRECT("'Ext Tradable'!$" &amp; 'Ext Tradable'!$AS$23 &amp; BO$9),"")</f>
        <v>0</v>
      </c>
      <c r="BP21" s="700">
        <f ca="1">IF(INDIRECT("'Ext Tradable'!$B" &amp; BP$9)=$B21,INDIRECT("'Ext Tradable'!$" &amp; 'Ext Tradable'!$AS$23 &amp; BP$9),"")</f>
        <v>0</v>
      </c>
      <c r="BQ21" s="700">
        <f ca="1">IF(INDIRECT("'Ext Tradable'!$B" &amp; BQ$9)=$B21,INDIRECT("'Ext Tradable'!$" &amp; 'Ext Tradable'!$AS$23 &amp; BQ$9),"")</f>
        <v>0</v>
      </c>
      <c r="BR21" s="700">
        <f ca="1">IF(INDIRECT("'Ext Tradable'!$B" &amp; BR$9)=$B21,INDIRECT("'Ext Tradable'!$" &amp; 'Ext Tradable'!$AS$23 &amp; BR$9),"")</f>
        <v>0</v>
      </c>
      <c r="BS21" s="700">
        <f ca="1">IF(INDIRECT("'Ext Tradable'!$B" &amp; BS$9)=$B21,INDIRECT("'Ext Tradable'!$" &amp; 'Ext Tradable'!$AS$23 &amp; BS$9),"")</f>
        <v>0</v>
      </c>
      <c r="BT21" s="700">
        <f ca="1">IF(INDIRECT("'Ext Tradable'!$B" &amp; BT$9)=$B21,INDIRECT("'Ext Tradable'!$" &amp; 'Ext Tradable'!$AS$23 &amp; BT$9),"")</f>
        <v>0</v>
      </c>
      <c r="BU21" s="700">
        <f ca="1">IF(INDIRECT("'Ext Tradable'!$B" &amp; BU$9)=$B21,INDIRECT("'Ext Tradable'!$" &amp; 'Ext Tradable'!$AS$23 &amp; BU$9),"")</f>
        <v>0</v>
      </c>
      <c r="BV21" s="700">
        <f ca="1">IF(INDIRECT("'Ext Tradable'!$B" &amp; BV$9)=$B21,INDIRECT("'Ext Tradable'!$" &amp; 'Ext Tradable'!$AS$23 &amp; BV$9),"")</f>
        <v>0</v>
      </c>
      <c r="BW21" s="700">
        <f ca="1">IF(INDIRECT("'Ext Tradable'!$B" &amp; BW$9)=$B21,INDIRECT("'Ext Tradable'!$" &amp; 'Ext Tradable'!$AS$23 &amp; BW$9),"")</f>
        <v>0</v>
      </c>
      <c r="BX21" s="700">
        <f ca="1">IF(INDIRECT("'Ext Tradable'!$B" &amp; BX$9)=$B21,INDIRECT("'Ext Tradable'!$" &amp; 'Ext Tradable'!$AS$23 &amp; BX$9),"")</f>
        <v>0</v>
      </c>
      <c r="BY21" s="700">
        <f ca="1">IF(INDIRECT("'Ext Tradable'!$B" &amp; BY$9)=$B21,INDIRECT("'Ext Tradable'!$" &amp; 'Ext Tradable'!$AS$23 &amp; BY$9),"")</f>
        <v>0</v>
      </c>
      <c r="BZ21" s="700">
        <f ca="1">IF(INDIRECT("'Ext Tradable'!$B" &amp; BZ$9)=$B21,INDIRECT("'Ext Tradable'!$" &amp; 'Ext Tradable'!$AS$23 &amp; BZ$9),"")</f>
        <v>0</v>
      </c>
      <c r="CA21" s="700">
        <f ca="1">IF(INDIRECT("'Ext Tradable'!$B" &amp; CA$9)=$B21,INDIRECT("'Ext Tradable'!$" &amp; 'Ext Tradable'!$AS$23 &amp; CA$9),"")</f>
        <v>0</v>
      </c>
      <c r="CB21" s="700">
        <f ca="1">IF(INDIRECT("'Ext Tradable'!$B" &amp; CB$9)=$B21,INDIRECT("'Ext Tradable'!$" &amp; 'Ext Tradable'!$AS$23 &amp; CB$9),"")</f>
        <v>0</v>
      </c>
      <c r="CC21" s="700">
        <f ca="1">IF(INDIRECT("'Ext Tradable'!$B" &amp; CC$9)=$B21,INDIRECT("'Ext Tradable'!$" &amp; 'Ext Tradable'!$AS$23 &amp; CC$9),"")</f>
        <v>0</v>
      </c>
      <c r="CD21" s="700">
        <f ca="1">IF(INDIRECT("'Ext Tradable'!$B" &amp; CD$9)=$B21,INDIRECT("'Ext Tradable'!$" &amp; 'Ext Tradable'!$AS$23 &amp; CD$9),"")</f>
        <v>0</v>
      </c>
      <c r="CE21" s="700">
        <f ca="1">IF(INDIRECT("'Ext Tradable'!$B" &amp; CE$9)=$B21,INDIRECT("'Ext Tradable'!$" &amp; 'Ext Tradable'!$AS$23 &amp; CE$9),"")</f>
        <v>0</v>
      </c>
      <c r="CF21" s="700">
        <f ca="1">IF(INDIRECT("'Ext Tradable'!$B" &amp; CF$9)=$B21,INDIRECT("'Ext Tradable'!$" &amp; 'Ext Tradable'!$AS$23 &amp; CF$9),"")</f>
        <v>0</v>
      </c>
      <c r="CG21" s="700">
        <f ca="1">IF(INDIRECT("'Ext Tradable'!$B" &amp; CG$9)=$B21,INDIRECT("'Ext Tradable'!$" &amp; 'Ext Tradable'!$AS$23 &amp; CG$9),"")</f>
        <v>0</v>
      </c>
      <c r="CH21" s="700">
        <f ca="1">IF(INDIRECT("'Ext Tradable'!$B" &amp; CH$9)=$B21,INDIRECT("'Ext Tradable'!$" &amp; 'Ext Tradable'!$AS$23 &amp; CH$9),"")</f>
        <v>0</v>
      </c>
      <c r="CI21" s="700">
        <f ca="1">IF(INDIRECT("'Ext Tradable'!$B" &amp; CI$9)=$B21,INDIRECT("'Ext Tradable'!$" &amp; 'Ext Tradable'!$AS$23 &amp; CI$9),"")</f>
        <v>0</v>
      </c>
      <c r="CJ21" s="700">
        <f ca="1">IF(INDIRECT("'Ext Tradable'!$B" &amp; CJ$9)=$B21,INDIRECT("'Ext Tradable'!$" &amp; 'Ext Tradable'!$AS$23 &amp; CJ$9),"")</f>
        <v>0</v>
      </c>
      <c r="CK21" s="700">
        <f ca="1">IF(INDIRECT("'Ext Tradable'!$B" &amp; CK$9)=$B21,INDIRECT("'Ext Tradable'!$" &amp; 'Ext Tradable'!$AS$23 &amp; CK$9),"")</f>
        <v>0</v>
      </c>
      <c r="CL21" s="700">
        <f ca="1">IF(INDIRECT("'Ext Tradable'!$B" &amp; CL$9)=$B21,INDIRECT("'Ext Tradable'!$" &amp; 'Ext Tradable'!$AS$23 &amp; CL$9),"")</f>
        <v>0</v>
      </c>
      <c r="CM21" s="700">
        <f ca="1">IF(INDIRECT("'Ext Tradable'!$B" &amp; CM$9)=$B21,INDIRECT("'Ext Tradable'!$" &amp; 'Ext Tradable'!$AS$23 &amp; CM$9),"")</f>
        <v>0</v>
      </c>
      <c r="CN21" s="700">
        <f ca="1">IF(INDIRECT("'Ext Tradable'!$B" &amp; CN$9)=$B21,INDIRECT("'Ext Tradable'!$" &amp; 'Ext Tradable'!$AS$23 &amp; CN$9),"")</f>
        <v>0</v>
      </c>
      <c r="CO21" s="700">
        <f ca="1">IF(INDIRECT("'Ext Tradable'!$B" &amp; CO$9)=$B21,INDIRECT("'Ext Tradable'!$" &amp; 'Ext Tradable'!$AS$23 &amp; CO$9),"")</f>
        <v>0</v>
      </c>
      <c r="CP21" s="700">
        <f ca="1">IF(INDIRECT("'Ext Tradable'!$B" &amp; CP$9)=$B21,INDIRECT("'Ext Tradable'!$" &amp; 'Ext Tradable'!$AS$23 &amp; CP$9),"")</f>
        <v>0</v>
      </c>
      <c r="CQ21" s="702" t="str">
        <f t="shared" ca="1" si="25"/>
        <v>000000000000000000000000000000</v>
      </c>
    </row>
    <row r="22" spans="1:95" ht="60" customHeight="1" x14ac:dyDescent="0.25">
      <c r="A22" s="705">
        <v>13</v>
      </c>
      <c r="B22" s="707" t="str">
        <f>'Ext Area Schedule'!Y28</f>
        <v/>
      </c>
      <c r="C22" s="707" t="str">
        <f>VLOOKUP($B22,'Ext Area Schedule'!$Y$16:$AE$65,3,FALSE)</f>
        <v/>
      </c>
      <c r="D22" s="792" t="str">
        <f>VLOOKUP($B22,'Ext Area Schedule'!$Y$16:$AE$65,4,FALSE)</f>
        <v/>
      </c>
      <c r="F22" s="792" t="str">
        <f>VLOOKUP($B22,'Ext Area Schedule'!$Y$16:$AE$65,5,FALSE)</f>
        <v/>
      </c>
      <c r="G22" s="792" t="str">
        <f>VLOOKUP($B22,'Ext Area Schedule'!$Y$16:$AE$65,7,FALSE)</f>
        <v/>
      </c>
      <c r="I22" s="703">
        <f t="shared" si="6"/>
        <v>0</v>
      </c>
      <c r="K22" s="703" t="str">
        <f>IF($B22="","",SUMIFS('Ext Tradable'!$M$26:$M$45,'Ext Tradable'!$B$26:$B$45,$B22,'Ext Tradable'!$O$26:$O$45,"New"))</f>
        <v/>
      </c>
      <c r="L22" s="703" t="str">
        <f>IF($B22="","",SUMIFS('Ext Tradable'!$M$26:$M$45,'Ext Tradable'!$B$26:$B$45,$B22,'Ext Tradable'!$O$26:$O$45,""))</f>
        <v/>
      </c>
      <c r="M22" s="703" t="str">
        <f>IF($B22="","",SUMIFS('Ext Tradable'!$K$26:$K$45,'Ext Tradable'!$B$26:$B$45,$B22,'Ext Tradable'!$O$26:$O$45,"New")+SUMIFS('Ext Tradable'!$K$26:$K$45,'Ext Tradable'!$B$26:$B$45,$B22,'Ext Tradable'!$O$26:$O$45,""))</f>
        <v/>
      </c>
      <c r="N22" s="703" t="str">
        <f>IF($B22="","",SUMIFS('Ext Tradable'!$M$26:$M$45,'Ext Tradable'!$B$26:$B$45,$B22,'Ext Tradable'!$O$26:$O$45,"Existing Remains"))</f>
        <v/>
      </c>
      <c r="O22" s="703" t="str">
        <f>IF($B22="","",SUMIFS('Ext Tradable'!$M$26:$M$45,'Ext Tradable'!$B$26:$B$45,$B22,'Ext Tradable'!$O$26:$O$45,"Existing Removed"))</f>
        <v/>
      </c>
      <c r="P22" s="703" t="str">
        <f>IF($B22="","",SUMIFS('Ext Tradable'!$K$26:$K$45,'Ext Tradable'!$B$26:$B$45,$B22,'Ext Tradable'!$O$26:$O$45,"Existing Removed"))</f>
        <v/>
      </c>
      <c r="Q22" s="703" t="str">
        <f t="shared" si="7"/>
        <v/>
      </c>
      <c r="R22" s="703" t="str">
        <f t="shared" si="8"/>
        <v/>
      </c>
      <c r="S22" s="1123" t="str">
        <f t="shared" si="9"/>
        <v/>
      </c>
      <c r="T22" s="1128" t="str">
        <f t="shared" si="23"/>
        <v/>
      </c>
      <c r="U22" s="711" t="str">
        <f t="shared" si="11"/>
        <v/>
      </c>
      <c r="V22" s="712" t="str">
        <f t="shared" si="12"/>
        <v/>
      </c>
      <c r="W22" s="762"/>
      <c r="X22" s="720" t="str">
        <f t="shared" si="13"/>
        <v/>
      </c>
      <c r="Y22" s="721" t="str">
        <f t="shared" si="14"/>
        <v/>
      </c>
      <c r="Z22" s="721" t="str">
        <f t="shared" si="15"/>
        <v/>
      </c>
      <c r="AA22" s="719" t="str">
        <f t="shared" si="2"/>
        <v/>
      </c>
      <c r="AB22" s="762"/>
      <c r="AC22" s="717" t="str">
        <f t="shared" si="16"/>
        <v/>
      </c>
      <c r="AD22" s="718" t="str">
        <f t="shared" si="17"/>
        <v/>
      </c>
      <c r="AE22" s="719" t="str">
        <f t="shared" si="3"/>
        <v/>
      </c>
      <c r="AF22" s="726"/>
      <c r="AG22" s="727" t="str">
        <f t="shared" si="18"/>
        <v/>
      </c>
      <c r="AH22" s="703" t="str">
        <f t="shared" si="19"/>
        <v/>
      </c>
      <c r="AI22" s="1114">
        <f t="shared" si="20"/>
        <v>0</v>
      </c>
      <c r="AK22" s="791" t="str">
        <f t="shared" si="4"/>
        <v/>
      </c>
      <c r="AL22" s="791" t="str">
        <f t="shared" si="21"/>
        <v/>
      </c>
      <c r="AM22" s="707" t="str">
        <f>IF(OR(AK22="Fail",AK22="Fail LPA",AK22=""),"",IF(AL22&lt;&gt;"#1",VLOOKUP(C22,'9.4.3 Tables'!B$142:O$154,14,FALSE),"No NEW controls required"))</f>
        <v/>
      </c>
      <c r="AN22" s="703">
        <f t="shared" si="22"/>
        <v>0</v>
      </c>
      <c r="AQ22">
        <v>13</v>
      </c>
      <c r="AR22" s="15" t="str">
        <f t="shared" si="24"/>
        <v/>
      </c>
      <c r="AS22" s="700" t="str">
        <f ca="1">IF(INDIRECT("'Ext Tradable'!$B" &amp; AS$9)=$B22,INDIRECT("'Ext Tradable'!$" &amp; 'Ext Tradable'!$AS$23 &amp; AS$9),"")</f>
        <v/>
      </c>
      <c r="AT22" s="700" t="str">
        <f ca="1">IF(INDIRECT("'Ext Tradable'!$B" &amp; AT$9)=$B22,INDIRECT("'Ext Tradable'!$" &amp; 'Ext Tradable'!$AS$23 &amp; AT$9),"")</f>
        <v/>
      </c>
      <c r="AU22" s="700" t="str">
        <f ca="1">IF(INDIRECT("'Ext Tradable'!$B" &amp; AU$9)=$B22,INDIRECT("'Ext Tradable'!$" &amp; 'Ext Tradable'!$AS$23 &amp; AU$9),"")</f>
        <v/>
      </c>
      <c r="AV22" s="700" t="str">
        <f ca="1">IF(INDIRECT("'Ext Tradable'!$B" &amp; AV$9)=$B22,INDIRECT("'Ext Tradable'!$" &amp; 'Ext Tradable'!$AS$23 &amp; AV$9),"")</f>
        <v/>
      </c>
      <c r="AW22" s="700" t="str">
        <f ca="1">IF(INDIRECT("'Ext Tradable'!$B" &amp; AW$9)=$B22,INDIRECT("'Ext Tradable'!$" &amp; 'Ext Tradable'!$AS$23 &amp; AW$9),"")</f>
        <v/>
      </c>
      <c r="AX22" s="700" t="str">
        <f ca="1">IF(INDIRECT("'Ext Tradable'!$B" &amp; AX$9)=$B22,INDIRECT("'Ext Tradable'!$" &amp; 'Ext Tradable'!$AS$23 &amp; AX$9),"")</f>
        <v/>
      </c>
      <c r="AY22" s="700" t="str">
        <f ca="1">IF(INDIRECT("'Ext Tradable'!$B" &amp; AY$9)=$B22,INDIRECT("'Ext Tradable'!$" &amp; 'Ext Tradable'!$AS$23 &amp; AY$9),"")</f>
        <v/>
      </c>
      <c r="AZ22" s="700" t="str">
        <f ca="1">IF(INDIRECT("'Ext Tradable'!$B" &amp; AZ$9)=$B22,INDIRECT("'Ext Tradable'!$" &amp; 'Ext Tradable'!$AS$23 &amp; AZ$9),"")</f>
        <v/>
      </c>
      <c r="BA22" s="700" t="str">
        <f ca="1">IF(INDIRECT("'Ext Tradable'!$B" &amp; BA$9)=$B22,INDIRECT("'Ext Tradable'!$" &amp; 'Ext Tradable'!$AS$23 &amp; BA$9),"")</f>
        <v/>
      </c>
      <c r="BB22" s="700" t="str">
        <f ca="1">IF(INDIRECT("'Ext Tradable'!$B" &amp; BB$9)=$B22,INDIRECT("'Ext Tradable'!$" &amp; 'Ext Tradable'!$AS$23 &amp; BB$9),"")</f>
        <v/>
      </c>
      <c r="BC22" s="700" t="str">
        <f ca="1">IF(INDIRECT("'Ext Tradable'!$B" &amp; BC$9)=$B22,INDIRECT("'Ext Tradable'!$" &amp; 'Ext Tradable'!$AS$23 &amp; BC$9),"")</f>
        <v/>
      </c>
      <c r="BD22" s="700" t="str">
        <f ca="1">IF(INDIRECT("'Ext Tradable'!$B" &amp; BD$9)=$B22,INDIRECT("'Ext Tradable'!$" &amp; 'Ext Tradable'!$AS$23 &amp; BD$9),"")</f>
        <v/>
      </c>
      <c r="BE22" s="700" t="str">
        <f ca="1">IF(INDIRECT("'Ext Tradable'!$B" &amp; BE$9)=$B22,INDIRECT("'Ext Tradable'!$" &amp; 'Ext Tradable'!$AS$23 &amp; BE$9),"")</f>
        <v/>
      </c>
      <c r="BF22" s="700" t="str">
        <f ca="1">IF(INDIRECT("'Ext Tradable'!$B" &amp; BF$9)=$B22,INDIRECT("'Ext Tradable'!$" &amp; 'Ext Tradable'!$AS$23 &amp; BF$9),"")</f>
        <v/>
      </c>
      <c r="BG22" s="700" t="str">
        <f ca="1">IF(INDIRECT("'Ext Tradable'!$B" &amp; BG$9)=$B22,INDIRECT("'Ext Tradable'!$" &amp; 'Ext Tradable'!$AS$23 &amp; BG$9),"")</f>
        <v/>
      </c>
      <c r="BH22" s="700" t="str">
        <f ca="1">IF(INDIRECT("'Ext Tradable'!$B" &amp; BH$9)=$B22,INDIRECT("'Ext Tradable'!$" &amp; 'Ext Tradable'!$AS$23 &amp; BH$9),"")</f>
        <v/>
      </c>
      <c r="BI22" s="700" t="str">
        <f ca="1">IF(INDIRECT("'Ext Tradable'!$B" &amp; BI$9)=$B22,INDIRECT("'Ext Tradable'!$" &amp; 'Ext Tradable'!$AS$23 &amp; BI$9),"")</f>
        <v/>
      </c>
      <c r="BJ22" s="700" t="str">
        <f ca="1">IF(INDIRECT("'Ext Tradable'!$B" &amp; BJ$9)=$B22,INDIRECT("'Ext Tradable'!$" &amp; 'Ext Tradable'!$AS$23 &amp; BJ$9),"")</f>
        <v/>
      </c>
      <c r="BK22" s="700" t="str">
        <f ca="1">IF(INDIRECT("'Ext Tradable'!$B" &amp; BK$9)=$B22,INDIRECT("'Ext Tradable'!$" &amp; 'Ext Tradable'!$AS$23 &amp; BK$9),"")</f>
        <v/>
      </c>
      <c r="BL22" s="700" t="str">
        <f ca="1">IF(INDIRECT("'Ext Tradable'!$B" &amp; BL$9)=$B22,INDIRECT("'Ext Tradable'!$" &amp; 'Ext Tradable'!$AS$23 &amp; BL$9),"")</f>
        <v/>
      </c>
      <c r="BM22" s="700">
        <f ca="1">IF(INDIRECT("'Ext Tradable'!$B" &amp; BM$9)=$B22,INDIRECT("'Ext Tradable'!$" &amp; 'Ext Tradable'!$AS$23 &amp; BM$9),"")</f>
        <v>0</v>
      </c>
      <c r="BN22" s="700">
        <f ca="1">IF(INDIRECT("'Ext Tradable'!$B" &amp; BN$9)=$B22,INDIRECT("'Ext Tradable'!$" &amp; 'Ext Tradable'!$AS$23 &amp; BN$9),"")</f>
        <v>0</v>
      </c>
      <c r="BO22" s="700">
        <f ca="1">IF(INDIRECT("'Ext Tradable'!$B" &amp; BO$9)=$B22,INDIRECT("'Ext Tradable'!$" &amp; 'Ext Tradable'!$AS$23 &amp; BO$9),"")</f>
        <v>0</v>
      </c>
      <c r="BP22" s="700">
        <f ca="1">IF(INDIRECT("'Ext Tradable'!$B" &amp; BP$9)=$B22,INDIRECT("'Ext Tradable'!$" &amp; 'Ext Tradable'!$AS$23 &amp; BP$9),"")</f>
        <v>0</v>
      </c>
      <c r="BQ22" s="700">
        <f ca="1">IF(INDIRECT("'Ext Tradable'!$B" &amp; BQ$9)=$B22,INDIRECT("'Ext Tradable'!$" &amp; 'Ext Tradable'!$AS$23 &amp; BQ$9),"")</f>
        <v>0</v>
      </c>
      <c r="BR22" s="700">
        <f ca="1">IF(INDIRECT("'Ext Tradable'!$B" &amp; BR$9)=$B22,INDIRECT("'Ext Tradable'!$" &amp; 'Ext Tradable'!$AS$23 &amp; BR$9),"")</f>
        <v>0</v>
      </c>
      <c r="BS22" s="700">
        <f ca="1">IF(INDIRECT("'Ext Tradable'!$B" &amp; BS$9)=$B22,INDIRECT("'Ext Tradable'!$" &amp; 'Ext Tradable'!$AS$23 &amp; BS$9),"")</f>
        <v>0</v>
      </c>
      <c r="BT22" s="700">
        <f ca="1">IF(INDIRECT("'Ext Tradable'!$B" &amp; BT$9)=$B22,INDIRECT("'Ext Tradable'!$" &amp; 'Ext Tradable'!$AS$23 &amp; BT$9),"")</f>
        <v>0</v>
      </c>
      <c r="BU22" s="700">
        <f ca="1">IF(INDIRECT("'Ext Tradable'!$B" &amp; BU$9)=$B22,INDIRECT("'Ext Tradable'!$" &amp; 'Ext Tradable'!$AS$23 &amp; BU$9),"")</f>
        <v>0</v>
      </c>
      <c r="BV22" s="700">
        <f ca="1">IF(INDIRECT("'Ext Tradable'!$B" &amp; BV$9)=$B22,INDIRECT("'Ext Tradable'!$" &amp; 'Ext Tradable'!$AS$23 &amp; BV$9),"")</f>
        <v>0</v>
      </c>
      <c r="BW22" s="700">
        <f ca="1">IF(INDIRECT("'Ext Tradable'!$B" &amp; BW$9)=$B22,INDIRECT("'Ext Tradable'!$" &amp; 'Ext Tradable'!$AS$23 &amp; BW$9),"")</f>
        <v>0</v>
      </c>
      <c r="BX22" s="700">
        <f ca="1">IF(INDIRECT("'Ext Tradable'!$B" &amp; BX$9)=$B22,INDIRECT("'Ext Tradable'!$" &amp; 'Ext Tradable'!$AS$23 &amp; BX$9),"")</f>
        <v>0</v>
      </c>
      <c r="BY22" s="700">
        <f ca="1">IF(INDIRECT("'Ext Tradable'!$B" &amp; BY$9)=$B22,INDIRECT("'Ext Tradable'!$" &amp; 'Ext Tradable'!$AS$23 &amp; BY$9),"")</f>
        <v>0</v>
      </c>
      <c r="BZ22" s="700">
        <f ca="1">IF(INDIRECT("'Ext Tradable'!$B" &amp; BZ$9)=$B22,INDIRECT("'Ext Tradable'!$" &amp; 'Ext Tradable'!$AS$23 &amp; BZ$9),"")</f>
        <v>0</v>
      </c>
      <c r="CA22" s="700">
        <f ca="1">IF(INDIRECT("'Ext Tradable'!$B" &amp; CA$9)=$B22,INDIRECT("'Ext Tradable'!$" &amp; 'Ext Tradable'!$AS$23 &amp; CA$9),"")</f>
        <v>0</v>
      </c>
      <c r="CB22" s="700">
        <f ca="1">IF(INDIRECT("'Ext Tradable'!$B" &amp; CB$9)=$B22,INDIRECT("'Ext Tradable'!$" &amp; 'Ext Tradable'!$AS$23 &amp; CB$9),"")</f>
        <v>0</v>
      </c>
      <c r="CC22" s="700">
        <f ca="1">IF(INDIRECT("'Ext Tradable'!$B" &amp; CC$9)=$B22,INDIRECT("'Ext Tradable'!$" &amp; 'Ext Tradable'!$AS$23 &amp; CC$9),"")</f>
        <v>0</v>
      </c>
      <c r="CD22" s="700">
        <f ca="1">IF(INDIRECT("'Ext Tradable'!$B" &amp; CD$9)=$B22,INDIRECT("'Ext Tradable'!$" &amp; 'Ext Tradable'!$AS$23 &amp; CD$9),"")</f>
        <v>0</v>
      </c>
      <c r="CE22" s="700">
        <f ca="1">IF(INDIRECT("'Ext Tradable'!$B" &amp; CE$9)=$B22,INDIRECT("'Ext Tradable'!$" &amp; 'Ext Tradable'!$AS$23 &amp; CE$9),"")</f>
        <v>0</v>
      </c>
      <c r="CF22" s="700">
        <f ca="1">IF(INDIRECT("'Ext Tradable'!$B" &amp; CF$9)=$B22,INDIRECT("'Ext Tradable'!$" &amp; 'Ext Tradable'!$AS$23 &amp; CF$9),"")</f>
        <v>0</v>
      </c>
      <c r="CG22" s="700">
        <f ca="1">IF(INDIRECT("'Ext Tradable'!$B" &amp; CG$9)=$B22,INDIRECT("'Ext Tradable'!$" &amp; 'Ext Tradable'!$AS$23 &amp; CG$9),"")</f>
        <v>0</v>
      </c>
      <c r="CH22" s="700">
        <f ca="1">IF(INDIRECT("'Ext Tradable'!$B" &amp; CH$9)=$B22,INDIRECT("'Ext Tradable'!$" &amp; 'Ext Tradable'!$AS$23 &amp; CH$9),"")</f>
        <v>0</v>
      </c>
      <c r="CI22" s="700">
        <f ca="1">IF(INDIRECT("'Ext Tradable'!$B" &amp; CI$9)=$B22,INDIRECT("'Ext Tradable'!$" &amp; 'Ext Tradable'!$AS$23 &amp; CI$9),"")</f>
        <v>0</v>
      </c>
      <c r="CJ22" s="700">
        <f ca="1">IF(INDIRECT("'Ext Tradable'!$B" &amp; CJ$9)=$B22,INDIRECT("'Ext Tradable'!$" &amp; 'Ext Tradable'!$AS$23 &amp; CJ$9),"")</f>
        <v>0</v>
      </c>
      <c r="CK22" s="700">
        <f ca="1">IF(INDIRECT("'Ext Tradable'!$B" &amp; CK$9)=$B22,INDIRECT("'Ext Tradable'!$" &amp; 'Ext Tradable'!$AS$23 &amp; CK$9),"")</f>
        <v>0</v>
      </c>
      <c r="CL22" s="700">
        <f ca="1">IF(INDIRECT("'Ext Tradable'!$B" &amp; CL$9)=$B22,INDIRECT("'Ext Tradable'!$" &amp; 'Ext Tradable'!$AS$23 &amp; CL$9),"")</f>
        <v>0</v>
      </c>
      <c r="CM22" s="700">
        <f ca="1">IF(INDIRECT("'Ext Tradable'!$B" &amp; CM$9)=$B22,INDIRECT("'Ext Tradable'!$" &amp; 'Ext Tradable'!$AS$23 &amp; CM$9),"")</f>
        <v>0</v>
      </c>
      <c r="CN22" s="700">
        <f ca="1">IF(INDIRECT("'Ext Tradable'!$B" &amp; CN$9)=$B22,INDIRECT("'Ext Tradable'!$" &amp; 'Ext Tradable'!$AS$23 &amp; CN$9),"")</f>
        <v>0</v>
      </c>
      <c r="CO22" s="700">
        <f ca="1">IF(INDIRECT("'Ext Tradable'!$B" &amp; CO$9)=$B22,INDIRECT("'Ext Tradable'!$" &amp; 'Ext Tradable'!$AS$23 &amp; CO$9),"")</f>
        <v>0</v>
      </c>
      <c r="CP22" s="700">
        <f ca="1">IF(INDIRECT("'Ext Tradable'!$B" &amp; CP$9)=$B22,INDIRECT("'Ext Tradable'!$" &amp; 'Ext Tradable'!$AS$23 &amp; CP$9),"")</f>
        <v>0</v>
      </c>
      <c r="CQ22" s="702" t="str">
        <f t="shared" ca="1" si="25"/>
        <v>000000000000000000000000000000</v>
      </c>
    </row>
    <row r="23" spans="1:95" ht="60" customHeight="1" x14ac:dyDescent="0.25">
      <c r="A23" s="705">
        <v>14</v>
      </c>
      <c r="B23" s="707" t="str">
        <f>'Ext Area Schedule'!Y29</f>
        <v/>
      </c>
      <c r="C23" s="707" t="str">
        <f>VLOOKUP($B23,'Ext Area Schedule'!$Y$16:$AE$65,3,FALSE)</f>
        <v/>
      </c>
      <c r="D23" s="792" t="str">
        <f>VLOOKUP($B23,'Ext Area Schedule'!$Y$16:$AE$65,4,FALSE)</f>
        <v/>
      </c>
      <c r="F23" s="792" t="str">
        <f>VLOOKUP($B23,'Ext Area Schedule'!$Y$16:$AE$65,5,FALSE)</f>
        <v/>
      </c>
      <c r="G23" s="792" t="str">
        <f>VLOOKUP($B23,'Ext Area Schedule'!$Y$16:$AE$65,7,FALSE)</f>
        <v/>
      </c>
      <c r="I23" s="703">
        <f t="shared" si="6"/>
        <v>0</v>
      </c>
      <c r="K23" s="703" t="str">
        <f>IF($B23="","",SUMIFS('Ext Tradable'!$M$26:$M$45,'Ext Tradable'!$B$26:$B$45,$B23,'Ext Tradable'!$O$26:$O$45,"New"))</f>
        <v/>
      </c>
      <c r="L23" s="703" t="str">
        <f>IF($B23="","",SUMIFS('Ext Tradable'!$M$26:$M$45,'Ext Tradable'!$B$26:$B$45,$B23,'Ext Tradable'!$O$26:$O$45,""))</f>
        <v/>
      </c>
      <c r="M23" s="703" t="str">
        <f>IF($B23="","",SUMIFS('Ext Tradable'!$K$26:$K$45,'Ext Tradable'!$B$26:$B$45,$B23,'Ext Tradable'!$O$26:$O$45,"New")+SUMIFS('Ext Tradable'!$K$26:$K$45,'Ext Tradable'!$B$26:$B$45,$B23,'Ext Tradable'!$O$26:$O$45,""))</f>
        <v/>
      </c>
      <c r="N23" s="703" t="str">
        <f>IF($B23="","",SUMIFS('Ext Tradable'!$M$26:$M$45,'Ext Tradable'!$B$26:$B$45,$B23,'Ext Tradable'!$O$26:$O$45,"Existing Remains"))</f>
        <v/>
      </c>
      <c r="O23" s="703" t="str">
        <f>IF($B23="","",SUMIFS('Ext Tradable'!$M$26:$M$45,'Ext Tradable'!$B$26:$B$45,$B23,'Ext Tradable'!$O$26:$O$45,"Existing Removed"))</f>
        <v/>
      </c>
      <c r="P23" s="703" t="str">
        <f>IF($B23="","",SUMIFS('Ext Tradable'!$K$26:$K$45,'Ext Tradable'!$B$26:$B$45,$B23,'Ext Tradable'!$O$26:$O$45,"Existing Removed"))</f>
        <v/>
      </c>
      <c r="Q23" s="703" t="str">
        <f t="shared" si="7"/>
        <v/>
      </c>
      <c r="R23" s="703" t="str">
        <f t="shared" si="8"/>
        <v/>
      </c>
      <c r="S23" s="1123" t="str">
        <f t="shared" si="9"/>
        <v/>
      </c>
      <c r="T23" s="1128" t="str">
        <f t="shared" si="23"/>
        <v/>
      </c>
      <c r="U23" s="711" t="str">
        <f t="shared" si="11"/>
        <v/>
      </c>
      <c r="V23" s="712" t="str">
        <f t="shared" si="12"/>
        <v/>
      </c>
      <c r="W23" s="762"/>
      <c r="X23" s="720" t="str">
        <f t="shared" si="13"/>
        <v/>
      </c>
      <c r="Y23" s="721" t="str">
        <f t="shared" si="14"/>
        <v/>
      </c>
      <c r="Z23" s="721" t="str">
        <f t="shared" si="15"/>
        <v/>
      </c>
      <c r="AA23" s="719" t="str">
        <f t="shared" si="2"/>
        <v/>
      </c>
      <c r="AB23" s="762"/>
      <c r="AC23" s="717" t="str">
        <f t="shared" si="16"/>
        <v/>
      </c>
      <c r="AD23" s="718" t="str">
        <f t="shared" si="17"/>
        <v/>
      </c>
      <c r="AE23" s="719" t="str">
        <f t="shared" si="3"/>
        <v/>
      </c>
      <c r="AF23" s="726"/>
      <c r="AG23" s="727" t="str">
        <f t="shared" si="18"/>
        <v/>
      </c>
      <c r="AH23" s="703" t="str">
        <f t="shared" si="19"/>
        <v/>
      </c>
      <c r="AI23" s="1114">
        <f t="shared" si="20"/>
        <v>0</v>
      </c>
      <c r="AK23" s="791" t="str">
        <f t="shared" si="4"/>
        <v/>
      </c>
      <c r="AL23" s="791" t="str">
        <f t="shared" si="21"/>
        <v/>
      </c>
      <c r="AM23" s="707" t="str">
        <f>IF(OR(AK23="Fail",AK23="Fail LPA",AK23=""),"",IF(AL23&lt;&gt;"#1",VLOOKUP(C23,'9.4.3 Tables'!B$142:O$154,14,FALSE),"No NEW controls required"))</f>
        <v/>
      </c>
      <c r="AN23" s="703">
        <f t="shared" si="22"/>
        <v>0</v>
      </c>
      <c r="AQ23">
        <v>14</v>
      </c>
      <c r="AR23" s="15" t="str">
        <f t="shared" si="24"/>
        <v/>
      </c>
      <c r="AS23" s="700" t="str">
        <f ca="1">IF(INDIRECT("'Ext Tradable'!$B" &amp; AS$9)=$B23,INDIRECT("'Ext Tradable'!$" &amp; 'Ext Tradable'!$AS$23 &amp; AS$9),"")</f>
        <v/>
      </c>
      <c r="AT23" s="700" t="str">
        <f ca="1">IF(INDIRECT("'Ext Tradable'!$B" &amp; AT$9)=$B23,INDIRECT("'Ext Tradable'!$" &amp; 'Ext Tradable'!$AS$23 &amp; AT$9),"")</f>
        <v/>
      </c>
      <c r="AU23" s="700" t="str">
        <f ca="1">IF(INDIRECT("'Ext Tradable'!$B" &amp; AU$9)=$B23,INDIRECT("'Ext Tradable'!$" &amp; 'Ext Tradable'!$AS$23 &amp; AU$9),"")</f>
        <v/>
      </c>
      <c r="AV23" s="700" t="str">
        <f ca="1">IF(INDIRECT("'Ext Tradable'!$B" &amp; AV$9)=$B23,INDIRECT("'Ext Tradable'!$" &amp; 'Ext Tradable'!$AS$23 &amp; AV$9),"")</f>
        <v/>
      </c>
      <c r="AW23" s="700" t="str">
        <f ca="1">IF(INDIRECT("'Ext Tradable'!$B" &amp; AW$9)=$B23,INDIRECT("'Ext Tradable'!$" &amp; 'Ext Tradable'!$AS$23 &amp; AW$9),"")</f>
        <v/>
      </c>
      <c r="AX23" s="700" t="str">
        <f ca="1">IF(INDIRECT("'Ext Tradable'!$B" &amp; AX$9)=$B23,INDIRECT("'Ext Tradable'!$" &amp; 'Ext Tradable'!$AS$23 &amp; AX$9),"")</f>
        <v/>
      </c>
      <c r="AY23" s="700" t="str">
        <f ca="1">IF(INDIRECT("'Ext Tradable'!$B" &amp; AY$9)=$B23,INDIRECT("'Ext Tradable'!$" &amp; 'Ext Tradable'!$AS$23 &amp; AY$9),"")</f>
        <v/>
      </c>
      <c r="AZ23" s="700" t="str">
        <f ca="1">IF(INDIRECT("'Ext Tradable'!$B" &amp; AZ$9)=$B23,INDIRECT("'Ext Tradable'!$" &amp; 'Ext Tradable'!$AS$23 &amp; AZ$9),"")</f>
        <v/>
      </c>
      <c r="BA23" s="700" t="str">
        <f ca="1">IF(INDIRECT("'Ext Tradable'!$B" &amp; BA$9)=$B23,INDIRECT("'Ext Tradable'!$" &amp; 'Ext Tradable'!$AS$23 &amp; BA$9),"")</f>
        <v/>
      </c>
      <c r="BB23" s="700" t="str">
        <f ca="1">IF(INDIRECT("'Ext Tradable'!$B" &amp; BB$9)=$B23,INDIRECT("'Ext Tradable'!$" &amp; 'Ext Tradable'!$AS$23 &amp; BB$9),"")</f>
        <v/>
      </c>
      <c r="BC23" s="700" t="str">
        <f ca="1">IF(INDIRECT("'Ext Tradable'!$B" &amp; BC$9)=$B23,INDIRECT("'Ext Tradable'!$" &amp; 'Ext Tradable'!$AS$23 &amp; BC$9),"")</f>
        <v/>
      </c>
      <c r="BD23" s="700" t="str">
        <f ca="1">IF(INDIRECT("'Ext Tradable'!$B" &amp; BD$9)=$B23,INDIRECT("'Ext Tradable'!$" &amp; 'Ext Tradable'!$AS$23 &amp; BD$9),"")</f>
        <v/>
      </c>
      <c r="BE23" s="700" t="str">
        <f ca="1">IF(INDIRECT("'Ext Tradable'!$B" &amp; BE$9)=$B23,INDIRECT("'Ext Tradable'!$" &amp; 'Ext Tradable'!$AS$23 &amp; BE$9),"")</f>
        <v/>
      </c>
      <c r="BF23" s="700" t="str">
        <f ca="1">IF(INDIRECT("'Ext Tradable'!$B" &amp; BF$9)=$B23,INDIRECT("'Ext Tradable'!$" &amp; 'Ext Tradable'!$AS$23 &amp; BF$9),"")</f>
        <v/>
      </c>
      <c r="BG23" s="700" t="str">
        <f ca="1">IF(INDIRECT("'Ext Tradable'!$B" &amp; BG$9)=$B23,INDIRECT("'Ext Tradable'!$" &amp; 'Ext Tradable'!$AS$23 &amp; BG$9),"")</f>
        <v/>
      </c>
      <c r="BH23" s="700" t="str">
        <f ca="1">IF(INDIRECT("'Ext Tradable'!$B" &amp; BH$9)=$B23,INDIRECT("'Ext Tradable'!$" &amp; 'Ext Tradable'!$AS$23 &amp; BH$9),"")</f>
        <v/>
      </c>
      <c r="BI23" s="700" t="str">
        <f ca="1">IF(INDIRECT("'Ext Tradable'!$B" &amp; BI$9)=$B23,INDIRECT("'Ext Tradable'!$" &amp; 'Ext Tradable'!$AS$23 &amp; BI$9),"")</f>
        <v/>
      </c>
      <c r="BJ23" s="700" t="str">
        <f ca="1">IF(INDIRECT("'Ext Tradable'!$B" &amp; BJ$9)=$B23,INDIRECT("'Ext Tradable'!$" &amp; 'Ext Tradable'!$AS$23 &amp; BJ$9),"")</f>
        <v/>
      </c>
      <c r="BK23" s="700" t="str">
        <f ca="1">IF(INDIRECT("'Ext Tradable'!$B" &amp; BK$9)=$B23,INDIRECT("'Ext Tradable'!$" &amp; 'Ext Tradable'!$AS$23 &amp; BK$9),"")</f>
        <v/>
      </c>
      <c r="BL23" s="700" t="str">
        <f ca="1">IF(INDIRECT("'Ext Tradable'!$B" &amp; BL$9)=$B23,INDIRECT("'Ext Tradable'!$" &amp; 'Ext Tradable'!$AS$23 &amp; BL$9),"")</f>
        <v/>
      </c>
      <c r="BM23" s="700">
        <f ca="1">IF(INDIRECT("'Ext Tradable'!$B" &amp; BM$9)=$B23,INDIRECT("'Ext Tradable'!$" &amp; 'Ext Tradable'!$AS$23 &amp; BM$9),"")</f>
        <v>0</v>
      </c>
      <c r="BN23" s="700">
        <f ca="1">IF(INDIRECT("'Ext Tradable'!$B" &amp; BN$9)=$B23,INDIRECT("'Ext Tradable'!$" &amp; 'Ext Tradable'!$AS$23 &amp; BN$9),"")</f>
        <v>0</v>
      </c>
      <c r="BO23" s="700">
        <f ca="1">IF(INDIRECT("'Ext Tradable'!$B" &amp; BO$9)=$B23,INDIRECT("'Ext Tradable'!$" &amp; 'Ext Tradable'!$AS$23 &amp; BO$9),"")</f>
        <v>0</v>
      </c>
      <c r="BP23" s="700">
        <f ca="1">IF(INDIRECT("'Ext Tradable'!$B" &amp; BP$9)=$B23,INDIRECT("'Ext Tradable'!$" &amp; 'Ext Tradable'!$AS$23 &amp; BP$9),"")</f>
        <v>0</v>
      </c>
      <c r="BQ23" s="700">
        <f ca="1">IF(INDIRECT("'Ext Tradable'!$B" &amp; BQ$9)=$B23,INDIRECT("'Ext Tradable'!$" &amp; 'Ext Tradable'!$AS$23 &amp; BQ$9),"")</f>
        <v>0</v>
      </c>
      <c r="BR23" s="700">
        <f ca="1">IF(INDIRECT("'Ext Tradable'!$B" &amp; BR$9)=$B23,INDIRECT("'Ext Tradable'!$" &amp; 'Ext Tradable'!$AS$23 &amp; BR$9),"")</f>
        <v>0</v>
      </c>
      <c r="BS23" s="700">
        <f ca="1">IF(INDIRECT("'Ext Tradable'!$B" &amp; BS$9)=$B23,INDIRECT("'Ext Tradable'!$" &amp; 'Ext Tradable'!$AS$23 &amp; BS$9),"")</f>
        <v>0</v>
      </c>
      <c r="BT23" s="700">
        <f ca="1">IF(INDIRECT("'Ext Tradable'!$B" &amp; BT$9)=$B23,INDIRECT("'Ext Tradable'!$" &amp; 'Ext Tradable'!$AS$23 &amp; BT$9),"")</f>
        <v>0</v>
      </c>
      <c r="BU23" s="700">
        <f ca="1">IF(INDIRECT("'Ext Tradable'!$B" &amp; BU$9)=$B23,INDIRECT("'Ext Tradable'!$" &amp; 'Ext Tradable'!$AS$23 &amp; BU$9),"")</f>
        <v>0</v>
      </c>
      <c r="BV23" s="700">
        <f ca="1">IF(INDIRECT("'Ext Tradable'!$B" &amp; BV$9)=$B23,INDIRECT("'Ext Tradable'!$" &amp; 'Ext Tradable'!$AS$23 &amp; BV$9),"")</f>
        <v>0</v>
      </c>
      <c r="BW23" s="700">
        <f ca="1">IF(INDIRECT("'Ext Tradable'!$B" &amp; BW$9)=$B23,INDIRECT("'Ext Tradable'!$" &amp; 'Ext Tradable'!$AS$23 &amp; BW$9),"")</f>
        <v>0</v>
      </c>
      <c r="BX23" s="700">
        <f ca="1">IF(INDIRECT("'Ext Tradable'!$B" &amp; BX$9)=$B23,INDIRECT("'Ext Tradable'!$" &amp; 'Ext Tradable'!$AS$23 &amp; BX$9),"")</f>
        <v>0</v>
      </c>
      <c r="BY23" s="700">
        <f ca="1">IF(INDIRECT("'Ext Tradable'!$B" &amp; BY$9)=$B23,INDIRECT("'Ext Tradable'!$" &amp; 'Ext Tradable'!$AS$23 &amp; BY$9),"")</f>
        <v>0</v>
      </c>
      <c r="BZ23" s="700">
        <f ca="1">IF(INDIRECT("'Ext Tradable'!$B" &amp; BZ$9)=$B23,INDIRECT("'Ext Tradable'!$" &amp; 'Ext Tradable'!$AS$23 &amp; BZ$9),"")</f>
        <v>0</v>
      </c>
      <c r="CA23" s="700">
        <f ca="1">IF(INDIRECT("'Ext Tradable'!$B" &amp; CA$9)=$B23,INDIRECT("'Ext Tradable'!$" &amp; 'Ext Tradable'!$AS$23 &amp; CA$9),"")</f>
        <v>0</v>
      </c>
      <c r="CB23" s="700">
        <f ca="1">IF(INDIRECT("'Ext Tradable'!$B" &amp; CB$9)=$B23,INDIRECT("'Ext Tradable'!$" &amp; 'Ext Tradable'!$AS$23 &amp; CB$9),"")</f>
        <v>0</v>
      </c>
      <c r="CC23" s="700">
        <f ca="1">IF(INDIRECT("'Ext Tradable'!$B" &amp; CC$9)=$B23,INDIRECT("'Ext Tradable'!$" &amp; 'Ext Tradable'!$AS$23 &amp; CC$9),"")</f>
        <v>0</v>
      </c>
      <c r="CD23" s="700">
        <f ca="1">IF(INDIRECT("'Ext Tradable'!$B" &amp; CD$9)=$B23,INDIRECT("'Ext Tradable'!$" &amp; 'Ext Tradable'!$AS$23 &amp; CD$9),"")</f>
        <v>0</v>
      </c>
      <c r="CE23" s="700">
        <f ca="1">IF(INDIRECT("'Ext Tradable'!$B" &amp; CE$9)=$B23,INDIRECT("'Ext Tradable'!$" &amp; 'Ext Tradable'!$AS$23 &amp; CE$9),"")</f>
        <v>0</v>
      </c>
      <c r="CF23" s="700">
        <f ca="1">IF(INDIRECT("'Ext Tradable'!$B" &amp; CF$9)=$B23,INDIRECT("'Ext Tradable'!$" &amp; 'Ext Tradable'!$AS$23 &amp; CF$9),"")</f>
        <v>0</v>
      </c>
      <c r="CG23" s="700">
        <f ca="1">IF(INDIRECT("'Ext Tradable'!$B" &amp; CG$9)=$B23,INDIRECT("'Ext Tradable'!$" &amp; 'Ext Tradable'!$AS$23 &amp; CG$9),"")</f>
        <v>0</v>
      </c>
      <c r="CH23" s="700">
        <f ca="1">IF(INDIRECT("'Ext Tradable'!$B" &amp; CH$9)=$B23,INDIRECT("'Ext Tradable'!$" &amp; 'Ext Tradable'!$AS$23 &amp; CH$9),"")</f>
        <v>0</v>
      </c>
      <c r="CI23" s="700">
        <f ca="1">IF(INDIRECT("'Ext Tradable'!$B" &amp; CI$9)=$B23,INDIRECT("'Ext Tradable'!$" &amp; 'Ext Tradable'!$AS$23 &amp; CI$9),"")</f>
        <v>0</v>
      </c>
      <c r="CJ23" s="700">
        <f ca="1">IF(INDIRECT("'Ext Tradable'!$B" &amp; CJ$9)=$B23,INDIRECT("'Ext Tradable'!$" &amp; 'Ext Tradable'!$AS$23 &amp; CJ$9),"")</f>
        <v>0</v>
      </c>
      <c r="CK23" s="700">
        <f ca="1">IF(INDIRECT("'Ext Tradable'!$B" &amp; CK$9)=$B23,INDIRECT("'Ext Tradable'!$" &amp; 'Ext Tradable'!$AS$23 &amp; CK$9),"")</f>
        <v>0</v>
      </c>
      <c r="CL23" s="700">
        <f ca="1">IF(INDIRECT("'Ext Tradable'!$B" &amp; CL$9)=$B23,INDIRECT("'Ext Tradable'!$" &amp; 'Ext Tradable'!$AS$23 &amp; CL$9),"")</f>
        <v>0</v>
      </c>
      <c r="CM23" s="700">
        <f ca="1">IF(INDIRECT("'Ext Tradable'!$B" &amp; CM$9)=$B23,INDIRECT("'Ext Tradable'!$" &amp; 'Ext Tradable'!$AS$23 &amp; CM$9),"")</f>
        <v>0</v>
      </c>
      <c r="CN23" s="700">
        <f ca="1">IF(INDIRECT("'Ext Tradable'!$B" &amp; CN$9)=$B23,INDIRECT("'Ext Tradable'!$" &amp; 'Ext Tradable'!$AS$23 &amp; CN$9),"")</f>
        <v>0</v>
      </c>
      <c r="CO23" s="700">
        <f ca="1">IF(INDIRECT("'Ext Tradable'!$B" &amp; CO$9)=$B23,INDIRECT("'Ext Tradable'!$" &amp; 'Ext Tradable'!$AS$23 &amp; CO$9),"")</f>
        <v>0</v>
      </c>
      <c r="CP23" s="700">
        <f ca="1">IF(INDIRECT("'Ext Tradable'!$B" &amp; CP$9)=$B23,INDIRECT("'Ext Tradable'!$" &amp; 'Ext Tradable'!$AS$23 &amp; CP$9),"")</f>
        <v>0</v>
      </c>
      <c r="CQ23" s="702" t="str">
        <f t="shared" ca="1" si="25"/>
        <v>000000000000000000000000000000</v>
      </c>
    </row>
    <row r="24" spans="1:95" ht="60" customHeight="1" x14ac:dyDescent="0.25">
      <c r="A24" s="705">
        <v>15</v>
      </c>
      <c r="B24" s="707" t="str">
        <f>'Ext Area Schedule'!Y30</f>
        <v/>
      </c>
      <c r="C24" s="707" t="str">
        <f>VLOOKUP($B24,'Ext Area Schedule'!$Y$16:$AE$65,3,FALSE)</f>
        <v/>
      </c>
      <c r="D24" s="792" t="str">
        <f>VLOOKUP($B24,'Ext Area Schedule'!$Y$16:$AE$65,4,FALSE)</f>
        <v/>
      </c>
      <c r="F24" s="792" t="str">
        <f>VLOOKUP($B24,'Ext Area Schedule'!$Y$16:$AE$65,5,FALSE)</f>
        <v/>
      </c>
      <c r="G24" s="792" t="str">
        <f>VLOOKUP($B24,'Ext Area Schedule'!$Y$16:$AE$65,7,FALSE)</f>
        <v/>
      </c>
      <c r="I24" s="703">
        <f t="shared" si="6"/>
        <v>0</v>
      </c>
      <c r="K24" s="703" t="str">
        <f>IF($B24="","",SUMIFS('Ext Tradable'!$M$26:$M$45,'Ext Tradable'!$B$26:$B$45,$B24,'Ext Tradable'!$O$26:$O$45,"New"))</f>
        <v/>
      </c>
      <c r="L24" s="703" t="str">
        <f>IF($B24="","",SUMIFS('Ext Tradable'!$M$26:$M$45,'Ext Tradable'!$B$26:$B$45,$B24,'Ext Tradable'!$O$26:$O$45,""))</f>
        <v/>
      </c>
      <c r="M24" s="703" t="str">
        <f>IF($B24="","",SUMIFS('Ext Tradable'!$K$26:$K$45,'Ext Tradable'!$B$26:$B$45,$B24,'Ext Tradable'!$O$26:$O$45,"New")+SUMIFS('Ext Tradable'!$K$26:$K$45,'Ext Tradable'!$B$26:$B$45,$B24,'Ext Tradable'!$O$26:$O$45,""))</f>
        <v/>
      </c>
      <c r="N24" s="703" t="str">
        <f>IF($B24="","",SUMIFS('Ext Tradable'!$M$26:$M$45,'Ext Tradable'!$B$26:$B$45,$B24,'Ext Tradable'!$O$26:$O$45,"Existing Remains"))</f>
        <v/>
      </c>
      <c r="O24" s="703" t="str">
        <f>IF($B24="","",SUMIFS('Ext Tradable'!$M$26:$M$45,'Ext Tradable'!$B$26:$B$45,$B24,'Ext Tradable'!$O$26:$O$45,"Existing Removed"))</f>
        <v/>
      </c>
      <c r="P24" s="703" t="str">
        <f>IF($B24="","",SUMIFS('Ext Tradable'!$K$26:$K$45,'Ext Tradable'!$B$26:$B$45,$B24,'Ext Tradable'!$O$26:$O$45,"Existing Removed"))</f>
        <v/>
      </c>
      <c r="Q24" s="703" t="str">
        <f t="shared" si="7"/>
        <v/>
      </c>
      <c r="R24" s="703" t="str">
        <f t="shared" si="8"/>
        <v/>
      </c>
      <c r="S24" s="1123" t="str">
        <f t="shared" si="9"/>
        <v/>
      </c>
      <c r="T24" s="1128" t="str">
        <f t="shared" si="23"/>
        <v/>
      </c>
      <c r="U24" s="711" t="str">
        <f t="shared" si="11"/>
        <v/>
      </c>
      <c r="V24" s="712" t="str">
        <f t="shared" si="12"/>
        <v/>
      </c>
      <c r="W24" s="762"/>
      <c r="X24" s="720" t="str">
        <f t="shared" si="13"/>
        <v/>
      </c>
      <c r="Y24" s="721" t="str">
        <f t="shared" si="14"/>
        <v/>
      </c>
      <c r="Z24" s="721" t="str">
        <f t="shared" si="15"/>
        <v/>
      </c>
      <c r="AA24" s="719" t="str">
        <f t="shared" si="2"/>
        <v/>
      </c>
      <c r="AB24" s="762"/>
      <c r="AC24" s="717" t="str">
        <f t="shared" si="16"/>
        <v/>
      </c>
      <c r="AD24" s="718" t="str">
        <f t="shared" si="17"/>
        <v/>
      </c>
      <c r="AE24" s="719" t="str">
        <f t="shared" si="3"/>
        <v/>
      </c>
      <c r="AF24" s="726"/>
      <c r="AG24" s="727" t="str">
        <f t="shared" si="18"/>
        <v/>
      </c>
      <c r="AH24" s="703" t="str">
        <f t="shared" si="19"/>
        <v/>
      </c>
      <c r="AI24" s="1114">
        <f t="shared" si="20"/>
        <v>0</v>
      </c>
      <c r="AK24" s="791" t="str">
        <f t="shared" si="4"/>
        <v/>
      </c>
      <c r="AL24" s="791" t="str">
        <f t="shared" si="21"/>
        <v/>
      </c>
      <c r="AM24" s="707" t="str">
        <f>IF(OR(AK24="Fail",AK24="Fail LPA",AK24=""),"",IF(AL24&lt;&gt;"#1",VLOOKUP(C24,'9.4.3 Tables'!B$142:O$154,14,FALSE),"No NEW controls required"))</f>
        <v/>
      </c>
      <c r="AN24" s="703">
        <f t="shared" si="22"/>
        <v>0</v>
      </c>
      <c r="AQ24">
        <v>15</v>
      </c>
      <c r="AR24" s="15" t="str">
        <f t="shared" si="24"/>
        <v/>
      </c>
      <c r="AS24" s="700" t="str">
        <f ca="1">IF(INDIRECT("'Ext Tradable'!$B" &amp; AS$9)=$B24,INDIRECT("'Ext Tradable'!$" &amp; 'Ext Tradable'!$AS$23 &amp; AS$9),"")</f>
        <v/>
      </c>
      <c r="AT24" s="700" t="str">
        <f ca="1">IF(INDIRECT("'Ext Tradable'!$B" &amp; AT$9)=$B24,INDIRECT("'Ext Tradable'!$" &amp; 'Ext Tradable'!$AS$23 &amp; AT$9),"")</f>
        <v/>
      </c>
      <c r="AU24" s="700" t="str">
        <f ca="1">IF(INDIRECT("'Ext Tradable'!$B" &amp; AU$9)=$B24,INDIRECT("'Ext Tradable'!$" &amp; 'Ext Tradable'!$AS$23 &amp; AU$9),"")</f>
        <v/>
      </c>
      <c r="AV24" s="700" t="str">
        <f ca="1">IF(INDIRECT("'Ext Tradable'!$B" &amp; AV$9)=$B24,INDIRECT("'Ext Tradable'!$" &amp; 'Ext Tradable'!$AS$23 &amp; AV$9),"")</f>
        <v/>
      </c>
      <c r="AW24" s="700" t="str">
        <f ca="1">IF(INDIRECT("'Ext Tradable'!$B" &amp; AW$9)=$B24,INDIRECT("'Ext Tradable'!$" &amp; 'Ext Tradable'!$AS$23 &amp; AW$9),"")</f>
        <v/>
      </c>
      <c r="AX24" s="700" t="str">
        <f ca="1">IF(INDIRECT("'Ext Tradable'!$B" &amp; AX$9)=$B24,INDIRECT("'Ext Tradable'!$" &amp; 'Ext Tradable'!$AS$23 &amp; AX$9),"")</f>
        <v/>
      </c>
      <c r="AY24" s="700" t="str">
        <f ca="1">IF(INDIRECT("'Ext Tradable'!$B" &amp; AY$9)=$B24,INDIRECT("'Ext Tradable'!$" &amp; 'Ext Tradable'!$AS$23 &amp; AY$9),"")</f>
        <v/>
      </c>
      <c r="AZ24" s="700" t="str">
        <f ca="1">IF(INDIRECT("'Ext Tradable'!$B" &amp; AZ$9)=$B24,INDIRECT("'Ext Tradable'!$" &amp; 'Ext Tradable'!$AS$23 &amp; AZ$9),"")</f>
        <v/>
      </c>
      <c r="BA24" s="700" t="str">
        <f ca="1">IF(INDIRECT("'Ext Tradable'!$B" &amp; BA$9)=$B24,INDIRECT("'Ext Tradable'!$" &amp; 'Ext Tradable'!$AS$23 &amp; BA$9),"")</f>
        <v/>
      </c>
      <c r="BB24" s="700" t="str">
        <f ca="1">IF(INDIRECT("'Ext Tradable'!$B" &amp; BB$9)=$B24,INDIRECT("'Ext Tradable'!$" &amp; 'Ext Tradable'!$AS$23 &amp; BB$9),"")</f>
        <v/>
      </c>
      <c r="BC24" s="700" t="str">
        <f ca="1">IF(INDIRECT("'Ext Tradable'!$B" &amp; BC$9)=$B24,INDIRECT("'Ext Tradable'!$" &amp; 'Ext Tradable'!$AS$23 &amp; BC$9),"")</f>
        <v/>
      </c>
      <c r="BD24" s="700" t="str">
        <f ca="1">IF(INDIRECT("'Ext Tradable'!$B" &amp; BD$9)=$B24,INDIRECT("'Ext Tradable'!$" &amp; 'Ext Tradable'!$AS$23 &amp; BD$9),"")</f>
        <v/>
      </c>
      <c r="BE24" s="700" t="str">
        <f ca="1">IF(INDIRECT("'Ext Tradable'!$B" &amp; BE$9)=$B24,INDIRECT("'Ext Tradable'!$" &amp; 'Ext Tradable'!$AS$23 &amp; BE$9),"")</f>
        <v/>
      </c>
      <c r="BF24" s="700" t="str">
        <f ca="1">IF(INDIRECT("'Ext Tradable'!$B" &amp; BF$9)=$B24,INDIRECT("'Ext Tradable'!$" &amp; 'Ext Tradable'!$AS$23 &amp; BF$9),"")</f>
        <v/>
      </c>
      <c r="BG24" s="700" t="str">
        <f ca="1">IF(INDIRECT("'Ext Tradable'!$B" &amp; BG$9)=$B24,INDIRECT("'Ext Tradable'!$" &amp; 'Ext Tradable'!$AS$23 &amp; BG$9),"")</f>
        <v/>
      </c>
      <c r="BH24" s="700" t="str">
        <f ca="1">IF(INDIRECT("'Ext Tradable'!$B" &amp; BH$9)=$B24,INDIRECT("'Ext Tradable'!$" &amp; 'Ext Tradable'!$AS$23 &amp; BH$9),"")</f>
        <v/>
      </c>
      <c r="BI24" s="700" t="str">
        <f ca="1">IF(INDIRECT("'Ext Tradable'!$B" &amp; BI$9)=$B24,INDIRECT("'Ext Tradable'!$" &amp; 'Ext Tradable'!$AS$23 &amp; BI$9),"")</f>
        <v/>
      </c>
      <c r="BJ24" s="700" t="str">
        <f ca="1">IF(INDIRECT("'Ext Tradable'!$B" &amp; BJ$9)=$B24,INDIRECT("'Ext Tradable'!$" &amp; 'Ext Tradable'!$AS$23 &amp; BJ$9),"")</f>
        <v/>
      </c>
      <c r="BK24" s="700" t="str">
        <f ca="1">IF(INDIRECT("'Ext Tradable'!$B" &amp; BK$9)=$B24,INDIRECT("'Ext Tradable'!$" &amp; 'Ext Tradable'!$AS$23 &amp; BK$9),"")</f>
        <v/>
      </c>
      <c r="BL24" s="700" t="str">
        <f ca="1">IF(INDIRECT("'Ext Tradable'!$B" &amp; BL$9)=$B24,INDIRECT("'Ext Tradable'!$" &amp; 'Ext Tradable'!$AS$23 &amp; BL$9),"")</f>
        <v/>
      </c>
      <c r="BM24" s="700">
        <f ca="1">IF(INDIRECT("'Ext Tradable'!$B" &amp; BM$9)=$B24,INDIRECT("'Ext Tradable'!$" &amp; 'Ext Tradable'!$AS$23 &amp; BM$9),"")</f>
        <v>0</v>
      </c>
      <c r="BN24" s="700">
        <f ca="1">IF(INDIRECT("'Ext Tradable'!$B" &amp; BN$9)=$B24,INDIRECT("'Ext Tradable'!$" &amp; 'Ext Tradable'!$AS$23 &amp; BN$9),"")</f>
        <v>0</v>
      </c>
      <c r="BO24" s="700">
        <f ca="1">IF(INDIRECT("'Ext Tradable'!$B" &amp; BO$9)=$B24,INDIRECT("'Ext Tradable'!$" &amp; 'Ext Tradable'!$AS$23 &amp; BO$9),"")</f>
        <v>0</v>
      </c>
      <c r="BP24" s="700">
        <f ca="1">IF(INDIRECT("'Ext Tradable'!$B" &amp; BP$9)=$B24,INDIRECT("'Ext Tradable'!$" &amp; 'Ext Tradable'!$AS$23 &amp; BP$9),"")</f>
        <v>0</v>
      </c>
      <c r="BQ24" s="700">
        <f ca="1">IF(INDIRECT("'Ext Tradable'!$B" &amp; BQ$9)=$B24,INDIRECT("'Ext Tradable'!$" &amp; 'Ext Tradable'!$AS$23 &amp; BQ$9),"")</f>
        <v>0</v>
      </c>
      <c r="BR24" s="700">
        <f ca="1">IF(INDIRECT("'Ext Tradable'!$B" &amp; BR$9)=$B24,INDIRECT("'Ext Tradable'!$" &amp; 'Ext Tradable'!$AS$23 &amp; BR$9),"")</f>
        <v>0</v>
      </c>
      <c r="BS24" s="700">
        <f ca="1">IF(INDIRECT("'Ext Tradable'!$B" &amp; BS$9)=$B24,INDIRECT("'Ext Tradable'!$" &amp; 'Ext Tradable'!$AS$23 &amp; BS$9),"")</f>
        <v>0</v>
      </c>
      <c r="BT24" s="700">
        <f ca="1">IF(INDIRECT("'Ext Tradable'!$B" &amp; BT$9)=$B24,INDIRECT("'Ext Tradable'!$" &amp; 'Ext Tradable'!$AS$23 &amp; BT$9),"")</f>
        <v>0</v>
      </c>
      <c r="BU24" s="700">
        <f ca="1">IF(INDIRECT("'Ext Tradable'!$B" &amp; BU$9)=$B24,INDIRECT("'Ext Tradable'!$" &amp; 'Ext Tradable'!$AS$23 &amp; BU$9),"")</f>
        <v>0</v>
      </c>
      <c r="BV24" s="700">
        <f ca="1">IF(INDIRECT("'Ext Tradable'!$B" &amp; BV$9)=$B24,INDIRECT("'Ext Tradable'!$" &amp; 'Ext Tradable'!$AS$23 &amp; BV$9),"")</f>
        <v>0</v>
      </c>
      <c r="BW24" s="700">
        <f ca="1">IF(INDIRECT("'Ext Tradable'!$B" &amp; BW$9)=$B24,INDIRECT("'Ext Tradable'!$" &amp; 'Ext Tradable'!$AS$23 &amp; BW$9),"")</f>
        <v>0</v>
      </c>
      <c r="BX24" s="700">
        <f ca="1">IF(INDIRECT("'Ext Tradable'!$B" &amp; BX$9)=$B24,INDIRECT("'Ext Tradable'!$" &amp; 'Ext Tradable'!$AS$23 &amp; BX$9),"")</f>
        <v>0</v>
      </c>
      <c r="BY24" s="700">
        <f ca="1">IF(INDIRECT("'Ext Tradable'!$B" &amp; BY$9)=$B24,INDIRECT("'Ext Tradable'!$" &amp; 'Ext Tradable'!$AS$23 &amp; BY$9),"")</f>
        <v>0</v>
      </c>
      <c r="BZ24" s="700">
        <f ca="1">IF(INDIRECT("'Ext Tradable'!$B" &amp; BZ$9)=$B24,INDIRECT("'Ext Tradable'!$" &amp; 'Ext Tradable'!$AS$23 &amp; BZ$9),"")</f>
        <v>0</v>
      </c>
      <c r="CA24" s="700">
        <f ca="1">IF(INDIRECT("'Ext Tradable'!$B" &amp; CA$9)=$B24,INDIRECT("'Ext Tradable'!$" &amp; 'Ext Tradable'!$AS$23 &amp; CA$9),"")</f>
        <v>0</v>
      </c>
      <c r="CB24" s="700">
        <f ca="1">IF(INDIRECT("'Ext Tradable'!$B" &amp; CB$9)=$B24,INDIRECT("'Ext Tradable'!$" &amp; 'Ext Tradable'!$AS$23 &amp; CB$9),"")</f>
        <v>0</v>
      </c>
      <c r="CC24" s="700">
        <f ca="1">IF(INDIRECT("'Ext Tradable'!$B" &amp; CC$9)=$B24,INDIRECT("'Ext Tradable'!$" &amp; 'Ext Tradable'!$AS$23 &amp; CC$9),"")</f>
        <v>0</v>
      </c>
      <c r="CD24" s="700">
        <f ca="1">IF(INDIRECT("'Ext Tradable'!$B" &amp; CD$9)=$B24,INDIRECT("'Ext Tradable'!$" &amp; 'Ext Tradable'!$AS$23 &amp; CD$9),"")</f>
        <v>0</v>
      </c>
      <c r="CE24" s="700">
        <f ca="1">IF(INDIRECT("'Ext Tradable'!$B" &amp; CE$9)=$B24,INDIRECT("'Ext Tradable'!$" &amp; 'Ext Tradable'!$AS$23 &amp; CE$9),"")</f>
        <v>0</v>
      </c>
      <c r="CF24" s="700">
        <f ca="1">IF(INDIRECT("'Ext Tradable'!$B" &amp; CF$9)=$B24,INDIRECT("'Ext Tradable'!$" &amp; 'Ext Tradable'!$AS$23 &amp; CF$9),"")</f>
        <v>0</v>
      </c>
      <c r="CG24" s="700">
        <f ca="1">IF(INDIRECT("'Ext Tradable'!$B" &amp; CG$9)=$B24,INDIRECT("'Ext Tradable'!$" &amp; 'Ext Tradable'!$AS$23 &amp; CG$9),"")</f>
        <v>0</v>
      </c>
      <c r="CH24" s="700">
        <f ca="1">IF(INDIRECT("'Ext Tradable'!$B" &amp; CH$9)=$B24,INDIRECT("'Ext Tradable'!$" &amp; 'Ext Tradable'!$AS$23 &amp; CH$9),"")</f>
        <v>0</v>
      </c>
      <c r="CI24" s="700">
        <f ca="1">IF(INDIRECT("'Ext Tradable'!$B" &amp; CI$9)=$B24,INDIRECT("'Ext Tradable'!$" &amp; 'Ext Tradable'!$AS$23 &amp; CI$9),"")</f>
        <v>0</v>
      </c>
      <c r="CJ24" s="700">
        <f ca="1">IF(INDIRECT("'Ext Tradable'!$B" &amp; CJ$9)=$B24,INDIRECT("'Ext Tradable'!$" &amp; 'Ext Tradable'!$AS$23 &amp; CJ$9),"")</f>
        <v>0</v>
      </c>
      <c r="CK24" s="700">
        <f ca="1">IF(INDIRECT("'Ext Tradable'!$B" &amp; CK$9)=$B24,INDIRECT("'Ext Tradable'!$" &amp; 'Ext Tradable'!$AS$23 &amp; CK$9),"")</f>
        <v>0</v>
      </c>
      <c r="CL24" s="700">
        <f ca="1">IF(INDIRECT("'Ext Tradable'!$B" &amp; CL$9)=$B24,INDIRECT("'Ext Tradable'!$" &amp; 'Ext Tradable'!$AS$23 &amp; CL$9),"")</f>
        <v>0</v>
      </c>
      <c r="CM24" s="700">
        <f ca="1">IF(INDIRECT("'Ext Tradable'!$B" &amp; CM$9)=$B24,INDIRECT("'Ext Tradable'!$" &amp; 'Ext Tradable'!$AS$23 &amp; CM$9),"")</f>
        <v>0</v>
      </c>
      <c r="CN24" s="700">
        <f ca="1">IF(INDIRECT("'Ext Tradable'!$B" &amp; CN$9)=$B24,INDIRECT("'Ext Tradable'!$" &amp; 'Ext Tradable'!$AS$23 &amp; CN$9),"")</f>
        <v>0</v>
      </c>
      <c r="CO24" s="700">
        <f ca="1">IF(INDIRECT("'Ext Tradable'!$B" &amp; CO$9)=$B24,INDIRECT("'Ext Tradable'!$" &amp; 'Ext Tradable'!$AS$23 &amp; CO$9),"")</f>
        <v>0</v>
      </c>
      <c r="CP24" s="700">
        <f ca="1">IF(INDIRECT("'Ext Tradable'!$B" &amp; CP$9)=$B24,INDIRECT("'Ext Tradable'!$" &amp; 'Ext Tradable'!$AS$23 &amp; CP$9),"")</f>
        <v>0</v>
      </c>
      <c r="CQ24" s="702" t="str">
        <f t="shared" ca="1" si="25"/>
        <v>000000000000000000000000000000</v>
      </c>
    </row>
    <row r="25" spans="1:95" ht="60" customHeight="1" x14ac:dyDescent="0.25">
      <c r="A25" s="705">
        <v>16</v>
      </c>
      <c r="B25" s="707" t="str">
        <f>'Ext Area Schedule'!Y31</f>
        <v/>
      </c>
      <c r="C25" s="707" t="str">
        <f>VLOOKUP($B25,'Ext Area Schedule'!$Y$16:$AE$65,3,FALSE)</f>
        <v/>
      </c>
      <c r="D25" s="792" t="str">
        <f>VLOOKUP($B25,'Ext Area Schedule'!$Y$16:$AE$65,4,FALSE)</f>
        <v/>
      </c>
      <c r="F25" s="792" t="str">
        <f>VLOOKUP($B25,'Ext Area Schedule'!$Y$16:$AE$65,5,FALSE)</f>
        <v/>
      </c>
      <c r="G25" s="792" t="str">
        <f>VLOOKUP($B25,'Ext Area Schedule'!$Y$16:$AE$65,7,FALSE)</f>
        <v/>
      </c>
      <c r="I25" s="703">
        <f t="shared" si="6"/>
        <v>0</v>
      </c>
      <c r="K25" s="703" t="str">
        <f>IF($B25="","",SUMIFS('Ext Tradable'!$M$26:$M$45,'Ext Tradable'!$B$26:$B$45,$B25,'Ext Tradable'!$O$26:$O$45,"New"))</f>
        <v/>
      </c>
      <c r="L25" s="703" t="str">
        <f>IF($B25="","",SUMIFS('Ext Tradable'!$M$26:$M$45,'Ext Tradable'!$B$26:$B$45,$B25,'Ext Tradable'!$O$26:$O$45,""))</f>
        <v/>
      </c>
      <c r="M25" s="703" t="str">
        <f>IF($B25="","",SUMIFS('Ext Tradable'!$K$26:$K$45,'Ext Tradable'!$B$26:$B$45,$B25,'Ext Tradable'!$O$26:$O$45,"New")+SUMIFS('Ext Tradable'!$K$26:$K$45,'Ext Tradable'!$B$26:$B$45,$B25,'Ext Tradable'!$O$26:$O$45,""))</f>
        <v/>
      </c>
      <c r="N25" s="703" t="str">
        <f>IF($B25="","",SUMIFS('Ext Tradable'!$M$26:$M$45,'Ext Tradable'!$B$26:$B$45,$B25,'Ext Tradable'!$O$26:$O$45,"Existing Remains"))</f>
        <v/>
      </c>
      <c r="O25" s="703" t="str">
        <f>IF($B25="","",SUMIFS('Ext Tradable'!$M$26:$M$45,'Ext Tradable'!$B$26:$B$45,$B25,'Ext Tradable'!$O$26:$O$45,"Existing Removed"))</f>
        <v/>
      </c>
      <c r="P25" s="703" t="str">
        <f>IF($B25="","",SUMIFS('Ext Tradable'!$K$26:$K$45,'Ext Tradable'!$B$26:$B$45,$B25,'Ext Tradable'!$O$26:$O$45,"Existing Removed"))</f>
        <v/>
      </c>
      <c r="Q25" s="703" t="str">
        <f t="shared" si="7"/>
        <v/>
      </c>
      <c r="R25" s="703" t="str">
        <f t="shared" si="8"/>
        <v/>
      </c>
      <c r="S25" s="1123" t="str">
        <f t="shared" si="9"/>
        <v/>
      </c>
      <c r="T25" s="1128" t="str">
        <f t="shared" si="23"/>
        <v/>
      </c>
      <c r="U25" s="711" t="str">
        <f t="shared" si="11"/>
        <v/>
      </c>
      <c r="V25" s="712" t="str">
        <f t="shared" si="12"/>
        <v/>
      </c>
      <c r="W25" s="762"/>
      <c r="X25" s="720" t="str">
        <f t="shared" si="13"/>
        <v/>
      </c>
      <c r="Y25" s="721" t="str">
        <f t="shared" si="14"/>
        <v/>
      </c>
      <c r="Z25" s="721" t="str">
        <f t="shared" si="15"/>
        <v/>
      </c>
      <c r="AA25" s="719" t="str">
        <f t="shared" si="2"/>
        <v/>
      </c>
      <c r="AB25" s="762"/>
      <c r="AC25" s="717" t="str">
        <f t="shared" si="16"/>
        <v/>
      </c>
      <c r="AD25" s="718" t="str">
        <f t="shared" si="17"/>
        <v/>
      </c>
      <c r="AE25" s="719" t="str">
        <f t="shared" si="3"/>
        <v/>
      </c>
      <c r="AF25" s="726"/>
      <c r="AG25" s="727" t="str">
        <f t="shared" si="18"/>
        <v/>
      </c>
      <c r="AH25" s="703" t="str">
        <f t="shared" si="19"/>
        <v/>
      </c>
      <c r="AI25" s="1114">
        <f t="shared" si="20"/>
        <v>0</v>
      </c>
      <c r="AK25" s="791" t="str">
        <f t="shared" si="4"/>
        <v/>
      </c>
      <c r="AL25" s="791" t="str">
        <f t="shared" si="21"/>
        <v/>
      </c>
      <c r="AM25" s="707" t="str">
        <f>IF(OR(AK25="Fail",AK25="Fail LPA",AK25=""),"",IF(AL25&lt;&gt;"#1",VLOOKUP(C25,'9.4.3 Tables'!B$142:O$154,14,FALSE),"No NEW controls required"))</f>
        <v/>
      </c>
      <c r="AN25" s="703">
        <f t="shared" si="22"/>
        <v>0</v>
      </c>
      <c r="AQ25">
        <v>16</v>
      </c>
      <c r="AR25" s="15" t="str">
        <f t="shared" si="24"/>
        <v/>
      </c>
      <c r="AS25" s="700" t="str">
        <f ca="1">IF(INDIRECT("'Ext Tradable'!$B" &amp; AS$9)=$B25,INDIRECT("'Ext Tradable'!$" &amp; 'Ext Tradable'!$AS$23 &amp; AS$9),"")</f>
        <v/>
      </c>
      <c r="AT25" s="700" t="str">
        <f ca="1">IF(INDIRECT("'Ext Tradable'!$B" &amp; AT$9)=$B25,INDIRECT("'Ext Tradable'!$" &amp; 'Ext Tradable'!$AS$23 &amp; AT$9),"")</f>
        <v/>
      </c>
      <c r="AU25" s="700" t="str">
        <f ca="1">IF(INDIRECT("'Ext Tradable'!$B" &amp; AU$9)=$B25,INDIRECT("'Ext Tradable'!$" &amp; 'Ext Tradable'!$AS$23 &amp; AU$9),"")</f>
        <v/>
      </c>
      <c r="AV25" s="700" t="str">
        <f ca="1">IF(INDIRECT("'Ext Tradable'!$B" &amp; AV$9)=$B25,INDIRECT("'Ext Tradable'!$" &amp; 'Ext Tradable'!$AS$23 &amp; AV$9),"")</f>
        <v/>
      </c>
      <c r="AW25" s="700" t="str">
        <f ca="1">IF(INDIRECT("'Ext Tradable'!$B" &amp; AW$9)=$B25,INDIRECT("'Ext Tradable'!$" &amp; 'Ext Tradable'!$AS$23 &amp; AW$9),"")</f>
        <v/>
      </c>
      <c r="AX25" s="700" t="str">
        <f ca="1">IF(INDIRECT("'Ext Tradable'!$B" &amp; AX$9)=$B25,INDIRECT("'Ext Tradable'!$" &amp; 'Ext Tradable'!$AS$23 &amp; AX$9),"")</f>
        <v/>
      </c>
      <c r="AY25" s="700" t="str">
        <f ca="1">IF(INDIRECT("'Ext Tradable'!$B" &amp; AY$9)=$B25,INDIRECT("'Ext Tradable'!$" &amp; 'Ext Tradable'!$AS$23 &amp; AY$9),"")</f>
        <v/>
      </c>
      <c r="AZ25" s="700" t="str">
        <f ca="1">IF(INDIRECT("'Ext Tradable'!$B" &amp; AZ$9)=$B25,INDIRECT("'Ext Tradable'!$" &amp; 'Ext Tradable'!$AS$23 &amp; AZ$9),"")</f>
        <v/>
      </c>
      <c r="BA25" s="700" t="str">
        <f ca="1">IF(INDIRECT("'Ext Tradable'!$B" &amp; BA$9)=$B25,INDIRECT("'Ext Tradable'!$" &amp; 'Ext Tradable'!$AS$23 &amp; BA$9),"")</f>
        <v/>
      </c>
      <c r="BB25" s="700" t="str">
        <f ca="1">IF(INDIRECT("'Ext Tradable'!$B" &amp; BB$9)=$B25,INDIRECT("'Ext Tradable'!$" &amp; 'Ext Tradable'!$AS$23 &amp; BB$9),"")</f>
        <v/>
      </c>
      <c r="BC25" s="700" t="str">
        <f ca="1">IF(INDIRECT("'Ext Tradable'!$B" &amp; BC$9)=$B25,INDIRECT("'Ext Tradable'!$" &amp; 'Ext Tradable'!$AS$23 &amp; BC$9),"")</f>
        <v/>
      </c>
      <c r="BD25" s="700" t="str">
        <f ca="1">IF(INDIRECT("'Ext Tradable'!$B" &amp; BD$9)=$B25,INDIRECT("'Ext Tradable'!$" &amp; 'Ext Tradable'!$AS$23 &amp; BD$9),"")</f>
        <v/>
      </c>
      <c r="BE25" s="700" t="str">
        <f ca="1">IF(INDIRECT("'Ext Tradable'!$B" &amp; BE$9)=$B25,INDIRECT("'Ext Tradable'!$" &amp; 'Ext Tradable'!$AS$23 &amp; BE$9),"")</f>
        <v/>
      </c>
      <c r="BF25" s="700" t="str">
        <f ca="1">IF(INDIRECT("'Ext Tradable'!$B" &amp; BF$9)=$B25,INDIRECT("'Ext Tradable'!$" &amp; 'Ext Tradable'!$AS$23 &amp; BF$9),"")</f>
        <v/>
      </c>
      <c r="BG25" s="700" t="str">
        <f ca="1">IF(INDIRECT("'Ext Tradable'!$B" &amp; BG$9)=$B25,INDIRECT("'Ext Tradable'!$" &amp; 'Ext Tradable'!$AS$23 &amp; BG$9),"")</f>
        <v/>
      </c>
      <c r="BH25" s="700" t="str">
        <f ca="1">IF(INDIRECT("'Ext Tradable'!$B" &amp; BH$9)=$B25,INDIRECT("'Ext Tradable'!$" &amp; 'Ext Tradable'!$AS$23 &amp; BH$9),"")</f>
        <v/>
      </c>
      <c r="BI25" s="700" t="str">
        <f ca="1">IF(INDIRECT("'Ext Tradable'!$B" &amp; BI$9)=$B25,INDIRECT("'Ext Tradable'!$" &amp; 'Ext Tradable'!$AS$23 &amp; BI$9),"")</f>
        <v/>
      </c>
      <c r="BJ25" s="700" t="str">
        <f ca="1">IF(INDIRECT("'Ext Tradable'!$B" &amp; BJ$9)=$B25,INDIRECT("'Ext Tradable'!$" &amp; 'Ext Tradable'!$AS$23 &amp; BJ$9),"")</f>
        <v/>
      </c>
      <c r="BK25" s="700" t="str">
        <f ca="1">IF(INDIRECT("'Ext Tradable'!$B" &amp; BK$9)=$B25,INDIRECT("'Ext Tradable'!$" &amp; 'Ext Tradable'!$AS$23 &amp; BK$9),"")</f>
        <v/>
      </c>
      <c r="BL25" s="700" t="str">
        <f ca="1">IF(INDIRECT("'Ext Tradable'!$B" &amp; BL$9)=$B25,INDIRECT("'Ext Tradable'!$" &amp; 'Ext Tradable'!$AS$23 &amp; BL$9),"")</f>
        <v/>
      </c>
      <c r="BM25" s="700">
        <f ca="1">IF(INDIRECT("'Ext Tradable'!$B" &amp; BM$9)=$B25,INDIRECT("'Ext Tradable'!$" &amp; 'Ext Tradable'!$AS$23 &amp; BM$9),"")</f>
        <v>0</v>
      </c>
      <c r="BN25" s="700">
        <f ca="1">IF(INDIRECT("'Ext Tradable'!$B" &amp; BN$9)=$B25,INDIRECT("'Ext Tradable'!$" &amp; 'Ext Tradable'!$AS$23 &amp; BN$9),"")</f>
        <v>0</v>
      </c>
      <c r="BO25" s="700">
        <f ca="1">IF(INDIRECT("'Ext Tradable'!$B" &amp; BO$9)=$B25,INDIRECT("'Ext Tradable'!$" &amp; 'Ext Tradable'!$AS$23 &amp; BO$9),"")</f>
        <v>0</v>
      </c>
      <c r="BP25" s="700">
        <f ca="1">IF(INDIRECT("'Ext Tradable'!$B" &amp; BP$9)=$B25,INDIRECT("'Ext Tradable'!$" &amp; 'Ext Tradable'!$AS$23 &amp; BP$9),"")</f>
        <v>0</v>
      </c>
      <c r="BQ25" s="700">
        <f ca="1">IF(INDIRECT("'Ext Tradable'!$B" &amp; BQ$9)=$B25,INDIRECT("'Ext Tradable'!$" &amp; 'Ext Tradable'!$AS$23 &amp; BQ$9),"")</f>
        <v>0</v>
      </c>
      <c r="BR25" s="700">
        <f ca="1">IF(INDIRECT("'Ext Tradable'!$B" &amp; BR$9)=$B25,INDIRECT("'Ext Tradable'!$" &amp; 'Ext Tradable'!$AS$23 &amp; BR$9),"")</f>
        <v>0</v>
      </c>
      <c r="BS25" s="700">
        <f ca="1">IF(INDIRECT("'Ext Tradable'!$B" &amp; BS$9)=$B25,INDIRECT("'Ext Tradable'!$" &amp; 'Ext Tradable'!$AS$23 &amp; BS$9),"")</f>
        <v>0</v>
      </c>
      <c r="BT25" s="700">
        <f ca="1">IF(INDIRECT("'Ext Tradable'!$B" &amp; BT$9)=$B25,INDIRECT("'Ext Tradable'!$" &amp; 'Ext Tradable'!$AS$23 &amp; BT$9),"")</f>
        <v>0</v>
      </c>
      <c r="BU25" s="700">
        <f ca="1">IF(INDIRECT("'Ext Tradable'!$B" &amp; BU$9)=$B25,INDIRECT("'Ext Tradable'!$" &amp; 'Ext Tradable'!$AS$23 &amp; BU$9),"")</f>
        <v>0</v>
      </c>
      <c r="BV25" s="700">
        <f ca="1">IF(INDIRECT("'Ext Tradable'!$B" &amp; BV$9)=$B25,INDIRECT("'Ext Tradable'!$" &amp; 'Ext Tradable'!$AS$23 &amp; BV$9),"")</f>
        <v>0</v>
      </c>
      <c r="BW25" s="700">
        <f ca="1">IF(INDIRECT("'Ext Tradable'!$B" &amp; BW$9)=$B25,INDIRECT("'Ext Tradable'!$" &amp; 'Ext Tradable'!$AS$23 &amp; BW$9),"")</f>
        <v>0</v>
      </c>
      <c r="BX25" s="700">
        <f ca="1">IF(INDIRECT("'Ext Tradable'!$B" &amp; BX$9)=$B25,INDIRECT("'Ext Tradable'!$" &amp; 'Ext Tradable'!$AS$23 &amp; BX$9),"")</f>
        <v>0</v>
      </c>
      <c r="BY25" s="700">
        <f ca="1">IF(INDIRECT("'Ext Tradable'!$B" &amp; BY$9)=$B25,INDIRECT("'Ext Tradable'!$" &amp; 'Ext Tradable'!$AS$23 &amp; BY$9),"")</f>
        <v>0</v>
      </c>
      <c r="BZ25" s="700">
        <f ca="1">IF(INDIRECT("'Ext Tradable'!$B" &amp; BZ$9)=$B25,INDIRECT("'Ext Tradable'!$" &amp; 'Ext Tradable'!$AS$23 &amp; BZ$9),"")</f>
        <v>0</v>
      </c>
      <c r="CA25" s="700">
        <f ca="1">IF(INDIRECT("'Ext Tradable'!$B" &amp; CA$9)=$B25,INDIRECT("'Ext Tradable'!$" &amp; 'Ext Tradable'!$AS$23 &amp; CA$9),"")</f>
        <v>0</v>
      </c>
      <c r="CB25" s="700">
        <f ca="1">IF(INDIRECT("'Ext Tradable'!$B" &amp; CB$9)=$B25,INDIRECT("'Ext Tradable'!$" &amp; 'Ext Tradable'!$AS$23 &amp; CB$9),"")</f>
        <v>0</v>
      </c>
      <c r="CC25" s="700">
        <f ca="1">IF(INDIRECT("'Ext Tradable'!$B" &amp; CC$9)=$B25,INDIRECT("'Ext Tradable'!$" &amp; 'Ext Tradable'!$AS$23 &amp; CC$9),"")</f>
        <v>0</v>
      </c>
      <c r="CD25" s="700">
        <f ca="1">IF(INDIRECT("'Ext Tradable'!$B" &amp; CD$9)=$B25,INDIRECT("'Ext Tradable'!$" &amp; 'Ext Tradable'!$AS$23 &amp; CD$9),"")</f>
        <v>0</v>
      </c>
      <c r="CE25" s="700">
        <f ca="1">IF(INDIRECT("'Ext Tradable'!$B" &amp; CE$9)=$B25,INDIRECT("'Ext Tradable'!$" &amp; 'Ext Tradable'!$AS$23 &amp; CE$9),"")</f>
        <v>0</v>
      </c>
      <c r="CF25" s="700">
        <f ca="1">IF(INDIRECT("'Ext Tradable'!$B" &amp; CF$9)=$B25,INDIRECT("'Ext Tradable'!$" &amp; 'Ext Tradable'!$AS$23 &amp; CF$9),"")</f>
        <v>0</v>
      </c>
      <c r="CG25" s="700">
        <f ca="1">IF(INDIRECT("'Ext Tradable'!$B" &amp; CG$9)=$B25,INDIRECT("'Ext Tradable'!$" &amp; 'Ext Tradable'!$AS$23 &amp; CG$9),"")</f>
        <v>0</v>
      </c>
      <c r="CH25" s="700">
        <f ca="1">IF(INDIRECT("'Ext Tradable'!$B" &amp; CH$9)=$B25,INDIRECT("'Ext Tradable'!$" &amp; 'Ext Tradable'!$AS$23 &amp; CH$9),"")</f>
        <v>0</v>
      </c>
      <c r="CI25" s="700">
        <f ca="1">IF(INDIRECT("'Ext Tradable'!$B" &amp; CI$9)=$B25,INDIRECT("'Ext Tradable'!$" &amp; 'Ext Tradable'!$AS$23 &amp; CI$9),"")</f>
        <v>0</v>
      </c>
      <c r="CJ25" s="700">
        <f ca="1">IF(INDIRECT("'Ext Tradable'!$B" &amp; CJ$9)=$B25,INDIRECT("'Ext Tradable'!$" &amp; 'Ext Tradable'!$AS$23 &amp; CJ$9),"")</f>
        <v>0</v>
      </c>
      <c r="CK25" s="700">
        <f ca="1">IF(INDIRECT("'Ext Tradable'!$B" &amp; CK$9)=$B25,INDIRECT("'Ext Tradable'!$" &amp; 'Ext Tradable'!$AS$23 &amp; CK$9),"")</f>
        <v>0</v>
      </c>
      <c r="CL25" s="700">
        <f ca="1">IF(INDIRECT("'Ext Tradable'!$B" &amp; CL$9)=$B25,INDIRECT("'Ext Tradable'!$" &amp; 'Ext Tradable'!$AS$23 &amp; CL$9),"")</f>
        <v>0</v>
      </c>
      <c r="CM25" s="700">
        <f ca="1">IF(INDIRECT("'Ext Tradable'!$B" &amp; CM$9)=$B25,INDIRECT("'Ext Tradable'!$" &amp; 'Ext Tradable'!$AS$23 &amp; CM$9),"")</f>
        <v>0</v>
      </c>
      <c r="CN25" s="700">
        <f ca="1">IF(INDIRECT("'Ext Tradable'!$B" &amp; CN$9)=$B25,INDIRECT("'Ext Tradable'!$" &amp; 'Ext Tradable'!$AS$23 &amp; CN$9),"")</f>
        <v>0</v>
      </c>
      <c r="CO25" s="700">
        <f ca="1">IF(INDIRECT("'Ext Tradable'!$B" &amp; CO$9)=$B25,INDIRECT("'Ext Tradable'!$" &amp; 'Ext Tradable'!$AS$23 &amp; CO$9),"")</f>
        <v>0</v>
      </c>
      <c r="CP25" s="700">
        <f ca="1">IF(INDIRECT("'Ext Tradable'!$B" &amp; CP$9)=$B25,INDIRECT("'Ext Tradable'!$" &amp; 'Ext Tradable'!$AS$23 &amp; CP$9),"")</f>
        <v>0</v>
      </c>
      <c r="CQ25" s="702" t="str">
        <f t="shared" ca="1" si="25"/>
        <v>000000000000000000000000000000</v>
      </c>
    </row>
    <row r="26" spans="1:95" ht="60" customHeight="1" x14ac:dyDescent="0.25">
      <c r="A26" s="705">
        <v>17</v>
      </c>
      <c r="B26" s="707" t="str">
        <f>'Ext Area Schedule'!Y32</f>
        <v/>
      </c>
      <c r="C26" s="707" t="str">
        <f>VLOOKUP($B26,'Ext Area Schedule'!$Y$16:$AE$65,3,FALSE)</f>
        <v/>
      </c>
      <c r="D26" s="792" t="str">
        <f>VLOOKUP($B26,'Ext Area Schedule'!$Y$16:$AE$65,4,FALSE)</f>
        <v/>
      </c>
      <c r="F26" s="792" t="str">
        <f>VLOOKUP($B26,'Ext Area Schedule'!$Y$16:$AE$65,5,FALSE)</f>
        <v/>
      </c>
      <c r="G26" s="792" t="str">
        <f>VLOOKUP($B26,'Ext Area Schedule'!$Y$16:$AE$65,7,FALSE)</f>
        <v/>
      </c>
      <c r="I26" s="703">
        <f t="shared" si="6"/>
        <v>0</v>
      </c>
      <c r="K26" s="703" t="str">
        <f>IF($B26="","",SUMIFS('Ext Tradable'!$M$26:$M$45,'Ext Tradable'!$B$26:$B$45,$B26,'Ext Tradable'!$O$26:$O$45,"New"))</f>
        <v/>
      </c>
      <c r="L26" s="703" t="str">
        <f>IF($B26="","",SUMIFS('Ext Tradable'!$M$26:$M$45,'Ext Tradable'!$B$26:$B$45,$B26,'Ext Tradable'!$O$26:$O$45,""))</f>
        <v/>
      </c>
      <c r="M26" s="703" t="str">
        <f>IF($B26="","",SUMIFS('Ext Tradable'!$K$26:$K$45,'Ext Tradable'!$B$26:$B$45,$B26,'Ext Tradable'!$O$26:$O$45,"New")+SUMIFS('Ext Tradable'!$K$26:$K$45,'Ext Tradable'!$B$26:$B$45,$B26,'Ext Tradable'!$O$26:$O$45,""))</f>
        <v/>
      </c>
      <c r="N26" s="703" t="str">
        <f>IF($B26="","",SUMIFS('Ext Tradable'!$M$26:$M$45,'Ext Tradable'!$B$26:$B$45,$B26,'Ext Tradable'!$O$26:$O$45,"Existing Remains"))</f>
        <v/>
      </c>
      <c r="O26" s="703" t="str">
        <f>IF($B26="","",SUMIFS('Ext Tradable'!$M$26:$M$45,'Ext Tradable'!$B$26:$B$45,$B26,'Ext Tradable'!$O$26:$O$45,"Existing Removed"))</f>
        <v/>
      </c>
      <c r="P26" s="703" t="str">
        <f>IF($B26="","",SUMIFS('Ext Tradable'!$K$26:$K$45,'Ext Tradable'!$B$26:$B$45,$B26,'Ext Tradable'!$O$26:$O$45,"Existing Removed"))</f>
        <v/>
      </c>
      <c r="Q26" s="703" t="str">
        <f t="shared" si="7"/>
        <v/>
      </c>
      <c r="R26" s="703" t="str">
        <f t="shared" si="8"/>
        <v/>
      </c>
      <c r="S26" s="1123" t="str">
        <f t="shared" si="9"/>
        <v/>
      </c>
      <c r="T26" s="1128" t="str">
        <f t="shared" si="23"/>
        <v/>
      </c>
      <c r="U26" s="711" t="str">
        <f t="shared" si="11"/>
        <v/>
      </c>
      <c r="V26" s="712" t="str">
        <f t="shared" si="12"/>
        <v/>
      </c>
      <c r="W26" s="762"/>
      <c r="X26" s="720" t="str">
        <f t="shared" si="13"/>
        <v/>
      </c>
      <c r="Y26" s="721" t="str">
        <f t="shared" si="14"/>
        <v/>
      </c>
      <c r="Z26" s="721" t="str">
        <f t="shared" si="15"/>
        <v/>
      </c>
      <c r="AA26" s="719" t="str">
        <f t="shared" si="2"/>
        <v/>
      </c>
      <c r="AB26" s="762"/>
      <c r="AC26" s="717" t="str">
        <f t="shared" si="16"/>
        <v/>
      </c>
      <c r="AD26" s="718" t="str">
        <f t="shared" si="17"/>
        <v/>
      </c>
      <c r="AE26" s="719" t="str">
        <f t="shared" si="3"/>
        <v/>
      </c>
      <c r="AF26" s="726"/>
      <c r="AG26" s="727" t="str">
        <f t="shared" si="18"/>
        <v/>
      </c>
      <c r="AH26" s="703" t="str">
        <f t="shared" si="19"/>
        <v/>
      </c>
      <c r="AI26" s="1114">
        <f t="shared" si="20"/>
        <v>0</v>
      </c>
      <c r="AK26" s="791" t="str">
        <f t="shared" si="4"/>
        <v/>
      </c>
      <c r="AL26" s="791" t="str">
        <f t="shared" si="21"/>
        <v/>
      </c>
      <c r="AM26" s="707" t="str">
        <f>IF(OR(AK26="Fail",AK26="Fail LPA",AK26=""),"",IF(AL26&lt;&gt;"#1",VLOOKUP(C26,'9.4.3 Tables'!B$142:O$154,14,FALSE),"No NEW controls required"))</f>
        <v/>
      </c>
      <c r="AN26" s="703">
        <f t="shared" si="22"/>
        <v>0</v>
      </c>
      <c r="AQ26">
        <v>17</v>
      </c>
      <c r="AR26" s="15" t="str">
        <f t="shared" si="24"/>
        <v/>
      </c>
      <c r="AS26" s="700" t="str">
        <f ca="1">IF(INDIRECT("'Ext Tradable'!$B" &amp; AS$9)=$B26,INDIRECT("'Ext Tradable'!$" &amp; 'Ext Tradable'!$AS$23 &amp; AS$9),"")</f>
        <v/>
      </c>
      <c r="AT26" s="700" t="str">
        <f ca="1">IF(INDIRECT("'Ext Tradable'!$B" &amp; AT$9)=$B26,INDIRECT("'Ext Tradable'!$" &amp; 'Ext Tradable'!$AS$23 &amp; AT$9),"")</f>
        <v/>
      </c>
      <c r="AU26" s="700" t="str">
        <f ca="1">IF(INDIRECT("'Ext Tradable'!$B" &amp; AU$9)=$B26,INDIRECT("'Ext Tradable'!$" &amp; 'Ext Tradable'!$AS$23 &amp; AU$9),"")</f>
        <v/>
      </c>
      <c r="AV26" s="700" t="str">
        <f ca="1">IF(INDIRECT("'Ext Tradable'!$B" &amp; AV$9)=$B26,INDIRECT("'Ext Tradable'!$" &amp; 'Ext Tradable'!$AS$23 &amp; AV$9),"")</f>
        <v/>
      </c>
      <c r="AW26" s="700" t="str">
        <f ca="1">IF(INDIRECT("'Ext Tradable'!$B" &amp; AW$9)=$B26,INDIRECT("'Ext Tradable'!$" &amp; 'Ext Tradable'!$AS$23 &amp; AW$9),"")</f>
        <v/>
      </c>
      <c r="AX26" s="700" t="str">
        <f ca="1">IF(INDIRECT("'Ext Tradable'!$B" &amp; AX$9)=$B26,INDIRECT("'Ext Tradable'!$" &amp; 'Ext Tradable'!$AS$23 &amp; AX$9),"")</f>
        <v/>
      </c>
      <c r="AY26" s="700" t="str">
        <f ca="1">IF(INDIRECT("'Ext Tradable'!$B" &amp; AY$9)=$B26,INDIRECT("'Ext Tradable'!$" &amp; 'Ext Tradable'!$AS$23 &amp; AY$9),"")</f>
        <v/>
      </c>
      <c r="AZ26" s="700" t="str">
        <f ca="1">IF(INDIRECT("'Ext Tradable'!$B" &amp; AZ$9)=$B26,INDIRECT("'Ext Tradable'!$" &amp; 'Ext Tradable'!$AS$23 &amp; AZ$9),"")</f>
        <v/>
      </c>
      <c r="BA26" s="700" t="str">
        <f ca="1">IF(INDIRECT("'Ext Tradable'!$B" &amp; BA$9)=$B26,INDIRECT("'Ext Tradable'!$" &amp; 'Ext Tradable'!$AS$23 &amp; BA$9),"")</f>
        <v/>
      </c>
      <c r="BB26" s="700" t="str">
        <f ca="1">IF(INDIRECT("'Ext Tradable'!$B" &amp; BB$9)=$B26,INDIRECT("'Ext Tradable'!$" &amp; 'Ext Tradable'!$AS$23 &amp; BB$9),"")</f>
        <v/>
      </c>
      <c r="BC26" s="700" t="str">
        <f ca="1">IF(INDIRECT("'Ext Tradable'!$B" &amp; BC$9)=$B26,INDIRECT("'Ext Tradable'!$" &amp; 'Ext Tradable'!$AS$23 &amp; BC$9),"")</f>
        <v/>
      </c>
      <c r="BD26" s="700" t="str">
        <f ca="1">IF(INDIRECT("'Ext Tradable'!$B" &amp; BD$9)=$B26,INDIRECT("'Ext Tradable'!$" &amp; 'Ext Tradable'!$AS$23 &amp; BD$9),"")</f>
        <v/>
      </c>
      <c r="BE26" s="700" t="str">
        <f ca="1">IF(INDIRECT("'Ext Tradable'!$B" &amp; BE$9)=$B26,INDIRECT("'Ext Tradable'!$" &amp; 'Ext Tradable'!$AS$23 &amp; BE$9),"")</f>
        <v/>
      </c>
      <c r="BF26" s="700" t="str">
        <f ca="1">IF(INDIRECT("'Ext Tradable'!$B" &amp; BF$9)=$B26,INDIRECT("'Ext Tradable'!$" &amp; 'Ext Tradable'!$AS$23 &amp; BF$9),"")</f>
        <v/>
      </c>
      <c r="BG26" s="700" t="str">
        <f ca="1">IF(INDIRECT("'Ext Tradable'!$B" &amp; BG$9)=$B26,INDIRECT("'Ext Tradable'!$" &amp; 'Ext Tradable'!$AS$23 &amp; BG$9),"")</f>
        <v/>
      </c>
      <c r="BH26" s="700" t="str">
        <f ca="1">IF(INDIRECT("'Ext Tradable'!$B" &amp; BH$9)=$B26,INDIRECT("'Ext Tradable'!$" &amp; 'Ext Tradable'!$AS$23 &amp; BH$9),"")</f>
        <v/>
      </c>
      <c r="BI26" s="700" t="str">
        <f ca="1">IF(INDIRECT("'Ext Tradable'!$B" &amp; BI$9)=$B26,INDIRECT("'Ext Tradable'!$" &amp; 'Ext Tradable'!$AS$23 &amp; BI$9),"")</f>
        <v/>
      </c>
      <c r="BJ26" s="700" t="str">
        <f ca="1">IF(INDIRECT("'Ext Tradable'!$B" &amp; BJ$9)=$B26,INDIRECT("'Ext Tradable'!$" &amp; 'Ext Tradable'!$AS$23 &amp; BJ$9),"")</f>
        <v/>
      </c>
      <c r="BK26" s="700" t="str">
        <f ca="1">IF(INDIRECT("'Ext Tradable'!$B" &amp; BK$9)=$B26,INDIRECT("'Ext Tradable'!$" &amp; 'Ext Tradable'!$AS$23 &amp; BK$9),"")</f>
        <v/>
      </c>
      <c r="BL26" s="700" t="str">
        <f ca="1">IF(INDIRECT("'Ext Tradable'!$B" &amp; BL$9)=$B26,INDIRECT("'Ext Tradable'!$" &amp; 'Ext Tradable'!$AS$23 &amp; BL$9),"")</f>
        <v/>
      </c>
      <c r="BM26" s="700">
        <f ca="1">IF(INDIRECT("'Ext Tradable'!$B" &amp; BM$9)=$B26,INDIRECT("'Ext Tradable'!$" &amp; 'Ext Tradable'!$AS$23 &amp; BM$9),"")</f>
        <v>0</v>
      </c>
      <c r="BN26" s="700">
        <f ca="1">IF(INDIRECT("'Ext Tradable'!$B" &amp; BN$9)=$B26,INDIRECT("'Ext Tradable'!$" &amp; 'Ext Tradable'!$AS$23 &amp; BN$9),"")</f>
        <v>0</v>
      </c>
      <c r="BO26" s="700">
        <f ca="1">IF(INDIRECT("'Ext Tradable'!$B" &amp; BO$9)=$B26,INDIRECT("'Ext Tradable'!$" &amp; 'Ext Tradable'!$AS$23 &amp; BO$9),"")</f>
        <v>0</v>
      </c>
      <c r="BP26" s="700">
        <f ca="1">IF(INDIRECT("'Ext Tradable'!$B" &amp; BP$9)=$B26,INDIRECT("'Ext Tradable'!$" &amp; 'Ext Tradable'!$AS$23 &amp; BP$9),"")</f>
        <v>0</v>
      </c>
      <c r="BQ26" s="700">
        <f ca="1">IF(INDIRECT("'Ext Tradable'!$B" &amp; BQ$9)=$B26,INDIRECT("'Ext Tradable'!$" &amp; 'Ext Tradable'!$AS$23 &amp; BQ$9),"")</f>
        <v>0</v>
      </c>
      <c r="BR26" s="700">
        <f ca="1">IF(INDIRECT("'Ext Tradable'!$B" &amp; BR$9)=$B26,INDIRECT("'Ext Tradable'!$" &amp; 'Ext Tradable'!$AS$23 &amp; BR$9),"")</f>
        <v>0</v>
      </c>
      <c r="BS26" s="700">
        <f ca="1">IF(INDIRECT("'Ext Tradable'!$B" &amp; BS$9)=$B26,INDIRECT("'Ext Tradable'!$" &amp; 'Ext Tradable'!$AS$23 &amp; BS$9),"")</f>
        <v>0</v>
      </c>
      <c r="BT26" s="700">
        <f ca="1">IF(INDIRECT("'Ext Tradable'!$B" &amp; BT$9)=$B26,INDIRECT("'Ext Tradable'!$" &amp; 'Ext Tradable'!$AS$23 &amp; BT$9),"")</f>
        <v>0</v>
      </c>
      <c r="BU26" s="700">
        <f ca="1">IF(INDIRECT("'Ext Tradable'!$B" &amp; BU$9)=$B26,INDIRECT("'Ext Tradable'!$" &amp; 'Ext Tradable'!$AS$23 &amp; BU$9),"")</f>
        <v>0</v>
      </c>
      <c r="BV26" s="700">
        <f ca="1">IF(INDIRECT("'Ext Tradable'!$B" &amp; BV$9)=$B26,INDIRECT("'Ext Tradable'!$" &amp; 'Ext Tradable'!$AS$23 &amp; BV$9),"")</f>
        <v>0</v>
      </c>
      <c r="BW26" s="700">
        <f ca="1">IF(INDIRECT("'Ext Tradable'!$B" &amp; BW$9)=$B26,INDIRECT("'Ext Tradable'!$" &amp; 'Ext Tradable'!$AS$23 &amp; BW$9),"")</f>
        <v>0</v>
      </c>
      <c r="BX26" s="700">
        <f ca="1">IF(INDIRECT("'Ext Tradable'!$B" &amp; BX$9)=$B26,INDIRECT("'Ext Tradable'!$" &amp; 'Ext Tradable'!$AS$23 &amp; BX$9),"")</f>
        <v>0</v>
      </c>
      <c r="BY26" s="700">
        <f ca="1">IF(INDIRECT("'Ext Tradable'!$B" &amp; BY$9)=$B26,INDIRECT("'Ext Tradable'!$" &amp; 'Ext Tradable'!$AS$23 &amp; BY$9),"")</f>
        <v>0</v>
      </c>
      <c r="BZ26" s="700">
        <f ca="1">IF(INDIRECT("'Ext Tradable'!$B" &amp; BZ$9)=$B26,INDIRECT("'Ext Tradable'!$" &amp; 'Ext Tradable'!$AS$23 &amp; BZ$9),"")</f>
        <v>0</v>
      </c>
      <c r="CA26" s="700">
        <f ca="1">IF(INDIRECT("'Ext Tradable'!$B" &amp; CA$9)=$B26,INDIRECT("'Ext Tradable'!$" &amp; 'Ext Tradable'!$AS$23 &amp; CA$9),"")</f>
        <v>0</v>
      </c>
      <c r="CB26" s="700">
        <f ca="1">IF(INDIRECT("'Ext Tradable'!$B" &amp; CB$9)=$B26,INDIRECT("'Ext Tradable'!$" &amp; 'Ext Tradable'!$AS$23 &amp; CB$9),"")</f>
        <v>0</v>
      </c>
      <c r="CC26" s="700">
        <f ca="1">IF(INDIRECT("'Ext Tradable'!$B" &amp; CC$9)=$B26,INDIRECT("'Ext Tradable'!$" &amp; 'Ext Tradable'!$AS$23 &amp; CC$9),"")</f>
        <v>0</v>
      </c>
      <c r="CD26" s="700">
        <f ca="1">IF(INDIRECT("'Ext Tradable'!$B" &amp; CD$9)=$B26,INDIRECT("'Ext Tradable'!$" &amp; 'Ext Tradable'!$AS$23 &amp; CD$9),"")</f>
        <v>0</v>
      </c>
      <c r="CE26" s="700">
        <f ca="1">IF(INDIRECT("'Ext Tradable'!$B" &amp; CE$9)=$B26,INDIRECT("'Ext Tradable'!$" &amp; 'Ext Tradable'!$AS$23 &amp; CE$9),"")</f>
        <v>0</v>
      </c>
      <c r="CF26" s="700">
        <f ca="1">IF(INDIRECT("'Ext Tradable'!$B" &amp; CF$9)=$B26,INDIRECT("'Ext Tradable'!$" &amp; 'Ext Tradable'!$AS$23 &amp; CF$9),"")</f>
        <v>0</v>
      </c>
      <c r="CG26" s="700">
        <f ca="1">IF(INDIRECT("'Ext Tradable'!$B" &amp; CG$9)=$B26,INDIRECT("'Ext Tradable'!$" &amp; 'Ext Tradable'!$AS$23 &amp; CG$9),"")</f>
        <v>0</v>
      </c>
      <c r="CH26" s="700">
        <f ca="1">IF(INDIRECT("'Ext Tradable'!$B" &amp; CH$9)=$B26,INDIRECT("'Ext Tradable'!$" &amp; 'Ext Tradable'!$AS$23 &amp; CH$9),"")</f>
        <v>0</v>
      </c>
      <c r="CI26" s="700">
        <f ca="1">IF(INDIRECT("'Ext Tradable'!$B" &amp; CI$9)=$B26,INDIRECT("'Ext Tradable'!$" &amp; 'Ext Tradable'!$AS$23 &amp; CI$9),"")</f>
        <v>0</v>
      </c>
      <c r="CJ26" s="700">
        <f ca="1">IF(INDIRECT("'Ext Tradable'!$B" &amp; CJ$9)=$B26,INDIRECT("'Ext Tradable'!$" &amp; 'Ext Tradable'!$AS$23 &amp; CJ$9),"")</f>
        <v>0</v>
      </c>
      <c r="CK26" s="700">
        <f ca="1">IF(INDIRECT("'Ext Tradable'!$B" &amp; CK$9)=$B26,INDIRECT("'Ext Tradable'!$" &amp; 'Ext Tradable'!$AS$23 &amp; CK$9),"")</f>
        <v>0</v>
      </c>
      <c r="CL26" s="700">
        <f ca="1">IF(INDIRECT("'Ext Tradable'!$B" &amp; CL$9)=$B26,INDIRECT("'Ext Tradable'!$" &amp; 'Ext Tradable'!$AS$23 &amp; CL$9),"")</f>
        <v>0</v>
      </c>
      <c r="CM26" s="700">
        <f ca="1">IF(INDIRECT("'Ext Tradable'!$B" &amp; CM$9)=$B26,INDIRECT("'Ext Tradable'!$" &amp; 'Ext Tradable'!$AS$23 &amp; CM$9),"")</f>
        <v>0</v>
      </c>
      <c r="CN26" s="700">
        <f ca="1">IF(INDIRECT("'Ext Tradable'!$B" &amp; CN$9)=$B26,INDIRECT("'Ext Tradable'!$" &amp; 'Ext Tradable'!$AS$23 &amp; CN$9),"")</f>
        <v>0</v>
      </c>
      <c r="CO26" s="700">
        <f ca="1">IF(INDIRECT("'Ext Tradable'!$B" &amp; CO$9)=$B26,INDIRECT("'Ext Tradable'!$" &amp; 'Ext Tradable'!$AS$23 &amp; CO$9),"")</f>
        <v>0</v>
      </c>
      <c r="CP26" s="700">
        <f ca="1">IF(INDIRECT("'Ext Tradable'!$B" &amp; CP$9)=$B26,INDIRECT("'Ext Tradable'!$" &amp; 'Ext Tradable'!$AS$23 &amp; CP$9),"")</f>
        <v>0</v>
      </c>
      <c r="CQ26" s="702" t="str">
        <f t="shared" ca="1" si="25"/>
        <v>000000000000000000000000000000</v>
      </c>
    </row>
    <row r="27" spans="1:95" ht="60" customHeight="1" x14ac:dyDescent="0.25">
      <c r="A27" s="705">
        <v>18</v>
      </c>
      <c r="B27" s="707" t="str">
        <f>'Ext Area Schedule'!Y33</f>
        <v/>
      </c>
      <c r="C27" s="707" t="str">
        <f>VLOOKUP($B27,'Ext Area Schedule'!$Y$16:$AE$65,3,FALSE)</f>
        <v/>
      </c>
      <c r="D27" s="792" t="str">
        <f>VLOOKUP($B27,'Ext Area Schedule'!$Y$16:$AE$65,4,FALSE)</f>
        <v/>
      </c>
      <c r="F27" s="792" t="str">
        <f>VLOOKUP($B27,'Ext Area Schedule'!$Y$16:$AE$65,5,FALSE)</f>
        <v/>
      </c>
      <c r="G27" s="792" t="str">
        <f>VLOOKUP($B27,'Ext Area Schedule'!$Y$16:$AE$65,7,FALSE)</f>
        <v/>
      </c>
      <c r="I27" s="703">
        <f t="shared" si="6"/>
        <v>0</v>
      </c>
      <c r="K27" s="703" t="str">
        <f>IF($B27="","",SUMIFS('Ext Tradable'!$M$26:$M$45,'Ext Tradable'!$B$26:$B$45,$B27,'Ext Tradable'!$O$26:$O$45,"New"))</f>
        <v/>
      </c>
      <c r="L27" s="703" t="str">
        <f>IF($B27="","",SUMIFS('Ext Tradable'!$M$26:$M$45,'Ext Tradable'!$B$26:$B$45,$B27,'Ext Tradable'!$O$26:$O$45,""))</f>
        <v/>
      </c>
      <c r="M27" s="703" t="str">
        <f>IF($B27="","",SUMIFS('Ext Tradable'!$K$26:$K$45,'Ext Tradable'!$B$26:$B$45,$B27,'Ext Tradable'!$O$26:$O$45,"New")+SUMIFS('Ext Tradable'!$K$26:$K$45,'Ext Tradable'!$B$26:$B$45,$B27,'Ext Tradable'!$O$26:$O$45,""))</f>
        <v/>
      </c>
      <c r="N27" s="703" t="str">
        <f>IF($B27="","",SUMIFS('Ext Tradable'!$M$26:$M$45,'Ext Tradable'!$B$26:$B$45,$B27,'Ext Tradable'!$O$26:$O$45,"Existing Remains"))</f>
        <v/>
      </c>
      <c r="O27" s="703" t="str">
        <f>IF($B27="","",SUMIFS('Ext Tradable'!$M$26:$M$45,'Ext Tradable'!$B$26:$B$45,$B27,'Ext Tradable'!$O$26:$O$45,"Existing Removed"))</f>
        <v/>
      </c>
      <c r="P27" s="703" t="str">
        <f>IF($B27="","",SUMIFS('Ext Tradable'!$K$26:$K$45,'Ext Tradable'!$B$26:$B$45,$B27,'Ext Tradable'!$O$26:$O$45,"Existing Removed"))</f>
        <v/>
      </c>
      <c r="Q27" s="703" t="str">
        <f t="shared" si="7"/>
        <v/>
      </c>
      <c r="R27" s="703" t="str">
        <f t="shared" si="8"/>
        <v/>
      </c>
      <c r="S27" s="1123" t="str">
        <f t="shared" si="9"/>
        <v/>
      </c>
      <c r="T27" s="1128" t="str">
        <f t="shared" si="23"/>
        <v/>
      </c>
      <c r="U27" s="711" t="str">
        <f t="shared" si="11"/>
        <v/>
      </c>
      <c r="V27" s="712" t="str">
        <f t="shared" si="12"/>
        <v/>
      </c>
      <c r="W27" s="762"/>
      <c r="X27" s="720" t="str">
        <f t="shared" si="13"/>
        <v/>
      </c>
      <c r="Y27" s="721" t="str">
        <f t="shared" si="14"/>
        <v/>
      </c>
      <c r="Z27" s="721" t="str">
        <f t="shared" si="15"/>
        <v/>
      </c>
      <c r="AA27" s="719" t="str">
        <f t="shared" si="2"/>
        <v/>
      </c>
      <c r="AB27" s="762"/>
      <c r="AC27" s="717" t="str">
        <f t="shared" si="16"/>
        <v/>
      </c>
      <c r="AD27" s="718" t="str">
        <f t="shared" si="17"/>
        <v/>
      </c>
      <c r="AE27" s="719" t="str">
        <f t="shared" si="3"/>
        <v/>
      </c>
      <c r="AF27" s="726"/>
      <c r="AG27" s="727" t="str">
        <f t="shared" si="18"/>
        <v/>
      </c>
      <c r="AH27" s="703" t="str">
        <f t="shared" si="19"/>
        <v/>
      </c>
      <c r="AI27" s="1114">
        <f t="shared" si="20"/>
        <v>0</v>
      </c>
      <c r="AK27" s="791" t="str">
        <f t="shared" si="4"/>
        <v/>
      </c>
      <c r="AL27" s="791" t="str">
        <f t="shared" si="21"/>
        <v/>
      </c>
      <c r="AM27" s="707" t="str">
        <f>IF(OR(AK27="Fail",AK27="Fail LPA",AK27=""),"",IF(AL27&lt;&gt;"#1",VLOOKUP(C27,'9.4.3 Tables'!B$142:O$154,14,FALSE),"No NEW controls required"))</f>
        <v/>
      </c>
      <c r="AN27" s="703">
        <f t="shared" si="22"/>
        <v>0</v>
      </c>
      <c r="AQ27">
        <v>18</v>
      </c>
      <c r="AR27" s="15" t="str">
        <f t="shared" si="24"/>
        <v/>
      </c>
      <c r="AS27" s="700" t="str">
        <f ca="1">IF(INDIRECT("'Ext Tradable'!$B" &amp; AS$9)=$B27,INDIRECT("'Ext Tradable'!$" &amp; 'Ext Tradable'!$AS$23 &amp; AS$9),"")</f>
        <v/>
      </c>
      <c r="AT27" s="700" t="str">
        <f ca="1">IF(INDIRECT("'Ext Tradable'!$B" &amp; AT$9)=$B27,INDIRECT("'Ext Tradable'!$" &amp; 'Ext Tradable'!$AS$23 &amp; AT$9),"")</f>
        <v/>
      </c>
      <c r="AU27" s="700" t="str">
        <f ca="1">IF(INDIRECT("'Ext Tradable'!$B" &amp; AU$9)=$B27,INDIRECT("'Ext Tradable'!$" &amp; 'Ext Tradable'!$AS$23 &amp; AU$9),"")</f>
        <v/>
      </c>
      <c r="AV27" s="700" t="str">
        <f ca="1">IF(INDIRECT("'Ext Tradable'!$B" &amp; AV$9)=$B27,INDIRECT("'Ext Tradable'!$" &amp; 'Ext Tradable'!$AS$23 &amp; AV$9),"")</f>
        <v/>
      </c>
      <c r="AW27" s="700" t="str">
        <f ca="1">IF(INDIRECT("'Ext Tradable'!$B" &amp; AW$9)=$B27,INDIRECT("'Ext Tradable'!$" &amp; 'Ext Tradable'!$AS$23 &amp; AW$9),"")</f>
        <v/>
      </c>
      <c r="AX27" s="700" t="str">
        <f ca="1">IF(INDIRECT("'Ext Tradable'!$B" &amp; AX$9)=$B27,INDIRECT("'Ext Tradable'!$" &amp; 'Ext Tradable'!$AS$23 &amp; AX$9),"")</f>
        <v/>
      </c>
      <c r="AY27" s="700" t="str">
        <f ca="1">IF(INDIRECT("'Ext Tradable'!$B" &amp; AY$9)=$B27,INDIRECT("'Ext Tradable'!$" &amp; 'Ext Tradable'!$AS$23 &amp; AY$9),"")</f>
        <v/>
      </c>
      <c r="AZ27" s="700" t="str">
        <f ca="1">IF(INDIRECT("'Ext Tradable'!$B" &amp; AZ$9)=$B27,INDIRECT("'Ext Tradable'!$" &amp; 'Ext Tradable'!$AS$23 &amp; AZ$9),"")</f>
        <v/>
      </c>
      <c r="BA27" s="700" t="str">
        <f ca="1">IF(INDIRECT("'Ext Tradable'!$B" &amp; BA$9)=$B27,INDIRECT("'Ext Tradable'!$" &amp; 'Ext Tradable'!$AS$23 &amp; BA$9),"")</f>
        <v/>
      </c>
      <c r="BB27" s="700" t="str">
        <f ca="1">IF(INDIRECT("'Ext Tradable'!$B" &amp; BB$9)=$B27,INDIRECT("'Ext Tradable'!$" &amp; 'Ext Tradable'!$AS$23 &amp; BB$9),"")</f>
        <v/>
      </c>
      <c r="BC27" s="700" t="str">
        <f ca="1">IF(INDIRECT("'Ext Tradable'!$B" &amp; BC$9)=$B27,INDIRECT("'Ext Tradable'!$" &amp; 'Ext Tradable'!$AS$23 &amp; BC$9),"")</f>
        <v/>
      </c>
      <c r="BD27" s="700" t="str">
        <f ca="1">IF(INDIRECT("'Ext Tradable'!$B" &amp; BD$9)=$B27,INDIRECT("'Ext Tradable'!$" &amp; 'Ext Tradable'!$AS$23 &amp; BD$9),"")</f>
        <v/>
      </c>
      <c r="BE27" s="700" t="str">
        <f ca="1">IF(INDIRECT("'Ext Tradable'!$B" &amp; BE$9)=$B27,INDIRECT("'Ext Tradable'!$" &amp; 'Ext Tradable'!$AS$23 &amp; BE$9),"")</f>
        <v/>
      </c>
      <c r="BF27" s="700" t="str">
        <f ca="1">IF(INDIRECT("'Ext Tradable'!$B" &amp; BF$9)=$B27,INDIRECT("'Ext Tradable'!$" &amp; 'Ext Tradable'!$AS$23 &amp; BF$9),"")</f>
        <v/>
      </c>
      <c r="BG27" s="700" t="str">
        <f ca="1">IF(INDIRECT("'Ext Tradable'!$B" &amp; BG$9)=$B27,INDIRECT("'Ext Tradable'!$" &amp; 'Ext Tradable'!$AS$23 &amp; BG$9),"")</f>
        <v/>
      </c>
      <c r="BH27" s="700" t="str">
        <f ca="1">IF(INDIRECT("'Ext Tradable'!$B" &amp; BH$9)=$B27,INDIRECT("'Ext Tradable'!$" &amp; 'Ext Tradable'!$AS$23 &amp; BH$9),"")</f>
        <v/>
      </c>
      <c r="BI27" s="700" t="str">
        <f ca="1">IF(INDIRECT("'Ext Tradable'!$B" &amp; BI$9)=$B27,INDIRECT("'Ext Tradable'!$" &amp; 'Ext Tradable'!$AS$23 &amp; BI$9),"")</f>
        <v/>
      </c>
      <c r="BJ27" s="700" t="str">
        <f ca="1">IF(INDIRECT("'Ext Tradable'!$B" &amp; BJ$9)=$B27,INDIRECT("'Ext Tradable'!$" &amp; 'Ext Tradable'!$AS$23 &amp; BJ$9),"")</f>
        <v/>
      </c>
      <c r="BK27" s="700" t="str">
        <f ca="1">IF(INDIRECT("'Ext Tradable'!$B" &amp; BK$9)=$B27,INDIRECT("'Ext Tradable'!$" &amp; 'Ext Tradable'!$AS$23 &amp; BK$9),"")</f>
        <v/>
      </c>
      <c r="BL27" s="700" t="str">
        <f ca="1">IF(INDIRECT("'Ext Tradable'!$B" &amp; BL$9)=$B27,INDIRECT("'Ext Tradable'!$" &amp; 'Ext Tradable'!$AS$23 &amp; BL$9),"")</f>
        <v/>
      </c>
      <c r="BM27" s="700">
        <f ca="1">IF(INDIRECT("'Ext Tradable'!$B" &amp; BM$9)=$B27,INDIRECT("'Ext Tradable'!$" &amp; 'Ext Tradable'!$AS$23 &amp; BM$9),"")</f>
        <v>0</v>
      </c>
      <c r="BN27" s="700">
        <f ca="1">IF(INDIRECT("'Ext Tradable'!$B" &amp; BN$9)=$B27,INDIRECT("'Ext Tradable'!$" &amp; 'Ext Tradable'!$AS$23 &amp; BN$9),"")</f>
        <v>0</v>
      </c>
      <c r="BO27" s="700">
        <f ca="1">IF(INDIRECT("'Ext Tradable'!$B" &amp; BO$9)=$B27,INDIRECT("'Ext Tradable'!$" &amp; 'Ext Tradable'!$AS$23 &amp; BO$9),"")</f>
        <v>0</v>
      </c>
      <c r="BP27" s="700">
        <f ca="1">IF(INDIRECT("'Ext Tradable'!$B" &amp; BP$9)=$B27,INDIRECT("'Ext Tradable'!$" &amp; 'Ext Tradable'!$AS$23 &amp; BP$9),"")</f>
        <v>0</v>
      </c>
      <c r="BQ27" s="700">
        <f ca="1">IF(INDIRECT("'Ext Tradable'!$B" &amp; BQ$9)=$B27,INDIRECT("'Ext Tradable'!$" &amp; 'Ext Tradable'!$AS$23 &amp; BQ$9),"")</f>
        <v>0</v>
      </c>
      <c r="BR27" s="700">
        <f ca="1">IF(INDIRECT("'Ext Tradable'!$B" &amp; BR$9)=$B27,INDIRECT("'Ext Tradable'!$" &amp; 'Ext Tradable'!$AS$23 &amp; BR$9),"")</f>
        <v>0</v>
      </c>
      <c r="BS27" s="700">
        <f ca="1">IF(INDIRECT("'Ext Tradable'!$B" &amp; BS$9)=$B27,INDIRECT("'Ext Tradable'!$" &amp; 'Ext Tradable'!$AS$23 &amp; BS$9),"")</f>
        <v>0</v>
      </c>
      <c r="BT27" s="700">
        <f ca="1">IF(INDIRECT("'Ext Tradable'!$B" &amp; BT$9)=$B27,INDIRECT("'Ext Tradable'!$" &amp; 'Ext Tradable'!$AS$23 &amp; BT$9),"")</f>
        <v>0</v>
      </c>
      <c r="BU27" s="700">
        <f ca="1">IF(INDIRECT("'Ext Tradable'!$B" &amp; BU$9)=$B27,INDIRECT("'Ext Tradable'!$" &amp; 'Ext Tradable'!$AS$23 &amp; BU$9),"")</f>
        <v>0</v>
      </c>
      <c r="BV27" s="700">
        <f ca="1">IF(INDIRECT("'Ext Tradable'!$B" &amp; BV$9)=$B27,INDIRECT("'Ext Tradable'!$" &amp; 'Ext Tradable'!$AS$23 &amp; BV$9),"")</f>
        <v>0</v>
      </c>
      <c r="BW27" s="700">
        <f ca="1">IF(INDIRECT("'Ext Tradable'!$B" &amp; BW$9)=$B27,INDIRECT("'Ext Tradable'!$" &amp; 'Ext Tradable'!$AS$23 &amp; BW$9),"")</f>
        <v>0</v>
      </c>
      <c r="BX27" s="700">
        <f ca="1">IF(INDIRECT("'Ext Tradable'!$B" &amp; BX$9)=$B27,INDIRECT("'Ext Tradable'!$" &amp; 'Ext Tradable'!$AS$23 &amp; BX$9),"")</f>
        <v>0</v>
      </c>
      <c r="BY27" s="700">
        <f ca="1">IF(INDIRECT("'Ext Tradable'!$B" &amp; BY$9)=$B27,INDIRECT("'Ext Tradable'!$" &amp; 'Ext Tradable'!$AS$23 &amp; BY$9),"")</f>
        <v>0</v>
      </c>
      <c r="BZ27" s="700">
        <f ca="1">IF(INDIRECT("'Ext Tradable'!$B" &amp; BZ$9)=$B27,INDIRECT("'Ext Tradable'!$" &amp; 'Ext Tradable'!$AS$23 &amp; BZ$9),"")</f>
        <v>0</v>
      </c>
      <c r="CA27" s="700">
        <f ca="1">IF(INDIRECT("'Ext Tradable'!$B" &amp; CA$9)=$B27,INDIRECT("'Ext Tradable'!$" &amp; 'Ext Tradable'!$AS$23 &amp; CA$9),"")</f>
        <v>0</v>
      </c>
      <c r="CB27" s="700">
        <f ca="1">IF(INDIRECT("'Ext Tradable'!$B" &amp; CB$9)=$B27,INDIRECT("'Ext Tradable'!$" &amp; 'Ext Tradable'!$AS$23 &amp; CB$9),"")</f>
        <v>0</v>
      </c>
      <c r="CC27" s="700">
        <f ca="1">IF(INDIRECT("'Ext Tradable'!$B" &amp; CC$9)=$B27,INDIRECT("'Ext Tradable'!$" &amp; 'Ext Tradable'!$AS$23 &amp; CC$9),"")</f>
        <v>0</v>
      </c>
      <c r="CD27" s="700">
        <f ca="1">IF(INDIRECT("'Ext Tradable'!$B" &amp; CD$9)=$B27,INDIRECT("'Ext Tradable'!$" &amp; 'Ext Tradable'!$AS$23 &amp; CD$9),"")</f>
        <v>0</v>
      </c>
      <c r="CE27" s="700">
        <f ca="1">IF(INDIRECT("'Ext Tradable'!$B" &amp; CE$9)=$B27,INDIRECT("'Ext Tradable'!$" &amp; 'Ext Tradable'!$AS$23 &amp; CE$9),"")</f>
        <v>0</v>
      </c>
      <c r="CF27" s="700">
        <f ca="1">IF(INDIRECT("'Ext Tradable'!$B" &amp; CF$9)=$B27,INDIRECT("'Ext Tradable'!$" &amp; 'Ext Tradable'!$AS$23 &amp; CF$9),"")</f>
        <v>0</v>
      </c>
      <c r="CG27" s="700">
        <f ca="1">IF(INDIRECT("'Ext Tradable'!$B" &amp; CG$9)=$B27,INDIRECT("'Ext Tradable'!$" &amp; 'Ext Tradable'!$AS$23 &amp; CG$9),"")</f>
        <v>0</v>
      </c>
      <c r="CH27" s="700">
        <f ca="1">IF(INDIRECT("'Ext Tradable'!$B" &amp; CH$9)=$B27,INDIRECT("'Ext Tradable'!$" &amp; 'Ext Tradable'!$AS$23 &amp; CH$9),"")</f>
        <v>0</v>
      </c>
      <c r="CI27" s="700">
        <f ca="1">IF(INDIRECT("'Ext Tradable'!$B" &amp; CI$9)=$B27,INDIRECT("'Ext Tradable'!$" &amp; 'Ext Tradable'!$AS$23 &amp; CI$9),"")</f>
        <v>0</v>
      </c>
      <c r="CJ27" s="700">
        <f ca="1">IF(INDIRECT("'Ext Tradable'!$B" &amp; CJ$9)=$B27,INDIRECT("'Ext Tradable'!$" &amp; 'Ext Tradable'!$AS$23 &amp; CJ$9),"")</f>
        <v>0</v>
      </c>
      <c r="CK27" s="700">
        <f ca="1">IF(INDIRECT("'Ext Tradable'!$B" &amp; CK$9)=$B27,INDIRECT("'Ext Tradable'!$" &amp; 'Ext Tradable'!$AS$23 &amp; CK$9),"")</f>
        <v>0</v>
      </c>
      <c r="CL27" s="700">
        <f ca="1">IF(INDIRECT("'Ext Tradable'!$B" &amp; CL$9)=$B27,INDIRECT("'Ext Tradable'!$" &amp; 'Ext Tradable'!$AS$23 &amp; CL$9),"")</f>
        <v>0</v>
      </c>
      <c r="CM27" s="700">
        <f ca="1">IF(INDIRECT("'Ext Tradable'!$B" &amp; CM$9)=$B27,INDIRECT("'Ext Tradable'!$" &amp; 'Ext Tradable'!$AS$23 &amp; CM$9),"")</f>
        <v>0</v>
      </c>
      <c r="CN27" s="700">
        <f ca="1">IF(INDIRECT("'Ext Tradable'!$B" &amp; CN$9)=$B27,INDIRECT("'Ext Tradable'!$" &amp; 'Ext Tradable'!$AS$23 &amp; CN$9),"")</f>
        <v>0</v>
      </c>
      <c r="CO27" s="700">
        <f ca="1">IF(INDIRECT("'Ext Tradable'!$B" &amp; CO$9)=$B27,INDIRECT("'Ext Tradable'!$" &amp; 'Ext Tradable'!$AS$23 &amp; CO$9),"")</f>
        <v>0</v>
      </c>
      <c r="CP27" s="700">
        <f ca="1">IF(INDIRECT("'Ext Tradable'!$B" &amp; CP$9)=$B27,INDIRECT("'Ext Tradable'!$" &amp; 'Ext Tradable'!$AS$23 &amp; CP$9),"")</f>
        <v>0</v>
      </c>
      <c r="CQ27" s="702" t="str">
        <f t="shared" ca="1" si="25"/>
        <v>000000000000000000000000000000</v>
      </c>
    </row>
    <row r="28" spans="1:95" ht="60" customHeight="1" x14ac:dyDescent="0.25">
      <c r="A28" s="705">
        <v>19</v>
      </c>
      <c r="B28" s="707" t="str">
        <f>'Ext Area Schedule'!Y34</f>
        <v/>
      </c>
      <c r="C28" s="707" t="str">
        <f>VLOOKUP($B28,'Ext Area Schedule'!$Y$16:$AE$65,3,FALSE)</f>
        <v/>
      </c>
      <c r="D28" s="792" t="str">
        <f>VLOOKUP($B28,'Ext Area Schedule'!$Y$16:$AE$65,4,FALSE)</f>
        <v/>
      </c>
      <c r="F28" s="792" t="str">
        <f>VLOOKUP($B28,'Ext Area Schedule'!$Y$16:$AE$65,5,FALSE)</f>
        <v/>
      </c>
      <c r="G28" s="792" t="str">
        <f>VLOOKUP($B28,'Ext Area Schedule'!$Y$16:$AE$65,7,FALSE)</f>
        <v/>
      </c>
      <c r="I28" s="703">
        <f t="shared" si="6"/>
        <v>0</v>
      </c>
      <c r="K28" s="703" t="str">
        <f>IF($B28="","",SUMIFS('Ext Tradable'!$M$26:$M$45,'Ext Tradable'!$B$26:$B$45,$B28,'Ext Tradable'!$O$26:$O$45,"New"))</f>
        <v/>
      </c>
      <c r="L28" s="703" t="str">
        <f>IF($B28="","",SUMIFS('Ext Tradable'!$M$26:$M$45,'Ext Tradable'!$B$26:$B$45,$B28,'Ext Tradable'!$O$26:$O$45,""))</f>
        <v/>
      </c>
      <c r="M28" s="703" t="str">
        <f>IF($B28="","",SUMIFS('Ext Tradable'!$K$26:$K$45,'Ext Tradable'!$B$26:$B$45,$B28,'Ext Tradable'!$O$26:$O$45,"New")+SUMIFS('Ext Tradable'!$K$26:$K$45,'Ext Tradable'!$B$26:$B$45,$B28,'Ext Tradable'!$O$26:$O$45,""))</f>
        <v/>
      </c>
      <c r="N28" s="703" t="str">
        <f>IF($B28="","",SUMIFS('Ext Tradable'!$M$26:$M$45,'Ext Tradable'!$B$26:$B$45,$B28,'Ext Tradable'!$O$26:$O$45,"Existing Remains"))</f>
        <v/>
      </c>
      <c r="O28" s="703" t="str">
        <f>IF($B28="","",SUMIFS('Ext Tradable'!$M$26:$M$45,'Ext Tradable'!$B$26:$B$45,$B28,'Ext Tradable'!$O$26:$O$45,"Existing Removed"))</f>
        <v/>
      </c>
      <c r="P28" s="703" t="str">
        <f>IF($B28="","",SUMIFS('Ext Tradable'!$K$26:$K$45,'Ext Tradable'!$B$26:$B$45,$B28,'Ext Tradable'!$O$26:$O$45,"Existing Removed"))</f>
        <v/>
      </c>
      <c r="Q28" s="703" t="str">
        <f t="shared" si="7"/>
        <v/>
      </c>
      <c r="R28" s="703" t="str">
        <f t="shared" si="8"/>
        <v/>
      </c>
      <c r="S28" s="1123" t="str">
        <f t="shared" si="9"/>
        <v/>
      </c>
      <c r="T28" s="1128" t="str">
        <f t="shared" si="23"/>
        <v/>
      </c>
      <c r="U28" s="711" t="str">
        <f t="shared" si="11"/>
        <v/>
      </c>
      <c r="V28" s="712" t="str">
        <f t="shared" si="12"/>
        <v/>
      </c>
      <c r="W28" s="762"/>
      <c r="X28" s="720" t="str">
        <f t="shared" si="13"/>
        <v/>
      </c>
      <c r="Y28" s="721" t="str">
        <f t="shared" si="14"/>
        <v/>
      </c>
      <c r="Z28" s="721" t="str">
        <f t="shared" si="15"/>
        <v/>
      </c>
      <c r="AA28" s="719" t="str">
        <f t="shared" si="2"/>
        <v/>
      </c>
      <c r="AB28" s="762"/>
      <c r="AC28" s="717" t="str">
        <f t="shared" si="16"/>
        <v/>
      </c>
      <c r="AD28" s="718" t="str">
        <f t="shared" si="17"/>
        <v/>
      </c>
      <c r="AE28" s="719" t="str">
        <f t="shared" si="3"/>
        <v/>
      </c>
      <c r="AF28" s="726"/>
      <c r="AG28" s="727" t="str">
        <f t="shared" si="18"/>
        <v/>
      </c>
      <c r="AH28" s="703" t="str">
        <f t="shared" si="19"/>
        <v/>
      </c>
      <c r="AI28" s="1114">
        <f t="shared" si="20"/>
        <v>0</v>
      </c>
      <c r="AK28" s="791" t="str">
        <f t="shared" si="4"/>
        <v/>
      </c>
      <c r="AL28" s="791" t="str">
        <f t="shared" si="21"/>
        <v/>
      </c>
      <c r="AM28" s="707" t="str">
        <f>IF(OR(AK28="Fail",AK28="Fail LPA",AK28=""),"",IF(AL28&lt;&gt;"#1",VLOOKUP(C28,'9.4.3 Tables'!B$142:O$154,14,FALSE),"No NEW controls required"))</f>
        <v/>
      </c>
      <c r="AN28" s="703">
        <f t="shared" si="22"/>
        <v>0</v>
      </c>
      <c r="AQ28">
        <v>19</v>
      </c>
      <c r="AR28" s="15" t="str">
        <f t="shared" si="24"/>
        <v/>
      </c>
      <c r="AS28" s="700" t="str">
        <f ca="1">IF(INDIRECT("'Ext Tradable'!$B" &amp; AS$9)=$B28,INDIRECT("'Ext Tradable'!$" &amp; 'Ext Tradable'!$AS$23 &amp; AS$9),"")</f>
        <v/>
      </c>
      <c r="AT28" s="700" t="str">
        <f ca="1">IF(INDIRECT("'Ext Tradable'!$B" &amp; AT$9)=$B28,INDIRECT("'Ext Tradable'!$" &amp; 'Ext Tradable'!$AS$23 &amp; AT$9),"")</f>
        <v/>
      </c>
      <c r="AU28" s="700" t="str">
        <f ca="1">IF(INDIRECT("'Ext Tradable'!$B" &amp; AU$9)=$B28,INDIRECT("'Ext Tradable'!$" &amp; 'Ext Tradable'!$AS$23 &amp; AU$9),"")</f>
        <v/>
      </c>
      <c r="AV28" s="700" t="str">
        <f ca="1">IF(INDIRECT("'Ext Tradable'!$B" &amp; AV$9)=$B28,INDIRECT("'Ext Tradable'!$" &amp; 'Ext Tradable'!$AS$23 &amp; AV$9),"")</f>
        <v/>
      </c>
      <c r="AW28" s="700" t="str">
        <f ca="1">IF(INDIRECT("'Ext Tradable'!$B" &amp; AW$9)=$B28,INDIRECT("'Ext Tradable'!$" &amp; 'Ext Tradable'!$AS$23 &amp; AW$9),"")</f>
        <v/>
      </c>
      <c r="AX28" s="700" t="str">
        <f ca="1">IF(INDIRECT("'Ext Tradable'!$B" &amp; AX$9)=$B28,INDIRECT("'Ext Tradable'!$" &amp; 'Ext Tradable'!$AS$23 &amp; AX$9),"")</f>
        <v/>
      </c>
      <c r="AY28" s="700" t="str">
        <f ca="1">IF(INDIRECT("'Ext Tradable'!$B" &amp; AY$9)=$B28,INDIRECT("'Ext Tradable'!$" &amp; 'Ext Tradable'!$AS$23 &amp; AY$9),"")</f>
        <v/>
      </c>
      <c r="AZ28" s="700" t="str">
        <f ca="1">IF(INDIRECT("'Ext Tradable'!$B" &amp; AZ$9)=$B28,INDIRECT("'Ext Tradable'!$" &amp; 'Ext Tradable'!$AS$23 &amp; AZ$9),"")</f>
        <v/>
      </c>
      <c r="BA28" s="700" t="str">
        <f ca="1">IF(INDIRECT("'Ext Tradable'!$B" &amp; BA$9)=$B28,INDIRECT("'Ext Tradable'!$" &amp; 'Ext Tradable'!$AS$23 &amp; BA$9),"")</f>
        <v/>
      </c>
      <c r="BB28" s="700" t="str">
        <f ca="1">IF(INDIRECT("'Ext Tradable'!$B" &amp; BB$9)=$B28,INDIRECT("'Ext Tradable'!$" &amp; 'Ext Tradable'!$AS$23 &amp; BB$9),"")</f>
        <v/>
      </c>
      <c r="BC28" s="700" t="str">
        <f ca="1">IF(INDIRECT("'Ext Tradable'!$B" &amp; BC$9)=$B28,INDIRECT("'Ext Tradable'!$" &amp; 'Ext Tradable'!$AS$23 &amp; BC$9),"")</f>
        <v/>
      </c>
      <c r="BD28" s="700" t="str">
        <f ca="1">IF(INDIRECT("'Ext Tradable'!$B" &amp; BD$9)=$B28,INDIRECT("'Ext Tradable'!$" &amp; 'Ext Tradable'!$AS$23 &amp; BD$9),"")</f>
        <v/>
      </c>
      <c r="BE28" s="700" t="str">
        <f ca="1">IF(INDIRECT("'Ext Tradable'!$B" &amp; BE$9)=$B28,INDIRECT("'Ext Tradable'!$" &amp; 'Ext Tradable'!$AS$23 &amp; BE$9),"")</f>
        <v/>
      </c>
      <c r="BF28" s="700" t="str">
        <f ca="1">IF(INDIRECT("'Ext Tradable'!$B" &amp; BF$9)=$B28,INDIRECT("'Ext Tradable'!$" &amp; 'Ext Tradable'!$AS$23 &amp; BF$9),"")</f>
        <v/>
      </c>
      <c r="BG28" s="700" t="str">
        <f ca="1">IF(INDIRECT("'Ext Tradable'!$B" &amp; BG$9)=$B28,INDIRECT("'Ext Tradable'!$" &amp; 'Ext Tradable'!$AS$23 &amp; BG$9),"")</f>
        <v/>
      </c>
      <c r="BH28" s="700" t="str">
        <f ca="1">IF(INDIRECT("'Ext Tradable'!$B" &amp; BH$9)=$B28,INDIRECT("'Ext Tradable'!$" &amp; 'Ext Tradable'!$AS$23 &amp; BH$9),"")</f>
        <v/>
      </c>
      <c r="BI28" s="700" t="str">
        <f ca="1">IF(INDIRECT("'Ext Tradable'!$B" &amp; BI$9)=$B28,INDIRECT("'Ext Tradable'!$" &amp; 'Ext Tradable'!$AS$23 &amp; BI$9),"")</f>
        <v/>
      </c>
      <c r="BJ28" s="700" t="str">
        <f ca="1">IF(INDIRECT("'Ext Tradable'!$B" &amp; BJ$9)=$B28,INDIRECT("'Ext Tradable'!$" &amp; 'Ext Tradable'!$AS$23 &amp; BJ$9),"")</f>
        <v/>
      </c>
      <c r="BK28" s="700" t="str">
        <f ca="1">IF(INDIRECT("'Ext Tradable'!$B" &amp; BK$9)=$B28,INDIRECT("'Ext Tradable'!$" &amp; 'Ext Tradable'!$AS$23 &amp; BK$9),"")</f>
        <v/>
      </c>
      <c r="BL28" s="700" t="str">
        <f ca="1">IF(INDIRECT("'Ext Tradable'!$B" &amp; BL$9)=$B28,INDIRECT("'Ext Tradable'!$" &amp; 'Ext Tradable'!$AS$23 &amp; BL$9),"")</f>
        <v/>
      </c>
      <c r="BM28" s="700">
        <f ca="1">IF(INDIRECT("'Ext Tradable'!$B" &amp; BM$9)=$B28,INDIRECT("'Ext Tradable'!$" &amp; 'Ext Tradable'!$AS$23 &amp; BM$9),"")</f>
        <v>0</v>
      </c>
      <c r="BN28" s="700">
        <f ca="1">IF(INDIRECT("'Ext Tradable'!$B" &amp; BN$9)=$B28,INDIRECT("'Ext Tradable'!$" &amp; 'Ext Tradable'!$AS$23 &amp; BN$9),"")</f>
        <v>0</v>
      </c>
      <c r="BO28" s="700">
        <f ca="1">IF(INDIRECT("'Ext Tradable'!$B" &amp; BO$9)=$B28,INDIRECT("'Ext Tradable'!$" &amp; 'Ext Tradable'!$AS$23 &amp; BO$9),"")</f>
        <v>0</v>
      </c>
      <c r="BP28" s="700">
        <f ca="1">IF(INDIRECT("'Ext Tradable'!$B" &amp; BP$9)=$B28,INDIRECT("'Ext Tradable'!$" &amp; 'Ext Tradable'!$AS$23 &amp; BP$9),"")</f>
        <v>0</v>
      </c>
      <c r="BQ28" s="700">
        <f ca="1">IF(INDIRECT("'Ext Tradable'!$B" &amp; BQ$9)=$B28,INDIRECT("'Ext Tradable'!$" &amp; 'Ext Tradable'!$AS$23 &amp; BQ$9),"")</f>
        <v>0</v>
      </c>
      <c r="BR28" s="700">
        <f ca="1">IF(INDIRECT("'Ext Tradable'!$B" &amp; BR$9)=$B28,INDIRECT("'Ext Tradable'!$" &amp; 'Ext Tradable'!$AS$23 &amp; BR$9),"")</f>
        <v>0</v>
      </c>
      <c r="BS28" s="700">
        <f ca="1">IF(INDIRECT("'Ext Tradable'!$B" &amp; BS$9)=$B28,INDIRECT("'Ext Tradable'!$" &amp; 'Ext Tradable'!$AS$23 &amp; BS$9),"")</f>
        <v>0</v>
      </c>
      <c r="BT28" s="700">
        <f ca="1">IF(INDIRECT("'Ext Tradable'!$B" &amp; BT$9)=$B28,INDIRECT("'Ext Tradable'!$" &amp; 'Ext Tradable'!$AS$23 &amp; BT$9),"")</f>
        <v>0</v>
      </c>
      <c r="BU28" s="700">
        <f ca="1">IF(INDIRECT("'Ext Tradable'!$B" &amp; BU$9)=$B28,INDIRECT("'Ext Tradable'!$" &amp; 'Ext Tradable'!$AS$23 &amp; BU$9),"")</f>
        <v>0</v>
      </c>
      <c r="BV28" s="700">
        <f ca="1">IF(INDIRECT("'Ext Tradable'!$B" &amp; BV$9)=$B28,INDIRECT("'Ext Tradable'!$" &amp; 'Ext Tradable'!$AS$23 &amp; BV$9),"")</f>
        <v>0</v>
      </c>
      <c r="BW28" s="700">
        <f ca="1">IF(INDIRECT("'Ext Tradable'!$B" &amp; BW$9)=$B28,INDIRECT("'Ext Tradable'!$" &amp; 'Ext Tradable'!$AS$23 &amp; BW$9),"")</f>
        <v>0</v>
      </c>
      <c r="BX28" s="700">
        <f ca="1">IF(INDIRECT("'Ext Tradable'!$B" &amp; BX$9)=$B28,INDIRECT("'Ext Tradable'!$" &amp; 'Ext Tradable'!$AS$23 &amp; BX$9),"")</f>
        <v>0</v>
      </c>
      <c r="BY28" s="700">
        <f ca="1">IF(INDIRECT("'Ext Tradable'!$B" &amp; BY$9)=$B28,INDIRECT("'Ext Tradable'!$" &amp; 'Ext Tradable'!$AS$23 &amp; BY$9),"")</f>
        <v>0</v>
      </c>
      <c r="BZ28" s="700">
        <f ca="1">IF(INDIRECT("'Ext Tradable'!$B" &amp; BZ$9)=$B28,INDIRECT("'Ext Tradable'!$" &amp; 'Ext Tradable'!$AS$23 &amp; BZ$9),"")</f>
        <v>0</v>
      </c>
      <c r="CA28" s="700">
        <f ca="1">IF(INDIRECT("'Ext Tradable'!$B" &amp; CA$9)=$B28,INDIRECT("'Ext Tradable'!$" &amp; 'Ext Tradable'!$AS$23 &amp; CA$9),"")</f>
        <v>0</v>
      </c>
      <c r="CB28" s="700">
        <f ca="1">IF(INDIRECT("'Ext Tradable'!$B" &amp; CB$9)=$B28,INDIRECT("'Ext Tradable'!$" &amp; 'Ext Tradable'!$AS$23 &amp; CB$9),"")</f>
        <v>0</v>
      </c>
      <c r="CC28" s="700">
        <f ca="1">IF(INDIRECT("'Ext Tradable'!$B" &amp; CC$9)=$B28,INDIRECT("'Ext Tradable'!$" &amp; 'Ext Tradable'!$AS$23 &amp; CC$9),"")</f>
        <v>0</v>
      </c>
      <c r="CD28" s="700">
        <f ca="1">IF(INDIRECT("'Ext Tradable'!$B" &amp; CD$9)=$B28,INDIRECT("'Ext Tradable'!$" &amp; 'Ext Tradable'!$AS$23 &amp; CD$9),"")</f>
        <v>0</v>
      </c>
      <c r="CE28" s="700">
        <f ca="1">IF(INDIRECT("'Ext Tradable'!$B" &amp; CE$9)=$B28,INDIRECT("'Ext Tradable'!$" &amp; 'Ext Tradable'!$AS$23 &amp; CE$9),"")</f>
        <v>0</v>
      </c>
      <c r="CF28" s="700">
        <f ca="1">IF(INDIRECT("'Ext Tradable'!$B" &amp; CF$9)=$B28,INDIRECT("'Ext Tradable'!$" &amp; 'Ext Tradable'!$AS$23 &amp; CF$9),"")</f>
        <v>0</v>
      </c>
      <c r="CG28" s="700">
        <f ca="1">IF(INDIRECT("'Ext Tradable'!$B" &amp; CG$9)=$B28,INDIRECT("'Ext Tradable'!$" &amp; 'Ext Tradable'!$AS$23 &amp; CG$9),"")</f>
        <v>0</v>
      </c>
      <c r="CH28" s="700">
        <f ca="1">IF(INDIRECT("'Ext Tradable'!$B" &amp; CH$9)=$B28,INDIRECT("'Ext Tradable'!$" &amp; 'Ext Tradable'!$AS$23 &amp; CH$9),"")</f>
        <v>0</v>
      </c>
      <c r="CI28" s="700">
        <f ca="1">IF(INDIRECT("'Ext Tradable'!$B" &amp; CI$9)=$B28,INDIRECT("'Ext Tradable'!$" &amp; 'Ext Tradable'!$AS$23 &amp; CI$9),"")</f>
        <v>0</v>
      </c>
      <c r="CJ28" s="700">
        <f ca="1">IF(INDIRECT("'Ext Tradable'!$B" &amp; CJ$9)=$B28,INDIRECT("'Ext Tradable'!$" &amp; 'Ext Tradable'!$AS$23 &amp; CJ$9),"")</f>
        <v>0</v>
      </c>
      <c r="CK28" s="700">
        <f ca="1">IF(INDIRECT("'Ext Tradable'!$B" &amp; CK$9)=$B28,INDIRECT("'Ext Tradable'!$" &amp; 'Ext Tradable'!$AS$23 &amp; CK$9),"")</f>
        <v>0</v>
      </c>
      <c r="CL28" s="700">
        <f ca="1">IF(INDIRECT("'Ext Tradable'!$B" &amp; CL$9)=$B28,INDIRECT("'Ext Tradable'!$" &amp; 'Ext Tradable'!$AS$23 &amp; CL$9),"")</f>
        <v>0</v>
      </c>
      <c r="CM28" s="700">
        <f ca="1">IF(INDIRECT("'Ext Tradable'!$B" &amp; CM$9)=$B28,INDIRECT("'Ext Tradable'!$" &amp; 'Ext Tradable'!$AS$23 &amp; CM$9),"")</f>
        <v>0</v>
      </c>
      <c r="CN28" s="700">
        <f ca="1">IF(INDIRECT("'Ext Tradable'!$B" &amp; CN$9)=$B28,INDIRECT("'Ext Tradable'!$" &amp; 'Ext Tradable'!$AS$23 &amp; CN$9),"")</f>
        <v>0</v>
      </c>
      <c r="CO28" s="700">
        <f ca="1">IF(INDIRECT("'Ext Tradable'!$B" &amp; CO$9)=$B28,INDIRECT("'Ext Tradable'!$" &amp; 'Ext Tradable'!$AS$23 &amp; CO$9),"")</f>
        <v>0</v>
      </c>
      <c r="CP28" s="700">
        <f ca="1">IF(INDIRECT("'Ext Tradable'!$B" &amp; CP$9)=$B28,INDIRECT("'Ext Tradable'!$" &amp; 'Ext Tradable'!$AS$23 &amp; CP$9),"")</f>
        <v>0</v>
      </c>
      <c r="CQ28" s="702" t="str">
        <f t="shared" ca="1" si="25"/>
        <v>000000000000000000000000000000</v>
      </c>
    </row>
    <row r="29" spans="1:95" ht="60" customHeight="1" x14ac:dyDescent="0.25">
      <c r="A29" s="705">
        <v>20</v>
      </c>
      <c r="B29" s="707" t="str">
        <f>'Ext Area Schedule'!Y35</f>
        <v/>
      </c>
      <c r="C29" s="707" t="str">
        <f>VLOOKUP($B29,'Ext Area Schedule'!$Y$16:$AE$65,3,FALSE)</f>
        <v/>
      </c>
      <c r="D29" s="792" t="str">
        <f>VLOOKUP($B29,'Ext Area Schedule'!$Y$16:$AE$65,4,FALSE)</f>
        <v/>
      </c>
      <c r="F29" s="792" t="str">
        <f>VLOOKUP($B29,'Ext Area Schedule'!$Y$16:$AE$65,5,FALSE)</f>
        <v/>
      </c>
      <c r="G29" s="792" t="str">
        <f>VLOOKUP($B29,'Ext Area Schedule'!$Y$16:$AE$65,7,FALSE)</f>
        <v/>
      </c>
      <c r="I29" s="703">
        <f t="shared" si="6"/>
        <v>0</v>
      </c>
      <c r="K29" s="703" t="str">
        <f>IF($B29="","",SUMIFS('Ext Tradable'!$M$26:$M$45,'Ext Tradable'!$B$26:$B$45,$B29,'Ext Tradable'!$O$26:$O$45,"New"))</f>
        <v/>
      </c>
      <c r="L29" s="703" t="str">
        <f>IF($B29="","",SUMIFS('Ext Tradable'!$M$26:$M$45,'Ext Tradable'!$B$26:$B$45,$B29,'Ext Tradable'!$O$26:$O$45,""))</f>
        <v/>
      </c>
      <c r="M29" s="703" t="str">
        <f>IF($B29="","",SUMIFS('Ext Tradable'!$K$26:$K$45,'Ext Tradable'!$B$26:$B$45,$B29,'Ext Tradable'!$O$26:$O$45,"New")+SUMIFS('Ext Tradable'!$K$26:$K$45,'Ext Tradable'!$B$26:$B$45,$B29,'Ext Tradable'!$O$26:$O$45,""))</f>
        <v/>
      </c>
      <c r="N29" s="703" t="str">
        <f>IF($B29="","",SUMIFS('Ext Tradable'!$M$26:$M$45,'Ext Tradable'!$B$26:$B$45,$B29,'Ext Tradable'!$O$26:$O$45,"Existing Remains"))</f>
        <v/>
      </c>
      <c r="O29" s="703" t="str">
        <f>IF($B29="","",SUMIFS('Ext Tradable'!$M$26:$M$45,'Ext Tradable'!$B$26:$B$45,$B29,'Ext Tradable'!$O$26:$O$45,"Existing Removed"))</f>
        <v/>
      </c>
      <c r="P29" s="703" t="str">
        <f>IF($B29="","",SUMIFS('Ext Tradable'!$K$26:$K$45,'Ext Tradable'!$B$26:$B$45,$B29,'Ext Tradable'!$O$26:$O$45,"Existing Removed"))</f>
        <v/>
      </c>
      <c r="Q29" s="703" t="str">
        <f t="shared" si="7"/>
        <v/>
      </c>
      <c r="R29" s="703" t="str">
        <f t="shared" si="8"/>
        <v/>
      </c>
      <c r="S29" s="1123" t="str">
        <f t="shared" si="9"/>
        <v/>
      </c>
      <c r="T29" s="1128" t="str">
        <f t="shared" si="23"/>
        <v/>
      </c>
      <c r="U29" s="711" t="str">
        <f t="shared" si="11"/>
        <v/>
      </c>
      <c r="V29" s="712" t="str">
        <f t="shared" si="12"/>
        <v/>
      </c>
      <c r="W29" s="762"/>
      <c r="X29" s="720" t="str">
        <f t="shared" si="13"/>
        <v/>
      </c>
      <c r="Y29" s="721" t="str">
        <f t="shared" si="14"/>
        <v/>
      </c>
      <c r="Z29" s="721" t="str">
        <f t="shared" si="15"/>
        <v/>
      </c>
      <c r="AA29" s="719" t="str">
        <f t="shared" si="2"/>
        <v/>
      </c>
      <c r="AB29" s="762"/>
      <c r="AC29" s="717" t="str">
        <f t="shared" si="16"/>
        <v/>
      </c>
      <c r="AD29" s="718" t="str">
        <f t="shared" si="17"/>
        <v/>
      </c>
      <c r="AE29" s="719" t="str">
        <f t="shared" si="3"/>
        <v/>
      </c>
      <c r="AF29" s="726"/>
      <c r="AG29" s="727" t="str">
        <f t="shared" si="18"/>
        <v/>
      </c>
      <c r="AH29" s="703" t="str">
        <f t="shared" si="19"/>
        <v/>
      </c>
      <c r="AI29" s="1114">
        <f t="shared" si="20"/>
        <v>0</v>
      </c>
      <c r="AK29" s="791" t="str">
        <f t="shared" si="4"/>
        <v/>
      </c>
      <c r="AL29" s="791" t="str">
        <f t="shared" si="21"/>
        <v/>
      </c>
      <c r="AM29" s="707" t="str">
        <f>IF(OR(AK29="Fail",AK29="Fail LPA",AK29=""),"",IF(AL29&lt;&gt;"#1",VLOOKUP(C29,'9.4.3 Tables'!B$142:O$154,14,FALSE),"No NEW controls required"))</f>
        <v/>
      </c>
      <c r="AN29" s="703">
        <f t="shared" si="22"/>
        <v>0</v>
      </c>
      <c r="AQ29">
        <v>20</v>
      </c>
      <c r="AR29" s="15" t="str">
        <f t="shared" si="24"/>
        <v/>
      </c>
      <c r="AS29" s="700" t="str">
        <f ca="1">IF(INDIRECT("'Ext Tradable'!$B" &amp; AS$9)=$B29,INDIRECT("'Ext Tradable'!$" &amp; 'Ext Tradable'!$AS$23 &amp; AS$9),"")</f>
        <v/>
      </c>
      <c r="AT29" s="700" t="str">
        <f ca="1">IF(INDIRECT("'Ext Tradable'!$B" &amp; AT$9)=$B29,INDIRECT("'Ext Tradable'!$" &amp; 'Ext Tradable'!$AS$23 &amp; AT$9),"")</f>
        <v/>
      </c>
      <c r="AU29" s="700" t="str">
        <f ca="1">IF(INDIRECT("'Ext Tradable'!$B" &amp; AU$9)=$B29,INDIRECT("'Ext Tradable'!$" &amp; 'Ext Tradable'!$AS$23 &amp; AU$9),"")</f>
        <v/>
      </c>
      <c r="AV29" s="700" t="str">
        <f ca="1">IF(INDIRECT("'Ext Tradable'!$B" &amp; AV$9)=$B29,INDIRECT("'Ext Tradable'!$" &amp; 'Ext Tradable'!$AS$23 &amp; AV$9),"")</f>
        <v/>
      </c>
      <c r="AW29" s="700" t="str">
        <f ca="1">IF(INDIRECT("'Ext Tradable'!$B" &amp; AW$9)=$B29,INDIRECT("'Ext Tradable'!$" &amp; 'Ext Tradable'!$AS$23 &amp; AW$9),"")</f>
        <v/>
      </c>
      <c r="AX29" s="700" t="str">
        <f ca="1">IF(INDIRECT("'Ext Tradable'!$B" &amp; AX$9)=$B29,INDIRECT("'Ext Tradable'!$" &amp; 'Ext Tradable'!$AS$23 &amp; AX$9),"")</f>
        <v/>
      </c>
      <c r="AY29" s="700" t="str">
        <f ca="1">IF(INDIRECT("'Ext Tradable'!$B" &amp; AY$9)=$B29,INDIRECT("'Ext Tradable'!$" &amp; 'Ext Tradable'!$AS$23 &amp; AY$9),"")</f>
        <v/>
      </c>
      <c r="AZ29" s="700" t="str">
        <f ca="1">IF(INDIRECT("'Ext Tradable'!$B" &amp; AZ$9)=$B29,INDIRECT("'Ext Tradable'!$" &amp; 'Ext Tradable'!$AS$23 &amp; AZ$9),"")</f>
        <v/>
      </c>
      <c r="BA29" s="700" t="str">
        <f ca="1">IF(INDIRECT("'Ext Tradable'!$B" &amp; BA$9)=$B29,INDIRECT("'Ext Tradable'!$" &amp; 'Ext Tradable'!$AS$23 &amp; BA$9),"")</f>
        <v/>
      </c>
      <c r="BB29" s="700" t="str">
        <f ca="1">IF(INDIRECT("'Ext Tradable'!$B" &amp; BB$9)=$B29,INDIRECT("'Ext Tradable'!$" &amp; 'Ext Tradable'!$AS$23 &amp; BB$9),"")</f>
        <v/>
      </c>
      <c r="BC29" s="700" t="str">
        <f ca="1">IF(INDIRECT("'Ext Tradable'!$B" &amp; BC$9)=$B29,INDIRECT("'Ext Tradable'!$" &amp; 'Ext Tradable'!$AS$23 &amp; BC$9),"")</f>
        <v/>
      </c>
      <c r="BD29" s="700" t="str">
        <f ca="1">IF(INDIRECT("'Ext Tradable'!$B" &amp; BD$9)=$B29,INDIRECT("'Ext Tradable'!$" &amp; 'Ext Tradable'!$AS$23 &amp; BD$9),"")</f>
        <v/>
      </c>
      <c r="BE29" s="700" t="str">
        <f ca="1">IF(INDIRECT("'Ext Tradable'!$B" &amp; BE$9)=$B29,INDIRECT("'Ext Tradable'!$" &amp; 'Ext Tradable'!$AS$23 &amp; BE$9),"")</f>
        <v/>
      </c>
      <c r="BF29" s="700" t="str">
        <f ca="1">IF(INDIRECT("'Ext Tradable'!$B" &amp; BF$9)=$B29,INDIRECT("'Ext Tradable'!$" &amp; 'Ext Tradable'!$AS$23 &amp; BF$9),"")</f>
        <v/>
      </c>
      <c r="BG29" s="700" t="str">
        <f ca="1">IF(INDIRECT("'Ext Tradable'!$B" &amp; BG$9)=$B29,INDIRECT("'Ext Tradable'!$" &amp; 'Ext Tradable'!$AS$23 &amp; BG$9),"")</f>
        <v/>
      </c>
      <c r="BH29" s="700" t="str">
        <f ca="1">IF(INDIRECT("'Ext Tradable'!$B" &amp; BH$9)=$B29,INDIRECT("'Ext Tradable'!$" &amp; 'Ext Tradable'!$AS$23 &amp; BH$9),"")</f>
        <v/>
      </c>
      <c r="BI29" s="700" t="str">
        <f ca="1">IF(INDIRECT("'Ext Tradable'!$B" &amp; BI$9)=$B29,INDIRECT("'Ext Tradable'!$" &amp; 'Ext Tradable'!$AS$23 &amp; BI$9),"")</f>
        <v/>
      </c>
      <c r="BJ29" s="700" t="str">
        <f ca="1">IF(INDIRECT("'Ext Tradable'!$B" &amp; BJ$9)=$B29,INDIRECT("'Ext Tradable'!$" &amp; 'Ext Tradable'!$AS$23 &amp; BJ$9),"")</f>
        <v/>
      </c>
      <c r="BK29" s="700" t="str">
        <f ca="1">IF(INDIRECT("'Ext Tradable'!$B" &amp; BK$9)=$B29,INDIRECT("'Ext Tradable'!$" &amp; 'Ext Tradable'!$AS$23 &amp; BK$9),"")</f>
        <v/>
      </c>
      <c r="BL29" s="700" t="str">
        <f ca="1">IF(INDIRECT("'Ext Tradable'!$B" &amp; BL$9)=$B29,INDIRECT("'Ext Tradable'!$" &amp; 'Ext Tradable'!$AS$23 &amp; BL$9),"")</f>
        <v/>
      </c>
      <c r="BM29" s="700">
        <f ca="1">IF(INDIRECT("'Ext Tradable'!$B" &amp; BM$9)=$B29,INDIRECT("'Ext Tradable'!$" &amp; 'Ext Tradable'!$AS$23 &amp; BM$9),"")</f>
        <v>0</v>
      </c>
      <c r="BN29" s="700">
        <f ca="1">IF(INDIRECT("'Ext Tradable'!$B" &amp; BN$9)=$B29,INDIRECT("'Ext Tradable'!$" &amp; 'Ext Tradable'!$AS$23 &amp; BN$9),"")</f>
        <v>0</v>
      </c>
      <c r="BO29" s="700">
        <f ca="1">IF(INDIRECT("'Ext Tradable'!$B" &amp; BO$9)=$B29,INDIRECT("'Ext Tradable'!$" &amp; 'Ext Tradable'!$AS$23 &amp; BO$9),"")</f>
        <v>0</v>
      </c>
      <c r="BP29" s="700">
        <f ca="1">IF(INDIRECT("'Ext Tradable'!$B" &amp; BP$9)=$B29,INDIRECT("'Ext Tradable'!$" &amp; 'Ext Tradable'!$AS$23 &amp; BP$9),"")</f>
        <v>0</v>
      </c>
      <c r="BQ29" s="700">
        <f ca="1">IF(INDIRECT("'Ext Tradable'!$B" &amp; BQ$9)=$B29,INDIRECT("'Ext Tradable'!$" &amp; 'Ext Tradable'!$AS$23 &amp; BQ$9),"")</f>
        <v>0</v>
      </c>
      <c r="BR29" s="700">
        <f ca="1">IF(INDIRECT("'Ext Tradable'!$B" &amp; BR$9)=$B29,INDIRECT("'Ext Tradable'!$" &amp; 'Ext Tradable'!$AS$23 &amp; BR$9),"")</f>
        <v>0</v>
      </c>
      <c r="BS29" s="700">
        <f ca="1">IF(INDIRECT("'Ext Tradable'!$B" &amp; BS$9)=$B29,INDIRECT("'Ext Tradable'!$" &amp; 'Ext Tradable'!$AS$23 &amp; BS$9),"")</f>
        <v>0</v>
      </c>
      <c r="BT29" s="700">
        <f ca="1">IF(INDIRECT("'Ext Tradable'!$B" &amp; BT$9)=$B29,INDIRECT("'Ext Tradable'!$" &amp; 'Ext Tradable'!$AS$23 &amp; BT$9),"")</f>
        <v>0</v>
      </c>
      <c r="BU29" s="700">
        <f ca="1">IF(INDIRECT("'Ext Tradable'!$B" &amp; BU$9)=$B29,INDIRECT("'Ext Tradable'!$" &amp; 'Ext Tradable'!$AS$23 &amp; BU$9),"")</f>
        <v>0</v>
      </c>
      <c r="BV29" s="700">
        <f ca="1">IF(INDIRECT("'Ext Tradable'!$B" &amp; BV$9)=$B29,INDIRECT("'Ext Tradable'!$" &amp; 'Ext Tradable'!$AS$23 &amp; BV$9),"")</f>
        <v>0</v>
      </c>
      <c r="BW29" s="700">
        <f ca="1">IF(INDIRECT("'Ext Tradable'!$B" &amp; BW$9)=$B29,INDIRECT("'Ext Tradable'!$" &amp; 'Ext Tradable'!$AS$23 &amp; BW$9),"")</f>
        <v>0</v>
      </c>
      <c r="BX29" s="700">
        <f ca="1">IF(INDIRECT("'Ext Tradable'!$B" &amp; BX$9)=$B29,INDIRECT("'Ext Tradable'!$" &amp; 'Ext Tradable'!$AS$23 &amp; BX$9),"")</f>
        <v>0</v>
      </c>
      <c r="BY29" s="700">
        <f ca="1">IF(INDIRECT("'Ext Tradable'!$B" &amp; BY$9)=$B29,INDIRECT("'Ext Tradable'!$" &amp; 'Ext Tradable'!$AS$23 &amp; BY$9),"")</f>
        <v>0</v>
      </c>
      <c r="BZ29" s="700">
        <f ca="1">IF(INDIRECT("'Ext Tradable'!$B" &amp; BZ$9)=$B29,INDIRECT("'Ext Tradable'!$" &amp; 'Ext Tradable'!$AS$23 &amp; BZ$9),"")</f>
        <v>0</v>
      </c>
      <c r="CA29" s="700">
        <f ca="1">IF(INDIRECT("'Ext Tradable'!$B" &amp; CA$9)=$B29,INDIRECT("'Ext Tradable'!$" &amp; 'Ext Tradable'!$AS$23 &amp; CA$9),"")</f>
        <v>0</v>
      </c>
      <c r="CB29" s="700">
        <f ca="1">IF(INDIRECT("'Ext Tradable'!$B" &amp; CB$9)=$B29,INDIRECT("'Ext Tradable'!$" &amp; 'Ext Tradable'!$AS$23 &amp; CB$9),"")</f>
        <v>0</v>
      </c>
      <c r="CC29" s="700">
        <f ca="1">IF(INDIRECT("'Ext Tradable'!$B" &amp; CC$9)=$B29,INDIRECT("'Ext Tradable'!$" &amp; 'Ext Tradable'!$AS$23 &amp; CC$9),"")</f>
        <v>0</v>
      </c>
      <c r="CD29" s="700">
        <f ca="1">IF(INDIRECT("'Ext Tradable'!$B" &amp; CD$9)=$B29,INDIRECT("'Ext Tradable'!$" &amp; 'Ext Tradable'!$AS$23 &amp; CD$9),"")</f>
        <v>0</v>
      </c>
      <c r="CE29" s="700">
        <f ca="1">IF(INDIRECT("'Ext Tradable'!$B" &amp; CE$9)=$B29,INDIRECT("'Ext Tradable'!$" &amp; 'Ext Tradable'!$AS$23 &amp; CE$9),"")</f>
        <v>0</v>
      </c>
      <c r="CF29" s="700">
        <f ca="1">IF(INDIRECT("'Ext Tradable'!$B" &amp; CF$9)=$B29,INDIRECT("'Ext Tradable'!$" &amp; 'Ext Tradable'!$AS$23 &amp; CF$9),"")</f>
        <v>0</v>
      </c>
      <c r="CG29" s="700">
        <f ca="1">IF(INDIRECT("'Ext Tradable'!$B" &amp; CG$9)=$B29,INDIRECT("'Ext Tradable'!$" &amp; 'Ext Tradable'!$AS$23 &amp; CG$9),"")</f>
        <v>0</v>
      </c>
      <c r="CH29" s="700">
        <f ca="1">IF(INDIRECT("'Ext Tradable'!$B" &amp; CH$9)=$B29,INDIRECT("'Ext Tradable'!$" &amp; 'Ext Tradable'!$AS$23 &amp; CH$9),"")</f>
        <v>0</v>
      </c>
      <c r="CI29" s="700">
        <f ca="1">IF(INDIRECT("'Ext Tradable'!$B" &amp; CI$9)=$B29,INDIRECT("'Ext Tradable'!$" &amp; 'Ext Tradable'!$AS$23 &amp; CI$9),"")</f>
        <v>0</v>
      </c>
      <c r="CJ29" s="700">
        <f ca="1">IF(INDIRECT("'Ext Tradable'!$B" &amp; CJ$9)=$B29,INDIRECT("'Ext Tradable'!$" &amp; 'Ext Tradable'!$AS$23 &amp; CJ$9),"")</f>
        <v>0</v>
      </c>
      <c r="CK29" s="700">
        <f ca="1">IF(INDIRECT("'Ext Tradable'!$B" &amp; CK$9)=$B29,INDIRECT("'Ext Tradable'!$" &amp; 'Ext Tradable'!$AS$23 &amp; CK$9),"")</f>
        <v>0</v>
      </c>
      <c r="CL29" s="700">
        <f ca="1">IF(INDIRECT("'Ext Tradable'!$B" &amp; CL$9)=$B29,INDIRECT("'Ext Tradable'!$" &amp; 'Ext Tradable'!$AS$23 &amp; CL$9),"")</f>
        <v>0</v>
      </c>
      <c r="CM29" s="700">
        <f ca="1">IF(INDIRECT("'Ext Tradable'!$B" &amp; CM$9)=$B29,INDIRECT("'Ext Tradable'!$" &amp; 'Ext Tradable'!$AS$23 &amp; CM$9),"")</f>
        <v>0</v>
      </c>
      <c r="CN29" s="700">
        <f ca="1">IF(INDIRECT("'Ext Tradable'!$B" &amp; CN$9)=$B29,INDIRECT("'Ext Tradable'!$" &amp; 'Ext Tradable'!$AS$23 &amp; CN$9),"")</f>
        <v>0</v>
      </c>
      <c r="CO29" s="700">
        <f ca="1">IF(INDIRECT("'Ext Tradable'!$B" &amp; CO$9)=$B29,INDIRECT("'Ext Tradable'!$" &amp; 'Ext Tradable'!$AS$23 &amp; CO$9),"")</f>
        <v>0</v>
      </c>
      <c r="CP29" s="700">
        <f ca="1">IF(INDIRECT("'Ext Tradable'!$B" &amp; CP$9)=$B29,INDIRECT("'Ext Tradable'!$" &amp; 'Ext Tradable'!$AS$23 &amp; CP$9),"")</f>
        <v>0</v>
      </c>
      <c r="CQ29" s="702" t="str">
        <f t="shared" ca="1" si="25"/>
        <v>000000000000000000000000000000</v>
      </c>
    </row>
    <row r="30" spans="1:95" ht="60" customHeight="1" x14ac:dyDescent="0.25">
      <c r="A30" s="705">
        <v>21</v>
      </c>
      <c r="B30" s="707" t="str">
        <f>'Ext Area Schedule'!Y36</f>
        <v/>
      </c>
      <c r="C30" s="707" t="str">
        <f>VLOOKUP($B30,'Ext Area Schedule'!$Y$16:$AE$65,3,FALSE)</f>
        <v/>
      </c>
      <c r="D30" s="792" t="str">
        <f>VLOOKUP($B30,'Ext Area Schedule'!$Y$16:$AE$65,4,FALSE)</f>
        <v/>
      </c>
      <c r="F30" s="792" t="str">
        <f>VLOOKUP($B30,'Ext Area Schedule'!$Y$16:$AE$65,5,FALSE)</f>
        <v/>
      </c>
      <c r="G30" s="792" t="str">
        <f>VLOOKUP($B30,'Ext Area Schedule'!$Y$16:$AE$65,7,FALSE)</f>
        <v/>
      </c>
      <c r="I30" s="703">
        <f t="shared" si="6"/>
        <v>0</v>
      </c>
      <c r="K30" s="703" t="str">
        <f>IF($B30="","",SUMIFS('Ext Tradable'!$M$26:$M$45,'Ext Tradable'!$B$26:$B$45,$B30,'Ext Tradable'!$O$26:$O$45,"New"))</f>
        <v/>
      </c>
      <c r="L30" s="703" t="str">
        <f>IF($B30="","",SUMIFS('Ext Tradable'!$M$26:$M$45,'Ext Tradable'!$B$26:$B$45,$B30,'Ext Tradable'!$O$26:$O$45,""))</f>
        <v/>
      </c>
      <c r="M30" s="703" t="str">
        <f>IF($B30="","",SUMIFS('Ext Tradable'!$K$26:$K$45,'Ext Tradable'!$B$26:$B$45,$B30,'Ext Tradable'!$O$26:$O$45,"New")+SUMIFS('Ext Tradable'!$K$26:$K$45,'Ext Tradable'!$B$26:$B$45,$B30,'Ext Tradable'!$O$26:$O$45,""))</f>
        <v/>
      </c>
      <c r="N30" s="703" t="str">
        <f>IF($B30="","",SUMIFS('Ext Tradable'!$M$26:$M$45,'Ext Tradable'!$B$26:$B$45,$B30,'Ext Tradable'!$O$26:$O$45,"Existing Remains"))</f>
        <v/>
      </c>
      <c r="O30" s="703" t="str">
        <f>IF($B30="","",SUMIFS('Ext Tradable'!$M$26:$M$45,'Ext Tradable'!$B$26:$B$45,$B30,'Ext Tradable'!$O$26:$O$45,"Existing Removed"))</f>
        <v/>
      </c>
      <c r="P30" s="703" t="str">
        <f>IF($B30="","",SUMIFS('Ext Tradable'!$K$26:$K$45,'Ext Tradable'!$B$26:$B$45,$B30,'Ext Tradable'!$O$26:$O$45,"Existing Removed"))</f>
        <v/>
      </c>
      <c r="Q30" s="703" t="str">
        <f t="shared" si="7"/>
        <v/>
      </c>
      <c r="R30" s="703" t="str">
        <f t="shared" si="8"/>
        <v/>
      </c>
      <c r="S30" s="1123" t="str">
        <f t="shared" si="9"/>
        <v/>
      </c>
      <c r="T30" s="1128" t="str">
        <f t="shared" si="23"/>
        <v/>
      </c>
      <c r="U30" s="711" t="str">
        <f t="shared" si="11"/>
        <v/>
      </c>
      <c r="V30" s="712" t="str">
        <f t="shared" si="12"/>
        <v/>
      </c>
      <c r="W30" s="762"/>
      <c r="X30" s="720" t="str">
        <f t="shared" si="13"/>
        <v/>
      </c>
      <c r="Y30" s="721" t="str">
        <f t="shared" si="14"/>
        <v/>
      </c>
      <c r="Z30" s="721" t="str">
        <f t="shared" si="15"/>
        <v/>
      </c>
      <c r="AA30" s="719" t="str">
        <f t="shared" si="2"/>
        <v/>
      </c>
      <c r="AB30" s="762"/>
      <c r="AC30" s="717" t="str">
        <f t="shared" si="16"/>
        <v/>
      </c>
      <c r="AD30" s="718" t="str">
        <f t="shared" si="17"/>
        <v/>
      </c>
      <c r="AE30" s="719" t="str">
        <f t="shared" si="3"/>
        <v/>
      </c>
      <c r="AF30" s="726"/>
      <c r="AG30" s="727" t="str">
        <f t="shared" si="18"/>
        <v/>
      </c>
      <c r="AH30" s="703" t="str">
        <f t="shared" si="19"/>
        <v/>
      </c>
      <c r="AI30" s="1114">
        <f t="shared" si="20"/>
        <v>0</v>
      </c>
      <c r="AK30" s="791" t="str">
        <f t="shared" si="4"/>
        <v/>
      </c>
      <c r="AL30" s="791" t="str">
        <f t="shared" si="21"/>
        <v/>
      </c>
      <c r="AM30" s="707" t="str">
        <f>IF(OR(AK30="Fail",AK30="Fail LPA",AK30=""),"",IF(AL30&lt;&gt;"#1",VLOOKUP(C30,'9.4.3 Tables'!B$142:O$154,14,FALSE),"No NEW controls required"))</f>
        <v/>
      </c>
      <c r="AN30" s="703">
        <f t="shared" si="22"/>
        <v>0</v>
      </c>
      <c r="AQ30">
        <v>21</v>
      </c>
      <c r="AR30" s="15" t="str">
        <f t="shared" si="24"/>
        <v/>
      </c>
      <c r="AS30" s="700" t="str">
        <f ca="1">IF(INDIRECT("'Ext Tradable'!$B" &amp; AS$9)=$B30,INDIRECT("'Ext Tradable'!$" &amp; 'Ext Tradable'!$AS$23 &amp; AS$9),"")</f>
        <v/>
      </c>
      <c r="AT30" s="700" t="str">
        <f ca="1">IF(INDIRECT("'Ext Tradable'!$B" &amp; AT$9)=$B30,INDIRECT("'Ext Tradable'!$" &amp; 'Ext Tradable'!$AS$23 &amp; AT$9),"")</f>
        <v/>
      </c>
      <c r="AU30" s="700" t="str">
        <f ca="1">IF(INDIRECT("'Ext Tradable'!$B" &amp; AU$9)=$B30,INDIRECT("'Ext Tradable'!$" &amp; 'Ext Tradable'!$AS$23 &amp; AU$9),"")</f>
        <v/>
      </c>
      <c r="AV30" s="700" t="str">
        <f ca="1">IF(INDIRECT("'Ext Tradable'!$B" &amp; AV$9)=$B30,INDIRECT("'Ext Tradable'!$" &amp; 'Ext Tradable'!$AS$23 &amp; AV$9),"")</f>
        <v/>
      </c>
      <c r="AW30" s="700" t="str">
        <f ca="1">IF(INDIRECT("'Ext Tradable'!$B" &amp; AW$9)=$B30,INDIRECT("'Ext Tradable'!$" &amp; 'Ext Tradable'!$AS$23 &amp; AW$9),"")</f>
        <v/>
      </c>
      <c r="AX30" s="700" t="str">
        <f ca="1">IF(INDIRECT("'Ext Tradable'!$B" &amp; AX$9)=$B30,INDIRECT("'Ext Tradable'!$" &amp; 'Ext Tradable'!$AS$23 &amp; AX$9),"")</f>
        <v/>
      </c>
      <c r="AY30" s="700" t="str">
        <f ca="1">IF(INDIRECT("'Ext Tradable'!$B" &amp; AY$9)=$B30,INDIRECT("'Ext Tradable'!$" &amp; 'Ext Tradable'!$AS$23 &amp; AY$9),"")</f>
        <v/>
      </c>
      <c r="AZ30" s="700" t="str">
        <f ca="1">IF(INDIRECT("'Ext Tradable'!$B" &amp; AZ$9)=$B30,INDIRECT("'Ext Tradable'!$" &amp; 'Ext Tradable'!$AS$23 &amp; AZ$9),"")</f>
        <v/>
      </c>
      <c r="BA30" s="700" t="str">
        <f ca="1">IF(INDIRECT("'Ext Tradable'!$B" &amp; BA$9)=$B30,INDIRECT("'Ext Tradable'!$" &amp; 'Ext Tradable'!$AS$23 &amp; BA$9),"")</f>
        <v/>
      </c>
      <c r="BB30" s="700" t="str">
        <f ca="1">IF(INDIRECT("'Ext Tradable'!$B" &amp; BB$9)=$B30,INDIRECT("'Ext Tradable'!$" &amp; 'Ext Tradable'!$AS$23 &amp; BB$9),"")</f>
        <v/>
      </c>
      <c r="BC30" s="700" t="str">
        <f ca="1">IF(INDIRECT("'Ext Tradable'!$B" &amp; BC$9)=$B30,INDIRECT("'Ext Tradable'!$" &amp; 'Ext Tradable'!$AS$23 &amp; BC$9),"")</f>
        <v/>
      </c>
      <c r="BD30" s="700" t="str">
        <f ca="1">IF(INDIRECT("'Ext Tradable'!$B" &amp; BD$9)=$B30,INDIRECT("'Ext Tradable'!$" &amp; 'Ext Tradable'!$AS$23 &amp; BD$9),"")</f>
        <v/>
      </c>
      <c r="BE30" s="700" t="str">
        <f ca="1">IF(INDIRECT("'Ext Tradable'!$B" &amp; BE$9)=$B30,INDIRECT("'Ext Tradable'!$" &amp; 'Ext Tradable'!$AS$23 &amp; BE$9),"")</f>
        <v/>
      </c>
      <c r="BF30" s="700" t="str">
        <f ca="1">IF(INDIRECT("'Ext Tradable'!$B" &amp; BF$9)=$B30,INDIRECT("'Ext Tradable'!$" &amp; 'Ext Tradable'!$AS$23 &amp; BF$9),"")</f>
        <v/>
      </c>
      <c r="BG30" s="700" t="str">
        <f ca="1">IF(INDIRECT("'Ext Tradable'!$B" &amp; BG$9)=$B30,INDIRECT("'Ext Tradable'!$" &amp; 'Ext Tradable'!$AS$23 &amp; BG$9),"")</f>
        <v/>
      </c>
      <c r="BH30" s="700" t="str">
        <f ca="1">IF(INDIRECT("'Ext Tradable'!$B" &amp; BH$9)=$B30,INDIRECT("'Ext Tradable'!$" &amp; 'Ext Tradable'!$AS$23 &amp; BH$9),"")</f>
        <v/>
      </c>
      <c r="BI30" s="700" t="str">
        <f ca="1">IF(INDIRECT("'Ext Tradable'!$B" &amp; BI$9)=$B30,INDIRECT("'Ext Tradable'!$" &amp; 'Ext Tradable'!$AS$23 &amp; BI$9),"")</f>
        <v/>
      </c>
      <c r="BJ30" s="700" t="str">
        <f ca="1">IF(INDIRECT("'Ext Tradable'!$B" &amp; BJ$9)=$B30,INDIRECT("'Ext Tradable'!$" &amp; 'Ext Tradable'!$AS$23 &amp; BJ$9),"")</f>
        <v/>
      </c>
      <c r="BK30" s="700" t="str">
        <f ca="1">IF(INDIRECT("'Ext Tradable'!$B" &amp; BK$9)=$B30,INDIRECT("'Ext Tradable'!$" &amp; 'Ext Tradable'!$AS$23 &amp; BK$9),"")</f>
        <v/>
      </c>
      <c r="BL30" s="700" t="str">
        <f ca="1">IF(INDIRECT("'Ext Tradable'!$B" &amp; BL$9)=$B30,INDIRECT("'Ext Tradable'!$" &amp; 'Ext Tradable'!$AS$23 &amp; BL$9),"")</f>
        <v/>
      </c>
      <c r="BM30" s="700">
        <f ca="1">IF(INDIRECT("'Ext Tradable'!$B" &amp; BM$9)=$B30,INDIRECT("'Ext Tradable'!$" &amp; 'Ext Tradable'!$AS$23 &amp; BM$9),"")</f>
        <v>0</v>
      </c>
      <c r="BN30" s="700">
        <f ca="1">IF(INDIRECT("'Ext Tradable'!$B" &amp; BN$9)=$B30,INDIRECT("'Ext Tradable'!$" &amp; 'Ext Tradable'!$AS$23 &amp; BN$9),"")</f>
        <v>0</v>
      </c>
      <c r="BO30" s="700">
        <f ca="1">IF(INDIRECT("'Ext Tradable'!$B" &amp; BO$9)=$B30,INDIRECT("'Ext Tradable'!$" &amp; 'Ext Tradable'!$AS$23 &amp; BO$9),"")</f>
        <v>0</v>
      </c>
      <c r="BP30" s="700">
        <f ca="1">IF(INDIRECT("'Ext Tradable'!$B" &amp; BP$9)=$B30,INDIRECT("'Ext Tradable'!$" &amp; 'Ext Tradable'!$AS$23 &amp; BP$9),"")</f>
        <v>0</v>
      </c>
      <c r="BQ30" s="700">
        <f ca="1">IF(INDIRECT("'Ext Tradable'!$B" &amp; BQ$9)=$B30,INDIRECT("'Ext Tradable'!$" &amp; 'Ext Tradable'!$AS$23 &amp; BQ$9),"")</f>
        <v>0</v>
      </c>
      <c r="BR30" s="700">
        <f ca="1">IF(INDIRECT("'Ext Tradable'!$B" &amp; BR$9)=$B30,INDIRECT("'Ext Tradable'!$" &amp; 'Ext Tradable'!$AS$23 &amp; BR$9),"")</f>
        <v>0</v>
      </c>
      <c r="BS30" s="700">
        <f ca="1">IF(INDIRECT("'Ext Tradable'!$B" &amp; BS$9)=$B30,INDIRECT("'Ext Tradable'!$" &amp; 'Ext Tradable'!$AS$23 &amp; BS$9),"")</f>
        <v>0</v>
      </c>
      <c r="BT30" s="700">
        <f ca="1">IF(INDIRECT("'Ext Tradable'!$B" &amp; BT$9)=$B30,INDIRECT("'Ext Tradable'!$" &amp; 'Ext Tradable'!$AS$23 &amp; BT$9),"")</f>
        <v>0</v>
      </c>
      <c r="BU30" s="700">
        <f ca="1">IF(INDIRECT("'Ext Tradable'!$B" &amp; BU$9)=$B30,INDIRECT("'Ext Tradable'!$" &amp; 'Ext Tradable'!$AS$23 &amp; BU$9),"")</f>
        <v>0</v>
      </c>
      <c r="BV30" s="700">
        <f ca="1">IF(INDIRECT("'Ext Tradable'!$B" &amp; BV$9)=$B30,INDIRECT("'Ext Tradable'!$" &amp; 'Ext Tradable'!$AS$23 &amp; BV$9),"")</f>
        <v>0</v>
      </c>
      <c r="BW30" s="700">
        <f ca="1">IF(INDIRECT("'Ext Tradable'!$B" &amp; BW$9)=$B30,INDIRECT("'Ext Tradable'!$" &amp; 'Ext Tradable'!$AS$23 &amp; BW$9),"")</f>
        <v>0</v>
      </c>
      <c r="BX30" s="700">
        <f ca="1">IF(INDIRECT("'Ext Tradable'!$B" &amp; BX$9)=$B30,INDIRECT("'Ext Tradable'!$" &amp; 'Ext Tradable'!$AS$23 &amp; BX$9),"")</f>
        <v>0</v>
      </c>
      <c r="BY30" s="700">
        <f ca="1">IF(INDIRECT("'Ext Tradable'!$B" &amp; BY$9)=$B30,INDIRECT("'Ext Tradable'!$" &amp; 'Ext Tradable'!$AS$23 &amp; BY$9),"")</f>
        <v>0</v>
      </c>
      <c r="BZ30" s="700">
        <f ca="1">IF(INDIRECT("'Ext Tradable'!$B" &amp; BZ$9)=$B30,INDIRECT("'Ext Tradable'!$" &amp; 'Ext Tradable'!$AS$23 &amp; BZ$9),"")</f>
        <v>0</v>
      </c>
      <c r="CA30" s="700">
        <f ca="1">IF(INDIRECT("'Ext Tradable'!$B" &amp; CA$9)=$B30,INDIRECT("'Ext Tradable'!$" &amp; 'Ext Tradable'!$AS$23 &amp; CA$9),"")</f>
        <v>0</v>
      </c>
      <c r="CB30" s="700">
        <f ca="1">IF(INDIRECT("'Ext Tradable'!$B" &amp; CB$9)=$B30,INDIRECT("'Ext Tradable'!$" &amp; 'Ext Tradable'!$AS$23 &amp; CB$9),"")</f>
        <v>0</v>
      </c>
      <c r="CC30" s="700">
        <f ca="1">IF(INDIRECT("'Ext Tradable'!$B" &amp; CC$9)=$B30,INDIRECT("'Ext Tradable'!$" &amp; 'Ext Tradable'!$AS$23 &amp; CC$9),"")</f>
        <v>0</v>
      </c>
      <c r="CD30" s="700">
        <f ca="1">IF(INDIRECT("'Ext Tradable'!$B" &amp; CD$9)=$B30,INDIRECT("'Ext Tradable'!$" &amp; 'Ext Tradable'!$AS$23 &amp; CD$9),"")</f>
        <v>0</v>
      </c>
      <c r="CE30" s="700">
        <f ca="1">IF(INDIRECT("'Ext Tradable'!$B" &amp; CE$9)=$B30,INDIRECT("'Ext Tradable'!$" &amp; 'Ext Tradable'!$AS$23 &amp; CE$9),"")</f>
        <v>0</v>
      </c>
      <c r="CF30" s="700">
        <f ca="1">IF(INDIRECT("'Ext Tradable'!$B" &amp; CF$9)=$B30,INDIRECT("'Ext Tradable'!$" &amp; 'Ext Tradable'!$AS$23 &amp; CF$9),"")</f>
        <v>0</v>
      </c>
      <c r="CG30" s="700">
        <f ca="1">IF(INDIRECT("'Ext Tradable'!$B" &amp; CG$9)=$B30,INDIRECT("'Ext Tradable'!$" &amp; 'Ext Tradable'!$AS$23 &amp; CG$9),"")</f>
        <v>0</v>
      </c>
      <c r="CH30" s="700">
        <f ca="1">IF(INDIRECT("'Ext Tradable'!$B" &amp; CH$9)=$B30,INDIRECT("'Ext Tradable'!$" &amp; 'Ext Tradable'!$AS$23 &amp; CH$9),"")</f>
        <v>0</v>
      </c>
      <c r="CI30" s="700">
        <f ca="1">IF(INDIRECT("'Ext Tradable'!$B" &amp; CI$9)=$B30,INDIRECT("'Ext Tradable'!$" &amp; 'Ext Tradable'!$AS$23 &amp; CI$9),"")</f>
        <v>0</v>
      </c>
      <c r="CJ30" s="700">
        <f ca="1">IF(INDIRECT("'Ext Tradable'!$B" &amp; CJ$9)=$B30,INDIRECT("'Ext Tradable'!$" &amp; 'Ext Tradable'!$AS$23 &amp; CJ$9),"")</f>
        <v>0</v>
      </c>
      <c r="CK30" s="700">
        <f ca="1">IF(INDIRECT("'Ext Tradable'!$B" &amp; CK$9)=$B30,INDIRECT("'Ext Tradable'!$" &amp; 'Ext Tradable'!$AS$23 &amp; CK$9),"")</f>
        <v>0</v>
      </c>
      <c r="CL30" s="700">
        <f ca="1">IF(INDIRECT("'Ext Tradable'!$B" &amp; CL$9)=$B30,INDIRECT("'Ext Tradable'!$" &amp; 'Ext Tradable'!$AS$23 &amp; CL$9),"")</f>
        <v>0</v>
      </c>
      <c r="CM30" s="700">
        <f ca="1">IF(INDIRECT("'Ext Tradable'!$B" &amp; CM$9)=$B30,INDIRECT("'Ext Tradable'!$" &amp; 'Ext Tradable'!$AS$23 &amp; CM$9),"")</f>
        <v>0</v>
      </c>
      <c r="CN30" s="700">
        <f ca="1">IF(INDIRECT("'Ext Tradable'!$B" &amp; CN$9)=$B30,INDIRECT("'Ext Tradable'!$" &amp; 'Ext Tradable'!$AS$23 &amp; CN$9),"")</f>
        <v>0</v>
      </c>
      <c r="CO30" s="700">
        <f ca="1">IF(INDIRECT("'Ext Tradable'!$B" &amp; CO$9)=$B30,INDIRECT("'Ext Tradable'!$" &amp; 'Ext Tradable'!$AS$23 &amp; CO$9),"")</f>
        <v>0</v>
      </c>
      <c r="CP30" s="700">
        <f ca="1">IF(INDIRECT("'Ext Tradable'!$B" &amp; CP$9)=$B30,INDIRECT("'Ext Tradable'!$" &amp; 'Ext Tradable'!$AS$23 &amp; CP$9),"")</f>
        <v>0</v>
      </c>
      <c r="CQ30" s="702" t="str">
        <f t="shared" ca="1" si="25"/>
        <v>000000000000000000000000000000</v>
      </c>
    </row>
    <row r="31" spans="1:95" ht="60" customHeight="1" x14ac:dyDescent="0.25">
      <c r="A31" s="705">
        <v>22</v>
      </c>
      <c r="B31" s="707" t="str">
        <f>'Ext Area Schedule'!Y37</f>
        <v/>
      </c>
      <c r="C31" s="707" t="str">
        <f>VLOOKUP($B31,'Ext Area Schedule'!$Y$16:$AE$65,3,FALSE)</f>
        <v/>
      </c>
      <c r="D31" s="792" t="str">
        <f>VLOOKUP($B31,'Ext Area Schedule'!$Y$16:$AE$65,4,FALSE)</f>
        <v/>
      </c>
      <c r="F31" s="792" t="str">
        <f>VLOOKUP($B31,'Ext Area Schedule'!$Y$16:$AE$65,5,FALSE)</f>
        <v/>
      </c>
      <c r="G31" s="792" t="str">
        <f>VLOOKUP($B31,'Ext Area Schedule'!$Y$16:$AE$65,7,FALSE)</f>
        <v/>
      </c>
      <c r="I31" s="703">
        <f t="shared" si="6"/>
        <v>0</v>
      </c>
      <c r="K31" s="703" t="str">
        <f>IF($B31="","",SUMIFS('Ext Tradable'!$M$26:$M$45,'Ext Tradable'!$B$26:$B$45,$B31,'Ext Tradable'!$O$26:$O$45,"New"))</f>
        <v/>
      </c>
      <c r="L31" s="703" t="str">
        <f>IF($B31="","",SUMIFS('Ext Tradable'!$M$26:$M$45,'Ext Tradable'!$B$26:$B$45,$B31,'Ext Tradable'!$O$26:$O$45,""))</f>
        <v/>
      </c>
      <c r="M31" s="703" t="str">
        <f>IF($B31="","",SUMIFS('Ext Tradable'!$K$26:$K$45,'Ext Tradable'!$B$26:$B$45,$B31,'Ext Tradable'!$O$26:$O$45,"New")+SUMIFS('Ext Tradable'!$K$26:$K$45,'Ext Tradable'!$B$26:$B$45,$B31,'Ext Tradable'!$O$26:$O$45,""))</f>
        <v/>
      </c>
      <c r="N31" s="703" t="str">
        <f>IF($B31="","",SUMIFS('Ext Tradable'!$M$26:$M$45,'Ext Tradable'!$B$26:$B$45,$B31,'Ext Tradable'!$O$26:$O$45,"Existing Remains"))</f>
        <v/>
      </c>
      <c r="O31" s="703" t="str">
        <f>IF($B31="","",SUMIFS('Ext Tradable'!$M$26:$M$45,'Ext Tradable'!$B$26:$B$45,$B31,'Ext Tradable'!$O$26:$O$45,"Existing Removed"))</f>
        <v/>
      </c>
      <c r="P31" s="703" t="str">
        <f>IF($B31="","",SUMIFS('Ext Tradable'!$K$26:$K$45,'Ext Tradable'!$B$26:$B$45,$B31,'Ext Tradable'!$O$26:$O$45,"Existing Removed"))</f>
        <v/>
      </c>
      <c r="Q31" s="703" t="str">
        <f t="shared" si="7"/>
        <v/>
      </c>
      <c r="R31" s="703" t="str">
        <f t="shared" si="8"/>
        <v/>
      </c>
      <c r="S31" s="1123" t="str">
        <f t="shared" si="9"/>
        <v/>
      </c>
      <c r="T31" s="1128" t="str">
        <f t="shared" si="23"/>
        <v/>
      </c>
      <c r="U31" s="711" t="str">
        <f t="shared" si="11"/>
        <v/>
      </c>
      <c r="V31" s="712" t="str">
        <f t="shared" si="12"/>
        <v/>
      </c>
      <c r="W31" s="762"/>
      <c r="X31" s="720" t="str">
        <f t="shared" si="13"/>
        <v/>
      </c>
      <c r="Y31" s="721" t="str">
        <f t="shared" si="14"/>
        <v/>
      </c>
      <c r="Z31" s="721" t="str">
        <f t="shared" si="15"/>
        <v/>
      </c>
      <c r="AA31" s="719" t="str">
        <f t="shared" si="2"/>
        <v/>
      </c>
      <c r="AB31" s="762"/>
      <c r="AC31" s="717" t="str">
        <f t="shared" si="16"/>
        <v/>
      </c>
      <c r="AD31" s="718" t="str">
        <f t="shared" si="17"/>
        <v/>
      </c>
      <c r="AE31" s="719" t="str">
        <f t="shared" si="3"/>
        <v/>
      </c>
      <c r="AF31" s="726"/>
      <c r="AG31" s="727" t="str">
        <f t="shared" si="18"/>
        <v/>
      </c>
      <c r="AH31" s="703" t="str">
        <f t="shared" si="19"/>
        <v/>
      </c>
      <c r="AI31" s="1114">
        <f t="shared" si="20"/>
        <v>0</v>
      </c>
      <c r="AK31" s="791" t="str">
        <f t="shared" si="4"/>
        <v/>
      </c>
      <c r="AL31" s="791" t="str">
        <f t="shared" si="21"/>
        <v/>
      </c>
      <c r="AM31" s="707" t="str">
        <f>IF(OR(AK31="Fail",AK31="Fail LPA",AK31=""),"",IF(AL31&lt;&gt;"#1",VLOOKUP(C31,'9.4.3 Tables'!B$142:O$154,14,FALSE),"No NEW controls required"))</f>
        <v/>
      </c>
      <c r="AN31" s="703">
        <f t="shared" si="22"/>
        <v>0</v>
      </c>
      <c r="AQ31">
        <v>22</v>
      </c>
      <c r="AR31" s="15" t="str">
        <f t="shared" si="24"/>
        <v/>
      </c>
      <c r="AS31" s="700" t="str">
        <f ca="1">IF(INDIRECT("'Ext Tradable'!$B" &amp; AS$9)=$B31,INDIRECT("'Ext Tradable'!$" &amp; 'Ext Tradable'!$AS$23 &amp; AS$9),"")</f>
        <v/>
      </c>
      <c r="AT31" s="700" t="str">
        <f ca="1">IF(INDIRECT("'Ext Tradable'!$B" &amp; AT$9)=$B31,INDIRECT("'Ext Tradable'!$" &amp; 'Ext Tradable'!$AS$23 &amp; AT$9),"")</f>
        <v/>
      </c>
      <c r="AU31" s="700" t="str">
        <f ca="1">IF(INDIRECT("'Ext Tradable'!$B" &amp; AU$9)=$B31,INDIRECT("'Ext Tradable'!$" &amp; 'Ext Tradable'!$AS$23 &amp; AU$9),"")</f>
        <v/>
      </c>
      <c r="AV31" s="700" t="str">
        <f ca="1">IF(INDIRECT("'Ext Tradable'!$B" &amp; AV$9)=$B31,INDIRECT("'Ext Tradable'!$" &amp; 'Ext Tradable'!$AS$23 &amp; AV$9),"")</f>
        <v/>
      </c>
      <c r="AW31" s="700" t="str">
        <f ca="1">IF(INDIRECT("'Ext Tradable'!$B" &amp; AW$9)=$B31,INDIRECT("'Ext Tradable'!$" &amp; 'Ext Tradable'!$AS$23 &amp; AW$9),"")</f>
        <v/>
      </c>
      <c r="AX31" s="700" t="str">
        <f ca="1">IF(INDIRECT("'Ext Tradable'!$B" &amp; AX$9)=$B31,INDIRECT("'Ext Tradable'!$" &amp; 'Ext Tradable'!$AS$23 &amp; AX$9),"")</f>
        <v/>
      </c>
      <c r="AY31" s="700" t="str">
        <f ca="1">IF(INDIRECT("'Ext Tradable'!$B" &amp; AY$9)=$B31,INDIRECT("'Ext Tradable'!$" &amp; 'Ext Tradable'!$AS$23 &amp; AY$9),"")</f>
        <v/>
      </c>
      <c r="AZ31" s="700" t="str">
        <f ca="1">IF(INDIRECT("'Ext Tradable'!$B" &amp; AZ$9)=$B31,INDIRECT("'Ext Tradable'!$" &amp; 'Ext Tradable'!$AS$23 &amp; AZ$9),"")</f>
        <v/>
      </c>
      <c r="BA31" s="700" t="str">
        <f ca="1">IF(INDIRECT("'Ext Tradable'!$B" &amp; BA$9)=$B31,INDIRECT("'Ext Tradable'!$" &amp; 'Ext Tradable'!$AS$23 &amp; BA$9),"")</f>
        <v/>
      </c>
      <c r="BB31" s="700" t="str">
        <f ca="1">IF(INDIRECT("'Ext Tradable'!$B" &amp; BB$9)=$B31,INDIRECT("'Ext Tradable'!$" &amp; 'Ext Tradable'!$AS$23 &amp; BB$9),"")</f>
        <v/>
      </c>
      <c r="BC31" s="700" t="str">
        <f ca="1">IF(INDIRECT("'Ext Tradable'!$B" &amp; BC$9)=$B31,INDIRECT("'Ext Tradable'!$" &amp; 'Ext Tradable'!$AS$23 &amp; BC$9),"")</f>
        <v/>
      </c>
      <c r="BD31" s="700" t="str">
        <f ca="1">IF(INDIRECT("'Ext Tradable'!$B" &amp; BD$9)=$B31,INDIRECT("'Ext Tradable'!$" &amp; 'Ext Tradable'!$AS$23 &amp; BD$9),"")</f>
        <v/>
      </c>
      <c r="BE31" s="700" t="str">
        <f ca="1">IF(INDIRECT("'Ext Tradable'!$B" &amp; BE$9)=$B31,INDIRECT("'Ext Tradable'!$" &amp; 'Ext Tradable'!$AS$23 &amp; BE$9),"")</f>
        <v/>
      </c>
      <c r="BF31" s="700" t="str">
        <f ca="1">IF(INDIRECT("'Ext Tradable'!$B" &amp; BF$9)=$B31,INDIRECT("'Ext Tradable'!$" &amp; 'Ext Tradable'!$AS$23 &amp; BF$9),"")</f>
        <v/>
      </c>
      <c r="BG31" s="700" t="str">
        <f ca="1">IF(INDIRECT("'Ext Tradable'!$B" &amp; BG$9)=$B31,INDIRECT("'Ext Tradable'!$" &amp; 'Ext Tradable'!$AS$23 &amp; BG$9),"")</f>
        <v/>
      </c>
      <c r="BH31" s="700" t="str">
        <f ca="1">IF(INDIRECT("'Ext Tradable'!$B" &amp; BH$9)=$B31,INDIRECT("'Ext Tradable'!$" &amp; 'Ext Tradable'!$AS$23 &amp; BH$9),"")</f>
        <v/>
      </c>
      <c r="BI31" s="700" t="str">
        <f ca="1">IF(INDIRECT("'Ext Tradable'!$B" &amp; BI$9)=$B31,INDIRECT("'Ext Tradable'!$" &amp; 'Ext Tradable'!$AS$23 &amp; BI$9),"")</f>
        <v/>
      </c>
      <c r="BJ31" s="700" t="str">
        <f ca="1">IF(INDIRECT("'Ext Tradable'!$B" &amp; BJ$9)=$B31,INDIRECT("'Ext Tradable'!$" &amp; 'Ext Tradable'!$AS$23 &amp; BJ$9),"")</f>
        <v/>
      </c>
      <c r="BK31" s="700" t="str">
        <f ca="1">IF(INDIRECT("'Ext Tradable'!$B" &amp; BK$9)=$B31,INDIRECT("'Ext Tradable'!$" &amp; 'Ext Tradable'!$AS$23 &amp; BK$9),"")</f>
        <v/>
      </c>
      <c r="BL31" s="700" t="str">
        <f ca="1">IF(INDIRECT("'Ext Tradable'!$B" &amp; BL$9)=$B31,INDIRECT("'Ext Tradable'!$" &amp; 'Ext Tradable'!$AS$23 &amp; BL$9),"")</f>
        <v/>
      </c>
      <c r="BM31" s="700">
        <f ca="1">IF(INDIRECT("'Ext Tradable'!$B" &amp; BM$9)=$B31,INDIRECT("'Ext Tradable'!$" &amp; 'Ext Tradable'!$AS$23 &amp; BM$9),"")</f>
        <v>0</v>
      </c>
      <c r="BN31" s="700">
        <f ca="1">IF(INDIRECT("'Ext Tradable'!$B" &amp; BN$9)=$B31,INDIRECT("'Ext Tradable'!$" &amp; 'Ext Tradable'!$AS$23 &amp; BN$9),"")</f>
        <v>0</v>
      </c>
      <c r="BO31" s="700">
        <f ca="1">IF(INDIRECT("'Ext Tradable'!$B" &amp; BO$9)=$B31,INDIRECT("'Ext Tradable'!$" &amp; 'Ext Tradable'!$AS$23 &amp; BO$9),"")</f>
        <v>0</v>
      </c>
      <c r="BP31" s="700">
        <f ca="1">IF(INDIRECT("'Ext Tradable'!$B" &amp; BP$9)=$B31,INDIRECT("'Ext Tradable'!$" &amp; 'Ext Tradable'!$AS$23 &amp; BP$9),"")</f>
        <v>0</v>
      </c>
      <c r="BQ31" s="700">
        <f ca="1">IF(INDIRECT("'Ext Tradable'!$B" &amp; BQ$9)=$B31,INDIRECT("'Ext Tradable'!$" &amp; 'Ext Tradable'!$AS$23 &amp; BQ$9),"")</f>
        <v>0</v>
      </c>
      <c r="BR31" s="700">
        <f ca="1">IF(INDIRECT("'Ext Tradable'!$B" &amp; BR$9)=$B31,INDIRECT("'Ext Tradable'!$" &amp; 'Ext Tradable'!$AS$23 &amp; BR$9),"")</f>
        <v>0</v>
      </c>
      <c r="BS31" s="700">
        <f ca="1">IF(INDIRECT("'Ext Tradable'!$B" &amp; BS$9)=$B31,INDIRECT("'Ext Tradable'!$" &amp; 'Ext Tradable'!$AS$23 &amp; BS$9),"")</f>
        <v>0</v>
      </c>
      <c r="BT31" s="700">
        <f ca="1">IF(INDIRECT("'Ext Tradable'!$B" &amp; BT$9)=$B31,INDIRECT("'Ext Tradable'!$" &amp; 'Ext Tradable'!$AS$23 &amp; BT$9),"")</f>
        <v>0</v>
      </c>
      <c r="BU31" s="700">
        <f ca="1">IF(INDIRECT("'Ext Tradable'!$B" &amp; BU$9)=$B31,INDIRECT("'Ext Tradable'!$" &amp; 'Ext Tradable'!$AS$23 &amp; BU$9),"")</f>
        <v>0</v>
      </c>
      <c r="BV31" s="700">
        <f ca="1">IF(INDIRECT("'Ext Tradable'!$B" &amp; BV$9)=$B31,INDIRECT("'Ext Tradable'!$" &amp; 'Ext Tradable'!$AS$23 &amp; BV$9),"")</f>
        <v>0</v>
      </c>
      <c r="BW31" s="700">
        <f ca="1">IF(INDIRECT("'Ext Tradable'!$B" &amp; BW$9)=$B31,INDIRECT("'Ext Tradable'!$" &amp; 'Ext Tradable'!$AS$23 &amp; BW$9),"")</f>
        <v>0</v>
      </c>
      <c r="BX31" s="700">
        <f ca="1">IF(INDIRECT("'Ext Tradable'!$B" &amp; BX$9)=$B31,INDIRECT("'Ext Tradable'!$" &amp; 'Ext Tradable'!$AS$23 &amp; BX$9),"")</f>
        <v>0</v>
      </c>
      <c r="BY31" s="700">
        <f ca="1">IF(INDIRECT("'Ext Tradable'!$B" &amp; BY$9)=$B31,INDIRECT("'Ext Tradable'!$" &amp; 'Ext Tradable'!$AS$23 &amp; BY$9),"")</f>
        <v>0</v>
      </c>
      <c r="BZ31" s="700">
        <f ca="1">IF(INDIRECT("'Ext Tradable'!$B" &amp; BZ$9)=$B31,INDIRECT("'Ext Tradable'!$" &amp; 'Ext Tradable'!$AS$23 &amp; BZ$9),"")</f>
        <v>0</v>
      </c>
      <c r="CA31" s="700">
        <f ca="1">IF(INDIRECT("'Ext Tradable'!$B" &amp; CA$9)=$B31,INDIRECT("'Ext Tradable'!$" &amp; 'Ext Tradable'!$AS$23 &amp; CA$9),"")</f>
        <v>0</v>
      </c>
      <c r="CB31" s="700">
        <f ca="1">IF(INDIRECT("'Ext Tradable'!$B" &amp; CB$9)=$B31,INDIRECT("'Ext Tradable'!$" &amp; 'Ext Tradable'!$AS$23 &amp; CB$9),"")</f>
        <v>0</v>
      </c>
      <c r="CC31" s="700">
        <f ca="1">IF(INDIRECT("'Ext Tradable'!$B" &amp; CC$9)=$B31,INDIRECT("'Ext Tradable'!$" &amp; 'Ext Tradable'!$AS$23 &amp; CC$9),"")</f>
        <v>0</v>
      </c>
      <c r="CD31" s="700">
        <f ca="1">IF(INDIRECT("'Ext Tradable'!$B" &amp; CD$9)=$B31,INDIRECT("'Ext Tradable'!$" &amp; 'Ext Tradable'!$AS$23 &amp; CD$9),"")</f>
        <v>0</v>
      </c>
      <c r="CE31" s="700">
        <f ca="1">IF(INDIRECT("'Ext Tradable'!$B" &amp; CE$9)=$B31,INDIRECT("'Ext Tradable'!$" &amp; 'Ext Tradable'!$AS$23 &amp; CE$9),"")</f>
        <v>0</v>
      </c>
      <c r="CF31" s="700">
        <f ca="1">IF(INDIRECT("'Ext Tradable'!$B" &amp; CF$9)=$B31,INDIRECT("'Ext Tradable'!$" &amp; 'Ext Tradable'!$AS$23 &amp; CF$9),"")</f>
        <v>0</v>
      </c>
      <c r="CG31" s="700">
        <f ca="1">IF(INDIRECT("'Ext Tradable'!$B" &amp; CG$9)=$B31,INDIRECT("'Ext Tradable'!$" &amp; 'Ext Tradable'!$AS$23 &amp; CG$9),"")</f>
        <v>0</v>
      </c>
      <c r="CH31" s="700">
        <f ca="1">IF(INDIRECT("'Ext Tradable'!$B" &amp; CH$9)=$B31,INDIRECT("'Ext Tradable'!$" &amp; 'Ext Tradable'!$AS$23 &amp; CH$9),"")</f>
        <v>0</v>
      </c>
      <c r="CI31" s="700">
        <f ca="1">IF(INDIRECT("'Ext Tradable'!$B" &amp; CI$9)=$B31,INDIRECT("'Ext Tradable'!$" &amp; 'Ext Tradable'!$AS$23 &amp; CI$9),"")</f>
        <v>0</v>
      </c>
      <c r="CJ31" s="700">
        <f ca="1">IF(INDIRECT("'Ext Tradable'!$B" &amp; CJ$9)=$B31,INDIRECT("'Ext Tradable'!$" &amp; 'Ext Tradable'!$AS$23 &amp; CJ$9),"")</f>
        <v>0</v>
      </c>
      <c r="CK31" s="700">
        <f ca="1">IF(INDIRECT("'Ext Tradable'!$B" &amp; CK$9)=$B31,INDIRECT("'Ext Tradable'!$" &amp; 'Ext Tradable'!$AS$23 &amp; CK$9),"")</f>
        <v>0</v>
      </c>
      <c r="CL31" s="700">
        <f ca="1">IF(INDIRECT("'Ext Tradable'!$B" &amp; CL$9)=$B31,INDIRECT("'Ext Tradable'!$" &amp; 'Ext Tradable'!$AS$23 &amp; CL$9),"")</f>
        <v>0</v>
      </c>
      <c r="CM31" s="700">
        <f ca="1">IF(INDIRECT("'Ext Tradable'!$B" &amp; CM$9)=$B31,INDIRECT("'Ext Tradable'!$" &amp; 'Ext Tradable'!$AS$23 &amp; CM$9),"")</f>
        <v>0</v>
      </c>
      <c r="CN31" s="700">
        <f ca="1">IF(INDIRECT("'Ext Tradable'!$B" &amp; CN$9)=$B31,INDIRECT("'Ext Tradable'!$" &amp; 'Ext Tradable'!$AS$23 &amp; CN$9),"")</f>
        <v>0</v>
      </c>
      <c r="CO31" s="700">
        <f ca="1">IF(INDIRECT("'Ext Tradable'!$B" &amp; CO$9)=$B31,INDIRECT("'Ext Tradable'!$" &amp; 'Ext Tradable'!$AS$23 &amp; CO$9),"")</f>
        <v>0</v>
      </c>
      <c r="CP31" s="700">
        <f ca="1">IF(INDIRECT("'Ext Tradable'!$B" &amp; CP$9)=$B31,INDIRECT("'Ext Tradable'!$" &amp; 'Ext Tradable'!$AS$23 &amp; CP$9),"")</f>
        <v>0</v>
      </c>
      <c r="CQ31" s="702" t="str">
        <f t="shared" ca="1" si="25"/>
        <v>000000000000000000000000000000</v>
      </c>
    </row>
    <row r="32" spans="1:95" ht="60" customHeight="1" x14ac:dyDescent="0.25">
      <c r="A32" s="705">
        <v>23</v>
      </c>
      <c r="B32" s="707" t="str">
        <f>'Ext Area Schedule'!Y38</f>
        <v/>
      </c>
      <c r="C32" s="707" t="str">
        <f>VLOOKUP($B32,'Ext Area Schedule'!$Y$16:$AE$65,3,FALSE)</f>
        <v/>
      </c>
      <c r="D32" s="792" t="str">
        <f>VLOOKUP($B32,'Ext Area Schedule'!$Y$16:$AE$65,4,FALSE)</f>
        <v/>
      </c>
      <c r="F32" s="792" t="str">
        <f>VLOOKUP($B32,'Ext Area Schedule'!$Y$16:$AE$65,5,FALSE)</f>
        <v/>
      </c>
      <c r="G32" s="792" t="str">
        <f>VLOOKUP($B32,'Ext Area Schedule'!$Y$16:$AE$65,7,FALSE)</f>
        <v/>
      </c>
      <c r="I32" s="703">
        <f t="shared" si="6"/>
        <v>0</v>
      </c>
      <c r="K32" s="703" t="str">
        <f>IF($B32="","",SUMIFS('Ext Tradable'!$M$26:$M$45,'Ext Tradable'!$B$26:$B$45,$B32,'Ext Tradable'!$O$26:$O$45,"New"))</f>
        <v/>
      </c>
      <c r="L32" s="703" t="str">
        <f>IF($B32="","",SUMIFS('Ext Tradable'!$M$26:$M$45,'Ext Tradable'!$B$26:$B$45,$B32,'Ext Tradable'!$O$26:$O$45,""))</f>
        <v/>
      </c>
      <c r="M32" s="703" t="str">
        <f>IF($B32="","",SUMIFS('Ext Tradable'!$K$26:$K$45,'Ext Tradable'!$B$26:$B$45,$B32,'Ext Tradable'!$O$26:$O$45,"New")+SUMIFS('Ext Tradable'!$K$26:$K$45,'Ext Tradable'!$B$26:$B$45,$B32,'Ext Tradable'!$O$26:$O$45,""))</f>
        <v/>
      </c>
      <c r="N32" s="703" t="str">
        <f>IF($B32="","",SUMIFS('Ext Tradable'!$M$26:$M$45,'Ext Tradable'!$B$26:$B$45,$B32,'Ext Tradable'!$O$26:$O$45,"Existing Remains"))</f>
        <v/>
      </c>
      <c r="O32" s="703" t="str">
        <f>IF($B32="","",SUMIFS('Ext Tradable'!$M$26:$M$45,'Ext Tradable'!$B$26:$B$45,$B32,'Ext Tradable'!$O$26:$O$45,"Existing Removed"))</f>
        <v/>
      </c>
      <c r="P32" s="703" t="str">
        <f>IF($B32="","",SUMIFS('Ext Tradable'!$K$26:$K$45,'Ext Tradable'!$B$26:$B$45,$B32,'Ext Tradable'!$O$26:$O$45,"Existing Removed"))</f>
        <v/>
      </c>
      <c r="Q32" s="703" t="str">
        <f t="shared" si="7"/>
        <v/>
      </c>
      <c r="R32" s="703" t="str">
        <f t="shared" si="8"/>
        <v/>
      </c>
      <c r="S32" s="1123" t="str">
        <f t="shared" si="9"/>
        <v/>
      </c>
      <c r="T32" s="1128" t="str">
        <f t="shared" si="23"/>
        <v/>
      </c>
      <c r="U32" s="711" t="str">
        <f t="shared" si="11"/>
        <v/>
      </c>
      <c r="V32" s="712" t="str">
        <f t="shared" si="12"/>
        <v/>
      </c>
      <c r="W32" s="762"/>
      <c r="X32" s="720" t="str">
        <f t="shared" si="13"/>
        <v/>
      </c>
      <c r="Y32" s="721" t="str">
        <f t="shared" si="14"/>
        <v/>
      </c>
      <c r="Z32" s="721" t="str">
        <f t="shared" si="15"/>
        <v/>
      </c>
      <c r="AA32" s="719" t="str">
        <f t="shared" si="2"/>
        <v/>
      </c>
      <c r="AB32" s="762"/>
      <c r="AC32" s="717" t="str">
        <f t="shared" si="16"/>
        <v/>
      </c>
      <c r="AD32" s="718" t="str">
        <f t="shared" si="17"/>
        <v/>
      </c>
      <c r="AE32" s="719" t="str">
        <f t="shared" si="3"/>
        <v/>
      </c>
      <c r="AF32" s="726"/>
      <c r="AG32" s="727" t="str">
        <f t="shared" si="18"/>
        <v/>
      </c>
      <c r="AH32" s="703" t="str">
        <f t="shared" si="19"/>
        <v/>
      </c>
      <c r="AI32" s="1114">
        <f t="shared" si="20"/>
        <v>0</v>
      </c>
      <c r="AK32" s="791" t="str">
        <f t="shared" si="4"/>
        <v/>
      </c>
      <c r="AL32" s="791" t="str">
        <f t="shared" si="21"/>
        <v/>
      </c>
      <c r="AM32" s="707" t="str">
        <f>IF(OR(AK32="Fail",AK32="Fail LPA",AK32=""),"",IF(AL32&lt;&gt;"#1",VLOOKUP(C32,'9.4.3 Tables'!B$142:O$154,14,FALSE),"No NEW controls required"))</f>
        <v/>
      </c>
      <c r="AN32" s="703">
        <f t="shared" si="22"/>
        <v>0</v>
      </c>
      <c r="AQ32">
        <v>23</v>
      </c>
      <c r="AR32" s="15" t="str">
        <f t="shared" si="24"/>
        <v/>
      </c>
      <c r="AS32" s="700" t="str">
        <f ca="1">IF(INDIRECT("'Ext Tradable'!$B" &amp; AS$9)=$B32,INDIRECT("'Ext Tradable'!$" &amp; 'Ext Tradable'!$AS$23 &amp; AS$9),"")</f>
        <v/>
      </c>
      <c r="AT32" s="700" t="str">
        <f ca="1">IF(INDIRECT("'Ext Tradable'!$B" &amp; AT$9)=$B32,INDIRECT("'Ext Tradable'!$" &amp; 'Ext Tradable'!$AS$23 &amp; AT$9),"")</f>
        <v/>
      </c>
      <c r="AU32" s="700" t="str">
        <f ca="1">IF(INDIRECT("'Ext Tradable'!$B" &amp; AU$9)=$B32,INDIRECT("'Ext Tradable'!$" &amp; 'Ext Tradable'!$AS$23 &amp; AU$9),"")</f>
        <v/>
      </c>
      <c r="AV32" s="700" t="str">
        <f ca="1">IF(INDIRECT("'Ext Tradable'!$B" &amp; AV$9)=$B32,INDIRECT("'Ext Tradable'!$" &amp; 'Ext Tradable'!$AS$23 &amp; AV$9),"")</f>
        <v/>
      </c>
      <c r="AW32" s="700" t="str">
        <f ca="1">IF(INDIRECT("'Ext Tradable'!$B" &amp; AW$9)=$B32,INDIRECT("'Ext Tradable'!$" &amp; 'Ext Tradable'!$AS$23 &amp; AW$9),"")</f>
        <v/>
      </c>
      <c r="AX32" s="700" t="str">
        <f ca="1">IF(INDIRECT("'Ext Tradable'!$B" &amp; AX$9)=$B32,INDIRECT("'Ext Tradable'!$" &amp; 'Ext Tradable'!$AS$23 &amp; AX$9),"")</f>
        <v/>
      </c>
      <c r="AY32" s="700" t="str">
        <f ca="1">IF(INDIRECT("'Ext Tradable'!$B" &amp; AY$9)=$B32,INDIRECT("'Ext Tradable'!$" &amp; 'Ext Tradable'!$AS$23 &amp; AY$9),"")</f>
        <v/>
      </c>
      <c r="AZ32" s="700" t="str">
        <f ca="1">IF(INDIRECT("'Ext Tradable'!$B" &amp; AZ$9)=$B32,INDIRECT("'Ext Tradable'!$" &amp; 'Ext Tradable'!$AS$23 &amp; AZ$9),"")</f>
        <v/>
      </c>
      <c r="BA32" s="700" t="str">
        <f ca="1">IF(INDIRECT("'Ext Tradable'!$B" &amp; BA$9)=$B32,INDIRECT("'Ext Tradable'!$" &amp; 'Ext Tradable'!$AS$23 &amp; BA$9),"")</f>
        <v/>
      </c>
      <c r="BB32" s="700" t="str">
        <f ca="1">IF(INDIRECT("'Ext Tradable'!$B" &amp; BB$9)=$B32,INDIRECT("'Ext Tradable'!$" &amp; 'Ext Tradable'!$AS$23 &amp; BB$9),"")</f>
        <v/>
      </c>
      <c r="BC32" s="700" t="str">
        <f ca="1">IF(INDIRECT("'Ext Tradable'!$B" &amp; BC$9)=$B32,INDIRECT("'Ext Tradable'!$" &amp; 'Ext Tradable'!$AS$23 &amp; BC$9),"")</f>
        <v/>
      </c>
      <c r="BD32" s="700" t="str">
        <f ca="1">IF(INDIRECT("'Ext Tradable'!$B" &amp; BD$9)=$B32,INDIRECT("'Ext Tradable'!$" &amp; 'Ext Tradable'!$AS$23 &amp; BD$9),"")</f>
        <v/>
      </c>
      <c r="BE32" s="700" t="str">
        <f ca="1">IF(INDIRECT("'Ext Tradable'!$B" &amp; BE$9)=$B32,INDIRECT("'Ext Tradable'!$" &amp; 'Ext Tradable'!$AS$23 &amp; BE$9),"")</f>
        <v/>
      </c>
      <c r="BF32" s="700" t="str">
        <f ca="1">IF(INDIRECT("'Ext Tradable'!$B" &amp; BF$9)=$B32,INDIRECT("'Ext Tradable'!$" &amp; 'Ext Tradable'!$AS$23 &amp; BF$9),"")</f>
        <v/>
      </c>
      <c r="BG32" s="700" t="str">
        <f ca="1">IF(INDIRECT("'Ext Tradable'!$B" &amp; BG$9)=$B32,INDIRECT("'Ext Tradable'!$" &amp; 'Ext Tradable'!$AS$23 &amp; BG$9),"")</f>
        <v/>
      </c>
      <c r="BH32" s="700" t="str">
        <f ca="1">IF(INDIRECT("'Ext Tradable'!$B" &amp; BH$9)=$B32,INDIRECT("'Ext Tradable'!$" &amp; 'Ext Tradable'!$AS$23 &amp; BH$9),"")</f>
        <v/>
      </c>
      <c r="BI32" s="700" t="str">
        <f ca="1">IF(INDIRECT("'Ext Tradable'!$B" &amp; BI$9)=$B32,INDIRECT("'Ext Tradable'!$" &amp; 'Ext Tradable'!$AS$23 &amp; BI$9),"")</f>
        <v/>
      </c>
      <c r="BJ32" s="700" t="str">
        <f ca="1">IF(INDIRECT("'Ext Tradable'!$B" &amp; BJ$9)=$B32,INDIRECT("'Ext Tradable'!$" &amp; 'Ext Tradable'!$AS$23 &amp; BJ$9),"")</f>
        <v/>
      </c>
      <c r="BK32" s="700" t="str">
        <f ca="1">IF(INDIRECT("'Ext Tradable'!$B" &amp; BK$9)=$B32,INDIRECT("'Ext Tradable'!$" &amp; 'Ext Tradable'!$AS$23 &amp; BK$9),"")</f>
        <v/>
      </c>
      <c r="BL32" s="700" t="str">
        <f ca="1">IF(INDIRECT("'Ext Tradable'!$B" &amp; BL$9)=$B32,INDIRECT("'Ext Tradable'!$" &amp; 'Ext Tradable'!$AS$23 &amp; BL$9),"")</f>
        <v/>
      </c>
      <c r="BM32" s="700">
        <f ca="1">IF(INDIRECT("'Ext Tradable'!$B" &amp; BM$9)=$B32,INDIRECT("'Ext Tradable'!$" &amp; 'Ext Tradable'!$AS$23 &amp; BM$9),"")</f>
        <v>0</v>
      </c>
      <c r="BN32" s="700">
        <f ca="1">IF(INDIRECT("'Ext Tradable'!$B" &amp; BN$9)=$B32,INDIRECT("'Ext Tradable'!$" &amp; 'Ext Tradable'!$AS$23 &amp; BN$9),"")</f>
        <v>0</v>
      </c>
      <c r="BO32" s="700">
        <f ca="1">IF(INDIRECT("'Ext Tradable'!$B" &amp; BO$9)=$B32,INDIRECT("'Ext Tradable'!$" &amp; 'Ext Tradable'!$AS$23 &amp; BO$9),"")</f>
        <v>0</v>
      </c>
      <c r="BP32" s="700">
        <f ca="1">IF(INDIRECT("'Ext Tradable'!$B" &amp; BP$9)=$B32,INDIRECT("'Ext Tradable'!$" &amp; 'Ext Tradable'!$AS$23 &amp; BP$9),"")</f>
        <v>0</v>
      </c>
      <c r="BQ32" s="700">
        <f ca="1">IF(INDIRECT("'Ext Tradable'!$B" &amp; BQ$9)=$B32,INDIRECT("'Ext Tradable'!$" &amp; 'Ext Tradable'!$AS$23 &amp; BQ$9),"")</f>
        <v>0</v>
      </c>
      <c r="BR32" s="700">
        <f ca="1">IF(INDIRECT("'Ext Tradable'!$B" &amp; BR$9)=$B32,INDIRECT("'Ext Tradable'!$" &amp; 'Ext Tradable'!$AS$23 &amp; BR$9),"")</f>
        <v>0</v>
      </c>
      <c r="BS32" s="700">
        <f ca="1">IF(INDIRECT("'Ext Tradable'!$B" &amp; BS$9)=$B32,INDIRECT("'Ext Tradable'!$" &amp; 'Ext Tradable'!$AS$23 &amp; BS$9),"")</f>
        <v>0</v>
      </c>
      <c r="BT32" s="700">
        <f ca="1">IF(INDIRECT("'Ext Tradable'!$B" &amp; BT$9)=$B32,INDIRECT("'Ext Tradable'!$" &amp; 'Ext Tradable'!$AS$23 &amp; BT$9),"")</f>
        <v>0</v>
      </c>
      <c r="BU32" s="700">
        <f ca="1">IF(INDIRECT("'Ext Tradable'!$B" &amp; BU$9)=$B32,INDIRECT("'Ext Tradable'!$" &amp; 'Ext Tradable'!$AS$23 &amp; BU$9),"")</f>
        <v>0</v>
      </c>
      <c r="BV32" s="700">
        <f ca="1">IF(INDIRECT("'Ext Tradable'!$B" &amp; BV$9)=$B32,INDIRECT("'Ext Tradable'!$" &amp; 'Ext Tradable'!$AS$23 &amp; BV$9),"")</f>
        <v>0</v>
      </c>
      <c r="BW32" s="700">
        <f ca="1">IF(INDIRECT("'Ext Tradable'!$B" &amp; BW$9)=$B32,INDIRECT("'Ext Tradable'!$" &amp; 'Ext Tradable'!$AS$23 &amp; BW$9),"")</f>
        <v>0</v>
      </c>
      <c r="BX32" s="700">
        <f ca="1">IF(INDIRECT("'Ext Tradable'!$B" &amp; BX$9)=$B32,INDIRECT("'Ext Tradable'!$" &amp; 'Ext Tradable'!$AS$23 &amp; BX$9),"")</f>
        <v>0</v>
      </c>
      <c r="BY32" s="700">
        <f ca="1">IF(INDIRECT("'Ext Tradable'!$B" &amp; BY$9)=$B32,INDIRECT("'Ext Tradable'!$" &amp; 'Ext Tradable'!$AS$23 &amp; BY$9),"")</f>
        <v>0</v>
      </c>
      <c r="BZ32" s="700">
        <f ca="1">IF(INDIRECT("'Ext Tradable'!$B" &amp; BZ$9)=$B32,INDIRECT("'Ext Tradable'!$" &amp; 'Ext Tradable'!$AS$23 &amp; BZ$9),"")</f>
        <v>0</v>
      </c>
      <c r="CA32" s="700">
        <f ca="1">IF(INDIRECT("'Ext Tradable'!$B" &amp; CA$9)=$B32,INDIRECT("'Ext Tradable'!$" &amp; 'Ext Tradable'!$AS$23 &amp; CA$9),"")</f>
        <v>0</v>
      </c>
      <c r="CB32" s="700">
        <f ca="1">IF(INDIRECT("'Ext Tradable'!$B" &amp; CB$9)=$B32,INDIRECT("'Ext Tradable'!$" &amp; 'Ext Tradable'!$AS$23 &amp; CB$9),"")</f>
        <v>0</v>
      </c>
      <c r="CC32" s="700">
        <f ca="1">IF(INDIRECT("'Ext Tradable'!$B" &amp; CC$9)=$B32,INDIRECT("'Ext Tradable'!$" &amp; 'Ext Tradable'!$AS$23 &amp; CC$9),"")</f>
        <v>0</v>
      </c>
      <c r="CD32" s="700">
        <f ca="1">IF(INDIRECT("'Ext Tradable'!$B" &amp; CD$9)=$B32,INDIRECT("'Ext Tradable'!$" &amp; 'Ext Tradable'!$AS$23 &amp; CD$9),"")</f>
        <v>0</v>
      </c>
      <c r="CE32" s="700">
        <f ca="1">IF(INDIRECT("'Ext Tradable'!$B" &amp; CE$9)=$B32,INDIRECT("'Ext Tradable'!$" &amp; 'Ext Tradable'!$AS$23 &amp; CE$9),"")</f>
        <v>0</v>
      </c>
      <c r="CF32" s="700">
        <f ca="1">IF(INDIRECT("'Ext Tradable'!$B" &amp; CF$9)=$B32,INDIRECT("'Ext Tradable'!$" &amp; 'Ext Tradable'!$AS$23 &amp; CF$9),"")</f>
        <v>0</v>
      </c>
      <c r="CG32" s="700">
        <f ca="1">IF(INDIRECT("'Ext Tradable'!$B" &amp; CG$9)=$B32,INDIRECT("'Ext Tradable'!$" &amp; 'Ext Tradable'!$AS$23 &amp; CG$9),"")</f>
        <v>0</v>
      </c>
      <c r="CH32" s="700">
        <f ca="1">IF(INDIRECT("'Ext Tradable'!$B" &amp; CH$9)=$B32,INDIRECT("'Ext Tradable'!$" &amp; 'Ext Tradable'!$AS$23 &amp; CH$9),"")</f>
        <v>0</v>
      </c>
      <c r="CI32" s="700">
        <f ca="1">IF(INDIRECT("'Ext Tradable'!$B" &amp; CI$9)=$B32,INDIRECT("'Ext Tradable'!$" &amp; 'Ext Tradable'!$AS$23 &amp; CI$9),"")</f>
        <v>0</v>
      </c>
      <c r="CJ32" s="700">
        <f ca="1">IF(INDIRECT("'Ext Tradable'!$B" &amp; CJ$9)=$B32,INDIRECT("'Ext Tradable'!$" &amp; 'Ext Tradable'!$AS$23 &amp; CJ$9),"")</f>
        <v>0</v>
      </c>
      <c r="CK32" s="700">
        <f ca="1">IF(INDIRECT("'Ext Tradable'!$B" &amp; CK$9)=$B32,INDIRECT("'Ext Tradable'!$" &amp; 'Ext Tradable'!$AS$23 &amp; CK$9),"")</f>
        <v>0</v>
      </c>
      <c r="CL32" s="700">
        <f ca="1">IF(INDIRECT("'Ext Tradable'!$B" &amp; CL$9)=$B32,INDIRECT("'Ext Tradable'!$" &amp; 'Ext Tradable'!$AS$23 &amp; CL$9),"")</f>
        <v>0</v>
      </c>
      <c r="CM32" s="700">
        <f ca="1">IF(INDIRECT("'Ext Tradable'!$B" &amp; CM$9)=$B32,INDIRECT("'Ext Tradable'!$" &amp; 'Ext Tradable'!$AS$23 &amp; CM$9),"")</f>
        <v>0</v>
      </c>
      <c r="CN32" s="700">
        <f ca="1">IF(INDIRECT("'Ext Tradable'!$B" &amp; CN$9)=$B32,INDIRECT("'Ext Tradable'!$" &amp; 'Ext Tradable'!$AS$23 &amp; CN$9),"")</f>
        <v>0</v>
      </c>
      <c r="CO32" s="700">
        <f ca="1">IF(INDIRECT("'Ext Tradable'!$B" &amp; CO$9)=$B32,INDIRECT("'Ext Tradable'!$" &amp; 'Ext Tradable'!$AS$23 &amp; CO$9),"")</f>
        <v>0</v>
      </c>
      <c r="CP32" s="700">
        <f ca="1">IF(INDIRECT("'Ext Tradable'!$B" &amp; CP$9)=$B32,INDIRECT("'Ext Tradable'!$" &amp; 'Ext Tradable'!$AS$23 &amp; CP$9),"")</f>
        <v>0</v>
      </c>
      <c r="CQ32" s="702" t="str">
        <f t="shared" ca="1" si="25"/>
        <v>000000000000000000000000000000</v>
      </c>
    </row>
    <row r="33" spans="1:95" ht="60" customHeight="1" x14ac:dyDescent="0.25">
      <c r="A33" s="705">
        <v>24</v>
      </c>
      <c r="B33" s="707" t="str">
        <f>'Ext Area Schedule'!Y39</f>
        <v/>
      </c>
      <c r="C33" s="707" t="str">
        <f>VLOOKUP($B33,'Ext Area Schedule'!$Y$16:$AE$65,3,FALSE)</f>
        <v/>
      </c>
      <c r="D33" s="792" t="str">
        <f>VLOOKUP($B33,'Ext Area Schedule'!$Y$16:$AE$65,4,FALSE)</f>
        <v/>
      </c>
      <c r="F33" s="792" t="str">
        <f>VLOOKUP($B33,'Ext Area Schedule'!$Y$16:$AE$65,5,FALSE)</f>
        <v/>
      </c>
      <c r="G33" s="792" t="str">
        <f>VLOOKUP($B33,'Ext Area Schedule'!$Y$16:$AE$65,7,FALSE)</f>
        <v/>
      </c>
      <c r="I33" s="703">
        <f t="shared" si="6"/>
        <v>0</v>
      </c>
      <c r="K33" s="703" t="str">
        <f>IF($B33="","",SUMIFS('Ext Tradable'!$M$26:$M$45,'Ext Tradable'!$B$26:$B$45,$B33,'Ext Tradable'!$O$26:$O$45,"New"))</f>
        <v/>
      </c>
      <c r="L33" s="703" t="str">
        <f>IF($B33="","",SUMIFS('Ext Tradable'!$M$26:$M$45,'Ext Tradable'!$B$26:$B$45,$B33,'Ext Tradable'!$O$26:$O$45,""))</f>
        <v/>
      </c>
      <c r="M33" s="703" t="str">
        <f>IF($B33="","",SUMIFS('Ext Tradable'!$K$26:$K$45,'Ext Tradable'!$B$26:$B$45,$B33,'Ext Tradable'!$O$26:$O$45,"New")+SUMIFS('Ext Tradable'!$K$26:$K$45,'Ext Tradable'!$B$26:$B$45,$B33,'Ext Tradable'!$O$26:$O$45,""))</f>
        <v/>
      </c>
      <c r="N33" s="703" t="str">
        <f>IF($B33="","",SUMIFS('Ext Tradable'!$M$26:$M$45,'Ext Tradable'!$B$26:$B$45,$B33,'Ext Tradable'!$O$26:$O$45,"Existing Remains"))</f>
        <v/>
      </c>
      <c r="O33" s="703" t="str">
        <f>IF($B33="","",SUMIFS('Ext Tradable'!$M$26:$M$45,'Ext Tradable'!$B$26:$B$45,$B33,'Ext Tradable'!$O$26:$O$45,"Existing Removed"))</f>
        <v/>
      </c>
      <c r="P33" s="703" t="str">
        <f>IF($B33="","",SUMIFS('Ext Tradable'!$K$26:$K$45,'Ext Tradable'!$B$26:$B$45,$B33,'Ext Tradable'!$O$26:$O$45,"Existing Removed"))</f>
        <v/>
      </c>
      <c r="Q33" s="703" t="str">
        <f t="shared" si="7"/>
        <v/>
      </c>
      <c r="R33" s="703" t="str">
        <f t="shared" si="8"/>
        <v/>
      </c>
      <c r="S33" s="1123" t="str">
        <f t="shared" si="9"/>
        <v/>
      </c>
      <c r="T33" s="1128" t="str">
        <f t="shared" si="23"/>
        <v/>
      </c>
      <c r="U33" s="711" t="str">
        <f t="shared" si="11"/>
        <v/>
      </c>
      <c r="V33" s="712" t="str">
        <f t="shared" si="12"/>
        <v/>
      </c>
      <c r="W33" s="762"/>
      <c r="X33" s="720" t="str">
        <f t="shared" si="13"/>
        <v/>
      </c>
      <c r="Y33" s="721" t="str">
        <f t="shared" si="14"/>
        <v/>
      </c>
      <c r="Z33" s="721" t="str">
        <f t="shared" si="15"/>
        <v/>
      </c>
      <c r="AA33" s="719" t="str">
        <f t="shared" si="2"/>
        <v/>
      </c>
      <c r="AB33" s="762"/>
      <c r="AC33" s="717" t="str">
        <f t="shared" si="16"/>
        <v/>
      </c>
      <c r="AD33" s="718" t="str">
        <f t="shared" si="17"/>
        <v/>
      </c>
      <c r="AE33" s="719" t="str">
        <f t="shared" si="3"/>
        <v/>
      </c>
      <c r="AF33" s="726"/>
      <c r="AG33" s="727" t="str">
        <f t="shared" si="18"/>
        <v/>
      </c>
      <c r="AH33" s="703" t="str">
        <f t="shared" si="19"/>
        <v/>
      </c>
      <c r="AI33" s="1114">
        <f t="shared" si="20"/>
        <v>0</v>
      </c>
      <c r="AK33" s="791" t="str">
        <f t="shared" si="4"/>
        <v/>
      </c>
      <c r="AL33" s="791" t="str">
        <f t="shared" si="21"/>
        <v/>
      </c>
      <c r="AM33" s="707" t="str">
        <f>IF(OR(AK33="Fail",AK33="Fail LPA",AK33=""),"",IF(AL33&lt;&gt;"#1",VLOOKUP(C33,'9.4.3 Tables'!B$142:O$154,14,FALSE),"No NEW controls required"))</f>
        <v/>
      </c>
      <c r="AN33" s="703">
        <f t="shared" si="22"/>
        <v>0</v>
      </c>
      <c r="AQ33">
        <v>24</v>
      </c>
      <c r="AR33" s="15" t="str">
        <f t="shared" si="24"/>
        <v/>
      </c>
      <c r="AS33" s="700" t="str">
        <f ca="1">IF(INDIRECT("'Ext Tradable'!$B" &amp; AS$9)=$B33,INDIRECT("'Ext Tradable'!$" &amp; 'Ext Tradable'!$AS$23 &amp; AS$9),"")</f>
        <v/>
      </c>
      <c r="AT33" s="700" t="str">
        <f ca="1">IF(INDIRECT("'Ext Tradable'!$B" &amp; AT$9)=$B33,INDIRECT("'Ext Tradable'!$" &amp; 'Ext Tradable'!$AS$23 &amp; AT$9),"")</f>
        <v/>
      </c>
      <c r="AU33" s="700" t="str">
        <f ca="1">IF(INDIRECT("'Ext Tradable'!$B" &amp; AU$9)=$B33,INDIRECT("'Ext Tradable'!$" &amp; 'Ext Tradable'!$AS$23 &amp; AU$9),"")</f>
        <v/>
      </c>
      <c r="AV33" s="700" t="str">
        <f ca="1">IF(INDIRECT("'Ext Tradable'!$B" &amp; AV$9)=$B33,INDIRECT("'Ext Tradable'!$" &amp; 'Ext Tradable'!$AS$23 &amp; AV$9),"")</f>
        <v/>
      </c>
      <c r="AW33" s="700" t="str">
        <f ca="1">IF(INDIRECT("'Ext Tradable'!$B" &amp; AW$9)=$B33,INDIRECT("'Ext Tradable'!$" &amp; 'Ext Tradable'!$AS$23 &amp; AW$9),"")</f>
        <v/>
      </c>
      <c r="AX33" s="700" t="str">
        <f ca="1">IF(INDIRECT("'Ext Tradable'!$B" &amp; AX$9)=$B33,INDIRECT("'Ext Tradable'!$" &amp; 'Ext Tradable'!$AS$23 &amp; AX$9),"")</f>
        <v/>
      </c>
      <c r="AY33" s="700" t="str">
        <f ca="1">IF(INDIRECT("'Ext Tradable'!$B" &amp; AY$9)=$B33,INDIRECT("'Ext Tradable'!$" &amp; 'Ext Tradable'!$AS$23 &amp; AY$9),"")</f>
        <v/>
      </c>
      <c r="AZ33" s="700" t="str">
        <f ca="1">IF(INDIRECT("'Ext Tradable'!$B" &amp; AZ$9)=$B33,INDIRECT("'Ext Tradable'!$" &amp; 'Ext Tradable'!$AS$23 &amp; AZ$9),"")</f>
        <v/>
      </c>
      <c r="BA33" s="700" t="str">
        <f ca="1">IF(INDIRECT("'Ext Tradable'!$B" &amp; BA$9)=$B33,INDIRECT("'Ext Tradable'!$" &amp; 'Ext Tradable'!$AS$23 &amp; BA$9),"")</f>
        <v/>
      </c>
      <c r="BB33" s="700" t="str">
        <f ca="1">IF(INDIRECT("'Ext Tradable'!$B" &amp; BB$9)=$B33,INDIRECT("'Ext Tradable'!$" &amp; 'Ext Tradable'!$AS$23 &amp; BB$9),"")</f>
        <v/>
      </c>
      <c r="BC33" s="700" t="str">
        <f ca="1">IF(INDIRECT("'Ext Tradable'!$B" &amp; BC$9)=$B33,INDIRECT("'Ext Tradable'!$" &amp; 'Ext Tradable'!$AS$23 &amp; BC$9),"")</f>
        <v/>
      </c>
      <c r="BD33" s="700" t="str">
        <f ca="1">IF(INDIRECT("'Ext Tradable'!$B" &amp; BD$9)=$B33,INDIRECT("'Ext Tradable'!$" &amp; 'Ext Tradable'!$AS$23 &amp; BD$9),"")</f>
        <v/>
      </c>
      <c r="BE33" s="700" t="str">
        <f ca="1">IF(INDIRECT("'Ext Tradable'!$B" &amp; BE$9)=$B33,INDIRECT("'Ext Tradable'!$" &amp; 'Ext Tradable'!$AS$23 &amp; BE$9),"")</f>
        <v/>
      </c>
      <c r="BF33" s="700" t="str">
        <f ca="1">IF(INDIRECT("'Ext Tradable'!$B" &amp; BF$9)=$B33,INDIRECT("'Ext Tradable'!$" &amp; 'Ext Tradable'!$AS$23 &amp; BF$9),"")</f>
        <v/>
      </c>
      <c r="BG33" s="700" t="str">
        <f ca="1">IF(INDIRECT("'Ext Tradable'!$B" &amp; BG$9)=$B33,INDIRECT("'Ext Tradable'!$" &amp; 'Ext Tradable'!$AS$23 &amp; BG$9),"")</f>
        <v/>
      </c>
      <c r="BH33" s="700" t="str">
        <f ca="1">IF(INDIRECT("'Ext Tradable'!$B" &amp; BH$9)=$B33,INDIRECT("'Ext Tradable'!$" &amp; 'Ext Tradable'!$AS$23 &amp; BH$9),"")</f>
        <v/>
      </c>
      <c r="BI33" s="700" t="str">
        <f ca="1">IF(INDIRECT("'Ext Tradable'!$B" &amp; BI$9)=$B33,INDIRECT("'Ext Tradable'!$" &amp; 'Ext Tradable'!$AS$23 &amp; BI$9),"")</f>
        <v/>
      </c>
      <c r="BJ33" s="700" t="str">
        <f ca="1">IF(INDIRECT("'Ext Tradable'!$B" &amp; BJ$9)=$B33,INDIRECT("'Ext Tradable'!$" &amp; 'Ext Tradable'!$AS$23 &amp; BJ$9),"")</f>
        <v/>
      </c>
      <c r="BK33" s="700" t="str">
        <f ca="1">IF(INDIRECT("'Ext Tradable'!$B" &amp; BK$9)=$B33,INDIRECT("'Ext Tradable'!$" &amp; 'Ext Tradable'!$AS$23 &amp; BK$9),"")</f>
        <v/>
      </c>
      <c r="BL33" s="700" t="str">
        <f ca="1">IF(INDIRECT("'Ext Tradable'!$B" &amp; BL$9)=$B33,INDIRECT("'Ext Tradable'!$" &amp; 'Ext Tradable'!$AS$23 &amp; BL$9),"")</f>
        <v/>
      </c>
      <c r="BM33" s="700">
        <f ca="1">IF(INDIRECT("'Ext Tradable'!$B" &amp; BM$9)=$B33,INDIRECT("'Ext Tradable'!$" &amp; 'Ext Tradable'!$AS$23 &amp; BM$9),"")</f>
        <v>0</v>
      </c>
      <c r="BN33" s="700">
        <f ca="1">IF(INDIRECT("'Ext Tradable'!$B" &amp; BN$9)=$B33,INDIRECT("'Ext Tradable'!$" &amp; 'Ext Tradable'!$AS$23 &amp; BN$9),"")</f>
        <v>0</v>
      </c>
      <c r="BO33" s="700">
        <f ca="1">IF(INDIRECT("'Ext Tradable'!$B" &amp; BO$9)=$B33,INDIRECT("'Ext Tradable'!$" &amp; 'Ext Tradable'!$AS$23 &amp; BO$9),"")</f>
        <v>0</v>
      </c>
      <c r="BP33" s="700">
        <f ca="1">IF(INDIRECT("'Ext Tradable'!$B" &amp; BP$9)=$B33,INDIRECT("'Ext Tradable'!$" &amp; 'Ext Tradable'!$AS$23 &amp; BP$9),"")</f>
        <v>0</v>
      </c>
      <c r="BQ33" s="700">
        <f ca="1">IF(INDIRECT("'Ext Tradable'!$B" &amp; BQ$9)=$B33,INDIRECT("'Ext Tradable'!$" &amp; 'Ext Tradable'!$AS$23 &amp; BQ$9),"")</f>
        <v>0</v>
      </c>
      <c r="BR33" s="700">
        <f ca="1">IF(INDIRECT("'Ext Tradable'!$B" &amp; BR$9)=$B33,INDIRECT("'Ext Tradable'!$" &amp; 'Ext Tradable'!$AS$23 &amp; BR$9),"")</f>
        <v>0</v>
      </c>
      <c r="BS33" s="700">
        <f ca="1">IF(INDIRECT("'Ext Tradable'!$B" &amp; BS$9)=$B33,INDIRECT("'Ext Tradable'!$" &amp; 'Ext Tradable'!$AS$23 &amp; BS$9),"")</f>
        <v>0</v>
      </c>
      <c r="BT33" s="700">
        <f ca="1">IF(INDIRECT("'Ext Tradable'!$B" &amp; BT$9)=$B33,INDIRECT("'Ext Tradable'!$" &amp; 'Ext Tradable'!$AS$23 &amp; BT$9),"")</f>
        <v>0</v>
      </c>
      <c r="BU33" s="700">
        <f ca="1">IF(INDIRECT("'Ext Tradable'!$B" &amp; BU$9)=$B33,INDIRECT("'Ext Tradable'!$" &amp; 'Ext Tradable'!$AS$23 &amp; BU$9),"")</f>
        <v>0</v>
      </c>
      <c r="BV33" s="700">
        <f ca="1">IF(INDIRECT("'Ext Tradable'!$B" &amp; BV$9)=$B33,INDIRECT("'Ext Tradable'!$" &amp; 'Ext Tradable'!$AS$23 &amp; BV$9),"")</f>
        <v>0</v>
      </c>
      <c r="BW33" s="700">
        <f ca="1">IF(INDIRECT("'Ext Tradable'!$B" &amp; BW$9)=$B33,INDIRECT("'Ext Tradable'!$" &amp; 'Ext Tradable'!$AS$23 &amp; BW$9),"")</f>
        <v>0</v>
      </c>
      <c r="BX33" s="700">
        <f ca="1">IF(INDIRECT("'Ext Tradable'!$B" &amp; BX$9)=$B33,INDIRECT("'Ext Tradable'!$" &amp; 'Ext Tradable'!$AS$23 &amp; BX$9),"")</f>
        <v>0</v>
      </c>
      <c r="BY33" s="700">
        <f ca="1">IF(INDIRECT("'Ext Tradable'!$B" &amp; BY$9)=$B33,INDIRECT("'Ext Tradable'!$" &amp; 'Ext Tradable'!$AS$23 &amp; BY$9),"")</f>
        <v>0</v>
      </c>
      <c r="BZ33" s="700">
        <f ca="1">IF(INDIRECT("'Ext Tradable'!$B" &amp; BZ$9)=$B33,INDIRECT("'Ext Tradable'!$" &amp; 'Ext Tradable'!$AS$23 &amp; BZ$9),"")</f>
        <v>0</v>
      </c>
      <c r="CA33" s="700">
        <f ca="1">IF(INDIRECT("'Ext Tradable'!$B" &amp; CA$9)=$B33,INDIRECT("'Ext Tradable'!$" &amp; 'Ext Tradable'!$AS$23 &amp; CA$9),"")</f>
        <v>0</v>
      </c>
      <c r="CB33" s="700">
        <f ca="1">IF(INDIRECT("'Ext Tradable'!$B" &amp; CB$9)=$B33,INDIRECT("'Ext Tradable'!$" &amp; 'Ext Tradable'!$AS$23 &amp; CB$9),"")</f>
        <v>0</v>
      </c>
      <c r="CC33" s="700">
        <f ca="1">IF(INDIRECT("'Ext Tradable'!$B" &amp; CC$9)=$B33,INDIRECT("'Ext Tradable'!$" &amp; 'Ext Tradable'!$AS$23 &amp; CC$9),"")</f>
        <v>0</v>
      </c>
      <c r="CD33" s="700">
        <f ca="1">IF(INDIRECT("'Ext Tradable'!$B" &amp; CD$9)=$B33,INDIRECT("'Ext Tradable'!$" &amp; 'Ext Tradable'!$AS$23 &amp; CD$9),"")</f>
        <v>0</v>
      </c>
      <c r="CE33" s="700">
        <f ca="1">IF(INDIRECT("'Ext Tradable'!$B" &amp; CE$9)=$B33,INDIRECT("'Ext Tradable'!$" &amp; 'Ext Tradable'!$AS$23 &amp; CE$9),"")</f>
        <v>0</v>
      </c>
      <c r="CF33" s="700">
        <f ca="1">IF(INDIRECT("'Ext Tradable'!$B" &amp; CF$9)=$B33,INDIRECT("'Ext Tradable'!$" &amp; 'Ext Tradable'!$AS$23 &amp; CF$9),"")</f>
        <v>0</v>
      </c>
      <c r="CG33" s="700">
        <f ca="1">IF(INDIRECT("'Ext Tradable'!$B" &amp; CG$9)=$B33,INDIRECT("'Ext Tradable'!$" &amp; 'Ext Tradable'!$AS$23 &amp; CG$9),"")</f>
        <v>0</v>
      </c>
      <c r="CH33" s="700">
        <f ca="1">IF(INDIRECT("'Ext Tradable'!$B" &amp; CH$9)=$B33,INDIRECT("'Ext Tradable'!$" &amp; 'Ext Tradable'!$AS$23 &amp; CH$9),"")</f>
        <v>0</v>
      </c>
      <c r="CI33" s="700">
        <f ca="1">IF(INDIRECT("'Ext Tradable'!$B" &amp; CI$9)=$B33,INDIRECT("'Ext Tradable'!$" &amp; 'Ext Tradable'!$AS$23 &amp; CI$9),"")</f>
        <v>0</v>
      </c>
      <c r="CJ33" s="700">
        <f ca="1">IF(INDIRECT("'Ext Tradable'!$B" &amp; CJ$9)=$B33,INDIRECT("'Ext Tradable'!$" &amp; 'Ext Tradable'!$AS$23 &amp; CJ$9),"")</f>
        <v>0</v>
      </c>
      <c r="CK33" s="700">
        <f ca="1">IF(INDIRECT("'Ext Tradable'!$B" &amp; CK$9)=$B33,INDIRECT("'Ext Tradable'!$" &amp; 'Ext Tradable'!$AS$23 &amp; CK$9),"")</f>
        <v>0</v>
      </c>
      <c r="CL33" s="700">
        <f ca="1">IF(INDIRECT("'Ext Tradable'!$B" &amp; CL$9)=$B33,INDIRECT("'Ext Tradable'!$" &amp; 'Ext Tradable'!$AS$23 &amp; CL$9),"")</f>
        <v>0</v>
      </c>
      <c r="CM33" s="700">
        <f ca="1">IF(INDIRECT("'Ext Tradable'!$B" &amp; CM$9)=$B33,INDIRECT("'Ext Tradable'!$" &amp; 'Ext Tradable'!$AS$23 &amp; CM$9),"")</f>
        <v>0</v>
      </c>
      <c r="CN33" s="700">
        <f ca="1">IF(INDIRECT("'Ext Tradable'!$B" &amp; CN$9)=$B33,INDIRECT("'Ext Tradable'!$" &amp; 'Ext Tradable'!$AS$23 &amp; CN$9),"")</f>
        <v>0</v>
      </c>
      <c r="CO33" s="700">
        <f ca="1">IF(INDIRECT("'Ext Tradable'!$B" &amp; CO$9)=$B33,INDIRECT("'Ext Tradable'!$" &amp; 'Ext Tradable'!$AS$23 &amp; CO$9),"")</f>
        <v>0</v>
      </c>
      <c r="CP33" s="700">
        <f ca="1">IF(INDIRECT("'Ext Tradable'!$B" &amp; CP$9)=$B33,INDIRECT("'Ext Tradable'!$" &amp; 'Ext Tradable'!$AS$23 &amp; CP$9),"")</f>
        <v>0</v>
      </c>
      <c r="CQ33" s="702" t="str">
        <f t="shared" ca="1" si="25"/>
        <v>000000000000000000000000000000</v>
      </c>
    </row>
    <row r="34" spans="1:95" ht="60" customHeight="1" x14ac:dyDescent="0.25">
      <c r="A34" s="705">
        <v>25</v>
      </c>
      <c r="B34" s="707" t="str">
        <f>'Ext Area Schedule'!Y40</f>
        <v/>
      </c>
      <c r="C34" s="707" t="str">
        <f>VLOOKUP($B34,'Ext Area Schedule'!$Y$16:$AE$65,3,FALSE)</f>
        <v/>
      </c>
      <c r="D34" s="792" t="str">
        <f>VLOOKUP($B34,'Ext Area Schedule'!$Y$16:$AE$65,4,FALSE)</f>
        <v/>
      </c>
      <c r="F34" s="792" t="str">
        <f>VLOOKUP($B34,'Ext Area Schedule'!$Y$16:$AE$65,5,FALSE)</f>
        <v/>
      </c>
      <c r="G34" s="792" t="str">
        <f>VLOOKUP($B34,'Ext Area Schedule'!$Y$16:$AE$65,7,FALSE)</f>
        <v/>
      </c>
      <c r="I34" s="703">
        <f t="shared" si="6"/>
        <v>0</v>
      </c>
      <c r="K34" s="703" t="str">
        <f>IF($B34="","",SUMIFS('Ext Tradable'!$M$26:$M$45,'Ext Tradable'!$B$26:$B$45,$B34,'Ext Tradable'!$O$26:$O$45,"New"))</f>
        <v/>
      </c>
      <c r="L34" s="703" t="str">
        <f>IF($B34="","",SUMIFS('Ext Tradable'!$M$26:$M$45,'Ext Tradable'!$B$26:$B$45,$B34,'Ext Tradable'!$O$26:$O$45,""))</f>
        <v/>
      </c>
      <c r="M34" s="703" t="str">
        <f>IF($B34="","",SUMIFS('Ext Tradable'!$K$26:$K$45,'Ext Tradable'!$B$26:$B$45,$B34,'Ext Tradable'!$O$26:$O$45,"New")+SUMIFS('Ext Tradable'!$K$26:$K$45,'Ext Tradable'!$B$26:$B$45,$B34,'Ext Tradable'!$O$26:$O$45,""))</f>
        <v/>
      </c>
      <c r="N34" s="703" t="str">
        <f>IF($B34="","",SUMIFS('Ext Tradable'!$M$26:$M$45,'Ext Tradable'!$B$26:$B$45,$B34,'Ext Tradable'!$O$26:$O$45,"Existing Remains"))</f>
        <v/>
      </c>
      <c r="O34" s="703" t="str">
        <f>IF($B34="","",SUMIFS('Ext Tradable'!$M$26:$M$45,'Ext Tradable'!$B$26:$B$45,$B34,'Ext Tradable'!$O$26:$O$45,"Existing Removed"))</f>
        <v/>
      </c>
      <c r="P34" s="703" t="str">
        <f>IF($B34="","",SUMIFS('Ext Tradable'!$K$26:$K$45,'Ext Tradable'!$B$26:$B$45,$B34,'Ext Tradable'!$O$26:$O$45,"Existing Removed"))</f>
        <v/>
      </c>
      <c r="Q34" s="703" t="str">
        <f t="shared" si="7"/>
        <v/>
      </c>
      <c r="R34" s="703" t="str">
        <f t="shared" si="8"/>
        <v/>
      </c>
      <c r="S34" s="1123" t="str">
        <f t="shared" si="9"/>
        <v/>
      </c>
      <c r="T34" s="1128" t="str">
        <f t="shared" si="23"/>
        <v/>
      </c>
      <c r="U34" s="711" t="str">
        <f t="shared" si="11"/>
        <v/>
      </c>
      <c r="V34" s="712" t="str">
        <f t="shared" si="12"/>
        <v/>
      </c>
      <c r="W34" s="762"/>
      <c r="X34" s="720" t="str">
        <f t="shared" si="13"/>
        <v/>
      </c>
      <c r="Y34" s="721" t="str">
        <f t="shared" si="14"/>
        <v/>
      </c>
      <c r="Z34" s="721" t="str">
        <f t="shared" si="15"/>
        <v/>
      </c>
      <c r="AA34" s="719" t="str">
        <f t="shared" si="2"/>
        <v/>
      </c>
      <c r="AB34" s="762"/>
      <c r="AC34" s="717" t="str">
        <f t="shared" si="16"/>
        <v/>
      </c>
      <c r="AD34" s="718" t="str">
        <f t="shared" si="17"/>
        <v/>
      </c>
      <c r="AE34" s="719" t="str">
        <f t="shared" si="3"/>
        <v/>
      </c>
      <c r="AF34" s="726"/>
      <c r="AG34" s="727" t="str">
        <f t="shared" si="18"/>
        <v/>
      </c>
      <c r="AH34" s="703" t="str">
        <f t="shared" si="19"/>
        <v/>
      </c>
      <c r="AI34" s="1114">
        <f t="shared" si="20"/>
        <v>0</v>
      </c>
      <c r="AK34" s="791" t="str">
        <f t="shared" si="4"/>
        <v/>
      </c>
      <c r="AL34" s="791" t="str">
        <f t="shared" si="21"/>
        <v/>
      </c>
      <c r="AM34" s="707" t="str">
        <f>IF(OR(AK34="Fail",AK34="Fail LPA",AK34=""),"",IF(AL34&lt;&gt;"#1",VLOOKUP(C34,'9.4.3 Tables'!B$142:O$154,14,FALSE),"No NEW controls required"))</f>
        <v/>
      </c>
      <c r="AN34" s="703">
        <f t="shared" si="22"/>
        <v>0</v>
      </c>
      <c r="AQ34">
        <v>25</v>
      </c>
      <c r="AR34" s="15" t="str">
        <f t="shared" si="24"/>
        <v/>
      </c>
      <c r="AS34" s="700" t="str">
        <f ca="1">IF(INDIRECT("'Ext Tradable'!$B" &amp; AS$9)=$B34,INDIRECT("'Ext Tradable'!$" &amp; 'Ext Tradable'!$AS$23 &amp; AS$9),"")</f>
        <v/>
      </c>
      <c r="AT34" s="700" t="str">
        <f ca="1">IF(INDIRECT("'Ext Tradable'!$B" &amp; AT$9)=$B34,INDIRECT("'Ext Tradable'!$" &amp; 'Ext Tradable'!$AS$23 &amp; AT$9),"")</f>
        <v/>
      </c>
      <c r="AU34" s="700" t="str">
        <f ca="1">IF(INDIRECT("'Ext Tradable'!$B" &amp; AU$9)=$B34,INDIRECT("'Ext Tradable'!$" &amp; 'Ext Tradable'!$AS$23 &amp; AU$9),"")</f>
        <v/>
      </c>
      <c r="AV34" s="700" t="str">
        <f ca="1">IF(INDIRECT("'Ext Tradable'!$B" &amp; AV$9)=$B34,INDIRECT("'Ext Tradable'!$" &amp; 'Ext Tradable'!$AS$23 &amp; AV$9),"")</f>
        <v/>
      </c>
      <c r="AW34" s="700" t="str">
        <f ca="1">IF(INDIRECT("'Ext Tradable'!$B" &amp; AW$9)=$B34,INDIRECT("'Ext Tradable'!$" &amp; 'Ext Tradable'!$AS$23 &amp; AW$9),"")</f>
        <v/>
      </c>
      <c r="AX34" s="700" t="str">
        <f ca="1">IF(INDIRECT("'Ext Tradable'!$B" &amp; AX$9)=$B34,INDIRECT("'Ext Tradable'!$" &amp; 'Ext Tradable'!$AS$23 &amp; AX$9),"")</f>
        <v/>
      </c>
      <c r="AY34" s="700" t="str">
        <f ca="1">IF(INDIRECT("'Ext Tradable'!$B" &amp; AY$9)=$B34,INDIRECT("'Ext Tradable'!$" &amp; 'Ext Tradable'!$AS$23 &amp; AY$9),"")</f>
        <v/>
      </c>
      <c r="AZ34" s="700" t="str">
        <f ca="1">IF(INDIRECT("'Ext Tradable'!$B" &amp; AZ$9)=$B34,INDIRECT("'Ext Tradable'!$" &amp; 'Ext Tradable'!$AS$23 &amp; AZ$9),"")</f>
        <v/>
      </c>
      <c r="BA34" s="700" t="str">
        <f ca="1">IF(INDIRECT("'Ext Tradable'!$B" &amp; BA$9)=$B34,INDIRECT("'Ext Tradable'!$" &amp; 'Ext Tradable'!$AS$23 &amp; BA$9),"")</f>
        <v/>
      </c>
      <c r="BB34" s="700" t="str">
        <f ca="1">IF(INDIRECT("'Ext Tradable'!$B" &amp; BB$9)=$B34,INDIRECT("'Ext Tradable'!$" &amp; 'Ext Tradable'!$AS$23 &amp; BB$9),"")</f>
        <v/>
      </c>
      <c r="BC34" s="700" t="str">
        <f ca="1">IF(INDIRECT("'Ext Tradable'!$B" &amp; BC$9)=$B34,INDIRECT("'Ext Tradable'!$" &amp; 'Ext Tradable'!$AS$23 &amp; BC$9),"")</f>
        <v/>
      </c>
      <c r="BD34" s="700" t="str">
        <f ca="1">IF(INDIRECT("'Ext Tradable'!$B" &amp; BD$9)=$B34,INDIRECT("'Ext Tradable'!$" &amp; 'Ext Tradable'!$AS$23 &amp; BD$9),"")</f>
        <v/>
      </c>
      <c r="BE34" s="700" t="str">
        <f ca="1">IF(INDIRECT("'Ext Tradable'!$B" &amp; BE$9)=$B34,INDIRECT("'Ext Tradable'!$" &amp; 'Ext Tradable'!$AS$23 &amp; BE$9),"")</f>
        <v/>
      </c>
      <c r="BF34" s="700" t="str">
        <f ca="1">IF(INDIRECT("'Ext Tradable'!$B" &amp; BF$9)=$B34,INDIRECT("'Ext Tradable'!$" &amp; 'Ext Tradable'!$AS$23 &amp; BF$9),"")</f>
        <v/>
      </c>
      <c r="BG34" s="700" t="str">
        <f ca="1">IF(INDIRECT("'Ext Tradable'!$B" &amp; BG$9)=$B34,INDIRECT("'Ext Tradable'!$" &amp; 'Ext Tradable'!$AS$23 &amp; BG$9),"")</f>
        <v/>
      </c>
      <c r="BH34" s="700" t="str">
        <f ca="1">IF(INDIRECT("'Ext Tradable'!$B" &amp; BH$9)=$B34,INDIRECT("'Ext Tradable'!$" &amp; 'Ext Tradable'!$AS$23 &amp; BH$9),"")</f>
        <v/>
      </c>
      <c r="BI34" s="700" t="str">
        <f ca="1">IF(INDIRECT("'Ext Tradable'!$B" &amp; BI$9)=$B34,INDIRECT("'Ext Tradable'!$" &amp; 'Ext Tradable'!$AS$23 &amp; BI$9),"")</f>
        <v/>
      </c>
      <c r="BJ34" s="700" t="str">
        <f ca="1">IF(INDIRECT("'Ext Tradable'!$B" &amp; BJ$9)=$B34,INDIRECT("'Ext Tradable'!$" &amp; 'Ext Tradable'!$AS$23 &amp; BJ$9),"")</f>
        <v/>
      </c>
      <c r="BK34" s="700" t="str">
        <f ca="1">IF(INDIRECT("'Ext Tradable'!$B" &amp; BK$9)=$B34,INDIRECT("'Ext Tradable'!$" &amp; 'Ext Tradable'!$AS$23 &amp; BK$9),"")</f>
        <v/>
      </c>
      <c r="BL34" s="700" t="str">
        <f ca="1">IF(INDIRECT("'Ext Tradable'!$B" &amp; BL$9)=$B34,INDIRECT("'Ext Tradable'!$" &amp; 'Ext Tradable'!$AS$23 &amp; BL$9),"")</f>
        <v/>
      </c>
      <c r="BM34" s="700">
        <f ca="1">IF(INDIRECT("'Ext Tradable'!$B" &amp; BM$9)=$B34,INDIRECT("'Ext Tradable'!$" &amp; 'Ext Tradable'!$AS$23 &amp; BM$9),"")</f>
        <v>0</v>
      </c>
      <c r="BN34" s="700">
        <f ca="1">IF(INDIRECT("'Ext Tradable'!$B" &amp; BN$9)=$B34,INDIRECT("'Ext Tradable'!$" &amp; 'Ext Tradable'!$AS$23 &amp; BN$9),"")</f>
        <v>0</v>
      </c>
      <c r="BO34" s="700">
        <f ca="1">IF(INDIRECT("'Ext Tradable'!$B" &amp; BO$9)=$B34,INDIRECT("'Ext Tradable'!$" &amp; 'Ext Tradable'!$AS$23 &amp; BO$9),"")</f>
        <v>0</v>
      </c>
      <c r="BP34" s="700">
        <f ca="1">IF(INDIRECT("'Ext Tradable'!$B" &amp; BP$9)=$B34,INDIRECT("'Ext Tradable'!$" &amp; 'Ext Tradable'!$AS$23 &amp; BP$9),"")</f>
        <v>0</v>
      </c>
      <c r="BQ34" s="700">
        <f ca="1">IF(INDIRECT("'Ext Tradable'!$B" &amp; BQ$9)=$B34,INDIRECT("'Ext Tradable'!$" &amp; 'Ext Tradable'!$AS$23 &amp; BQ$9),"")</f>
        <v>0</v>
      </c>
      <c r="BR34" s="700">
        <f ca="1">IF(INDIRECT("'Ext Tradable'!$B" &amp; BR$9)=$B34,INDIRECT("'Ext Tradable'!$" &amp; 'Ext Tradable'!$AS$23 &amp; BR$9),"")</f>
        <v>0</v>
      </c>
      <c r="BS34" s="700">
        <f ca="1">IF(INDIRECT("'Ext Tradable'!$B" &amp; BS$9)=$B34,INDIRECT("'Ext Tradable'!$" &amp; 'Ext Tradable'!$AS$23 &amp; BS$9),"")</f>
        <v>0</v>
      </c>
      <c r="BT34" s="700">
        <f ca="1">IF(INDIRECT("'Ext Tradable'!$B" &amp; BT$9)=$B34,INDIRECT("'Ext Tradable'!$" &amp; 'Ext Tradable'!$AS$23 &amp; BT$9),"")</f>
        <v>0</v>
      </c>
      <c r="BU34" s="700">
        <f ca="1">IF(INDIRECT("'Ext Tradable'!$B" &amp; BU$9)=$B34,INDIRECT("'Ext Tradable'!$" &amp; 'Ext Tradable'!$AS$23 &amp; BU$9),"")</f>
        <v>0</v>
      </c>
      <c r="BV34" s="700">
        <f ca="1">IF(INDIRECT("'Ext Tradable'!$B" &amp; BV$9)=$B34,INDIRECT("'Ext Tradable'!$" &amp; 'Ext Tradable'!$AS$23 &amp; BV$9),"")</f>
        <v>0</v>
      </c>
      <c r="BW34" s="700">
        <f ca="1">IF(INDIRECT("'Ext Tradable'!$B" &amp; BW$9)=$B34,INDIRECT("'Ext Tradable'!$" &amp; 'Ext Tradable'!$AS$23 &amp; BW$9),"")</f>
        <v>0</v>
      </c>
      <c r="BX34" s="700">
        <f ca="1">IF(INDIRECT("'Ext Tradable'!$B" &amp; BX$9)=$B34,INDIRECT("'Ext Tradable'!$" &amp; 'Ext Tradable'!$AS$23 &amp; BX$9),"")</f>
        <v>0</v>
      </c>
      <c r="BY34" s="700">
        <f ca="1">IF(INDIRECT("'Ext Tradable'!$B" &amp; BY$9)=$B34,INDIRECT("'Ext Tradable'!$" &amp; 'Ext Tradable'!$AS$23 &amp; BY$9),"")</f>
        <v>0</v>
      </c>
      <c r="BZ34" s="700">
        <f ca="1">IF(INDIRECT("'Ext Tradable'!$B" &amp; BZ$9)=$B34,INDIRECT("'Ext Tradable'!$" &amp; 'Ext Tradable'!$AS$23 &amp; BZ$9),"")</f>
        <v>0</v>
      </c>
      <c r="CA34" s="700">
        <f ca="1">IF(INDIRECT("'Ext Tradable'!$B" &amp; CA$9)=$B34,INDIRECT("'Ext Tradable'!$" &amp; 'Ext Tradable'!$AS$23 &amp; CA$9),"")</f>
        <v>0</v>
      </c>
      <c r="CB34" s="700">
        <f ca="1">IF(INDIRECT("'Ext Tradable'!$B" &amp; CB$9)=$B34,INDIRECT("'Ext Tradable'!$" &amp; 'Ext Tradable'!$AS$23 &amp; CB$9),"")</f>
        <v>0</v>
      </c>
      <c r="CC34" s="700">
        <f ca="1">IF(INDIRECT("'Ext Tradable'!$B" &amp; CC$9)=$B34,INDIRECT("'Ext Tradable'!$" &amp; 'Ext Tradable'!$AS$23 &amp; CC$9),"")</f>
        <v>0</v>
      </c>
      <c r="CD34" s="700">
        <f ca="1">IF(INDIRECT("'Ext Tradable'!$B" &amp; CD$9)=$B34,INDIRECT("'Ext Tradable'!$" &amp; 'Ext Tradable'!$AS$23 &amp; CD$9),"")</f>
        <v>0</v>
      </c>
      <c r="CE34" s="700">
        <f ca="1">IF(INDIRECT("'Ext Tradable'!$B" &amp; CE$9)=$B34,INDIRECT("'Ext Tradable'!$" &amp; 'Ext Tradable'!$AS$23 &amp; CE$9),"")</f>
        <v>0</v>
      </c>
      <c r="CF34" s="700">
        <f ca="1">IF(INDIRECT("'Ext Tradable'!$B" &amp; CF$9)=$B34,INDIRECT("'Ext Tradable'!$" &amp; 'Ext Tradable'!$AS$23 &amp; CF$9),"")</f>
        <v>0</v>
      </c>
      <c r="CG34" s="700">
        <f ca="1">IF(INDIRECT("'Ext Tradable'!$B" &amp; CG$9)=$B34,INDIRECT("'Ext Tradable'!$" &amp; 'Ext Tradable'!$AS$23 &amp; CG$9),"")</f>
        <v>0</v>
      </c>
      <c r="CH34" s="700">
        <f ca="1">IF(INDIRECT("'Ext Tradable'!$B" &amp; CH$9)=$B34,INDIRECT("'Ext Tradable'!$" &amp; 'Ext Tradable'!$AS$23 &amp; CH$9),"")</f>
        <v>0</v>
      </c>
      <c r="CI34" s="700">
        <f ca="1">IF(INDIRECT("'Ext Tradable'!$B" &amp; CI$9)=$B34,INDIRECT("'Ext Tradable'!$" &amp; 'Ext Tradable'!$AS$23 &amp; CI$9),"")</f>
        <v>0</v>
      </c>
      <c r="CJ34" s="700">
        <f ca="1">IF(INDIRECT("'Ext Tradable'!$B" &amp; CJ$9)=$B34,INDIRECT("'Ext Tradable'!$" &amp; 'Ext Tradable'!$AS$23 &amp; CJ$9),"")</f>
        <v>0</v>
      </c>
      <c r="CK34" s="700">
        <f ca="1">IF(INDIRECT("'Ext Tradable'!$B" &amp; CK$9)=$B34,INDIRECT("'Ext Tradable'!$" &amp; 'Ext Tradable'!$AS$23 &amp; CK$9),"")</f>
        <v>0</v>
      </c>
      <c r="CL34" s="700">
        <f ca="1">IF(INDIRECT("'Ext Tradable'!$B" &amp; CL$9)=$B34,INDIRECT("'Ext Tradable'!$" &amp; 'Ext Tradable'!$AS$23 &amp; CL$9),"")</f>
        <v>0</v>
      </c>
      <c r="CM34" s="700">
        <f ca="1">IF(INDIRECT("'Ext Tradable'!$B" &amp; CM$9)=$B34,INDIRECT("'Ext Tradable'!$" &amp; 'Ext Tradable'!$AS$23 &amp; CM$9),"")</f>
        <v>0</v>
      </c>
      <c r="CN34" s="700">
        <f ca="1">IF(INDIRECT("'Ext Tradable'!$B" &amp; CN$9)=$B34,INDIRECT("'Ext Tradable'!$" &amp; 'Ext Tradable'!$AS$23 &amp; CN$9),"")</f>
        <v>0</v>
      </c>
      <c r="CO34" s="700">
        <f ca="1">IF(INDIRECT("'Ext Tradable'!$B" &amp; CO$9)=$B34,INDIRECT("'Ext Tradable'!$" &amp; 'Ext Tradable'!$AS$23 &amp; CO$9),"")</f>
        <v>0</v>
      </c>
      <c r="CP34" s="700">
        <f ca="1">IF(INDIRECT("'Ext Tradable'!$B" &amp; CP$9)=$B34,INDIRECT("'Ext Tradable'!$" &amp; 'Ext Tradable'!$AS$23 &amp; CP$9),"")</f>
        <v>0</v>
      </c>
      <c r="CQ34" s="702" t="str">
        <f t="shared" ca="1" si="25"/>
        <v>000000000000000000000000000000</v>
      </c>
    </row>
    <row r="35" spans="1:95" ht="60" customHeight="1" x14ac:dyDescent="0.25">
      <c r="A35" s="705">
        <v>26</v>
      </c>
      <c r="B35" s="707" t="str">
        <f>'Ext Area Schedule'!Y41</f>
        <v/>
      </c>
      <c r="C35" s="707" t="str">
        <f>VLOOKUP($B35,'Ext Area Schedule'!$Y$16:$AE$65,3,FALSE)</f>
        <v/>
      </c>
      <c r="D35" s="792" t="str">
        <f>VLOOKUP($B35,'Ext Area Schedule'!$Y$16:$AE$65,4,FALSE)</f>
        <v/>
      </c>
      <c r="F35" s="792" t="str">
        <f>VLOOKUP($B35,'Ext Area Schedule'!$Y$16:$AE$65,5,FALSE)</f>
        <v/>
      </c>
      <c r="G35" s="792" t="str">
        <f>VLOOKUP($B35,'Ext Area Schedule'!$Y$16:$AE$65,7,FALSE)</f>
        <v/>
      </c>
      <c r="I35" s="703">
        <f t="shared" si="6"/>
        <v>0</v>
      </c>
      <c r="K35" s="703" t="str">
        <f>IF($B35="","",SUMIFS('Ext Tradable'!$M$26:$M$45,'Ext Tradable'!$B$26:$B$45,$B35,'Ext Tradable'!$O$26:$O$45,"New"))</f>
        <v/>
      </c>
      <c r="L35" s="703" t="str">
        <f>IF($B35="","",SUMIFS('Ext Tradable'!$M$26:$M$45,'Ext Tradable'!$B$26:$B$45,$B35,'Ext Tradable'!$O$26:$O$45,""))</f>
        <v/>
      </c>
      <c r="M35" s="703" t="str">
        <f>IF($B35="","",SUMIFS('Ext Tradable'!$K$26:$K$45,'Ext Tradable'!$B$26:$B$45,$B35,'Ext Tradable'!$O$26:$O$45,"New")+SUMIFS('Ext Tradable'!$K$26:$K$45,'Ext Tradable'!$B$26:$B$45,$B35,'Ext Tradable'!$O$26:$O$45,""))</f>
        <v/>
      </c>
      <c r="N35" s="703" t="str">
        <f>IF($B35="","",SUMIFS('Ext Tradable'!$M$26:$M$45,'Ext Tradable'!$B$26:$B$45,$B35,'Ext Tradable'!$O$26:$O$45,"Existing Remains"))</f>
        <v/>
      </c>
      <c r="O35" s="703" t="str">
        <f>IF($B35="","",SUMIFS('Ext Tradable'!$M$26:$M$45,'Ext Tradable'!$B$26:$B$45,$B35,'Ext Tradable'!$O$26:$O$45,"Existing Removed"))</f>
        <v/>
      </c>
      <c r="P35" s="703" t="str">
        <f>IF($B35="","",SUMIFS('Ext Tradable'!$K$26:$K$45,'Ext Tradable'!$B$26:$B$45,$B35,'Ext Tradable'!$O$26:$O$45,"Existing Removed"))</f>
        <v/>
      </c>
      <c r="Q35" s="703" t="str">
        <f t="shared" si="7"/>
        <v/>
      </c>
      <c r="R35" s="703" t="str">
        <f t="shared" si="8"/>
        <v/>
      </c>
      <c r="S35" s="1123" t="str">
        <f t="shared" si="9"/>
        <v/>
      </c>
      <c r="T35" s="1128" t="str">
        <f t="shared" si="23"/>
        <v/>
      </c>
      <c r="U35" s="711" t="str">
        <f t="shared" si="11"/>
        <v/>
      </c>
      <c r="V35" s="712" t="str">
        <f t="shared" si="12"/>
        <v/>
      </c>
      <c r="W35" s="762"/>
      <c r="X35" s="720" t="str">
        <f t="shared" si="13"/>
        <v/>
      </c>
      <c r="Y35" s="721" t="str">
        <f t="shared" si="14"/>
        <v/>
      </c>
      <c r="Z35" s="721" t="str">
        <f t="shared" si="15"/>
        <v/>
      </c>
      <c r="AA35" s="719" t="str">
        <f t="shared" si="2"/>
        <v/>
      </c>
      <c r="AB35" s="762"/>
      <c r="AC35" s="717" t="str">
        <f t="shared" si="16"/>
        <v/>
      </c>
      <c r="AD35" s="718" t="str">
        <f t="shared" si="17"/>
        <v/>
      </c>
      <c r="AE35" s="719" t="str">
        <f t="shared" si="3"/>
        <v/>
      </c>
      <c r="AF35" s="726"/>
      <c r="AG35" s="727" t="str">
        <f t="shared" si="18"/>
        <v/>
      </c>
      <c r="AH35" s="703" t="str">
        <f t="shared" si="19"/>
        <v/>
      </c>
      <c r="AI35" s="1114">
        <f t="shared" si="20"/>
        <v>0</v>
      </c>
      <c r="AK35" s="791" t="str">
        <f t="shared" si="4"/>
        <v/>
      </c>
      <c r="AL35" s="791" t="str">
        <f t="shared" si="21"/>
        <v/>
      </c>
      <c r="AM35" s="707" t="str">
        <f>IF(OR(AK35="Fail",AK35="Fail LPA",AK35=""),"",IF(AL35&lt;&gt;"#1",VLOOKUP(C35,'9.4.3 Tables'!B$142:O$154,14,FALSE),"No NEW controls required"))</f>
        <v/>
      </c>
      <c r="AN35" s="703">
        <f t="shared" si="22"/>
        <v>0</v>
      </c>
      <c r="AQ35">
        <v>26</v>
      </c>
      <c r="AR35" s="15" t="str">
        <f t="shared" si="24"/>
        <v/>
      </c>
      <c r="AS35" s="700" t="str">
        <f ca="1">IF(INDIRECT("'Ext Tradable'!$B" &amp; AS$9)=$B35,INDIRECT("'Ext Tradable'!$" &amp; 'Ext Tradable'!$AS$23 &amp; AS$9),"")</f>
        <v/>
      </c>
      <c r="AT35" s="700" t="str">
        <f ca="1">IF(INDIRECT("'Ext Tradable'!$B" &amp; AT$9)=$B35,INDIRECT("'Ext Tradable'!$" &amp; 'Ext Tradable'!$AS$23 &amp; AT$9),"")</f>
        <v/>
      </c>
      <c r="AU35" s="700" t="str">
        <f ca="1">IF(INDIRECT("'Ext Tradable'!$B" &amp; AU$9)=$B35,INDIRECT("'Ext Tradable'!$" &amp; 'Ext Tradable'!$AS$23 &amp; AU$9),"")</f>
        <v/>
      </c>
      <c r="AV35" s="700" t="str">
        <f ca="1">IF(INDIRECT("'Ext Tradable'!$B" &amp; AV$9)=$B35,INDIRECT("'Ext Tradable'!$" &amp; 'Ext Tradable'!$AS$23 &amp; AV$9),"")</f>
        <v/>
      </c>
      <c r="AW35" s="700" t="str">
        <f ca="1">IF(INDIRECT("'Ext Tradable'!$B" &amp; AW$9)=$B35,INDIRECT("'Ext Tradable'!$" &amp; 'Ext Tradable'!$AS$23 &amp; AW$9),"")</f>
        <v/>
      </c>
      <c r="AX35" s="700" t="str">
        <f ca="1">IF(INDIRECT("'Ext Tradable'!$B" &amp; AX$9)=$B35,INDIRECT("'Ext Tradable'!$" &amp; 'Ext Tradable'!$AS$23 &amp; AX$9),"")</f>
        <v/>
      </c>
      <c r="AY35" s="700" t="str">
        <f ca="1">IF(INDIRECT("'Ext Tradable'!$B" &amp; AY$9)=$B35,INDIRECT("'Ext Tradable'!$" &amp; 'Ext Tradable'!$AS$23 &amp; AY$9),"")</f>
        <v/>
      </c>
      <c r="AZ35" s="700" t="str">
        <f ca="1">IF(INDIRECT("'Ext Tradable'!$B" &amp; AZ$9)=$B35,INDIRECT("'Ext Tradable'!$" &amp; 'Ext Tradable'!$AS$23 &amp; AZ$9),"")</f>
        <v/>
      </c>
      <c r="BA35" s="700" t="str">
        <f ca="1">IF(INDIRECT("'Ext Tradable'!$B" &amp; BA$9)=$B35,INDIRECT("'Ext Tradable'!$" &amp; 'Ext Tradable'!$AS$23 &amp; BA$9),"")</f>
        <v/>
      </c>
      <c r="BB35" s="700" t="str">
        <f ca="1">IF(INDIRECT("'Ext Tradable'!$B" &amp; BB$9)=$B35,INDIRECT("'Ext Tradable'!$" &amp; 'Ext Tradable'!$AS$23 &amp; BB$9),"")</f>
        <v/>
      </c>
      <c r="BC35" s="700" t="str">
        <f ca="1">IF(INDIRECT("'Ext Tradable'!$B" &amp; BC$9)=$B35,INDIRECT("'Ext Tradable'!$" &amp; 'Ext Tradable'!$AS$23 &amp; BC$9),"")</f>
        <v/>
      </c>
      <c r="BD35" s="700" t="str">
        <f ca="1">IF(INDIRECT("'Ext Tradable'!$B" &amp; BD$9)=$B35,INDIRECT("'Ext Tradable'!$" &amp; 'Ext Tradable'!$AS$23 &amp; BD$9),"")</f>
        <v/>
      </c>
      <c r="BE35" s="700" t="str">
        <f ca="1">IF(INDIRECT("'Ext Tradable'!$B" &amp; BE$9)=$B35,INDIRECT("'Ext Tradable'!$" &amp; 'Ext Tradable'!$AS$23 &amp; BE$9),"")</f>
        <v/>
      </c>
      <c r="BF35" s="700" t="str">
        <f ca="1">IF(INDIRECT("'Ext Tradable'!$B" &amp; BF$9)=$B35,INDIRECT("'Ext Tradable'!$" &amp; 'Ext Tradable'!$AS$23 &amp; BF$9),"")</f>
        <v/>
      </c>
      <c r="BG35" s="700" t="str">
        <f ca="1">IF(INDIRECT("'Ext Tradable'!$B" &amp; BG$9)=$B35,INDIRECT("'Ext Tradable'!$" &amp; 'Ext Tradable'!$AS$23 &amp; BG$9),"")</f>
        <v/>
      </c>
      <c r="BH35" s="700" t="str">
        <f ca="1">IF(INDIRECT("'Ext Tradable'!$B" &amp; BH$9)=$B35,INDIRECT("'Ext Tradable'!$" &amp; 'Ext Tradable'!$AS$23 &amp; BH$9),"")</f>
        <v/>
      </c>
      <c r="BI35" s="700" t="str">
        <f ca="1">IF(INDIRECT("'Ext Tradable'!$B" &amp; BI$9)=$B35,INDIRECT("'Ext Tradable'!$" &amp; 'Ext Tradable'!$AS$23 &amp; BI$9),"")</f>
        <v/>
      </c>
      <c r="BJ35" s="700" t="str">
        <f ca="1">IF(INDIRECT("'Ext Tradable'!$B" &amp; BJ$9)=$B35,INDIRECT("'Ext Tradable'!$" &amp; 'Ext Tradable'!$AS$23 &amp; BJ$9),"")</f>
        <v/>
      </c>
      <c r="BK35" s="700" t="str">
        <f ca="1">IF(INDIRECT("'Ext Tradable'!$B" &amp; BK$9)=$B35,INDIRECT("'Ext Tradable'!$" &amp; 'Ext Tradable'!$AS$23 &amp; BK$9),"")</f>
        <v/>
      </c>
      <c r="BL35" s="700" t="str">
        <f ca="1">IF(INDIRECT("'Ext Tradable'!$B" &amp; BL$9)=$B35,INDIRECT("'Ext Tradable'!$" &amp; 'Ext Tradable'!$AS$23 &amp; BL$9),"")</f>
        <v/>
      </c>
      <c r="BM35" s="700">
        <f ca="1">IF(INDIRECT("'Ext Tradable'!$B" &amp; BM$9)=$B35,INDIRECT("'Ext Tradable'!$" &amp; 'Ext Tradable'!$AS$23 &amp; BM$9),"")</f>
        <v>0</v>
      </c>
      <c r="BN35" s="700">
        <f ca="1">IF(INDIRECT("'Ext Tradable'!$B" &amp; BN$9)=$B35,INDIRECT("'Ext Tradable'!$" &amp; 'Ext Tradable'!$AS$23 &amp; BN$9),"")</f>
        <v>0</v>
      </c>
      <c r="BO35" s="700">
        <f ca="1">IF(INDIRECT("'Ext Tradable'!$B" &amp; BO$9)=$B35,INDIRECT("'Ext Tradable'!$" &amp; 'Ext Tradable'!$AS$23 &amp; BO$9),"")</f>
        <v>0</v>
      </c>
      <c r="BP35" s="700">
        <f ca="1">IF(INDIRECT("'Ext Tradable'!$B" &amp; BP$9)=$B35,INDIRECT("'Ext Tradable'!$" &amp; 'Ext Tradable'!$AS$23 &amp; BP$9),"")</f>
        <v>0</v>
      </c>
      <c r="BQ35" s="700">
        <f ca="1">IF(INDIRECT("'Ext Tradable'!$B" &amp; BQ$9)=$B35,INDIRECT("'Ext Tradable'!$" &amp; 'Ext Tradable'!$AS$23 &amp; BQ$9),"")</f>
        <v>0</v>
      </c>
      <c r="BR35" s="700">
        <f ca="1">IF(INDIRECT("'Ext Tradable'!$B" &amp; BR$9)=$B35,INDIRECT("'Ext Tradable'!$" &amp; 'Ext Tradable'!$AS$23 &amp; BR$9),"")</f>
        <v>0</v>
      </c>
      <c r="BS35" s="700">
        <f ca="1">IF(INDIRECT("'Ext Tradable'!$B" &amp; BS$9)=$B35,INDIRECT("'Ext Tradable'!$" &amp; 'Ext Tradable'!$AS$23 &amp; BS$9),"")</f>
        <v>0</v>
      </c>
      <c r="BT35" s="700">
        <f ca="1">IF(INDIRECT("'Ext Tradable'!$B" &amp; BT$9)=$B35,INDIRECT("'Ext Tradable'!$" &amp; 'Ext Tradable'!$AS$23 &amp; BT$9),"")</f>
        <v>0</v>
      </c>
      <c r="BU35" s="700">
        <f ca="1">IF(INDIRECT("'Ext Tradable'!$B" &amp; BU$9)=$B35,INDIRECT("'Ext Tradable'!$" &amp; 'Ext Tradable'!$AS$23 &amp; BU$9),"")</f>
        <v>0</v>
      </c>
      <c r="BV35" s="700">
        <f ca="1">IF(INDIRECT("'Ext Tradable'!$B" &amp; BV$9)=$B35,INDIRECT("'Ext Tradable'!$" &amp; 'Ext Tradable'!$AS$23 &amp; BV$9),"")</f>
        <v>0</v>
      </c>
      <c r="BW35" s="700">
        <f ca="1">IF(INDIRECT("'Ext Tradable'!$B" &amp; BW$9)=$B35,INDIRECT("'Ext Tradable'!$" &amp; 'Ext Tradable'!$AS$23 &amp; BW$9),"")</f>
        <v>0</v>
      </c>
      <c r="BX35" s="700">
        <f ca="1">IF(INDIRECT("'Ext Tradable'!$B" &amp; BX$9)=$B35,INDIRECT("'Ext Tradable'!$" &amp; 'Ext Tradable'!$AS$23 &amp; BX$9),"")</f>
        <v>0</v>
      </c>
      <c r="BY35" s="700">
        <f ca="1">IF(INDIRECT("'Ext Tradable'!$B" &amp; BY$9)=$B35,INDIRECT("'Ext Tradable'!$" &amp; 'Ext Tradable'!$AS$23 &amp; BY$9),"")</f>
        <v>0</v>
      </c>
      <c r="BZ35" s="700">
        <f ca="1">IF(INDIRECT("'Ext Tradable'!$B" &amp; BZ$9)=$B35,INDIRECT("'Ext Tradable'!$" &amp; 'Ext Tradable'!$AS$23 &amp; BZ$9),"")</f>
        <v>0</v>
      </c>
      <c r="CA35" s="700">
        <f ca="1">IF(INDIRECT("'Ext Tradable'!$B" &amp; CA$9)=$B35,INDIRECT("'Ext Tradable'!$" &amp; 'Ext Tradable'!$AS$23 &amp; CA$9),"")</f>
        <v>0</v>
      </c>
      <c r="CB35" s="700">
        <f ca="1">IF(INDIRECT("'Ext Tradable'!$B" &amp; CB$9)=$B35,INDIRECT("'Ext Tradable'!$" &amp; 'Ext Tradable'!$AS$23 &amp; CB$9),"")</f>
        <v>0</v>
      </c>
      <c r="CC35" s="700">
        <f ca="1">IF(INDIRECT("'Ext Tradable'!$B" &amp; CC$9)=$B35,INDIRECT("'Ext Tradable'!$" &amp; 'Ext Tradable'!$AS$23 &amp; CC$9),"")</f>
        <v>0</v>
      </c>
      <c r="CD35" s="700">
        <f ca="1">IF(INDIRECT("'Ext Tradable'!$B" &amp; CD$9)=$B35,INDIRECT("'Ext Tradable'!$" &amp; 'Ext Tradable'!$AS$23 &amp; CD$9),"")</f>
        <v>0</v>
      </c>
      <c r="CE35" s="700">
        <f ca="1">IF(INDIRECT("'Ext Tradable'!$B" &amp; CE$9)=$B35,INDIRECT("'Ext Tradable'!$" &amp; 'Ext Tradable'!$AS$23 &amp; CE$9),"")</f>
        <v>0</v>
      </c>
      <c r="CF35" s="700">
        <f ca="1">IF(INDIRECT("'Ext Tradable'!$B" &amp; CF$9)=$B35,INDIRECT("'Ext Tradable'!$" &amp; 'Ext Tradable'!$AS$23 &amp; CF$9),"")</f>
        <v>0</v>
      </c>
      <c r="CG35" s="700">
        <f ca="1">IF(INDIRECT("'Ext Tradable'!$B" &amp; CG$9)=$B35,INDIRECT("'Ext Tradable'!$" &amp; 'Ext Tradable'!$AS$23 &amp; CG$9),"")</f>
        <v>0</v>
      </c>
      <c r="CH35" s="700">
        <f ca="1">IF(INDIRECT("'Ext Tradable'!$B" &amp; CH$9)=$B35,INDIRECT("'Ext Tradable'!$" &amp; 'Ext Tradable'!$AS$23 &amp; CH$9),"")</f>
        <v>0</v>
      </c>
      <c r="CI35" s="700">
        <f ca="1">IF(INDIRECT("'Ext Tradable'!$B" &amp; CI$9)=$B35,INDIRECT("'Ext Tradable'!$" &amp; 'Ext Tradable'!$AS$23 &amp; CI$9),"")</f>
        <v>0</v>
      </c>
      <c r="CJ35" s="700">
        <f ca="1">IF(INDIRECT("'Ext Tradable'!$B" &amp; CJ$9)=$B35,INDIRECT("'Ext Tradable'!$" &amp; 'Ext Tradable'!$AS$23 &amp; CJ$9),"")</f>
        <v>0</v>
      </c>
      <c r="CK35" s="700">
        <f ca="1">IF(INDIRECT("'Ext Tradable'!$B" &amp; CK$9)=$B35,INDIRECT("'Ext Tradable'!$" &amp; 'Ext Tradable'!$AS$23 &amp; CK$9),"")</f>
        <v>0</v>
      </c>
      <c r="CL35" s="700">
        <f ca="1">IF(INDIRECT("'Ext Tradable'!$B" &amp; CL$9)=$B35,INDIRECT("'Ext Tradable'!$" &amp; 'Ext Tradable'!$AS$23 &amp; CL$9),"")</f>
        <v>0</v>
      </c>
      <c r="CM35" s="700">
        <f ca="1">IF(INDIRECT("'Ext Tradable'!$B" &amp; CM$9)=$B35,INDIRECT("'Ext Tradable'!$" &amp; 'Ext Tradable'!$AS$23 &amp; CM$9),"")</f>
        <v>0</v>
      </c>
      <c r="CN35" s="700">
        <f ca="1">IF(INDIRECT("'Ext Tradable'!$B" &amp; CN$9)=$B35,INDIRECT("'Ext Tradable'!$" &amp; 'Ext Tradable'!$AS$23 &amp; CN$9),"")</f>
        <v>0</v>
      </c>
      <c r="CO35" s="700">
        <f ca="1">IF(INDIRECT("'Ext Tradable'!$B" &amp; CO$9)=$B35,INDIRECT("'Ext Tradable'!$" &amp; 'Ext Tradable'!$AS$23 &amp; CO$9),"")</f>
        <v>0</v>
      </c>
      <c r="CP35" s="700">
        <f ca="1">IF(INDIRECT("'Ext Tradable'!$B" &amp; CP$9)=$B35,INDIRECT("'Ext Tradable'!$" &amp; 'Ext Tradable'!$AS$23 &amp; CP$9),"")</f>
        <v>0</v>
      </c>
      <c r="CQ35" s="702" t="str">
        <f t="shared" ca="1" si="25"/>
        <v>000000000000000000000000000000</v>
      </c>
    </row>
    <row r="36" spans="1:95" ht="60" customHeight="1" x14ac:dyDescent="0.25">
      <c r="A36" s="705">
        <v>27</v>
      </c>
      <c r="B36" s="707" t="str">
        <f>'Ext Area Schedule'!Y42</f>
        <v/>
      </c>
      <c r="C36" s="707" t="str">
        <f>VLOOKUP($B36,'Ext Area Schedule'!$Y$16:$AE$65,3,FALSE)</f>
        <v/>
      </c>
      <c r="D36" s="792" t="str">
        <f>VLOOKUP($B36,'Ext Area Schedule'!$Y$16:$AE$65,4,FALSE)</f>
        <v/>
      </c>
      <c r="F36" s="792" t="str">
        <f>VLOOKUP($B36,'Ext Area Schedule'!$Y$16:$AE$65,5,FALSE)</f>
        <v/>
      </c>
      <c r="G36" s="792" t="str">
        <f>VLOOKUP($B36,'Ext Area Schedule'!$Y$16:$AE$65,7,FALSE)</f>
        <v/>
      </c>
      <c r="I36" s="703">
        <f t="shared" si="6"/>
        <v>0</v>
      </c>
      <c r="K36" s="703" t="str">
        <f>IF($B36="","",SUMIFS('Ext Tradable'!$M$26:$M$45,'Ext Tradable'!$B$26:$B$45,$B36,'Ext Tradable'!$O$26:$O$45,"New"))</f>
        <v/>
      </c>
      <c r="L36" s="703" t="str">
        <f>IF($B36="","",SUMIFS('Ext Tradable'!$M$26:$M$45,'Ext Tradable'!$B$26:$B$45,$B36,'Ext Tradable'!$O$26:$O$45,""))</f>
        <v/>
      </c>
      <c r="M36" s="703" t="str">
        <f>IF($B36="","",SUMIFS('Ext Tradable'!$K$26:$K$45,'Ext Tradable'!$B$26:$B$45,$B36,'Ext Tradable'!$O$26:$O$45,"New")+SUMIFS('Ext Tradable'!$K$26:$K$45,'Ext Tradable'!$B$26:$B$45,$B36,'Ext Tradable'!$O$26:$O$45,""))</f>
        <v/>
      </c>
      <c r="N36" s="703" t="str">
        <f>IF($B36="","",SUMIFS('Ext Tradable'!$M$26:$M$45,'Ext Tradable'!$B$26:$B$45,$B36,'Ext Tradable'!$O$26:$O$45,"Existing Remains"))</f>
        <v/>
      </c>
      <c r="O36" s="703" t="str">
        <f>IF($B36="","",SUMIFS('Ext Tradable'!$M$26:$M$45,'Ext Tradable'!$B$26:$B$45,$B36,'Ext Tradable'!$O$26:$O$45,"Existing Removed"))</f>
        <v/>
      </c>
      <c r="P36" s="703" t="str">
        <f>IF($B36="","",SUMIFS('Ext Tradable'!$K$26:$K$45,'Ext Tradable'!$B$26:$B$45,$B36,'Ext Tradable'!$O$26:$O$45,"Existing Removed"))</f>
        <v/>
      </c>
      <c r="Q36" s="703" t="str">
        <f t="shared" si="7"/>
        <v/>
      </c>
      <c r="R36" s="703" t="str">
        <f t="shared" si="8"/>
        <v/>
      </c>
      <c r="S36" s="1123" t="str">
        <f t="shared" si="9"/>
        <v/>
      </c>
      <c r="T36" s="1128" t="str">
        <f t="shared" si="23"/>
        <v/>
      </c>
      <c r="U36" s="711" t="str">
        <f t="shared" si="11"/>
        <v/>
      </c>
      <c r="V36" s="712" t="str">
        <f t="shared" si="12"/>
        <v/>
      </c>
      <c r="W36" s="762"/>
      <c r="X36" s="720" t="str">
        <f t="shared" si="13"/>
        <v/>
      </c>
      <c r="Y36" s="721" t="str">
        <f t="shared" si="14"/>
        <v/>
      </c>
      <c r="Z36" s="721" t="str">
        <f t="shared" si="15"/>
        <v/>
      </c>
      <c r="AA36" s="719" t="str">
        <f t="shared" si="2"/>
        <v/>
      </c>
      <c r="AB36" s="762"/>
      <c r="AC36" s="717" t="str">
        <f t="shared" si="16"/>
        <v/>
      </c>
      <c r="AD36" s="718" t="str">
        <f t="shared" si="17"/>
        <v/>
      </c>
      <c r="AE36" s="719" t="str">
        <f t="shared" si="3"/>
        <v/>
      </c>
      <c r="AF36" s="726"/>
      <c r="AG36" s="727" t="str">
        <f t="shared" si="18"/>
        <v/>
      </c>
      <c r="AH36" s="703" t="str">
        <f t="shared" si="19"/>
        <v/>
      </c>
      <c r="AI36" s="1114">
        <f t="shared" si="20"/>
        <v>0</v>
      </c>
      <c r="AK36" s="791" t="str">
        <f t="shared" si="4"/>
        <v/>
      </c>
      <c r="AL36" s="791" t="str">
        <f t="shared" si="21"/>
        <v/>
      </c>
      <c r="AM36" s="707" t="str">
        <f>IF(OR(AK36="Fail",AK36="Fail LPA",AK36=""),"",IF(AL36&lt;&gt;"#1",VLOOKUP(C36,'9.4.3 Tables'!B$142:O$154,14,FALSE),"No NEW controls required"))</f>
        <v/>
      </c>
      <c r="AN36" s="703">
        <f t="shared" si="22"/>
        <v>0</v>
      </c>
      <c r="AQ36">
        <v>27</v>
      </c>
      <c r="AR36" s="15" t="str">
        <f t="shared" si="24"/>
        <v/>
      </c>
      <c r="AS36" s="700" t="str">
        <f ca="1">IF(INDIRECT("'Ext Tradable'!$B" &amp; AS$9)=$B36,INDIRECT("'Ext Tradable'!$" &amp; 'Ext Tradable'!$AS$23 &amp; AS$9),"")</f>
        <v/>
      </c>
      <c r="AT36" s="700" t="str">
        <f ca="1">IF(INDIRECT("'Ext Tradable'!$B" &amp; AT$9)=$B36,INDIRECT("'Ext Tradable'!$" &amp; 'Ext Tradable'!$AS$23 &amp; AT$9),"")</f>
        <v/>
      </c>
      <c r="AU36" s="700" t="str">
        <f ca="1">IF(INDIRECT("'Ext Tradable'!$B" &amp; AU$9)=$B36,INDIRECT("'Ext Tradable'!$" &amp; 'Ext Tradable'!$AS$23 &amp; AU$9),"")</f>
        <v/>
      </c>
      <c r="AV36" s="700" t="str">
        <f ca="1">IF(INDIRECT("'Ext Tradable'!$B" &amp; AV$9)=$B36,INDIRECT("'Ext Tradable'!$" &amp; 'Ext Tradable'!$AS$23 &amp; AV$9),"")</f>
        <v/>
      </c>
      <c r="AW36" s="700" t="str">
        <f ca="1">IF(INDIRECT("'Ext Tradable'!$B" &amp; AW$9)=$B36,INDIRECT("'Ext Tradable'!$" &amp; 'Ext Tradable'!$AS$23 &amp; AW$9),"")</f>
        <v/>
      </c>
      <c r="AX36" s="700" t="str">
        <f ca="1">IF(INDIRECT("'Ext Tradable'!$B" &amp; AX$9)=$B36,INDIRECT("'Ext Tradable'!$" &amp; 'Ext Tradable'!$AS$23 &amp; AX$9),"")</f>
        <v/>
      </c>
      <c r="AY36" s="700" t="str">
        <f ca="1">IF(INDIRECT("'Ext Tradable'!$B" &amp; AY$9)=$B36,INDIRECT("'Ext Tradable'!$" &amp; 'Ext Tradable'!$AS$23 &amp; AY$9),"")</f>
        <v/>
      </c>
      <c r="AZ36" s="700" t="str">
        <f ca="1">IF(INDIRECT("'Ext Tradable'!$B" &amp; AZ$9)=$B36,INDIRECT("'Ext Tradable'!$" &amp; 'Ext Tradable'!$AS$23 &amp; AZ$9),"")</f>
        <v/>
      </c>
      <c r="BA36" s="700" t="str">
        <f ca="1">IF(INDIRECT("'Ext Tradable'!$B" &amp; BA$9)=$B36,INDIRECT("'Ext Tradable'!$" &amp; 'Ext Tradable'!$AS$23 &amp; BA$9),"")</f>
        <v/>
      </c>
      <c r="BB36" s="700" t="str">
        <f ca="1">IF(INDIRECT("'Ext Tradable'!$B" &amp; BB$9)=$B36,INDIRECT("'Ext Tradable'!$" &amp; 'Ext Tradable'!$AS$23 &amp; BB$9),"")</f>
        <v/>
      </c>
      <c r="BC36" s="700" t="str">
        <f ca="1">IF(INDIRECT("'Ext Tradable'!$B" &amp; BC$9)=$B36,INDIRECT("'Ext Tradable'!$" &amp; 'Ext Tradable'!$AS$23 &amp; BC$9),"")</f>
        <v/>
      </c>
      <c r="BD36" s="700" t="str">
        <f ca="1">IF(INDIRECT("'Ext Tradable'!$B" &amp; BD$9)=$B36,INDIRECT("'Ext Tradable'!$" &amp; 'Ext Tradable'!$AS$23 &amp; BD$9),"")</f>
        <v/>
      </c>
      <c r="BE36" s="700" t="str">
        <f ca="1">IF(INDIRECT("'Ext Tradable'!$B" &amp; BE$9)=$B36,INDIRECT("'Ext Tradable'!$" &amp; 'Ext Tradable'!$AS$23 &amp; BE$9),"")</f>
        <v/>
      </c>
      <c r="BF36" s="700" t="str">
        <f ca="1">IF(INDIRECT("'Ext Tradable'!$B" &amp; BF$9)=$B36,INDIRECT("'Ext Tradable'!$" &amp; 'Ext Tradable'!$AS$23 &amp; BF$9),"")</f>
        <v/>
      </c>
      <c r="BG36" s="700" t="str">
        <f ca="1">IF(INDIRECT("'Ext Tradable'!$B" &amp; BG$9)=$B36,INDIRECT("'Ext Tradable'!$" &amp; 'Ext Tradable'!$AS$23 &amp; BG$9),"")</f>
        <v/>
      </c>
      <c r="BH36" s="700" t="str">
        <f ca="1">IF(INDIRECT("'Ext Tradable'!$B" &amp; BH$9)=$B36,INDIRECT("'Ext Tradable'!$" &amp; 'Ext Tradable'!$AS$23 &amp; BH$9),"")</f>
        <v/>
      </c>
      <c r="BI36" s="700" t="str">
        <f ca="1">IF(INDIRECT("'Ext Tradable'!$B" &amp; BI$9)=$B36,INDIRECT("'Ext Tradable'!$" &amp; 'Ext Tradable'!$AS$23 &amp; BI$9),"")</f>
        <v/>
      </c>
      <c r="BJ36" s="700" t="str">
        <f ca="1">IF(INDIRECT("'Ext Tradable'!$B" &amp; BJ$9)=$B36,INDIRECT("'Ext Tradable'!$" &amp; 'Ext Tradable'!$AS$23 &amp; BJ$9),"")</f>
        <v/>
      </c>
      <c r="BK36" s="700" t="str">
        <f ca="1">IF(INDIRECT("'Ext Tradable'!$B" &amp; BK$9)=$B36,INDIRECT("'Ext Tradable'!$" &amp; 'Ext Tradable'!$AS$23 &amp; BK$9),"")</f>
        <v/>
      </c>
      <c r="BL36" s="700" t="str">
        <f ca="1">IF(INDIRECT("'Ext Tradable'!$B" &amp; BL$9)=$B36,INDIRECT("'Ext Tradable'!$" &amp; 'Ext Tradable'!$AS$23 &amp; BL$9),"")</f>
        <v/>
      </c>
      <c r="BM36" s="700">
        <f ca="1">IF(INDIRECT("'Ext Tradable'!$B" &amp; BM$9)=$B36,INDIRECT("'Ext Tradable'!$" &amp; 'Ext Tradable'!$AS$23 &amp; BM$9),"")</f>
        <v>0</v>
      </c>
      <c r="BN36" s="700">
        <f ca="1">IF(INDIRECT("'Ext Tradable'!$B" &amp; BN$9)=$B36,INDIRECT("'Ext Tradable'!$" &amp; 'Ext Tradable'!$AS$23 &amp; BN$9),"")</f>
        <v>0</v>
      </c>
      <c r="BO36" s="700">
        <f ca="1">IF(INDIRECT("'Ext Tradable'!$B" &amp; BO$9)=$B36,INDIRECT("'Ext Tradable'!$" &amp; 'Ext Tradable'!$AS$23 &amp; BO$9),"")</f>
        <v>0</v>
      </c>
      <c r="BP36" s="700">
        <f ca="1">IF(INDIRECT("'Ext Tradable'!$B" &amp; BP$9)=$B36,INDIRECT("'Ext Tradable'!$" &amp; 'Ext Tradable'!$AS$23 &amp; BP$9),"")</f>
        <v>0</v>
      </c>
      <c r="BQ36" s="700">
        <f ca="1">IF(INDIRECT("'Ext Tradable'!$B" &amp; BQ$9)=$B36,INDIRECT("'Ext Tradable'!$" &amp; 'Ext Tradable'!$AS$23 &amp; BQ$9),"")</f>
        <v>0</v>
      </c>
      <c r="BR36" s="700">
        <f ca="1">IF(INDIRECT("'Ext Tradable'!$B" &amp; BR$9)=$B36,INDIRECT("'Ext Tradable'!$" &amp; 'Ext Tradable'!$AS$23 &amp; BR$9),"")</f>
        <v>0</v>
      </c>
      <c r="BS36" s="700">
        <f ca="1">IF(INDIRECT("'Ext Tradable'!$B" &amp; BS$9)=$B36,INDIRECT("'Ext Tradable'!$" &amp; 'Ext Tradable'!$AS$23 &amp; BS$9),"")</f>
        <v>0</v>
      </c>
      <c r="BT36" s="700">
        <f ca="1">IF(INDIRECT("'Ext Tradable'!$B" &amp; BT$9)=$B36,INDIRECT("'Ext Tradable'!$" &amp; 'Ext Tradable'!$AS$23 &amp; BT$9),"")</f>
        <v>0</v>
      </c>
      <c r="BU36" s="700">
        <f ca="1">IF(INDIRECT("'Ext Tradable'!$B" &amp; BU$9)=$B36,INDIRECT("'Ext Tradable'!$" &amp; 'Ext Tradable'!$AS$23 &amp; BU$9),"")</f>
        <v>0</v>
      </c>
      <c r="BV36" s="700">
        <f ca="1">IF(INDIRECT("'Ext Tradable'!$B" &amp; BV$9)=$B36,INDIRECT("'Ext Tradable'!$" &amp; 'Ext Tradable'!$AS$23 &amp; BV$9),"")</f>
        <v>0</v>
      </c>
      <c r="BW36" s="700">
        <f ca="1">IF(INDIRECT("'Ext Tradable'!$B" &amp; BW$9)=$B36,INDIRECT("'Ext Tradable'!$" &amp; 'Ext Tradable'!$AS$23 &amp; BW$9),"")</f>
        <v>0</v>
      </c>
      <c r="BX36" s="700">
        <f ca="1">IF(INDIRECT("'Ext Tradable'!$B" &amp; BX$9)=$B36,INDIRECT("'Ext Tradable'!$" &amp; 'Ext Tradable'!$AS$23 &amp; BX$9),"")</f>
        <v>0</v>
      </c>
      <c r="BY36" s="700">
        <f ca="1">IF(INDIRECT("'Ext Tradable'!$B" &amp; BY$9)=$B36,INDIRECT("'Ext Tradable'!$" &amp; 'Ext Tradable'!$AS$23 &amp; BY$9),"")</f>
        <v>0</v>
      </c>
      <c r="BZ36" s="700">
        <f ca="1">IF(INDIRECT("'Ext Tradable'!$B" &amp; BZ$9)=$B36,INDIRECT("'Ext Tradable'!$" &amp; 'Ext Tradable'!$AS$23 &amp; BZ$9),"")</f>
        <v>0</v>
      </c>
      <c r="CA36" s="700">
        <f ca="1">IF(INDIRECT("'Ext Tradable'!$B" &amp; CA$9)=$B36,INDIRECT("'Ext Tradable'!$" &amp; 'Ext Tradable'!$AS$23 &amp; CA$9),"")</f>
        <v>0</v>
      </c>
      <c r="CB36" s="700">
        <f ca="1">IF(INDIRECT("'Ext Tradable'!$B" &amp; CB$9)=$B36,INDIRECT("'Ext Tradable'!$" &amp; 'Ext Tradable'!$AS$23 &amp; CB$9),"")</f>
        <v>0</v>
      </c>
      <c r="CC36" s="700">
        <f ca="1">IF(INDIRECT("'Ext Tradable'!$B" &amp; CC$9)=$B36,INDIRECT("'Ext Tradable'!$" &amp; 'Ext Tradable'!$AS$23 &amp; CC$9),"")</f>
        <v>0</v>
      </c>
      <c r="CD36" s="700">
        <f ca="1">IF(INDIRECT("'Ext Tradable'!$B" &amp; CD$9)=$B36,INDIRECT("'Ext Tradable'!$" &amp; 'Ext Tradable'!$AS$23 &amp; CD$9),"")</f>
        <v>0</v>
      </c>
      <c r="CE36" s="700">
        <f ca="1">IF(INDIRECT("'Ext Tradable'!$B" &amp; CE$9)=$B36,INDIRECT("'Ext Tradable'!$" &amp; 'Ext Tradable'!$AS$23 &amp; CE$9),"")</f>
        <v>0</v>
      </c>
      <c r="CF36" s="700">
        <f ca="1">IF(INDIRECT("'Ext Tradable'!$B" &amp; CF$9)=$B36,INDIRECT("'Ext Tradable'!$" &amp; 'Ext Tradable'!$AS$23 &amp; CF$9),"")</f>
        <v>0</v>
      </c>
      <c r="CG36" s="700">
        <f ca="1">IF(INDIRECT("'Ext Tradable'!$B" &amp; CG$9)=$B36,INDIRECT("'Ext Tradable'!$" &amp; 'Ext Tradable'!$AS$23 &amp; CG$9),"")</f>
        <v>0</v>
      </c>
      <c r="CH36" s="700">
        <f ca="1">IF(INDIRECT("'Ext Tradable'!$B" &amp; CH$9)=$B36,INDIRECT("'Ext Tradable'!$" &amp; 'Ext Tradable'!$AS$23 &amp; CH$9),"")</f>
        <v>0</v>
      </c>
      <c r="CI36" s="700">
        <f ca="1">IF(INDIRECT("'Ext Tradable'!$B" &amp; CI$9)=$B36,INDIRECT("'Ext Tradable'!$" &amp; 'Ext Tradable'!$AS$23 &amp; CI$9),"")</f>
        <v>0</v>
      </c>
      <c r="CJ36" s="700">
        <f ca="1">IF(INDIRECT("'Ext Tradable'!$B" &amp; CJ$9)=$B36,INDIRECT("'Ext Tradable'!$" &amp; 'Ext Tradable'!$AS$23 &amp; CJ$9),"")</f>
        <v>0</v>
      </c>
      <c r="CK36" s="700">
        <f ca="1">IF(INDIRECT("'Ext Tradable'!$B" &amp; CK$9)=$B36,INDIRECT("'Ext Tradable'!$" &amp; 'Ext Tradable'!$AS$23 &amp; CK$9),"")</f>
        <v>0</v>
      </c>
      <c r="CL36" s="700">
        <f ca="1">IF(INDIRECT("'Ext Tradable'!$B" &amp; CL$9)=$B36,INDIRECT("'Ext Tradable'!$" &amp; 'Ext Tradable'!$AS$23 &amp; CL$9),"")</f>
        <v>0</v>
      </c>
      <c r="CM36" s="700">
        <f ca="1">IF(INDIRECT("'Ext Tradable'!$B" &amp; CM$9)=$B36,INDIRECT("'Ext Tradable'!$" &amp; 'Ext Tradable'!$AS$23 &amp; CM$9),"")</f>
        <v>0</v>
      </c>
      <c r="CN36" s="700">
        <f ca="1">IF(INDIRECT("'Ext Tradable'!$B" &amp; CN$9)=$B36,INDIRECT("'Ext Tradable'!$" &amp; 'Ext Tradable'!$AS$23 &amp; CN$9),"")</f>
        <v>0</v>
      </c>
      <c r="CO36" s="700">
        <f ca="1">IF(INDIRECT("'Ext Tradable'!$B" &amp; CO$9)=$B36,INDIRECT("'Ext Tradable'!$" &amp; 'Ext Tradable'!$AS$23 &amp; CO$9),"")</f>
        <v>0</v>
      </c>
      <c r="CP36" s="700">
        <f ca="1">IF(INDIRECT("'Ext Tradable'!$B" &amp; CP$9)=$B36,INDIRECT("'Ext Tradable'!$" &amp; 'Ext Tradable'!$AS$23 &amp; CP$9),"")</f>
        <v>0</v>
      </c>
      <c r="CQ36" s="702" t="str">
        <f t="shared" ca="1" si="25"/>
        <v>000000000000000000000000000000</v>
      </c>
    </row>
    <row r="37" spans="1:95" ht="60" customHeight="1" x14ac:dyDescent="0.25">
      <c r="A37" s="705">
        <v>28</v>
      </c>
      <c r="B37" s="707" t="str">
        <f>'Ext Area Schedule'!Y43</f>
        <v/>
      </c>
      <c r="C37" s="707" t="str">
        <f>VLOOKUP($B37,'Ext Area Schedule'!$Y$16:$AE$65,3,FALSE)</f>
        <v/>
      </c>
      <c r="D37" s="792" t="str">
        <f>VLOOKUP($B37,'Ext Area Schedule'!$Y$16:$AE$65,4,FALSE)</f>
        <v/>
      </c>
      <c r="F37" s="792" t="str">
        <f>VLOOKUP($B37,'Ext Area Schedule'!$Y$16:$AE$65,5,FALSE)</f>
        <v/>
      </c>
      <c r="G37" s="792" t="str">
        <f>VLOOKUP($B37,'Ext Area Schedule'!$Y$16:$AE$65,7,FALSE)</f>
        <v/>
      </c>
      <c r="I37" s="703">
        <f t="shared" si="6"/>
        <v>0</v>
      </c>
      <c r="K37" s="703" t="str">
        <f>IF($B37="","",SUMIFS('Ext Tradable'!$M$26:$M$45,'Ext Tradable'!$B$26:$B$45,$B37,'Ext Tradable'!$O$26:$O$45,"New"))</f>
        <v/>
      </c>
      <c r="L37" s="703" t="str">
        <f>IF($B37="","",SUMIFS('Ext Tradable'!$M$26:$M$45,'Ext Tradable'!$B$26:$B$45,$B37,'Ext Tradable'!$O$26:$O$45,""))</f>
        <v/>
      </c>
      <c r="M37" s="703" t="str">
        <f>IF($B37="","",SUMIFS('Ext Tradable'!$K$26:$K$45,'Ext Tradable'!$B$26:$B$45,$B37,'Ext Tradable'!$O$26:$O$45,"New")+SUMIFS('Ext Tradable'!$K$26:$K$45,'Ext Tradable'!$B$26:$B$45,$B37,'Ext Tradable'!$O$26:$O$45,""))</f>
        <v/>
      </c>
      <c r="N37" s="703" t="str">
        <f>IF($B37="","",SUMIFS('Ext Tradable'!$M$26:$M$45,'Ext Tradable'!$B$26:$B$45,$B37,'Ext Tradable'!$O$26:$O$45,"Existing Remains"))</f>
        <v/>
      </c>
      <c r="O37" s="703" t="str">
        <f>IF($B37="","",SUMIFS('Ext Tradable'!$M$26:$M$45,'Ext Tradable'!$B$26:$B$45,$B37,'Ext Tradable'!$O$26:$O$45,"Existing Removed"))</f>
        <v/>
      </c>
      <c r="P37" s="703" t="str">
        <f>IF($B37="","",SUMIFS('Ext Tradable'!$K$26:$K$45,'Ext Tradable'!$B$26:$B$45,$B37,'Ext Tradable'!$O$26:$O$45,"Existing Removed"))</f>
        <v/>
      </c>
      <c r="Q37" s="703" t="str">
        <f t="shared" si="7"/>
        <v/>
      </c>
      <c r="R37" s="703" t="str">
        <f t="shared" si="8"/>
        <v/>
      </c>
      <c r="S37" s="1123" t="str">
        <f t="shared" si="9"/>
        <v/>
      </c>
      <c r="T37" s="1128" t="str">
        <f t="shared" si="23"/>
        <v/>
      </c>
      <c r="U37" s="711" t="str">
        <f t="shared" si="11"/>
        <v/>
      </c>
      <c r="V37" s="712" t="str">
        <f t="shared" si="12"/>
        <v/>
      </c>
      <c r="W37" s="762"/>
      <c r="X37" s="720" t="str">
        <f t="shared" si="13"/>
        <v/>
      </c>
      <c r="Y37" s="721" t="str">
        <f t="shared" si="14"/>
        <v/>
      </c>
      <c r="Z37" s="721" t="str">
        <f t="shared" si="15"/>
        <v/>
      </c>
      <c r="AA37" s="719" t="str">
        <f t="shared" si="2"/>
        <v/>
      </c>
      <c r="AB37" s="762"/>
      <c r="AC37" s="717" t="str">
        <f t="shared" si="16"/>
        <v/>
      </c>
      <c r="AD37" s="718" t="str">
        <f t="shared" si="17"/>
        <v/>
      </c>
      <c r="AE37" s="719" t="str">
        <f t="shared" si="3"/>
        <v/>
      </c>
      <c r="AF37" s="726"/>
      <c r="AG37" s="727" t="str">
        <f t="shared" si="18"/>
        <v/>
      </c>
      <c r="AH37" s="703" t="str">
        <f t="shared" si="19"/>
        <v/>
      </c>
      <c r="AI37" s="1114">
        <f t="shared" si="20"/>
        <v>0</v>
      </c>
      <c r="AK37" s="791" t="str">
        <f t="shared" si="4"/>
        <v/>
      </c>
      <c r="AL37" s="791" t="str">
        <f t="shared" si="21"/>
        <v/>
      </c>
      <c r="AM37" s="707" t="str">
        <f>IF(OR(AK37="Fail",AK37="Fail LPA",AK37=""),"",IF(AL37&lt;&gt;"#1",VLOOKUP(C37,'9.4.3 Tables'!B$142:O$154,14,FALSE),"No NEW controls required"))</f>
        <v/>
      </c>
      <c r="AN37" s="703">
        <f t="shared" si="22"/>
        <v>0</v>
      </c>
      <c r="AQ37">
        <v>28</v>
      </c>
      <c r="AR37" s="15" t="str">
        <f t="shared" si="24"/>
        <v/>
      </c>
      <c r="AS37" s="700" t="str">
        <f ca="1">IF(INDIRECT("'Ext Tradable'!$B" &amp; AS$9)=$B37,INDIRECT("'Ext Tradable'!$" &amp; 'Ext Tradable'!$AS$23 &amp; AS$9),"")</f>
        <v/>
      </c>
      <c r="AT37" s="700" t="str">
        <f ca="1">IF(INDIRECT("'Ext Tradable'!$B" &amp; AT$9)=$B37,INDIRECT("'Ext Tradable'!$" &amp; 'Ext Tradable'!$AS$23 &amp; AT$9),"")</f>
        <v/>
      </c>
      <c r="AU37" s="700" t="str">
        <f ca="1">IF(INDIRECT("'Ext Tradable'!$B" &amp; AU$9)=$B37,INDIRECT("'Ext Tradable'!$" &amp; 'Ext Tradable'!$AS$23 &amp; AU$9),"")</f>
        <v/>
      </c>
      <c r="AV37" s="700" t="str">
        <f ca="1">IF(INDIRECT("'Ext Tradable'!$B" &amp; AV$9)=$B37,INDIRECT("'Ext Tradable'!$" &amp; 'Ext Tradable'!$AS$23 &amp; AV$9),"")</f>
        <v/>
      </c>
      <c r="AW37" s="700" t="str">
        <f ca="1">IF(INDIRECT("'Ext Tradable'!$B" &amp; AW$9)=$B37,INDIRECT("'Ext Tradable'!$" &amp; 'Ext Tradable'!$AS$23 &amp; AW$9),"")</f>
        <v/>
      </c>
      <c r="AX37" s="700" t="str">
        <f ca="1">IF(INDIRECT("'Ext Tradable'!$B" &amp; AX$9)=$B37,INDIRECT("'Ext Tradable'!$" &amp; 'Ext Tradable'!$AS$23 &amp; AX$9),"")</f>
        <v/>
      </c>
      <c r="AY37" s="700" t="str">
        <f ca="1">IF(INDIRECT("'Ext Tradable'!$B" &amp; AY$9)=$B37,INDIRECT("'Ext Tradable'!$" &amp; 'Ext Tradable'!$AS$23 &amp; AY$9),"")</f>
        <v/>
      </c>
      <c r="AZ37" s="700" t="str">
        <f ca="1">IF(INDIRECT("'Ext Tradable'!$B" &amp; AZ$9)=$B37,INDIRECT("'Ext Tradable'!$" &amp; 'Ext Tradable'!$AS$23 &amp; AZ$9),"")</f>
        <v/>
      </c>
      <c r="BA37" s="700" t="str">
        <f ca="1">IF(INDIRECT("'Ext Tradable'!$B" &amp; BA$9)=$B37,INDIRECT("'Ext Tradable'!$" &amp; 'Ext Tradable'!$AS$23 &amp; BA$9),"")</f>
        <v/>
      </c>
      <c r="BB37" s="700" t="str">
        <f ca="1">IF(INDIRECT("'Ext Tradable'!$B" &amp; BB$9)=$B37,INDIRECT("'Ext Tradable'!$" &amp; 'Ext Tradable'!$AS$23 &amp; BB$9),"")</f>
        <v/>
      </c>
      <c r="BC37" s="700" t="str">
        <f ca="1">IF(INDIRECT("'Ext Tradable'!$B" &amp; BC$9)=$B37,INDIRECT("'Ext Tradable'!$" &amp; 'Ext Tradable'!$AS$23 &amp; BC$9),"")</f>
        <v/>
      </c>
      <c r="BD37" s="700" t="str">
        <f ca="1">IF(INDIRECT("'Ext Tradable'!$B" &amp; BD$9)=$B37,INDIRECT("'Ext Tradable'!$" &amp; 'Ext Tradable'!$AS$23 &amp; BD$9),"")</f>
        <v/>
      </c>
      <c r="BE37" s="700" t="str">
        <f ca="1">IF(INDIRECT("'Ext Tradable'!$B" &amp; BE$9)=$B37,INDIRECT("'Ext Tradable'!$" &amp; 'Ext Tradable'!$AS$23 &amp; BE$9),"")</f>
        <v/>
      </c>
      <c r="BF37" s="700" t="str">
        <f ca="1">IF(INDIRECT("'Ext Tradable'!$B" &amp; BF$9)=$B37,INDIRECT("'Ext Tradable'!$" &amp; 'Ext Tradable'!$AS$23 &amp; BF$9),"")</f>
        <v/>
      </c>
      <c r="BG37" s="700" t="str">
        <f ca="1">IF(INDIRECT("'Ext Tradable'!$B" &amp; BG$9)=$B37,INDIRECT("'Ext Tradable'!$" &amp; 'Ext Tradable'!$AS$23 &amp; BG$9),"")</f>
        <v/>
      </c>
      <c r="BH37" s="700" t="str">
        <f ca="1">IF(INDIRECT("'Ext Tradable'!$B" &amp; BH$9)=$B37,INDIRECT("'Ext Tradable'!$" &amp; 'Ext Tradable'!$AS$23 &amp; BH$9),"")</f>
        <v/>
      </c>
      <c r="BI37" s="700" t="str">
        <f ca="1">IF(INDIRECT("'Ext Tradable'!$B" &amp; BI$9)=$B37,INDIRECT("'Ext Tradable'!$" &amp; 'Ext Tradable'!$AS$23 &amp; BI$9),"")</f>
        <v/>
      </c>
      <c r="BJ37" s="700" t="str">
        <f ca="1">IF(INDIRECT("'Ext Tradable'!$B" &amp; BJ$9)=$B37,INDIRECT("'Ext Tradable'!$" &amp; 'Ext Tradable'!$AS$23 &amp; BJ$9),"")</f>
        <v/>
      </c>
      <c r="BK37" s="700" t="str">
        <f ca="1">IF(INDIRECT("'Ext Tradable'!$B" &amp; BK$9)=$B37,INDIRECT("'Ext Tradable'!$" &amp; 'Ext Tradable'!$AS$23 &amp; BK$9),"")</f>
        <v/>
      </c>
      <c r="BL37" s="700" t="str">
        <f ca="1">IF(INDIRECT("'Ext Tradable'!$B" &amp; BL$9)=$B37,INDIRECT("'Ext Tradable'!$" &amp; 'Ext Tradable'!$AS$23 &amp; BL$9),"")</f>
        <v/>
      </c>
      <c r="BM37" s="700">
        <f ca="1">IF(INDIRECT("'Ext Tradable'!$B" &amp; BM$9)=$B37,INDIRECT("'Ext Tradable'!$" &amp; 'Ext Tradable'!$AS$23 &amp; BM$9),"")</f>
        <v>0</v>
      </c>
      <c r="BN37" s="700">
        <f ca="1">IF(INDIRECT("'Ext Tradable'!$B" &amp; BN$9)=$B37,INDIRECT("'Ext Tradable'!$" &amp; 'Ext Tradable'!$AS$23 &amp; BN$9),"")</f>
        <v>0</v>
      </c>
      <c r="BO37" s="700">
        <f ca="1">IF(INDIRECT("'Ext Tradable'!$B" &amp; BO$9)=$B37,INDIRECT("'Ext Tradable'!$" &amp; 'Ext Tradable'!$AS$23 &amp; BO$9),"")</f>
        <v>0</v>
      </c>
      <c r="BP37" s="700">
        <f ca="1">IF(INDIRECT("'Ext Tradable'!$B" &amp; BP$9)=$B37,INDIRECT("'Ext Tradable'!$" &amp; 'Ext Tradable'!$AS$23 &amp; BP$9),"")</f>
        <v>0</v>
      </c>
      <c r="BQ37" s="700">
        <f ca="1">IF(INDIRECT("'Ext Tradable'!$B" &amp; BQ$9)=$B37,INDIRECT("'Ext Tradable'!$" &amp; 'Ext Tradable'!$AS$23 &amp; BQ$9),"")</f>
        <v>0</v>
      </c>
      <c r="BR37" s="700">
        <f ca="1">IF(INDIRECT("'Ext Tradable'!$B" &amp; BR$9)=$B37,INDIRECT("'Ext Tradable'!$" &amp; 'Ext Tradable'!$AS$23 &amp; BR$9),"")</f>
        <v>0</v>
      </c>
      <c r="BS37" s="700">
        <f ca="1">IF(INDIRECT("'Ext Tradable'!$B" &amp; BS$9)=$B37,INDIRECT("'Ext Tradable'!$" &amp; 'Ext Tradable'!$AS$23 &amp; BS$9),"")</f>
        <v>0</v>
      </c>
      <c r="BT37" s="700">
        <f ca="1">IF(INDIRECT("'Ext Tradable'!$B" &amp; BT$9)=$B37,INDIRECT("'Ext Tradable'!$" &amp; 'Ext Tradable'!$AS$23 &amp; BT$9),"")</f>
        <v>0</v>
      </c>
      <c r="BU37" s="700">
        <f ca="1">IF(INDIRECT("'Ext Tradable'!$B" &amp; BU$9)=$B37,INDIRECT("'Ext Tradable'!$" &amp; 'Ext Tradable'!$AS$23 &amp; BU$9),"")</f>
        <v>0</v>
      </c>
      <c r="BV37" s="700">
        <f ca="1">IF(INDIRECT("'Ext Tradable'!$B" &amp; BV$9)=$B37,INDIRECT("'Ext Tradable'!$" &amp; 'Ext Tradable'!$AS$23 &amp; BV$9),"")</f>
        <v>0</v>
      </c>
      <c r="BW37" s="700">
        <f ca="1">IF(INDIRECT("'Ext Tradable'!$B" &amp; BW$9)=$B37,INDIRECT("'Ext Tradable'!$" &amp; 'Ext Tradable'!$AS$23 &amp; BW$9),"")</f>
        <v>0</v>
      </c>
      <c r="BX37" s="700">
        <f ca="1">IF(INDIRECT("'Ext Tradable'!$B" &amp; BX$9)=$B37,INDIRECT("'Ext Tradable'!$" &amp; 'Ext Tradable'!$AS$23 &amp; BX$9),"")</f>
        <v>0</v>
      </c>
      <c r="BY37" s="700">
        <f ca="1">IF(INDIRECT("'Ext Tradable'!$B" &amp; BY$9)=$B37,INDIRECT("'Ext Tradable'!$" &amp; 'Ext Tradable'!$AS$23 &amp; BY$9),"")</f>
        <v>0</v>
      </c>
      <c r="BZ37" s="700">
        <f ca="1">IF(INDIRECT("'Ext Tradable'!$B" &amp; BZ$9)=$B37,INDIRECT("'Ext Tradable'!$" &amp; 'Ext Tradable'!$AS$23 &amp; BZ$9),"")</f>
        <v>0</v>
      </c>
      <c r="CA37" s="700">
        <f ca="1">IF(INDIRECT("'Ext Tradable'!$B" &amp; CA$9)=$B37,INDIRECT("'Ext Tradable'!$" &amp; 'Ext Tradable'!$AS$23 &amp; CA$9),"")</f>
        <v>0</v>
      </c>
      <c r="CB37" s="700">
        <f ca="1">IF(INDIRECT("'Ext Tradable'!$B" &amp; CB$9)=$B37,INDIRECT("'Ext Tradable'!$" &amp; 'Ext Tradable'!$AS$23 &amp; CB$9),"")</f>
        <v>0</v>
      </c>
      <c r="CC37" s="700">
        <f ca="1">IF(INDIRECT("'Ext Tradable'!$B" &amp; CC$9)=$B37,INDIRECT("'Ext Tradable'!$" &amp; 'Ext Tradable'!$AS$23 &amp; CC$9),"")</f>
        <v>0</v>
      </c>
      <c r="CD37" s="700">
        <f ca="1">IF(INDIRECT("'Ext Tradable'!$B" &amp; CD$9)=$B37,INDIRECT("'Ext Tradable'!$" &amp; 'Ext Tradable'!$AS$23 &amp; CD$9),"")</f>
        <v>0</v>
      </c>
      <c r="CE37" s="700">
        <f ca="1">IF(INDIRECT("'Ext Tradable'!$B" &amp; CE$9)=$B37,INDIRECT("'Ext Tradable'!$" &amp; 'Ext Tradable'!$AS$23 &amp; CE$9),"")</f>
        <v>0</v>
      </c>
      <c r="CF37" s="700">
        <f ca="1">IF(INDIRECT("'Ext Tradable'!$B" &amp; CF$9)=$B37,INDIRECT("'Ext Tradable'!$" &amp; 'Ext Tradable'!$AS$23 &amp; CF$9),"")</f>
        <v>0</v>
      </c>
      <c r="CG37" s="700">
        <f ca="1">IF(INDIRECT("'Ext Tradable'!$B" &amp; CG$9)=$B37,INDIRECT("'Ext Tradable'!$" &amp; 'Ext Tradable'!$AS$23 &amp; CG$9),"")</f>
        <v>0</v>
      </c>
      <c r="CH37" s="700">
        <f ca="1">IF(INDIRECT("'Ext Tradable'!$B" &amp; CH$9)=$B37,INDIRECT("'Ext Tradable'!$" &amp; 'Ext Tradable'!$AS$23 &amp; CH$9),"")</f>
        <v>0</v>
      </c>
      <c r="CI37" s="700">
        <f ca="1">IF(INDIRECT("'Ext Tradable'!$B" &amp; CI$9)=$B37,INDIRECT("'Ext Tradable'!$" &amp; 'Ext Tradable'!$AS$23 &amp; CI$9),"")</f>
        <v>0</v>
      </c>
      <c r="CJ37" s="700">
        <f ca="1">IF(INDIRECT("'Ext Tradable'!$B" &amp; CJ$9)=$B37,INDIRECT("'Ext Tradable'!$" &amp; 'Ext Tradable'!$AS$23 &amp; CJ$9),"")</f>
        <v>0</v>
      </c>
      <c r="CK37" s="700">
        <f ca="1">IF(INDIRECT("'Ext Tradable'!$B" &amp; CK$9)=$B37,INDIRECT("'Ext Tradable'!$" &amp; 'Ext Tradable'!$AS$23 &amp; CK$9),"")</f>
        <v>0</v>
      </c>
      <c r="CL37" s="700">
        <f ca="1">IF(INDIRECT("'Ext Tradable'!$B" &amp; CL$9)=$B37,INDIRECT("'Ext Tradable'!$" &amp; 'Ext Tradable'!$AS$23 &amp; CL$9),"")</f>
        <v>0</v>
      </c>
      <c r="CM37" s="700">
        <f ca="1">IF(INDIRECT("'Ext Tradable'!$B" &amp; CM$9)=$B37,INDIRECT("'Ext Tradable'!$" &amp; 'Ext Tradable'!$AS$23 &amp; CM$9),"")</f>
        <v>0</v>
      </c>
      <c r="CN37" s="700">
        <f ca="1">IF(INDIRECT("'Ext Tradable'!$B" &amp; CN$9)=$B37,INDIRECT("'Ext Tradable'!$" &amp; 'Ext Tradable'!$AS$23 &amp; CN$9),"")</f>
        <v>0</v>
      </c>
      <c r="CO37" s="700">
        <f ca="1">IF(INDIRECT("'Ext Tradable'!$B" &amp; CO$9)=$B37,INDIRECT("'Ext Tradable'!$" &amp; 'Ext Tradable'!$AS$23 &amp; CO$9),"")</f>
        <v>0</v>
      </c>
      <c r="CP37" s="700">
        <f ca="1">IF(INDIRECT("'Ext Tradable'!$B" &amp; CP$9)=$B37,INDIRECT("'Ext Tradable'!$" &amp; 'Ext Tradable'!$AS$23 &amp; CP$9),"")</f>
        <v>0</v>
      </c>
      <c r="CQ37" s="702" t="str">
        <f t="shared" ca="1" si="25"/>
        <v>000000000000000000000000000000</v>
      </c>
    </row>
    <row r="38" spans="1:95" ht="60" customHeight="1" x14ac:dyDescent="0.25">
      <c r="A38" s="705">
        <v>29</v>
      </c>
      <c r="B38" s="707" t="str">
        <f>'Ext Area Schedule'!Y44</f>
        <v/>
      </c>
      <c r="C38" s="707" t="str">
        <f>VLOOKUP($B38,'Ext Area Schedule'!$Y$16:$AE$65,3,FALSE)</f>
        <v/>
      </c>
      <c r="D38" s="792" t="str">
        <f>VLOOKUP($B38,'Ext Area Schedule'!$Y$16:$AE$65,4,FALSE)</f>
        <v/>
      </c>
      <c r="F38" s="792" t="str">
        <f>VLOOKUP($B38,'Ext Area Schedule'!$Y$16:$AE$65,5,FALSE)</f>
        <v/>
      </c>
      <c r="G38" s="792" t="str">
        <f>VLOOKUP($B38,'Ext Area Schedule'!$Y$16:$AE$65,7,FALSE)</f>
        <v/>
      </c>
      <c r="I38" s="703">
        <f t="shared" si="6"/>
        <v>0</v>
      </c>
      <c r="K38" s="703" t="str">
        <f>IF($B38="","",SUMIFS('Ext Tradable'!$M$26:$M$45,'Ext Tradable'!$B$26:$B$45,$B38,'Ext Tradable'!$O$26:$O$45,"New"))</f>
        <v/>
      </c>
      <c r="L38" s="703" t="str">
        <f>IF($B38="","",SUMIFS('Ext Tradable'!$M$26:$M$45,'Ext Tradable'!$B$26:$B$45,$B38,'Ext Tradable'!$O$26:$O$45,""))</f>
        <v/>
      </c>
      <c r="M38" s="703" t="str">
        <f>IF($B38="","",SUMIFS('Ext Tradable'!$K$26:$K$45,'Ext Tradable'!$B$26:$B$45,$B38,'Ext Tradable'!$O$26:$O$45,"New")+SUMIFS('Ext Tradable'!$K$26:$K$45,'Ext Tradable'!$B$26:$B$45,$B38,'Ext Tradable'!$O$26:$O$45,""))</f>
        <v/>
      </c>
      <c r="N38" s="703" t="str">
        <f>IF($B38="","",SUMIFS('Ext Tradable'!$M$26:$M$45,'Ext Tradable'!$B$26:$B$45,$B38,'Ext Tradable'!$O$26:$O$45,"Existing Remains"))</f>
        <v/>
      </c>
      <c r="O38" s="703" t="str">
        <f>IF($B38="","",SUMIFS('Ext Tradable'!$M$26:$M$45,'Ext Tradable'!$B$26:$B$45,$B38,'Ext Tradable'!$O$26:$O$45,"Existing Removed"))</f>
        <v/>
      </c>
      <c r="P38" s="703" t="str">
        <f>IF($B38="","",SUMIFS('Ext Tradable'!$K$26:$K$45,'Ext Tradable'!$B$26:$B$45,$B38,'Ext Tradable'!$O$26:$O$45,"Existing Removed"))</f>
        <v/>
      </c>
      <c r="Q38" s="703" t="str">
        <f t="shared" si="7"/>
        <v/>
      </c>
      <c r="R38" s="703" t="str">
        <f t="shared" si="8"/>
        <v/>
      </c>
      <c r="S38" s="1123" t="str">
        <f t="shared" si="9"/>
        <v/>
      </c>
      <c r="T38" s="1128" t="str">
        <f t="shared" si="23"/>
        <v/>
      </c>
      <c r="U38" s="711" t="str">
        <f t="shared" si="11"/>
        <v/>
      </c>
      <c r="V38" s="712" t="str">
        <f t="shared" si="12"/>
        <v/>
      </c>
      <c r="W38" s="762"/>
      <c r="X38" s="720" t="str">
        <f t="shared" si="13"/>
        <v/>
      </c>
      <c r="Y38" s="721" t="str">
        <f t="shared" si="14"/>
        <v/>
      </c>
      <c r="Z38" s="721" t="str">
        <f t="shared" si="15"/>
        <v/>
      </c>
      <c r="AA38" s="719" t="str">
        <f t="shared" si="2"/>
        <v/>
      </c>
      <c r="AB38" s="762"/>
      <c r="AC38" s="717" t="str">
        <f t="shared" si="16"/>
        <v/>
      </c>
      <c r="AD38" s="718" t="str">
        <f t="shared" si="17"/>
        <v/>
      </c>
      <c r="AE38" s="719" t="str">
        <f t="shared" si="3"/>
        <v/>
      </c>
      <c r="AF38" s="726"/>
      <c r="AG38" s="727" t="str">
        <f t="shared" si="18"/>
        <v/>
      </c>
      <c r="AH38" s="703" t="str">
        <f t="shared" si="19"/>
        <v/>
      </c>
      <c r="AI38" s="1114">
        <f t="shared" si="20"/>
        <v>0</v>
      </c>
      <c r="AK38" s="791" t="str">
        <f t="shared" si="4"/>
        <v/>
      </c>
      <c r="AL38" s="791" t="str">
        <f t="shared" si="21"/>
        <v/>
      </c>
      <c r="AM38" s="707" t="str">
        <f>IF(OR(AK38="Fail",AK38="Fail LPA",AK38=""),"",IF(AL38&lt;&gt;"#1",VLOOKUP(C38,'9.4.3 Tables'!B$142:O$154,14,FALSE),"No NEW controls required"))</f>
        <v/>
      </c>
      <c r="AN38" s="703">
        <f t="shared" si="22"/>
        <v>0</v>
      </c>
      <c r="AQ38">
        <v>29</v>
      </c>
      <c r="AR38" s="15" t="str">
        <f t="shared" si="24"/>
        <v/>
      </c>
      <c r="AS38" s="700" t="str">
        <f ca="1">IF(INDIRECT("'Ext Tradable'!$B" &amp; AS$9)=$B38,INDIRECT("'Ext Tradable'!$" &amp; 'Ext Tradable'!$AS$23 &amp; AS$9),"")</f>
        <v/>
      </c>
      <c r="AT38" s="700" t="str">
        <f ca="1">IF(INDIRECT("'Ext Tradable'!$B" &amp; AT$9)=$B38,INDIRECT("'Ext Tradable'!$" &amp; 'Ext Tradable'!$AS$23 &amp; AT$9),"")</f>
        <v/>
      </c>
      <c r="AU38" s="700" t="str">
        <f ca="1">IF(INDIRECT("'Ext Tradable'!$B" &amp; AU$9)=$B38,INDIRECT("'Ext Tradable'!$" &amp; 'Ext Tradable'!$AS$23 &amp; AU$9),"")</f>
        <v/>
      </c>
      <c r="AV38" s="700" t="str">
        <f ca="1">IF(INDIRECT("'Ext Tradable'!$B" &amp; AV$9)=$B38,INDIRECT("'Ext Tradable'!$" &amp; 'Ext Tradable'!$AS$23 &amp; AV$9),"")</f>
        <v/>
      </c>
      <c r="AW38" s="700" t="str">
        <f ca="1">IF(INDIRECT("'Ext Tradable'!$B" &amp; AW$9)=$B38,INDIRECT("'Ext Tradable'!$" &amp; 'Ext Tradable'!$AS$23 &amp; AW$9),"")</f>
        <v/>
      </c>
      <c r="AX38" s="700" t="str">
        <f ca="1">IF(INDIRECT("'Ext Tradable'!$B" &amp; AX$9)=$B38,INDIRECT("'Ext Tradable'!$" &amp; 'Ext Tradable'!$AS$23 &amp; AX$9),"")</f>
        <v/>
      </c>
      <c r="AY38" s="700" t="str">
        <f ca="1">IF(INDIRECT("'Ext Tradable'!$B" &amp; AY$9)=$B38,INDIRECT("'Ext Tradable'!$" &amp; 'Ext Tradable'!$AS$23 &amp; AY$9),"")</f>
        <v/>
      </c>
      <c r="AZ38" s="700" t="str">
        <f ca="1">IF(INDIRECT("'Ext Tradable'!$B" &amp; AZ$9)=$B38,INDIRECT("'Ext Tradable'!$" &amp; 'Ext Tradable'!$AS$23 &amp; AZ$9),"")</f>
        <v/>
      </c>
      <c r="BA38" s="700" t="str">
        <f ca="1">IF(INDIRECT("'Ext Tradable'!$B" &amp; BA$9)=$B38,INDIRECT("'Ext Tradable'!$" &amp; 'Ext Tradable'!$AS$23 &amp; BA$9),"")</f>
        <v/>
      </c>
      <c r="BB38" s="700" t="str">
        <f ca="1">IF(INDIRECT("'Ext Tradable'!$B" &amp; BB$9)=$B38,INDIRECT("'Ext Tradable'!$" &amp; 'Ext Tradable'!$AS$23 &amp; BB$9),"")</f>
        <v/>
      </c>
      <c r="BC38" s="700" t="str">
        <f ca="1">IF(INDIRECT("'Ext Tradable'!$B" &amp; BC$9)=$B38,INDIRECT("'Ext Tradable'!$" &amp; 'Ext Tradable'!$AS$23 &amp; BC$9),"")</f>
        <v/>
      </c>
      <c r="BD38" s="700" t="str">
        <f ca="1">IF(INDIRECT("'Ext Tradable'!$B" &amp; BD$9)=$B38,INDIRECT("'Ext Tradable'!$" &amp; 'Ext Tradable'!$AS$23 &amp; BD$9),"")</f>
        <v/>
      </c>
      <c r="BE38" s="700" t="str">
        <f ca="1">IF(INDIRECT("'Ext Tradable'!$B" &amp; BE$9)=$B38,INDIRECT("'Ext Tradable'!$" &amp; 'Ext Tradable'!$AS$23 &amp; BE$9),"")</f>
        <v/>
      </c>
      <c r="BF38" s="700" t="str">
        <f ca="1">IF(INDIRECT("'Ext Tradable'!$B" &amp; BF$9)=$B38,INDIRECT("'Ext Tradable'!$" &amp; 'Ext Tradable'!$AS$23 &amp; BF$9),"")</f>
        <v/>
      </c>
      <c r="BG38" s="700" t="str">
        <f ca="1">IF(INDIRECT("'Ext Tradable'!$B" &amp; BG$9)=$B38,INDIRECT("'Ext Tradable'!$" &amp; 'Ext Tradable'!$AS$23 &amp; BG$9),"")</f>
        <v/>
      </c>
      <c r="BH38" s="700" t="str">
        <f ca="1">IF(INDIRECT("'Ext Tradable'!$B" &amp; BH$9)=$B38,INDIRECT("'Ext Tradable'!$" &amp; 'Ext Tradable'!$AS$23 &amp; BH$9),"")</f>
        <v/>
      </c>
      <c r="BI38" s="700" t="str">
        <f ca="1">IF(INDIRECT("'Ext Tradable'!$B" &amp; BI$9)=$B38,INDIRECT("'Ext Tradable'!$" &amp; 'Ext Tradable'!$AS$23 &amp; BI$9),"")</f>
        <v/>
      </c>
      <c r="BJ38" s="700" t="str">
        <f ca="1">IF(INDIRECT("'Ext Tradable'!$B" &amp; BJ$9)=$B38,INDIRECT("'Ext Tradable'!$" &amp; 'Ext Tradable'!$AS$23 &amp; BJ$9),"")</f>
        <v/>
      </c>
      <c r="BK38" s="700" t="str">
        <f ca="1">IF(INDIRECT("'Ext Tradable'!$B" &amp; BK$9)=$B38,INDIRECT("'Ext Tradable'!$" &amp; 'Ext Tradable'!$AS$23 &amp; BK$9),"")</f>
        <v/>
      </c>
      <c r="BL38" s="700" t="str">
        <f ca="1">IF(INDIRECT("'Ext Tradable'!$B" &amp; BL$9)=$B38,INDIRECT("'Ext Tradable'!$" &amp; 'Ext Tradable'!$AS$23 &amp; BL$9),"")</f>
        <v/>
      </c>
      <c r="BM38" s="700">
        <f ca="1">IF(INDIRECT("'Ext Tradable'!$B" &amp; BM$9)=$B38,INDIRECT("'Ext Tradable'!$" &amp; 'Ext Tradable'!$AS$23 &amp; BM$9),"")</f>
        <v>0</v>
      </c>
      <c r="BN38" s="700">
        <f ca="1">IF(INDIRECT("'Ext Tradable'!$B" &amp; BN$9)=$B38,INDIRECT("'Ext Tradable'!$" &amp; 'Ext Tradable'!$AS$23 &amp; BN$9),"")</f>
        <v>0</v>
      </c>
      <c r="BO38" s="700">
        <f ca="1">IF(INDIRECT("'Ext Tradable'!$B" &amp; BO$9)=$B38,INDIRECT("'Ext Tradable'!$" &amp; 'Ext Tradable'!$AS$23 &amp; BO$9),"")</f>
        <v>0</v>
      </c>
      <c r="BP38" s="700">
        <f ca="1">IF(INDIRECT("'Ext Tradable'!$B" &amp; BP$9)=$B38,INDIRECT("'Ext Tradable'!$" &amp; 'Ext Tradable'!$AS$23 &amp; BP$9),"")</f>
        <v>0</v>
      </c>
      <c r="BQ38" s="700">
        <f ca="1">IF(INDIRECT("'Ext Tradable'!$B" &amp; BQ$9)=$B38,INDIRECT("'Ext Tradable'!$" &amp; 'Ext Tradable'!$AS$23 &amp; BQ$9),"")</f>
        <v>0</v>
      </c>
      <c r="BR38" s="700">
        <f ca="1">IF(INDIRECT("'Ext Tradable'!$B" &amp; BR$9)=$B38,INDIRECT("'Ext Tradable'!$" &amp; 'Ext Tradable'!$AS$23 &amp; BR$9),"")</f>
        <v>0</v>
      </c>
      <c r="BS38" s="700">
        <f ca="1">IF(INDIRECT("'Ext Tradable'!$B" &amp; BS$9)=$B38,INDIRECT("'Ext Tradable'!$" &amp; 'Ext Tradable'!$AS$23 &amp; BS$9),"")</f>
        <v>0</v>
      </c>
      <c r="BT38" s="700">
        <f ca="1">IF(INDIRECT("'Ext Tradable'!$B" &amp; BT$9)=$B38,INDIRECT("'Ext Tradable'!$" &amp; 'Ext Tradable'!$AS$23 &amp; BT$9),"")</f>
        <v>0</v>
      </c>
      <c r="BU38" s="700">
        <f ca="1">IF(INDIRECT("'Ext Tradable'!$B" &amp; BU$9)=$B38,INDIRECT("'Ext Tradable'!$" &amp; 'Ext Tradable'!$AS$23 &amp; BU$9),"")</f>
        <v>0</v>
      </c>
      <c r="BV38" s="700">
        <f ca="1">IF(INDIRECT("'Ext Tradable'!$B" &amp; BV$9)=$B38,INDIRECT("'Ext Tradable'!$" &amp; 'Ext Tradable'!$AS$23 &amp; BV$9),"")</f>
        <v>0</v>
      </c>
      <c r="BW38" s="700">
        <f ca="1">IF(INDIRECT("'Ext Tradable'!$B" &amp; BW$9)=$B38,INDIRECT("'Ext Tradable'!$" &amp; 'Ext Tradable'!$AS$23 &amp; BW$9),"")</f>
        <v>0</v>
      </c>
      <c r="BX38" s="700">
        <f ca="1">IF(INDIRECT("'Ext Tradable'!$B" &amp; BX$9)=$B38,INDIRECT("'Ext Tradable'!$" &amp; 'Ext Tradable'!$AS$23 &amp; BX$9),"")</f>
        <v>0</v>
      </c>
      <c r="BY38" s="700">
        <f ca="1">IF(INDIRECT("'Ext Tradable'!$B" &amp; BY$9)=$B38,INDIRECT("'Ext Tradable'!$" &amp; 'Ext Tradable'!$AS$23 &amp; BY$9),"")</f>
        <v>0</v>
      </c>
      <c r="BZ38" s="700">
        <f ca="1">IF(INDIRECT("'Ext Tradable'!$B" &amp; BZ$9)=$B38,INDIRECT("'Ext Tradable'!$" &amp; 'Ext Tradable'!$AS$23 &amp; BZ$9),"")</f>
        <v>0</v>
      </c>
      <c r="CA38" s="700">
        <f ca="1">IF(INDIRECT("'Ext Tradable'!$B" &amp; CA$9)=$B38,INDIRECT("'Ext Tradable'!$" &amp; 'Ext Tradable'!$AS$23 &amp; CA$9),"")</f>
        <v>0</v>
      </c>
      <c r="CB38" s="700">
        <f ca="1">IF(INDIRECT("'Ext Tradable'!$B" &amp; CB$9)=$B38,INDIRECT("'Ext Tradable'!$" &amp; 'Ext Tradable'!$AS$23 &amp; CB$9),"")</f>
        <v>0</v>
      </c>
      <c r="CC38" s="700">
        <f ca="1">IF(INDIRECT("'Ext Tradable'!$B" &amp; CC$9)=$B38,INDIRECT("'Ext Tradable'!$" &amp; 'Ext Tradable'!$AS$23 &amp; CC$9),"")</f>
        <v>0</v>
      </c>
      <c r="CD38" s="700">
        <f ca="1">IF(INDIRECT("'Ext Tradable'!$B" &amp; CD$9)=$B38,INDIRECT("'Ext Tradable'!$" &amp; 'Ext Tradable'!$AS$23 &amp; CD$9),"")</f>
        <v>0</v>
      </c>
      <c r="CE38" s="700">
        <f ca="1">IF(INDIRECT("'Ext Tradable'!$B" &amp; CE$9)=$B38,INDIRECT("'Ext Tradable'!$" &amp; 'Ext Tradable'!$AS$23 &amp; CE$9),"")</f>
        <v>0</v>
      </c>
      <c r="CF38" s="700">
        <f ca="1">IF(INDIRECT("'Ext Tradable'!$B" &amp; CF$9)=$B38,INDIRECT("'Ext Tradable'!$" &amp; 'Ext Tradable'!$AS$23 &amp; CF$9),"")</f>
        <v>0</v>
      </c>
      <c r="CG38" s="700">
        <f ca="1">IF(INDIRECT("'Ext Tradable'!$B" &amp; CG$9)=$B38,INDIRECT("'Ext Tradable'!$" &amp; 'Ext Tradable'!$AS$23 &amp; CG$9),"")</f>
        <v>0</v>
      </c>
      <c r="CH38" s="700">
        <f ca="1">IF(INDIRECT("'Ext Tradable'!$B" &amp; CH$9)=$B38,INDIRECT("'Ext Tradable'!$" &amp; 'Ext Tradable'!$AS$23 &amp; CH$9),"")</f>
        <v>0</v>
      </c>
      <c r="CI38" s="700">
        <f ca="1">IF(INDIRECT("'Ext Tradable'!$B" &amp; CI$9)=$B38,INDIRECT("'Ext Tradable'!$" &amp; 'Ext Tradable'!$AS$23 &amp; CI$9),"")</f>
        <v>0</v>
      </c>
      <c r="CJ38" s="700">
        <f ca="1">IF(INDIRECT("'Ext Tradable'!$B" &amp; CJ$9)=$B38,INDIRECT("'Ext Tradable'!$" &amp; 'Ext Tradable'!$AS$23 &amp; CJ$9),"")</f>
        <v>0</v>
      </c>
      <c r="CK38" s="700">
        <f ca="1">IF(INDIRECT("'Ext Tradable'!$B" &amp; CK$9)=$B38,INDIRECT("'Ext Tradable'!$" &amp; 'Ext Tradable'!$AS$23 &amp; CK$9),"")</f>
        <v>0</v>
      </c>
      <c r="CL38" s="700">
        <f ca="1">IF(INDIRECT("'Ext Tradable'!$B" &amp; CL$9)=$B38,INDIRECT("'Ext Tradable'!$" &amp; 'Ext Tradable'!$AS$23 &amp; CL$9),"")</f>
        <v>0</v>
      </c>
      <c r="CM38" s="700">
        <f ca="1">IF(INDIRECT("'Ext Tradable'!$B" &amp; CM$9)=$B38,INDIRECT("'Ext Tradable'!$" &amp; 'Ext Tradable'!$AS$23 &amp; CM$9),"")</f>
        <v>0</v>
      </c>
      <c r="CN38" s="700">
        <f ca="1">IF(INDIRECT("'Ext Tradable'!$B" &amp; CN$9)=$B38,INDIRECT("'Ext Tradable'!$" &amp; 'Ext Tradable'!$AS$23 &amp; CN$9),"")</f>
        <v>0</v>
      </c>
      <c r="CO38" s="700">
        <f ca="1">IF(INDIRECT("'Ext Tradable'!$B" &amp; CO$9)=$B38,INDIRECT("'Ext Tradable'!$" &amp; 'Ext Tradable'!$AS$23 &amp; CO$9),"")</f>
        <v>0</v>
      </c>
      <c r="CP38" s="700">
        <f ca="1">IF(INDIRECT("'Ext Tradable'!$B" &amp; CP$9)=$B38,INDIRECT("'Ext Tradable'!$" &amp; 'Ext Tradable'!$AS$23 &amp; CP$9),"")</f>
        <v>0</v>
      </c>
      <c r="CQ38" s="702" t="str">
        <f t="shared" ca="1" si="25"/>
        <v>000000000000000000000000000000</v>
      </c>
    </row>
    <row r="39" spans="1:95" ht="60" customHeight="1" x14ac:dyDescent="0.25">
      <c r="A39" s="705">
        <v>30</v>
      </c>
      <c r="B39" s="707" t="str">
        <f>'Ext Area Schedule'!Y45</f>
        <v/>
      </c>
      <c r="C39" s="707" t="str">
        <f>VLOOKUP($B39,'Ext Area Schedule'!$Y$16:$AE$65,3,FALSE)</f>
        <v/>
      </c>
      <c r="D39" s="792" t="str">
        <f>VLOOKUP($B39,'Ext Area Schedule'!$Y$16:$AE$65,4,FALSE)</f>
        <v/>
      </c>
      <c r="F39" s="792" t="str">
        <f>VLOOKUP($B39,'Ext Area Schedule'!$Y$16:$AE$65,5,FALSE)</f>
        <v/>
      </c>
      <c r="G39" s="792" t="str">
        <f>VLOOKUP($B39,'Ext Area Schedule'!$Y$16:$AE$65,7,FALSE)</f>
        <v/>
      </c>
      <c r="I39" s="703">
        <f t="shared" si="6"/>
        <v>0</v>
      </c>
      <c r="K39" s="703" t="str">
        <f>IF($B39="","",SUMIFS('Ext Tradable'!$M$26:$M$45,'Ext Tradable'!$B$26:$B$45,$B39,'Ext Tradable'!$O$26:$O$45,"New"))</f>
        <v/>
      </c>
      <c r="L39" s="703" t="str">
        <f>IF($B39="","",SUMIFS('Ext Tradable'!$M$26:$M$45,'Ext Tradable'!$B$26:$B$45,$B39,'Ext Tradable'!$O$26:$O$45,""))</f>
        <v/>
      </c>
      <c r="M39" s="703" t="str">
        <f>IF($B39="","",SUMIFS('Ext Tradable'!$K$26:$K$45,'Ext Tradable'!$B$26:$B$45,$B39,'Ext Tradable'!$O$26:$O$45,"New")+SUMIFS('Ext Tradable'!$K$26:$K$45,'Ext Tradable'!$B$26:$B$45,$B39,'Ext Tradable'!$O$26:$O$45,""))</f>
        <v/>
      </c>
      <c r="N39" s="703" t="str">
        <f>IF($B39="","",SUMIFS('Ext Tradable'!$M$26:$M$45,'Ext Tradable'!$B$26:$B$45,$B39,'Ext Tradable'!$O$26:$O$45,"Existing Remains"))</f>
        <v/>
      </c>
      <c r="O39" s="703" t="str">
        <f>IF($B39="","",SUMIFS('Ext Tradable'!$M$26:$M$45,'Ext Tradable'!$B$26:$B$45,$B39,'Ext Tradable'!$O$26:$O$45,"Existing Removed"))</f>
        <v/>
      </c>
      <c r="P39" s="703" t="str">
        <f>IF($B39="","",SUMIFS('Ext Tradable'!$K$26:$K$45,'Ext Tradable'!$B$26:$B$45,$B39,'Ext Tradable'!$O$26:$O$45,"Existing Removed"))</f>
        <v/>
      </c>
      <c r="Q39" s="703" t="str">
        <f t="shared" si="7"/>
        <v/>
      </c>
      <c r="R39" s="703" t="str">
        <f t="shared" si="8"/>
        <v/>
      </c>
      <c r="S39" s="1123" t="str">
        <f t="shared" si="9"/>
        <v/>
      </c>
      <c r="T39" s="1128" t="str">
        <f t="shared" si="23"/>
        <v/>
      </c>
      <c r="U39" s="711" t="str">
        <f t="shared" si="11"/>
        <v/>
      </c>
      <c r="V39" s="712" t="str">
        <f t="shared" si="12"/>
        <v/>
      </c>
      <c r="W39" s="762"/>
      <c r="X39" s="720" t="str">
        <f t="shared" si="13"/>
        <v/>
      </c>
      <c r="Y39" s="721" t="str">
        <f t="shared" si="14"/>
        <v/>
      </c>
      <c r="Z39" s="721" t="str">
        <f t="shared" si="15"/>
        <v/>
      </c>
      <c r="AA39" s="719" t="str">
        <f t="shared" si="2"/>
        <v/>
      </c>
      <c r="AB39" s="762"/>
      <c r="AC39" s="717" t="str">
        <f t="shared" si="16"/>
        <v/>
      </c>
      <c r="AD39" s="718" t="str">
        <f t="shared" si="17"/>
        <v/>
      </c>
      <c r="AE39" s="719" t="str">
        <f t="shared" si="3"/>
        <v/>
      </c>
      <c r="AF39" s="726"/>
      <c r="AG39" s="727" t="str">
        <f t="shared" si="18"/>
        <v/>
      </c>
      <c r="AH39" s="703" t="str">
        <f t="shared" si="19"/>
        <v/>
      </c>
      <c r="AI39" s="1114">
        <f t="shared" si="20"/>
        <v>0</v>
      </c>
      <c r="AK39" s="791" t="str">
        <f t="shared" si="4"/>
        <v/>
      </c>
      <c r="AL39" s="791" t="str">
        <f t="shared" si="21"/>
        <v/>
      </c>
      <c r="AM39" s="707" t="str">
        <f>IF(OR(AK39="Fail",AK39="Fail LPA",AK39=""),"",IF(AL39&lt;&gt;"#1",VLOOKUP(C39,'9.4.3 Tables'!B$142:O$154,14,FALSE),"No NEW controls required"))</f>
        <v/>
      </c>
      <c r="AN39" s="703">
        <f t="shared" si="22"/>
        <v>0</v>
      </c>
      <c r="AQ39">
        <v>30</v>
      </c>
      <c r="AR39" s="15" t="str">
        <f t="shared" si="24"/>
        <v/>
      </c>
      <c r="AS39" s="700" t="str">
        <f ca="1">IF(INDIRECT("'Ext Tradable'!$B" &amp; AS$9)=$B39,INDIRECT("'Ext Tradable'!$" &amp; 'Ext Tradable'!$AS$23 &amp; AS$9),"")</f>
        <v/>
      </c>
      <c r="AT39" s="700" t="str">
        <f ca="1">IF(INDIRECT("'Ext Tradable'!$B" &amp; AT$9)=$B39,INDIRECT("'Ext Tradable'!$" &amp; 'Ext Tradable'!$AS$23 &amp; AT$9),"")</f>
        <v/>
      </c>
      <c r="AU39" s="700" t="str">
        <f ca="1">IF(INDIRECT("'Ext Tradable'!$B" &amp; AU$9)=$B39,INDIRECT("'Ext Tradable'!$" &amp; 'Ext Tradable'!$AS$23 &amp; AU$9),"")</f>
        <v/>
      </c>
      <c r="AV39" s="700" t="str">
        <f ca="1">IF(INDIRECT("'Ext Tradable'!$B" &amp; AV$9)=$B39,INDIRECT("'Ext Tradable'!$" &amp; 'Ext Tradable'!$AS$23 &amp; AV$9),"")</f>
        <v/>
      </c>
      <c r="AW39" s="700" t="str">
        <f ca="1">IF(INDIRECT("'Ext Tradable'!$B" &amp; AW$9)=$B39,INDIRECT("'Ext Tradable'!$" &amp; 'Ext Tradable'!$AS$23 &amp; AW$9),"")</f>
        <v/>
      </c>
      <c r="AX39" s="700" t="str">
        <f ca="1">IF(INDIRECT("'Ext Tradable'!$B" &amp; AX$9)=$B39,INDIRECT("'Ext Tradable'!$" &amp; 'Ext Tradable'!$AS$23 &amp; AX$9),"")</f>
        <v/>
      </c>
      <c r="AY39" s="700" t="str">
        <f ca="1">IF(INDIRECT("'Ext Tradable'!$B" &amp; AY$9)=$B39,INDIRECT("'Ext Tradable'!$" &amp; 'Ext Tradable'!$AS$23 &amp; AY$9),"")</f>
        <v/>
      </c>
      <c r="AZ39" s="700" t="str">
        <f ca="1">IF(INDIRECT("'Ext Tradable'!$B" &amp; AZ$9)=$B39,INDIRECT("'Ext Tradable'!$" &amp; 'Ext Tradable'!$AS$23 &amp; AZ$9),"")</f>
        <v/>
      </c>
      <c r="BA39" s="700" t="str">
        <f ca="1">IF(INDIRECT("'Ext Tradable'!$B" &amp; BA$9)=$B39,INDIRECT("'Ext Tradable'!$" &amp; 'Ext Tradable'!$AS$23 &amp; BA$9),"")</f>
        <v/>
      </c>
      <c r="BB39" s="700" t="str">
        <f ca="1">IF(INDIRECT("'Ext Tradable'!$B" &amp; BB$9)=$B39,INDIRECT("'Ext Tradable'!$" &amp; 'Ext Tradable'!$AS$23 &amp; BB$9),"")</f>
        <v/>
      </c>
      <c r="BC39" s="700" t="str">
        <f ca="1">IF(INDIRECT("'Ext Tradable'!$B" &amp; BC$9)=$B39,INDIRECT("'Ext Tradable'!$" &amp; 'Ext Tradable'!$AS$23 &amp; BC$9),"")</f>
        <v/>
      </c>
      <c r="BD39" s="700" t="str">
        <f ca="1">IF(INDIRECT("'Ext Tradable'!$B" &amp; BD$9)=$B39,INDIRECT("'Ext Tradable'!$" &amp; 'Ext Tradable'!$AS$23 &amp; BD$9),"")</f>
        <v/>
      </c>
      <c r="BE39" s="700" t="str">
        <f ca="1">IF(INDIRECT("'Ext Tradable'!$B" &amp; BE$9)=$B39,INDIRECT("'Ext Tradable'!$" &amp; 'Ext Tradable'!$AS$23 &amp; BE$9),"")</f>
        <v/>
      </c>
      <c r="BF39" s="700" t="str">
        <f ca="1">IF(INDIRECT("'Ext Tradable'!$B" &amp; BF$9)=$B39,INDIRECT("'Ext Tradable'!$" &amp; 'Ext Tradable'!$AS$23 &amp; BF$9),"")</f>
        <v/>
      </c>
      <c r="BG39" s="700" t="str">
        <f ca="1">IF(INDIRECT("'Ext Tradable'!$B" &amp; BG$9)=$B39,INDIRECT("'Ext Tradable'!$" &amp; 'Ext Tradable'!$AS$23 &amp; BG$9),"")</f>
        <v/>
      </c>
      <c r="BH39" s="700" t="str">
        <f ca="1">IF(INDIRECT("'Ext Tradable'!$B" &amp; BH$9)=$B39,INDIRECT("'Ext Tradable'!$" &amp; 'Ext Tradable'!$AS$23 &amp; BH$9),"")</f>
        <v/>
      </c>
      <c r="BI39" s="700" t="str">
        <f ca="1">IF(INDIRECT("'Ext Tradable'!$B" &amp; BI$9)=$B39,INDIRECT("'Ext Tradable'!$" &amp; 'Ext Tradable'!$AS$23 &amp; BI$9),"")</f>
        <v/>
      </c>
      <c r="BJ39" s="700" t="str">
        <f ca="1">IF(INDIRECT("'Ext Tradable'!$B" &amp; BJ$9)=$B39,INDIRECT("'Ext Tradable'!$" &amp; 'Ext Tradable'!$AS$23 &amp; BJ$9),"")</f>
        <v/>
      </c>
      <c r="BK39" s="700" t="str">
        <f ca="1">IF(INDIRECT("'Ext Tradable'!$B" &amp; BK$9)=$B39,INDIRECT("'Ext Tradable'!$" &amp; 'Ext Tradable'!$AS$23 &amp; BK$9),"")</f>
        <v/>
      </c>
      <c r="BL39" s="700" t="str">
        <f ca="1">IF(INDIRECT("'Ext Tradable'!$B" &amp; BL$9)=$B39,INDIRECT("'Ext Tradable'!$" &amp; 'Ext Tradable'!$AS$23 &amp; BL$9),"")</f>
        <v/>
      </c>
      <c r="BM39" s="700">
        <f ca="1">IF(INDIRECT("'Ext Tradable'!$B" &amp; BM$9)=$B39,INDIRECT("'Ext Tradable'!$" &amp; 'Ext Tradable'!$AS$23 &amp; BM$9),"")</f>
        <v>0</v>
      </c>
      <c r="BN39" s="700">
        <f ca="1">IF(INDIRECT("'Ext Tradable'!$B" &amp; BN$9)=$B39,INDIRECT("'Ext Tradable'!$" &amp; 'Ext Tradable'!$AS$23 &amp; BN$9),"")</f>
        <v>0</v>
      </c>
      <c r="BO39" s="700">
        <f ca="1">IF(INDIRECT("'Ext Tradable'!$B" &amp; BO$9)=$B39,INDIRECT("'Ext Tradable'!$" &amp; 'Ext Tradable'!$AS$23 &amp; BO$9),"")</f>
        <v>0</v>
      </c>
      <c r="BP39" s="700">
        <f ca="1">IF(INDIRECT("'Ext Tradable'!$B" &amp; BP$9)=$B39,INDIRECT("'Ext Tradable'!$" &amp; 'Ext Tradable'!$AS$23 &amp; BP$9),"")</f>
        <v>0</v>
      </c>
      <c r="BQ39" s="700">
        <f ca="1">IF(INDIRECT("'Ext Tradable'!$B" &amp; BQ$9)=$B39,INDIRECT("'Ext Tradable'!$" &amp; 'Ext Tradable'!$AS$23 &amp; BQ$9),"")</f>
        <v>0</v>
      </c>
      <c r="BR39" s="700">
        <f ca="1">IF(INDIRECT("'Ext Tradable'!$B" &amp; BR$9)=$B39,INDIRECT("'Ext Tradable'!$" &amp; 'Ext Tradable'!$AS$23 &amp; BR$9),"")</f>
        <v>0</v>
      </c>
      <c r="BS39" s="700">
        <f ca="1">IF(INDIRECT("'Ext Tradable'!$B" &amp; BS$9)=$B39,INDIRECT("'Ext Tradable'!$" &amp; 'Ext Tradable'!$AS$23 &amp; BS$9),"")</f>
        <v>0</v>
      </c>
      <c r="BT39" s="700">
        <f ca="1">IF(INDIRECT("'Ext Tradable'!$B" &amp; BT$9)=$B39,INDIRECT("'Ext Tradable'!$" &amp; 'Ext Tradable'!$AS$23 &amp; BT$9),"")</f>
        <v>0</v>
      </c>
      <c r="BU39" s="700">
        <f ca="1">IF(INDIRECT("'Ext Tradable'!$B" &amp; BU$9)=$B39,INDIRECT("'Ext Tradable'!$" &amp; 'Ext Tradable'!$AS$23 &amp; BU$9),"")</f>
        <v>0</v>
      </c>
      <c r="BV39" s="700">
        <f ca="1">IF(INDIRECT("'Ext Tradable'!$B" &amp; BV$9)=$B39,INDIRECT("'Ext Tradable'!$" &amp; 'Ext Tradable'!$AS$23 &amp; BV$9),"")</f>
        <v>0</v>
      </c>
      <c r="BW39" s="700">
        <f ca="1">IF(INDIRECT("'Ext Tradable'!$B" &amp; BW$9)=$B39,INDIRECT("'Ext Tradable'!$" &amp; 'Ext Tradable'!$AS$23 &amp; BW$9),"")</f>
        <v>0</v>
      </c>
      <c r="BX39" s="700">
        <f ca="1">IF(INDIRECT("'Ext Tradable'!$B" &amp; BX$9)=$B39,INDIRECT("'Ext Tradable'!$" &amp; 'Ext Tradable'!$AS$23 &amp; BX$9),"")</f>
        <v>0</v>
      </c>
      <c r="BY39" s="700">
        <f ca="1">IF(INDIRECT("'Ext Tradable'!$B" &amp; BY$9)=$B39,INDIRECT("'Ext Tradable'!$" &amp; 'Ext Tradable'!$AS$23 &amp; BY$9),"")</f>
        <v>0</v>
      </c>
      <c r="BZ39" s="700">
        <f ca="1">IF(INDIRECT("'Ext Tradable'!$B" &amp; BZ$9)=$B39,INDIRECT("'Ext Tradable'!$" &amp; 'Ext Tradable'!$AS$23 &amp; BZ$9),"")</f>
        <v>0</v>
      </c>
      <c r="CA39" s="700">
        <f ca="1">IF(INDIRECT("'Ext Tradable'!$B" &amp; CA$9)=$B39,INDIRECT("'Ext Tradable'!$" &amp; 'Ext Tradable'!$AS$23 &amp; CA$9),"")</f>
        <v>0</v>
      </c>
      <c r="CB39" s="700">
        <f ca="1">IF(INDIRECT("'Ext Tradable'!$B" &amp; CB$9)=$B39,INDIRECT("'Ext Tradable'!$" &amp; 'Ext Tradable'!$AS$23 &amp; CB$9),"")</f>
        <v>0</v>
      </c>
      <c r="CC39" s="700">
        <f ca="1">IF(INDIRECT("'Ext Tradable'!$B" &amp; CC$9)=$B39,INDIRECT("'Ext Tradable'!$" &amp; 'Ext Tradable'!$AS$23 &amp; CC$9),"")</f>
        <v>0</v>
      </c>
      <c r="CD39" s="700">
        <f ca="1">IF(INDIRECT("'Ext Tradable'!$B" &amp; CD$9)=$B39,INDIRECT("'Ext Tradable'!$" &amp; 'Ext Tradable'!$AS$23 &amp; CD$9),"")</f>
        <v>0</v>
      </c>
      <c r="CE39" s="700">
        <f ca="1">IF(INDIRECT("'Ext Tradable'!$B" &amp; CE$9)=$B39,INDIRECT("'Ext Tradable'!$" &amp; 'Ext Tradable'!$AS$23 &amp; CE$9),"")</f>
        <v>0</v>
      </c>
      <c r="CF39" s="700">
        <f ca="1">IF(INDIRECT("'Ext Tradable'!$B" &amp; CF$9)=$B39,INDIRECT("'Ext Tradable'!$" &amp; 'Ext Tradable'!$AS$23 &amp; CF$9),"")</f>
        <v>0</v>
      </c>
      <c r="CG39" s="700">
        <f ca="1">IF(INDIRECT("'Ext Tradable'!$B" &amp; CG$9)=$B39,INDIRECT("'Ext Tradable'!$" &amp; 'Ext Tradable'!$AS$23 &amp; CG$9),"")</f>
        <v>0</v>
      </c>
      <c r="CH39" s="700">
        <f ca="1">IF(INDIRECT("'Ext Tradable'!$B" &amp; CH$9)=$B39,INDIRECT("'Ext Tradable'!$" &amp; 'Ext Tradable'!$AS$23 &amp; CH$9),"")</f>
        <v>0</v>
      </c>
      <c r="CI39" s="700">
        <f ca="1">IF(INDIRECT("'Ext Tradable'!$B" &amp; CI$9)=$B39,INDIRECT("'Ext Tradable'!$" &amp; 'Ext Tradable'!$AS$23 &amp; CI$9),"")</f>
        <v>0</v>
      </c>
      <c r="CJ39" s="700">
        <f ca="1">IF(INDIRECT("'Ext Tradable'!$B" &amp; CJ$9)=$B39,INDIRECT("'Ext Tradable'!$" &amp; 'Ext Tradable'!$AS$23 &amp; CJ$9),"")</f>
        <v>0</v>
      </c>
      <c r="CK39" s="700">
        <f ca="1">IF(INDIRECT("'Ext Tradable'!$B" &amp; CK$9)=$B39,INDIRECT("'Ext Tradable'!$" &amp; 'Ext Tradable'!$AS$23 &amp; CK$9),"")</f>
        <v>0</v>
      </c>
      <c r="CL39" s="700">
        <f ca="1">IF(INDIRECT("'Ext Tradable'!$B" &amp; CL$9)=$B39,INDIRECT("'Ext Tradable'!$" &amp; 'Ext Tradable'!$AS$23 &amp; CL$9),"")</f>
        <v>0</v>
      </c>
      <c r="CM39" s="700">
        <f ca="1">IF(INDIRECT("'Ext Tradable'!$B" &amp; CM$9)=$B39,INDIRECT("'Ext Tradable'!$" &amp; 'Ext Tradable'!$AS$23 &amp; CM$9),"")</f>
        <v>0</v>
      </c>
      <c r="CN39" s="700">
        <f ca="1">IF(INDIRECT("'Ext Tradable'!$B" &amp; CN$9)=$B39,INDIRECT("'Ext Tradable'!$" &amp; 'Ext Tradable'!$AS$23 &amp; CN$9),"")</f>
        <v>0</v>
      </c>
      <c r="CO39" s="700">
        <f ca="1">IF(INDIRECT("'Ext Tradable'!$B" &amp; CO$9)=$B39,INDIRECT("'Ext Tradable'!$" &amp; 'Ext Tradable'!$AS$23 &amp; CO$9),"")</f>
        <v>0</v>
      </c>
      <c r="CP39" s="700">
        <f ca="1">IF(INDIRECT("'Ext Tradable'!$B" &amp; CP$9)=$B39,INDIRECT("'Ext Tradable'!$" &amp; 'Ext Tradable'!$AS$23 &amp; CP$9),"")</f>
        <v>0</v>
      </c>
      <c r="CQ39" s="702" t="str">
        <f t="shared" ca="1" si="25"/>
        <v>000000000000000000000000000000</v>
      </c>
    </row>
    <row r="40" spans="1:95" ht="60" customHeight="1" x14ac:dyDescent="0.25">
      <c r="A40" s="705">
        <v>31</v>
      </c>
      <c r="B40" s="707" t="str">
        <f>'Ext Area Schedule'!Y46</f>
        <v/>
      </c>
      <c r="C40" s="707" t="str">
        <f>VLOOKUP($B40,'Ext Area Schedule'!$Y$16:$AE$65,3,FALSE)</f>
        <v/>
      </c>
      <c r="D40" s="792" t="str">
        <f>VLOOKUP($B40,'Ext Area Schedule'!$Y$16:$AE$65,4,FALSE)</f>
        <v/>
      </c>
      <c r="F40" s="792" t="str">
        <f>VLOOKUP($B40,'Ext Area Schedule'!$Y$16:$AE$65,5,FALSE)</f>
        <v/>
      </c>
      <c r="G40" s="792" t="str">
        <f>VLOOKUP($B40,'Ext Area Schedule'!$Y$16:$AE$65,7,FALSE)</f>
        <v/>
      </c>
      <c r="I40" s="703">
        <f t="shared" si="6"/>
        <v>0</v>
      </c>
      <c r="K40" s="703" t="str">
        <f>IF($B40="","",SUMIFS('Ext Tradable'!$M$26:$M$45,'Ext Tradable'!$B$26:$B$45,$B40,'Ext Tradable'!$O$26:$O$45,"New"))</f>
        <v/>
      </c>
      <c r="L40" s="703" t="str">
        <f>IF($B40="","",SUMIFS('Ext Tradable'!$M$26:$M$45,'Ext Tradable'!$B$26:$B$45,$B40,'Ext Tradable'!$O$26:$O$45,""))</f>
        <v/>
      </c>
      <c r="M40" s="703" t="str">
        <f>IF($B40="","",SUMIFS('Ext Tradable'!$K$26:$K$45,'Ext Tradable'!$B$26:$B$45,$B40,'Ext Tradable'!$O$26:$O$45,"New")+SUMIFS('Ext Tradable'!$K$26:$K$45,'Ext Tradable'!$B$26:$B$45,$B40,'Ext Tradable'!$O$26:$O$45,""))</f>
        <v/>
      </c>
      <c r="N40" s="703" t="str">
        <f>IF($B40="","",SUMIFS('Ext Tradable'!$M$26:$M$45,'Ext Tradable'!$B$26:$B$45,$B40,'Ext Tradable'!$O$26:$O$45,"Existing Remains"))</f>
        <v/>
      </c>
      <c r="O40" s="703" t="str">
        <f>IF($B40="","",SUMIFS('Ext Tradable'!$M$26:$M$45,'Ext Tradable'!$B$26:$B$45,$B40,'Ext Tradable'!$O$26:$O$45,"Existing Removed"))</f>
        <v/>
      </c>
      <c r="P40" s="703" t="str">
        <f>IF($B40="","",SUMIFS('Ext Tradable'!$K$26:$K$45,'Ext Tradable'!$B$26:$B$45,$B40,'Ext Tradable'!$O$26:$O$45,"Existing Removed"))</f>
        <v/>
      </c>
      <c r="Q40" s="703" t="str">
        <f t="shared" si="7"/>
        <v/>
      </c>
      <c r="R40" s="703" t="str">
        <f t="shared" si="8"/>
        <v/>
      </c>
      <c r="S40" s="1123" t="str">
        <f t="shared" si="9"/>
        <v/>
      </c>
      <c r="T40" s="1128" t="str">
        <f t="shared" si="23"/>
        <v/>
      </c>
      <c r="U40" s="711" t="str">
        <f t="shared" si="11"/>
        <v/>
      </c>
      <c r="V40" s="712" t="str">
        <f t="shared" si="12"/>
        <v/>
      </c>
      <c r="W40" s="762"/>
      <c r="X40" s="720" t="str">
        <f t="shared" si="13"/>
        <v/>
      </c>
      <c r="Y40" s="721" t="str">
        <f t="shared" si="14"/>
        <v/>
      </c>
      <c r="Z40" s="721" t="str">
        <f t="shared" si="15"/>
        <v/>
      </c>
      <c r="AA40" s="719" t="str">
        <f t="shared" si="2"/>
        <v/>
      </c>
      <c r="AB40" s="762"/>
      <c r="AC40" s="717" t="str">
        <f t="shared" si="16"/>
        <v/>
      </c>
      <c r="AD40" s="718" t="str">
        <f t="shared" si="17"/>
        <v/>
      </c>
      <c r="AE40" s="719" t="str">
        <f t="shared" si="3"/>
        <v/>
      </c>
      <c r="AF40" s="726"/>
      <c r="AG40" s="727" t="str">
        <f t="shared" si="18"/>
        <v/>
      </c>
      <c r="AH40" s="703" t="str">
        <f t="shared" si="19"/>
        <v/>
      </c>
      <c r="AI40" s="1114">
        <f t="shared" si="20"/>
        <v>0</v>
      </c>
      <c r="AK40" s="791" t="str">
        <f t="shared" si="4"/>
        <v/>
      </c>
      <c r="AL40" s="791" t="str">
        <f t="shared" si="21"/>
        <v/>
      </c>
      <c r="AM40" s="707" t="str">
        <f>IF(OR(AK40="Fail",AK40="Fail LPA",AK40=""),"",IF(AL40&lt;&gt;"#1",VLOOKUP(C40,'9.4.3 Tables'!B$142:O$154,14,FALSE),"No NEW controls required"))</f>
        <v/>
      </c>
      <c r="AN40" s="703">
        <f t="shared" si="22"/>
        <v>0</v>
      </c>
      <c r="AQ40">
        <v>31</v>
      </c>
      <c r="AR40" s="15" t="str">
        <f t="shared" si="24"/>
        <v/>
      </c>
      <c r="AS40" s="700" t="str">
        <f ca="1">IF(INDIRECT("'Ext Tradable'!$B" &amp; AS$9)=$B40,INDIRECT("'Ext Tradable'!$" &amp; 'Ext Tradable'!$AS$23 &amp; AS$9),"")</f>
        <v/>
      </c>
      <c r="AT40" s="700" t="str">
        <f ca="1">IF(INDIRECT("'Ext Tradable'!$B" &amp; AT$9)=$B40,INDIRECT("'Ext Tradable'!$" &amp; 'Ext Tradable'!$AS$23 &amp; AT$9),"")</f>
        <v/>
      </c>
      <c r="AU40" s="700" t="str">
        <f ca="1">IF(INDIRECT("'Ext Tradable'!$B" &amp; AU$9)=$B40,INDIRECT("'Ext Tradable'!$" &amp; 'Ext Tradable'!$AS$23 &amp; AU$9),"")</f>
        <v/>
      </c>
      <c r="AV40" s="700" t="str">
        <f ca="1">IF(INDIRECT("'Ext Tradable'!$B" &amp; AV$9)=$B40,INDIRECT("'Ext Tradable'!$" &amp; 'Ext Tradable'!$AS$23 &amp; AV$9),"")</f>
        <v/>
      </c>
      <c r="AW40" s="700" t="str">
        <f ca="1">IF(INDIRECT("'Ext Tradable'!$B" &amp; AW$9)=$B40,INDIRECT("'Ext Tradable'!$" &amp; 'Ext Tradable'!$AS$23 &amp; AW$9),"")</f>
        <v/>
      </c>
      <c r="AX40" s="700" t="str">
        <f ca="1">IF(INDIRECT("'Ext Tradable'!$B" &amp; AX$9)=$B40,INDIRECT("'Ext Tradable'!$" &amp; 'Ext Tradable'!$AS$23 &amp; AX$9),"")</f>
        <v/>
      </c>
      <c r="AY40" s="700" t="str">
        <f ca="1">IF(INDIRECT("'Ext Tradable'!$B" &amp; AY$9)=$B40,INDIRECT("'Ext Tradable'!$" &amp; 'Ext Tradable'!$AS$23 &amp; AY$9),"")</f>
        <v/>
      </c>
      <c r="AZ40" s="700" t="str">
        <f ca="1">IF(INDIRECT("'Ext Tradable'!$B" &amp; AZ$9)=$B40,INDIRECT("'Ext Tradable'!$" &amp; 'Ext Tradable'!$AS$23 &amp; AZ$9),"")</f>
        <v/>
      </c>
      <c r="BA40" s="700" t="str">
        <f ca="1">IF(INDIRECT("'Ext Tradable'!$B" &amp; BA$9)=$B40,INDIRECT("'Ext Tradable'!$" &amp; 'Ext Tradable'!$AS$23 &amp; BA$9),"")</f>
        <v/>
      </c>
      <c r="BB40" s="700" t="str">
        <f ca="1">IF(INDIRECT("'Ext Tradable'!$B" &amp; BB$9)=$B40,INDIRECT("'Ext Tradable'!$" &amp; 'Ext Tradable'!$AS$23 &amp; BB$9),"")</f>
        <v/>
      </c>
      <c r="BC40" s="700" t="str">
        <f ca="1">IF(INDIRECT("'Ext Tradable'!$B" &amp; BC$9)=$B40,INDIRECT("'Ext Tradable'!$" &amp; 'Ext Tradable'!$AS$23 &amp; BC$9),"")</f>
        <v/>
      </c>
      <c r="BD40" s="700" t="str">
        <f ca="1">IF(INDIRECT("'Ext Tradable'!$B" &amp; BD$9)=$B40,INDIRECT("'Ext Tradable'!$" &amp; 'Ext Tradable'!$AS$23 &amp; BD$9),"")</f>
        <v/>
      </c>
      <c r="BE40" s="700" t="str">
        <f ca="1">IF(INDIRECT("'Ext Tradable'!$B" &amp; BE$9)=$B40,INDIRECT("'Ext Tradable'!$" &amp; 'Ext Tradable'!$AS$23 &amp; BE$9),"")</f>
        <v/>
      </c>
      <c r="BF40" s="700" t="str">
        <f ca="1">IF(INDIRECT("'Ext Tradable'!$B" &amp; BF$9)=$B40,INDIRECT("'Ext Tradable'!$" &amp; 'Ext Tradable'!$AS$23 &amp; BF$9),"")</f>
        <v/>
      </c>
      <c r="BG40" s="700" t="str">
        <f ca="1">IF(INDIRECT("'Ext Tradable'!$B" &amp; BG$9)=$B40,INDIRECT("'Ext Tradable'!$" &amp; 'Ext Tradable'!$AS$23 &amp; BG$9),"")</f>
        <v/>
      </c>
      <c r="BH40" s="700" t="str">
        <f ca="1">IF(INDIRECT("'Ext Tradable'!$B" &amp; BH$9)=$B40,INDIRECT("'Ext Tradable'!$" &amp; 'Ext Tradable'!$AS$23 &amp; BH$9),"")</f>
        <v/>
      </c>
      <c r="BI40" s="700" t="str">
        <f ca="1">IF(INDIRECT("'Ext Tradable'!$B" &amp; BI$9)=$B40,INDIRECT("'Ext Tradable'!$" &amp; 'Ext Tradable'!$AS$23 &amp; BI$9),"")</f>
        <v/>
      </c>
      <c r="BJ40" s="700" t="str">
        <f ca="1">IF(INDIRECT("'Ext Tradable'!$B" &amp; BJ$9)=$B40,INDIRECT("'Ext Tradable'!$" &amp; 'Ext Tradable'!$AS$23 &amp; BJ$9),"")</f>
        <v/>
      </c>
      <c r="BK40" s="700" t="str">
        <f ca="1">IF(INDIRECT("'Ext Tradable'!$B" &amp; BK$9)=$B40,INDIRECT("'Ext Tradable'!$" &amp; 'Ext Tradable'!$AS$23 &amp; BK$9),"")</f>
        <v/>
      </c>
      <c r="BL40" s="700" t="str">
        <f ca="1">IF(INDIRECT("'Ext Tradable'!$B" &amp; BL$9)=$B40,INDIRECT("'Ext Tradable'!$" &amp; 'Ext Tradable'!$AS$23 &amp; BL$9),"")</f>
        <v/>
      </c>
      <c r="BM40" s="700">
        <f ca="1">IF(INDIRECT("'Ext Tradable'!$B" &amp; BM$9)=$B40,INDIRECT("'Ext Tradable'!$" &amp; 'Ext Tradable'!$AS$23 &amp; BM$9),"")</f>
        <v>0</v>
      </c>
      <c r="BN40" s="700">
        <f ca="1">IF(INDIRECT("'Ext Tradable'!$B" &amp; BN$9)=$B40,INDIRECT("'Ext Tradable'!$" &amp; 'Ext Tradable'!$AS$23 &amp; BN$9),"")</f>
        <v>0</v>
      </c>
      <c r="BO40" s="700">
        <f ca="1">IF(INDIRECT("'Ext Tradable'!$B" &amp; BO$9)=$B40,INDIRECT("'Ext Tradable'!$" &amp; 'Ext Tradable'!$AS$23 &amp; BO$9),"")</f>
        <v>0</v>
      </c>
      <c r="BP40" s="700">
        <f ca="1">IF(INDIRECT("'Ext Tradable'!$B" &amp; BP$9)=$B40,INDIRECT("'Ext Tradable'!$" &amp; 'Ext Tradable'!$AS$23 &amp; BP$9),"")</f>
        <v>0</v>
      </c>
      <c r="BQ40" s="700">
        <f ca="1">IF(INDIRECT("'Ext Tradable'!$B" &amp; BQ$9)=$B40,INDIRECT("'Ext Tradable'!$" &amp; 'Ext Tradable'!$AS$23 &amp; BQ$9),"")</f>
        <v>0</v>
      </c>
      <c r="BR40" s="700">
        <f ca="1">IF(INDIRECT("'Ext Tradable'!$B" &amp; BR$9)=$B40,INDIRECT("'Ext Tradable'!$" &amp; 'Ext Tradable'!$AS$23 &amp; BR$9),"")</f>
        <v>0</v>
      </c>
      <c r="BS40" s="700">
        <f ca="1">IF(INDIRECT("'Ext Tradable'!$B" &amp; BS$9)=$B40,INDIRECT("'Ext Tradable'!$" &amp; 'Ext Tradable'!$AS$23 &amp; BS$9),"")</f>
        <v>0</v>
      </c>
      <c r="BT40" s="700">
        <f ca="1">IF(INDIRECT("'Ext Tradable'!$B" &amp; BT$9)=$B40,INDIRECT("'Ext Tradable'!$" &amp; 'Ext Tradable'!$AS$23 &amp; BT$9),"")</f>
        <v>0</v>
      </c>
      <c r="BU40" s="700">
        <f ca="1">IF(INDIRECT("'Ext Tradable'!$B" &amp; BU$9)=$B40,INDIRECT("'Ext Tradable'!$" &amp; 'Ext Tradable'!$AS$23 &amp; BU$9),"")</f>
        <v>0</v>
      </c>
      <c r="BV40" s="700">
        <f ca="1">IF(INDIRECT("'Ext Tradable'!$B" &amp; BV$9)=$B40,INDIRECT("'Ext Tradable'!$" &amp; 'Ext Tradable'!$AS$23 &amp; BV$9),"")</f>
        <v>0</v>
      </c>
      <c r="BW40" s="700">
        <f ca="1">IF(INDIRECT("'Ext Tradable'!$B" &amp; BW$9)=$B40,INDIRECT("'Ext Tradable'!$" &amp; 'Ext Tradable'!$AS$23 &amp; BW$9),"")</f>
        <v>0</v>
      </c>
      <c r="BX40" s="700">
        <f ca="1">IF(INDIRECT("'Ext Tradable'!$B" &amp; BX$9)=$B40,INDIRECT("'Ext Tradable'!$" &amp; 'Ext Tradable'!$AS$23 &amp; BX$9),"")</f>
        <v>0</v>
      </c>
      <c r="BY40" s="700">
        <f ca="1">IF(INDIRECT("'Ext Tradable'!$B" &amp; BY$9)=$B40,INDIRECT("'Ext Tradable'!$" &amp; 'Ext Tradable'!$AS$23 &amp; BY$9),"")</f>
        <v>0</v>
      </c>
      <c r="BZ40" s="700">
        <f ca="1">IF(INDIRECT("'Ext Tradable'!$B" &amp; BZ$9)=$B40,INDIRECT("'Ext Tradable'!$" &amp; 'Ext Tradable'!$AS$23 &amp; BZ$9),"")</f>
        <v>0</v>
      </c>
      <c r="CA40" s="700">
        <f ca="1">IF(INDIRECT("'Ext Tradable'!$B" &amp; CA$9)=$B40,INDIRECT("'Ext Tradable'!$" &amp; 'Ext Tradable'!$AS$23 &amp; CA$9),"")</f>
        <v>0</v>
      </c>
      <c r="CB40" s="700">
        <f ca="1">IF(INDIRECT("'Ext Tradable'!$B" &amp; CB$9)=$B40,INDIRECT("'Ext Tradable'!$" &amp; 'Ext Tradable'!$AS$23 &amp; CB$9),"")</f>
        <v>0</v>
      </c>
      <c r="CC40" s="700">
        <f ca="1">IF(INDIRECT("'Ext Tradable'!$B" &amp; CC$9)=$B40,INDIRECT("'Ext Tradable'!$" &amp; 'Ext Tradable'!$AS$23 &amp; CC$9),"")</f>
        <v>0</v>
      </c>
      <c r="CD40" s="700">
        <f ca="1">IF(INDIRECT("'Ext Tradable'!$B" &amp; CD$9)=$B40,INDIRECT("'Ext Tradable'!$" &amp; 'Ext Tradable'!$AS$23 &amp; CD$9),"")</f>
        <v>0</v>
      </c>
      <c r="CE40" s="700">
        <f ca="1">IF(INDIRECT("'Ext Tradable'!$B" &amp; CE$9)=$B40,INDIRECT("'Ext Tradable'!$" &amp; 'Ext Tradable'!$AS$23 &amp; CE$9),"")</f>
        <v>0</v>
      </c>
      <c r="CF40" s="700">
        <f ca="1">IF(INDIRECT("'Ext Tradable'!$B" &amp; CF$9)=$B40,INDIRECT("'Ext Tradable'!$" &amp; 'Ext Tradable'!$AS$23 &amp; CF$9),"")</f>
        <v>0</v>
      </c>
      <c r="CG40" s="700">
        <f ca="1">IF(INDIRECT("'Ext Tradable'!$B" &amp; CG$9)=$B40,INDIRECT("'Ext Tradable'!$" &amp; 'Ext Tradable'!$AS$23 &amp; CG$9),"")</f>
        <v>0</v>
      </c>
      <c r="CH40" s="700">
        <f ca="1">IF(INDIRECT("'Ext Tradable'!$B" &amp; CH$9)=$B40,INDIRECT("'Ext Tradable'!$" &amp; 'Ext Tradable'!$AS$23 &amp; CH$9),"")</f>
        <v>0</v>
      </c>
      <c r="CI40" s="700">
        <f ca="1">IF(INDIRECT("'Ext Tradable'!$B" &amp; CI$9)=$B40,INDIRECT("'Ext Tradable'!$" &amp; 'Ext Tradable'!$AS$23 &amp; CI$9),"")</f>
        <v>0</v>
      </c>
      <c r="CJ40" s="700">
        <f ca="1">IF(INDIRECT("'Ext Tradable'!$B" &amp; CJ$9)=$B40,INDIRECT("'Ext Tradable'!$" &amp; 'Ext Tradable'!$AS$23 &amp; CJ$9),"")</f>
        <v>0</v>
      </c>
      <c r="CK40" s="700">
        <f ca="1">IF(INDIRECT("'Ext Tradable'!$B" &amp; CK$9)=$B40,INDIRECT("'Ext Tradable'!$" &amp; 'Ext Tradable'!$AS$23 &amp; CK$9),"")</f>
        <v>0</v>
      </c>
      <c r="CL40" s="700">
        <f ca="1">IF(INDIRECT("'Ext Tradable'!$B" &amp; CL$9)=$B40,INDIRECT("'Ext Tradable'!$" &amp; 'Ext Tradable'!$AS$23 &amp; CL$9),"")</f>
        <v>0</v>
      </c>
      <c r="CM40" s="700">
        <f ca="1">IF(INDIRECT("'Ext Tradable'!$B" &amp; CM$9)=$B40,INDIRECT("'Ext Tradable'!$" &amp; 'Ext Tradable'!$AS$23 &amp; CM$9),"")</f>
        <v>0</v>
      </c>
      <c r="CN40" s="700">
        <f ca="1">IF(INDIRECT("'Ext Tradable'!$B" &amp; CN$9)=$B40,INDIRECT("'Ext Tradable'!$" &amp; 'Ext Tradable'!$AS$23 &amp; CN$9),"")</f>
        <v>0</v>
      </c>
      <c r="CO40" s="700">
        <f ca="1">IF(INDIRECT("'Ext Tradable'!$B" &amp; CO$9)=$B40,INDIRECT("'Ext Tradable'!$" &amp; 'Ext Tradable'!$AS$23 &amp; CO$9),"")</f>
        <v>0</v>
      </c>
      <c r="CP40" s="700">
        <f ca="1">IF(INDIRECT("'Ext Tradable'!$B" &amp; CP$9)=$B40,INDIRECT("'Ext Tradable'!$" &amp; 'Ext Tradable'!$AS$23 &amp; CP$9),"")</f>
        <v>0</v>
      </c>
      <c r="CQ40" s="702" t="str">
        <f t="shared" ca="1" si="25"/>
        <v>000000000000000000000000000000</v>
      </c>
    </row>
    <row r="41" spans="1:95" ht="60" customHeight="1" x14ac:dyDescent="0.25">
      <c r="A41" s="705">
        <v>32</v>
      </c>
      <c r="B41" s="707" t="str">
        <f>'Ext Area Schedule'!Y47</f>
        <v/>
      </c>
      <c r="C41" s="707" t="str">
        <f>VLOOKUP($B41,'Ext Area Schedule'!$Y$16:$AE$65,3,FALSE)</f>
        <v/>
      </c>
      <c r="D41" s="792" t="str">
        <f>VLOOKUP($B41,'Ext Area Schedule'!$Y$16:$AE$65,4,FALSE)</f>
        <v/>
      </c>
      <c r="F41" s="792" t="str">
        <f>VLOOKUP($B41,'Ext Area Schedule'!$Y$16:$AE$65,5,FALSE)</f>
        <v/>
      </c>
      <c r="G41" s="792" t="str">
        <f>VLOOKUP($B41,'Ext Area Schedule'!$Y$16:$AE$65,7,FALSE)</f>
        <v/>
      </c>
      <c r="I41" s="703">
        <f t="shared" si="6"/>
        <v>0</v>
      </c>
      <c r="K41" s="703" t="str">
        <f>IF($B41="","",SUMIFS('Ext Tradable'!$M$26:$M$45,'Ext Tradable'!$B$26:$B$45,$B41,'Ext Tradable'!$O$26:$O$45,"New"))</f>
        <v/>
      </c>
      <c r="L41" s="703" t="str">
        <f>IF($B41="","",SUMIFS('Ext Tradable'!$M$26:$M$45,'Ext Tradable'!$B$26:$B$45,$B41,'Ext Tradable'!$O$26:$O$45,""))</f>
        <v/>
      </c>
      <c r="M41" s="703" t="str">
        <f>IF($B41="","",SUMIFS('Ext Tradable'!$K$26:$K$45,'Ext Tradable'!$B$26:$B$45,$B41,'Ext Tradable'!$O$26:$O$45,"New")+SUMIFS('Ext Tradable'!$K$26:$K$45,'Ext Tradable'!$B$26:$B$45,$B41,'Ext Tradable'!$O$26:$O$45,""))</f>
        <v/>
      </c>
      <c r="N41" s="703" t="str">
        <f>IF($B41="","",SUMIFS('Ext Tradable'!$M$26:$M$45,'Ext Tradable'!$B$26:$B$45,$B41,'Ext Tradable'!$O$26:$O$45,"Existing Remains"))</f>
        <v/>
      </c>
      <c r="O41" s="703" t="str">
        <f>IF($B41="","",SUMIFS('Ext Tradable'!$M$26:$M$45,'Ext Tradable'!$B$26:$B$45,$B41,'Ext Tradable'!$O$26:$O$45,"Existing Removed"))</f>
        <v/>
      </c>
      <c r="P41" s="703" t="str">
        <f>IF($B41="","",SUMIFS('Ext Tradable'!$K$26:$K$45,'Ext Tradable'!$B$26:$B$45,$B41,'Ext Tradable'!$O$26:$O$45,"Existing Removed"))</f>
        <v/>
      </c>
      <c r="Q41" s="703" t="str">
        <f t="shared" si="7"/>
        <v/>
      </c>
      <c r="R41" s="703" t="str">
        <f t="shared" si="8"/>
        <v/>
      </c>
      <c r="S41" s="1123" t="str">
        <f t="shared" si="9"/>
        <v/>
      </c>
      <c r="T41" s="1128" t="str">
        <f t="shared" si="23"/>
        <v/>
      </c>
      <c r="U41" s="711" t="str">
        <f t="shared" si="11"/>
        <v/>
      </c>
      <c r="V41" s="712" t="str">
        <f t="shared" si="12"/>
        <v/>
      </c>
      <c r="W41" s="762"/>
      <c r="X41" s="720" t="str">
        <f t="shared" si="13"/>
        <v/>
      </c>
      <c r="Y41" s="721" t="str">
        <f t="shared" si="14"/>
        <v/>
      </c>
      <c r="Z41" s="721" t="str">
        <f t="shared" si="15"/>
        <v/>
      </c>
      <c r="AA41" s="719" t="str">
        <f t="shared" si="2"/>
        <v/>
      </c>
      <c r="AB41" s="762"/>
      <c r="AC41" s="717" t="str">
        <f t="shared" si="16"/>
        <v/>
      </c>
      <c r="AD41" s="718" t="str">
        <f t="shared" si="17"/>
        <v/>
      </c>
      <c r="AE41" s="719" t="str">
        <f t="shared" si="3"/>
        <v/>
      </c>
      <c r="AF41" s="726"/>
      <c r="AG41" s="727" t="str">
        <f t="shared" si="18"/>
        <v/>
      </c>
      <c r="AH41" s="703" t="str">
        <f t="shared" si="19"/>
        <v/>
      </c>
      <c r="AI41" s="1114">
        <f t="shared" si="20"/>
        <v>0</v>
      </c>
      <c r="AK41" s="791" t="str">
        <f t="shared" si="4"/>
        <v/>
      </c>
      <c r="AL41" s="791" t="str">
        <f t="shared" si="21"/>
        <v/>
      </c>
      <c r="AM41" s="707" t="str">
        <f>IF(OR(AK41="Fail",AK41="Fail LPA",AK41=""),"",IF(AL41&lt;&gt;"#1",VLOOKUP(C41,'9.4.3 Tables'!B$142:O$154,14,FALSE),"No NEW controls required"))</f>
        <v/>
      </c>
      <c r="AN41" s="703">
        <f t="shared" si="22"/>
        <v>0</v>
      </c>
      <c r="AQ41">
        <v>32</v>
      </c>
      <c r="AR41" s="15" t="str">
        <f t="shared" si="24"/>
        <v/>
      </c>
      <c r="AS41" s="700" t="str">
        <f ca="1">IF(INDIRECT("'Ext Tradable'!$B" &amp; AS$9)=$B41,INDIRECT("'Ext Tradable'!$" &amp; 'Ext Tradable'!$AS$23 &amp; AS$9),"")</f>
        <v/>
      </c>
      <c r="AT41" s="700" t="str">
        <f ca="1">IF(INDIRECT("'Ext Tradable'!$B" &amp; AT$9)=$B41,INDIRECT("'Ext Tradable'!$" &amp; 'Ext Tradable'!$AS$23 &amp; AT$9),"")</f>
        <v/>
      </c>
      <c r="AU41" s="700" t="str">
        <f ca="1">IF(INDIRECT("'Ext Tradable'!$B" &amp; AU$9)=$B41,INDIRECT("'Ext Tradable'!$" &amp; 'Ext Tradable'!$AS$23 &amp; AU$9),"")</f>
        <v/>
      </c>
      <c r="AV41" s="700" t="str">
        <f ca="1">IF(INDIRECT("'Ext Tradable'!$B" &amp; AV$9)=$B41,INDIRECT("'Ext Tradable'!$" &amp; 'Ext Tradable'!$AS$23 &amp; AV$9),"")</f>
        <v/>
      </c>
      <c r="AW41" s="700" t="str">
        <f ca="1">IF(INDIRECT("'Ext Tradable'!$B" &amp; AW$9)=$B41,INDIRECT("'Ext Tradable'!$" &amp; 'Ext Tradable'!$AS$23 &amp; AW$9),"")</f>
        <v/>
      </c>
      <c r="AX41" s="700" t="str">
        <f ca="1">IF(INDIRECT("'Ext Tradable'!$B" &amp; AX$9)=$B41,INDIRECT("'Ext Tradable'!$" &amp; 'Ext Tradable'!$AS$23 &amp; AX$9),"")</f>
        <v/>
      </c>
      <c r="AY41" s="700" t="str">
        <f ca="1">IF(INDIRECT("'Ext Tradable'!$B" &amp; AY$9)=$B41,INDIRECT("'Ext Tradable'!$" &amp; 'Ext Tradable'!$AS$23 &amp; AY$9),"")</f>
        <v/>
      </c>
      <c r="AZ41" s="700" t="str">
        <f ca="1">IF(INDIRECT("'Ext Tradable'!$B" &amp; AZ$9)=$B41,INDIRECT("'Ext Tradable'!$" &amp; 'Ext Tradable'!$AS$23 &amp; AZ$9),"")</f>
        <v/>
      </c>
      <c r="BA41" s="700" t="str">
        <f ca="1">IF(INDIRECT("'Ext Tradable'!$B" &amp; BA$9)=$B41,INDIRECT("'Ext Tradable'!$" &amp; 'Ext Tradable'!$AS$23 &amp; BA$9),"")</f>
        <v/>
      </c>
      <c r="BB41" s="700" t="str">
        <f ca="1">IF(INDIRECT("'Ext Tradable'!$B" &amp; BB$9)=$B41,INDIRECT("'Ext Tradable'!$" &amp; 'Ext Tradable'!$AS$23 &amp; BB$9),"")</f>
        <v/>
      </c>
      <c r="BC41" s="700" t="str">
        <f ca="1">IF(INDIRECT("'Ext Tradable'!$B" &amp; BC$9)=$B41,INDIRECT("'Ext Tradable'!$" &amp; 'Ext Tradable'!$AS$23 &amp; BC$9),"")</f>
        <v/>
      </c>
      <c r="BD41" s="700" t="str">
        <f ca="1">IF(INDIRECT("'Ext Tradable'!$B" &amp; BD$9)=$B41,INDIRECT("'Ext Tradable'!$" &amp; 'Ext Tradable'!$AS$23 &amp; BD$9),"")</f>
        <v/>
      </c>
      <c r="BE41" s="700" t="str">
        <f ca="1">IF(INDIRECT("'Ext Tradable'!$B" &amp; BE$9)=$B41,INDIRECT("'Ext Tradable'!$" &amp; 'Ext Tradable'!$AS$23 &amp; BE$9),"")</f>
        <v/>
      </c>
      <c r="BF41" s="700" t="str">
        <f ca="1">IF(INDIRECT("'Ext Tradable'!$B" &amp; BF$9)=$B41,INDIRECT("'Ext Tradable'!$" &amp; 'Ext Tradable'!$AS$23 &amp; BF$9),"")</f>
        <v/>
      </c>
      <c r="BG41" s="700" t="str">
        <f ca="1">IF(INDIRECT("'Ext Tradable'!$B" &amp; BG$9)=$B41,INDIRECT("'Ext Tradable'!$" &amp; 'Ext Tradable'!$AS$23 &amp; BG$9),"")</f>
        <v/>
      </c>
      <c r="BH41" s="700" t="str">
        <f ca="1">IF(INDIRECT("'Ext Tradable'!$B" &amp; BH$9)=$B41,INDIRECT("'Ext Tradable'!$" &amp; 'Ext Tradable'!$AS$23 &amp; BH$9),"")</f>
        <v/>
      </c>
      <c r="BI41" s="700" t="str">
        <f ca="1">IF(INDIRECT("'Ext Tradable'!$B" &amp; BI$9)=$B41,INDIRECT("'Ext Tradable'!$" &amp; 'Ext Tradable'!$AS$23 &amp; BI$9),"")</f>
        <v/>
      </c>
      <c r="BJ41" s="700" t="str">
        <f ca="1">IF(INDIRECT("'Ext Tradable'!$B" &amp; BJ$9)=$B41,INDIRECT("'Ext Tradable'!$" &amp; 'Ext Tradable'!$AS$23 &amp; BJ$9),"")</f>
        <v/>
      </c>
      <c r="BK41" s="700" t="str">
        <f ca="1">IF(INDIRECT("'Ext Tradable'!$B" &amp; BK$9)=$B41,INDIRECT("'Ext Tradable'!$" &amp; 'Ext Tradable'!$AS$23 &amp; BK$9),"")</f>
        <v/>
      </c>
      <c r="BL41" s="700" t="str">
        <f ca="1">IF(INDIRECT("'Ext Tradable'!$B" &amp; BL$9)=$B41,INDIRECT("'Ext Tradable'!$" &amp; 'Ext Tradable'!$AS$23 &amp; BL$9),"")</f>
        <v/>
      </c>
      <c r="BM41" s="700">
        <f ca="1">IF(INDIRECT("'Ext Tradable'!$B" &amp; BM$9)=$B41,INDIRECT("'Ext Tradable'!$" &amp; 'Ext Tradable'!$AS$23 &amp; BM$9),"")</f>
        <v>0</v>
      </c>
      <c r="BN41" s="700">
        <f ca="1">IF(INDIRECT("'Ext Tradable'!$B" &amp; BN$9)=$B41,INDIRECT("'Ext Tradable'!$" &amp; 'Ext Tradable'!$AS$23 &amp; BN$9),"")</f>
        <v>0</v>
      </c>
      <c r="BO41" s="700">
        <f ca="1">IF(INDIRECT("'Ext Tradable'!$B" &amp; BO$9)=$B41,INDIRECT("'Ext Tradable'!$" &amp; 'Ext Tradable'!$AS$23 &amp; BO$9),"")</f>
        <v>0</v>
      </c>
      <c r="BP41" s="700">
        <f ca="1">IF(INDIRECT("'Ext Tradable'!$B" &amp; BP$9)=$B41,INDIRECT("'Ext Tradable'!$" &amp; 'Ext Tradable'!$AS$23 &amp; BP$9),"")</f>
        <v>0</v>
      </c>
      <c r="BQ41" s="700">
        <f ca="1">IF(INDIRECT("'Ext Tradable'!$B" &amp; BQ$9)=$B41,INDIRECT("'Ext Tradable'!$" &amp; 'Ext Tradable'!$AS$23 &amp; BQ$9),"")</f>
        <v>0</v>
      </c>
      <c r="BR41" s="700">
        <f ca="1">IF(INDIRECT("'Ext Tradable'!$B" &amp; BR$9)=$B41,INDIRECT("'Ext Tradable'!$" &amp; 'Ext Tradable'!$AS$23 &amp; BR$9),"")</f>
        <v>0</v>
      </c>
      <c r="BS41" s="700">
        <f ca="1">IF(INDIRECT("'Ext Tradable'!$B" &amp; BS$9)=$B41,INDIRECT("'Ext Tradable'!$" &amp; 'Ext Tradable'!$AS$23 &amp; BS$9),"")</f>
        <v>0</v>
      </c>
      <c r="BT41" s="700">
        <f ca="1">IF(INDIRECT("'Ext Tradable'!$B" &amp; BT$9)=$B41,INDIRECT("'Ext Tradable'!$" &amp; 'Ext Tradable'!$AS$23 &amp; BT$9),"")</f>
        <v>0</v>
      </c>
      <c r="BU41" s="700">
        <f ca="1">IF(INDIRECT("'Ext Tradable'!$B" &amp; BU$9)=$B41,INDIRECT("'Ext Tradable'!$" &amp; 'Ext Tradable'!$AS$23 &amp; BU$9),"")</f>
        <v>0</v>
      </c>
      <c r="BV41" s="700">
        <f ca="1">IF(INDIRECT("'Ext Tradable'!$B" &amp; BV$9)=$B41,INDIRECT("'Ext Tradable'!$" &amp; 'Ext Tradable'!$AS$23 &amp; BV$9),"")</f>
        <v>0</v>
      </c>
      <c r="BW41" s="700">
        <f ca="1">IF(INDIRECT("'Ext Tradable'!$B" &amp; BW$9)=$B41,INDIRECT("'Ext Tradable'!$" &amp; 'Ext Tradable'!$AS$23 &amp; BW$9),"")</f>
        <v>0</v>
      </c>
      <c r="BX41" s="700">
        <f ca="1">IF(INDIRECT("'Ext Tradable'!$B" &amp; BX$9)=$B41,INDIRECT("'Ext Tradable'!$" &amp; 'Ext Tradable'!$AS$23 &amp; BX$9),"")</f>
        <v>0</v>
      </c>
      <c r="BY41" s="700">
        <f ca="1">IF(INDIRECT("'Ext Tradable'!$B" &amp; BY$9)=$B41,INDIRECT("'Ext Tradable'!$" &amp; 'Ext Tradable'!$AS$23 &amp; BY$9),"")</f>
        <v>0</v>
      </c>
      <c r="BZ41" s="700">
        <f ca="1">IF(INDIRECT("'Ext Tradable'!$B" &amp; BZ$9)=$B41,INDIRECT("'Ext Tradable'!$" &amp; 'Ext Tradable'!$AS$23 &amp; BZ$9),"")</f>
        <v>0</v>
      </c>
      <c r="CA41" s="700">
        <f ca="1">IF(INDIRECT("'Ext Tradable'!$B" &amp; CA$9)=$B41,INDIRECT("'Ext Tradable'!$" &amp; 'Ext Tradable'!$AS$23 &amp; CA$9),"")</f>
        <v>0</v>
      </c>
      <c r="CB41" s="700">
        <f ca="1">IF(INDIRECT("'Ext Tradable'!$B" &amp; CB$9)=$B41,INDIRECT("'Ext Tradable'!$" &amp; 'Ext Tradable'!$AS$23 &amp; CB$9),"")</f>
        <v>0</v>
      </c>
      <c r="CC41" s="700">
        <f ca="1">IF(INDIRECT("'Ext Tradable'!$B" &amp; CC$9)=$B41,INDIRECT("'Ext Tradable'!$" &amp; 'Ext Tradable'!$AS$23 &amp; CC$9),"")</f>
        <v>0</v>
      </c>
      <c r="CD41" s="700">
        <f ca="1">IF(INDIRECT("'Ext Tradable'!$B" &amp; CD$9)=$B41,INDIRECT("'Ext Tradable'!$" &amp; 'Ext Tradable'!$AS$23 &amp; CD$9),"")</f>
        <v>0</v>
      </c>
      <c r="CE41" s="700">
        <f ca="1">IF(INDIRECT("'Ext Tradable'!$B" &amp; CE$9)=$B41,INDIRECT("'Ext Tradable'!$" &amp; 'Ext Tradable'!$AS$23 &amp; CE$9),"")</f>
        <v>0</v>
      </c>
      <c r="CF41" s="700">
        <f ca="1">IF(INDIRECT("'Ext Tradable'!$B" &amp; CF$9)=$B41,INDIRECT("'Ext Tradable'!$" &amp; 'Ext Tradable'!$AS$23 &amp; CF$9),"")</f>
        <v>0</v>
      </c>
      <c r="CG41" s="700">
        <f ca="1">IF(INDIRECT("'Ext Tradable'!$B" &amp; CG$9)=$B41,INDIRECT("'Ext Tradable'!$" &amp; 'Ext Tradable'!$AS$23 &amp; CG$9),"")</f>
        <v>0</v>
      </c>
      <c r="CH41" s="700">
        <f ca="1">IF(INDIRECT("'Ext Tradable'!$B" &amp; CH$9)=$B41,INDIRECT("'Ext Tradable'!$" &amp; 'Ext Tradable'!$AS$23 &amp; CH$9),"")</f>
        <v>0</v>
      </c>
      <c r="CI41" s="700">
        <f ca="1">IF(INDIRECT("'Ext Tradable'!$B" &amp; CI$9)=$B41,INDIRECT("'Ext Tradable'!$" &amp; 'Ext Tradable'!$AS$23 &amp; CI$9),"")</f>
        <v>0</v>
      </c>
      <c r="CJ41" s="700">
        <f ca="1">IF(INDIRECT("'Ext Tradable'!$B" &amp; CJ$9)=$B41,INDIRECT("'Ext Tradable'!$" &amp; 'Ext Tradable'!$AS$23 &amp; CJ$9),"")</f>
        <v>0</v>
      </c>
      <c r="CK41" s="700">
        <f ca="1">IF(INDIRECT("'Ext Tradable'!$B" &amp; CK$9)=$B41,INDIRECT("'Ext Tradable'!$" &amp; 'Ext Tradable'!$AS$23 &amp; CK$9),"")</f>
        <v>0</v>
      </c>
      <c r="CL41" s="700">
        <f ca="1">IF(INDIRECT("'Ext Tradable'!$B" &amp; CL$9)=$B41,INDIRECT("'Ext Tradable'!$" &amp; 'Ext Tradable'!$AS$23 &amp; CL$9),"")</f>
        <v>0</v>
      </c>
      <c r="CM41" s="700">
        <f ca="1">IF(INDIRECT("'Ext Tradable'!$B" &amp; CM$9)=$B41,INDIRECT("'Ext Tradable'!$" &amp; 'Ext Tradable'!$AS$23 &amp; CM$9),"")</f>
        <v>0</v>
      </c>
      <c r="CN41" s="700">
        <f ca="1">IF(INDIRECT("'Ext Tradable'!$B" &amp; CN$9)=$B41,INDIRECT("'Ext Tradable'!$" &amp; 'Ext Tradable'!$AS$23 &amp; CN$9),"")</f>
        <v>0</v>
      </c>
      <c r="CO41" s="700">
        <f ca="1">IF(INDIRECT("'Ext Tradable'!$B" &amp; CO$9)=$B41,INDIRECT("'Ext Tradable'!$" &amp; 'Ext Tradable'!$AS$23 &amp; CO$9),"")</f>
        <v>0</v>
      </c>
      <c r="CP41" s="700">
        <f ca="1">IF(INDIRECT("'Ext Tradable'!$B" &amp; CP$9)=$B41,INDIRECT("'Ext Tradable'!$" &amp; 'Ext Tradable'!$AS$23 &amp; CP$9),"")</f>
        <v>0</v>
      </c>
      <c r="CQ41" s="702" t="str">
        <f t="shared" ca="1" si="25"/>
        <v>000000000000000000000000000000</v>
      </c>
    </row>
    <row r="42" spans="1:95" ht="60" customHeight="1" x14ac:dyDescent="0.25">
      <c r="A42" s="705">
        <v>33</v>
      </c>
      <c r="B42" s="707" t="str">
        <f>'Ext Area Schedule'!Y48</f>
        <v/>
      </c>
      <c r="C42" s="707" t="str">
        <f>VLOOKUP($B42,'Ext Area Schedule'!$Y$16:$AE$65,3,FALSE)</f>
        <v/>
      </c>
      <c r="D42" s="792" t="str">
        <f>VLOOKUP($B42,'Ext Area Schedule'!$Y$16:$AE$65,4,FALSE)</f>
        <v/>
      </c>
      <c r="F42" s="792" t="str">
        <f>VLOOKUP($B42,'Ext Area Schedule'!$Y$16:$AE$65,5,FALSE)</f>
        <v/>
      </c>
      <c r="G42" s="792" t="str">
        <f>VLOOKUP($B42,'Ext Area Schedule'!$Y$16:$AE$65,7,FALSE)</f>
        <v/>
      </c>
      <c r="I42" s="703">
        <f t="shared" si="6"/>
        <v>0</v>
      </c>
      <c r="K42" s="703" t="str">
        <f>IF($B42="","",SUMIFS('Ext Tradable'!$M$26:$M$45,'Ext Tradable'!$B$26:$B$45,$B42,'Ext Tradable'!$O$26:$O$45,"New"))</f>
        <v/>
      </c>
      <c r="L42" s="703" t="str">
        <f>IF($B42="","",SUMIFS('Ext Tradable'!$M$26:$M$45,'Ext Tradable'!$B$26:$B$45,$B42,'Ext Tradable'!$O$26:$O$45,""))</f>
        <v/>
      </c>
      <c r="M42" s="703" t="str">
        <f>IF($B42="","",SUMIFS('Ext Tradable'!$K$26:$K$45,'Ext Tradable'!$B$26:$B$45,$B42,'Ext Tradable'!$O$26:$O$45,"New")+SUMIFS('Ext Tradable'!$K$26:$K$45,'Ext Tradable'!$B$26:$B$45,$B42,'Ext Tradable'!$O$26:$O$45,""))</f>
        <v/>
      </c>
      <c r="N42" s="703" t="str">
        <f>IF($B42="","",SUMIFS('Ext Tradable'!$M$26:$M$45,'Ext Tradable'!$B$26:$B$45,$B42,'Ext Tradable'!$O$26:$O$45,"Existing Remains"))</f>
        <v/>
      </c>
      <c r="O42" s="703" t="str">
        <f>IF($B42="","",SUMIFS('Ext Tradable'!$M$26:$M$45,'Ext Tradable'!$B$26:$B$45,$B42,'Ext Tradable'!$O$26:$O$45,"Existing Removed"))</f>
        <v/>
      </c>
      <c r="P42" s="703" t="str">
        <f>IF($B42="","",SUMIFS('Ext Tradable'!$K$26:$K$45,'Ext Tradable'!$B$26:$B$45,$B42,'Ext Tradable'!$O$26:$O$45,"Existing Removed"))</f>
        <v/>
      </c>
      <c r="Q42" s="703" t="str">
        <f t="shared" si="7"/>
        <v/>
      </c>
      <c r="R42" s="703" t="str">
        <f t="shared" si="8"/>
        <v/>
      </c>
      <c r="S42" s="1123" t="str">
        <f t="shared" si="9"/>
        <v/>
      </c>
      <c r="T42" s="1128" t="str">
        <f t="shared" si="23"/>
        <v/>
      </c>
      <c r="U42" s="711" t="str">
        <f t="shared" si="11"/>
        <v/>
      </c>
      <c r="V42" s="712" t="str">
        <f t="shared" si="12"/>
        <v/>
      </c>
      <c r="W42" s="762"/>
      <c r="X42" s="720" t="str">
        <f t="shared" si="13"/>
        <v/>
      </c>
      <c r="Y42" s="721" t="str">
        <f t="shared" si="14"/>
        <v/>
      </c>
      <c r="Z42" s="721" t="str">
        <f t="shared" si="15"/>
        <v/>
      </c>
      <c r="AA42" s="719" t="str">
        <f t="shared" si="2"/>
        <v/>
      </c>
      <c r="AB42" s="762"/>
      <c r="AC42" s="717" t="str">
        <f t="shared" si="16"/>
        <v/>
      </c>
      <c r="AD42" s="718" t="str">
        <f t="shared" si="17"/>
        <v/>
      </c>
      <c r="AE42" s="719" t="str">
        <f t="shared" si="3"/>
        <v/>
      </c>
      <c r="AF42" s="726"/>
      <c r="AG42" s="727" t="str">
        <f t="shared" si="18"/>
        <v/>
      </c>
      <c r="AH42" s="703" t="str">
        <f t="shared" si="19"/>
        <v/>
      </c>
      <c r="AI42" s="1114">
        <f t="shared" si="20"/>
        <v>0</v>
      </c>
      <c r="AK42" s="791" t="str">
        <f t="shared" si="4"/>
        <v/>
      </c>
      <c r="AL42" s="791" t="str">
        <f t="shared" si="21"/>
        <v/>
      </c>
      <c r="AM42" s="707" t="str">
        <f>IF(OR(AK42="Fail",AK42="Fail LPA",AK42=""),"",IF(AL42&lt;&gt;"#1",VLOOKUP(C42,'9.4.3 Tables'!B$142:O$154,14,FALSE),"No NEW controls required"))</f>
        <v/>
      </c>
      <c r="AN42" s="703">
        <f t="shared" si="22"/>
        <v>0</v>
      </c>
      <c r="AQ42">
        <v>33</v>
      </c>
      <c r="AR42" s="15" t="str">
        <f t="shared" si="24"/>
        <v/>
      </c>
      <c r="AS42" s="700" t="str">
        <f ca="1">IF(INDIRECT("'Ext Tradable'!$B" &amp; AS$9)=$B42,INDIRECT("'Ext Tradable'!$" &amp; 'Ext Tradable'!$AS$23 &amp; AS$9),"")</f>
        <v/>
      </c>
      <c r="AT42" s="700" t="str">
        <f ca="1">IF(INDIRECT("'Ext Tradable'!$B" &amp; AT$9)=$B42,INDIRECT("'Ext Tradable'!$" &amp; 'Ext Tradable'!$AS$23 &amp; AT$9),"")</f>
        <v/>
      </c>
      <c r="AU42" s="700" t="str">
        <f ca="1">IF(INDIRECT("'Ext Tradable'!$B" &amp; AU$9)=$B42,INDIRECT("'Ext Tradable'!$" &amp; 'Ext Tradable'!$AS$23 &amp; AU$9),"")</f>
        <v/>
      </c>
      <c r="AV42" s="700" t="str">
        <f ca="1">IF(INDIRECT("'Ext Tradable'!$B" &amp; AV$9)=$B42,INDIRECT("'Ext Tradable'!$" &amp; 'Ext Tradable'!$AS$23 &amp; AV$9),"")</f>
        <v/>
      </c>
      <c r="AW42" s="700" t="str">
        <f ca="1">IF(INDIRECT("'Ext Tradable'!$B" &amp; AW$9)=$B42,INDIRECT("'Ext Tradable'!$" &amp; 'Ext Tradable'!$AS$23 &amp; AW$9),"")</f>
        <v/>
      </c>
      <c r="AX42" s="700" t="str">
        <f ca="1">IF(INDIRECT("'Ext Tradable'!$B" &amp; AX$9)=$B42,INDIRECT("'Ext Tradable'!$" &amp; 'Ext Tradable'!$AS$23 &amp; AX$9),"")</f>
        <v/>
      </c>
      <c r="AY42" s="700" t="str">
        <f ca="1">IF(INDIRECT("'Ext Tradable'!$B" &amp; AY$9)=$B42,INDIRECT("'Ext Tradable'!$" &amp; 'Ext Tradable'!$AS$23 &amp; AY$9),"")</f>
        <v/>
      </c>
      <c r="AZ42" s="700" t="str">
        <f ca="1">IF(INDIRECT("'Ext Tradable'!$B" &amp; AZ$9)=$B42,INDIRECT("'Ext Tradable'!$" &amp; 'Ext Tradable'!$AS$23 &amp; AZ$9),"")</f>
        <v/>
      </c>
      <c r="BA42" s="700" t="str">
        <f ca="1">IF(INDIRECT("'Ext Tradable'!$B" &amp; BA$9)=$B42,INDIRECT("'Ext Tradable'!$" &amp; 'Ext Tradable'!$AS$23 &amp; BA$9),"")</f>
        <v/>
      </c>
      <c r="BB42" s="700" t="str">
        <f ca="1">IF(INDIRECT("'Ext Tradable'!$B" &amp; BB$9)=$B42,INDIRECT("'Ext Tradable'!$" &amp; 'Ext Tradable'!$AS$23 &amp; BB$9),"")</f>
        <v/>
      </c>
      <c r="BC42" s="700" t="str">
        <f ca="1">IF(INDIRECT("'Ext Tradable'!$B" &amp; BC$9)=$B42,INDIRECT("'Ext Tradable'!$" &amp; 'Ext Tradable'!$AS$23 &amp; BC$9),"")</f>
        <v/>
      </c>
      <c r="BD42" s="700" t="str">
        <f ca="1">IF(INDIRECT("'Ext Tradable'!$B" &amp; BD$9)=$B42,INDIRECT("'Ext Tradable'!$" &amp; 'Ext Tradable'!$AS$23 &amp; BD$9),"")</f>
        <v/>
      </c>
      <c r="BE42" s="700" t="str">
        <f ca="1">IF(INDIRECT("'Ext Tradable'!$B" &amp; BE$9)=$B42,INDIRECT("'Ext Tradable'!$" &amp; 'Ext Tradable'!$AS$23 &amp; BE$9),"")</f>
        <v/>
      </c>
      <c r="BF42" s="700" t="str">
        <f ca="1">IF(INDIRECT("'Ext Tradable'!$B" &amp; BF$9)=$B42,INDIRECT("'Ext Tradable'!$" &amp; 'Ext Tradable'!$AS$23 &amp; BF$9),"")</f>
        <v/>
      </c>
      <c r="BG42" s="700" t="str">
        <f ca="1">IF(INDIRECT("'Ext Tradable'!$B" &amp; BG$9)=$B42,INDIRECT("'Ext Tradable'!$" &amp; 'Ext Tradable'!$AS$23 &amp; BG$9),"")</f>
        <v/>
      </c>
      <c r="BH42" s="700" t="str">
        <f ca="1">IF(INDIRECT("'Ext Tradable'!$B" &amp; BH$9)=$B42,INDIRECT("'Ext Tradable'!$" &amp; 'Ext Tradable'!$AS$23 &amp; BH$9),"")</f>
        <v/>
      </c>
      <c r="BI42" s="700" t="str">
        <f ca="1">IF(INDIRECT("'Ext Tradable'!$B" &amp; BI$9)=$B42,INDIRECT("'Ext Tradable'!$" &amp; 'Ext Tradable'!$AS$23 &amp; BI$9),"")</f>
        <v/>
      </c>
      <c r="BJ42" s="700" t="str">
        <f ca="1">IF(INDIRECT("'Ext Tradable'!$B" &amp; BJ$9)=$B42,INDIRECT("'Ext Tradable'!$" &amp; 'Ext Tradable'!$AS$23 &amp; BJ$9),"")</f>
        <v/>
      </c>
      <c r="BK42" s="700" t="str">
        <f ca="1">IF(INDIRECT("'Ext Tradable'!$B" &amp; BK$9)=$B42,INDIRECT("'Ext Tradable'!$" &amp; 'Ext Tradable'!$AS$23 &amp; BK$9),"")</f>
        <v/>
      </c>
      <c r="BL42" s="700" t="str">
        <f ca="1">IF(INDIRECT("'Ext Tradable'!$B" &amp; BL$9)=$B42,INDIRECT("'Ext Tradable'!$" &amp; 'Ext Tradable'!$AS$23 &amp; BL$9),"")</f>
        <v/>
      </c>
      <c r="BM42" s="700">
        <f ca="1">IF(INDIRECT("'Ext Tradable'!$B" &amp; BM$9)=$B42,INDIRECT("'Ext Tradable'!$" &amp; 'Ext Tradable'!$AS$23 &amp; BM$9),"")</f>
        <v>0</v>
      </c>
      <c r="BN42" s="700">
        <f ca="1">IF(INDIRECT("'Ext Tradable'!$B" &amp; BN$9)=$B42,INDIRECT("'Ext Tradable'!$" &amp; 'Ext Tradable'!$AS$23 &amp; BN$9),"")</f>
        <v>0</v>
      </c>
      <c r="BO42" s="700">
        <f ca="1">IF(INDIRECT("'Ext Tradable'!$B" &amp; BO$9)=$B42,INDIRECT("'Ext Tradable'!$" &amp; 'Ext Tradable'!$AS$23 &amp; BO$9),"")</f>
        <v>0</v>
      </c>
      <c r="BP42" s="700">
        <f ca="1">IF(INDIRECT("'Ext Tradable'!$B" &amp; BP$9)=$B42,INDIRECT("'Ext Tradable'!$" &amp; 'Ext Tradable'!$AS$23 &amp; BP$9),"")</f>
        <v>0</v>
      </c>
      <c r="BQ42" s="700">
        <f ca="1">IF(INDIRECT("'Ext Tradable'!$B" &amp; BQ$9)=$B42,INDIRECT("'Ext Tradable'!$" &amp; 'Ext Tradable'!$AS$23 &amp; BQ$9),"")</f>
        <v>0</v>
      </c>
      <c r="BR42" s="700">
        <f ca="1">IF(INDIRECT("'Ext Tradable'!$B" &amp; BR$9)=$B42,INDIRECT("'Ext Tradable'!$" &amp; 'Ext Tradable'!$AS$23 &amp; BR$9),"")</f>
        <v>0</v>
      </c>
      <c r="BS42" s="700">
        <f ca="1">IF(INDIRECT("'Ext Tradable'!$B" &amp; BS$9)=$B42,INDIRECT("'Ext Tradable'!$" &amp; 'Ext Tradable'!$AS$23 &amp; BS$9),"")</f>
        <v>0</v>
      </c>
      <c r="BT42" s="700">
        <f ca="1">IF(INDIRECT("'Ext Tradable'!$B" &amp; BT$9)=$B42,INDIRECT("'Ext Tradable'!$" &amp; 'Ext Tradable'!$AS$23 &amp; BT$9),"")</f>
        <v>0</v>
      </c>
      <c r="BU42" s="700">
        <f ca="1">IF(INDIRECT("'Ext Tradable'!$B" &amp; BU$9)=$B42,INDIRECT("'Ext Tradable'!$" &amp; 'Ext Tradable'!$AS$23 &amp; BU$9),"")</f>
        <v>0</v>
      </c>
      <c r="BV42" s="700">
        <f ca="1">IF(INDIRECT("'Ext Tradable'!$B" &amp; BV$9)=$B42,INDIRECT("'Ext Tradable'!$" &amp; 'Ext Tradable'!$AS$23 &amp; BV$9),"")</f>
        <v>0</v>
      </c>
      <c r="BW42" s="700">
        <f ca="1">IF(INDIRECT("'Ext Tradable'!$B" &amp; BW$9)=$B42,INDIRECT("'Ext Tradable'!$" &amp; 'Ext Tradable'!$AS$23 &amp; BW$9),"")</f>
        <v>0</v>
      </c>
      <c r="BX42" s="700">
        <f ca="1">IF(INDIRECT("'Ext Tradable'!$B" &amp; BX$9)=$B42,INDIRECT("'Ext Tradable'!$" &amp; 'Ext Tradable'!$AS$23 &amp; BX$9),"")</f>
        <v>0</v>
      </c>
      <c r="BY42" s="700">
        <f ca="1">IF(INDIRECT("'Ext Tradable'!$B" &amp; BY$9)=$B42,INDIRECT("'Ext Tradable'!$" &amp; 'Ext Tradable'!$AS$23 &amp; BY$9),"")</f>
        <v>0</v>
      </c>
      <c r="BZ42" s="700">
        <f ca="1">IF(INDIRECT("'Ext Tradable'!$B" &amp; BZ$9)=$B42,INDIRECT("'Ext Tradable'!$" &amp; 'Ext Tradable'!$AS$23 &amp; BZ$9),"")</f>
        <v>0</v>
      </c>
      <c r="CA42" s="700">
        <f ca="1">IF(INDIRECT("'Ext Tradable'!$B" &amp; CA$9)=$B42,INDIRECT("'Ext Tradable'!$" &amp; 'Ext Tradable'!$AS$23 &amp; CA$9),"")</f>
        <v>0</v>
      </c>
      <c r="CB42" s="700">
        <f ca="1">IF(INDIRECT("'Ext Tradable'!$B" &amp; CB$9)=$B42,INDIRECT("'Ext Tradable'!$" &amp; 'Ext Tradable'!$AS$23 &amp; CB$9),"")</f>
        <v>0</v>
      </c>
      <c r="CC42" s="700">
        <f ca="1">IF(INDIRECT("'Ext Tradable'!$B" &amp; CC$9)=$B42,INDIRECT("'Ext Tradable'!$" &amp; 'Ext Tradable'!$AS$23 &amp; CC$9),"")</f>
        <v>0</v>
      </c>
      <c r="CD42" s="700">
        <f ca="1">IF(INDIRECT("'Ext Tradable'!$B" &amp; CD$9)=$B42,INDIRECT("'Ext Tradable'!$" &amp; 'Ext Tradable'!$AS$23 &amp; CD$9),"")</f>
        <v>0</v>
      </c>
      <c r="CE42" s="700">
        <f ca="1">IF(INDIRECT("'Ext Tradable'!$B" &amp; CE$9)=$B42,INDIRECT("'Ext Tradable'!$" &amp; 'Ext Tradable'!$AS$23 &amp; CE$9),"")</f>
        <v>0</v>
      </c>
      <c r="CF42" s="700">
        <f ca="1">IF(INDIRECT("'Ext Tradable'!$B" &amp; CF$9)=$B42,INDIRECT("'Ext Tradable'!$" &amp; 'Ext Tradable'!$AS$23 &amp; CF$9),"")</f>
        <v>0</v>
      </c>
      <c r="CG42" s="700">
        <f ca="1">IF(INDIRECT("'Ext Tradable'!$B" &amp; CG$9)=$B42,INDIRECT("'Ext Tradable'!$" &amp; 'Ext Tradable'!$AS$23 &amp; CG$9),"")</f>
        <v>0</v>
      </c>
      <c r="CH42" s="700">
        <f ca="1">IF(INDIRECT("'Ext Tradable'!$B" &amp; CH$9)=$B42,INDIRECT("'Ext Tradable'!$" &amp; 'Ext Tradable'!$AS$23 &amp; CH$9),"")</f>
        <v>0</v>
      </c>
      <c r="CI42" s="700">
        <f ca="1">IF(INDIRECT("'Ext Tradable'!$B" &amp; CI$9)=$B42,INDIRECT("'Ext Tradable'!$" &amp; 'Ext Tradable'!$AS$23 &amp; CI$9),"")</f>
        <v>0</v>
      </c>
      <c r="CJ42" s="700">
        <f ca="1">IF(INDIRECT("'Ext Tradable'!$B" &amp; CJ$9)=$B42,INDIRECT("'Ext Tradable'!$" &amp; 'Ext Tradable'!$AS$23 &amp; CJ$9),"")</f>
        <v>0</v>
      </c>
      <c r="CK42" s="700">
        <f ca="1">IF(INDIRECT("'Ext Tradable'!$B" &amp; CK$9)=$B42,INDIRECT("'Ext Tradable'!$" &amp; 'Ext Tradable'!$AS$23 &amp; CK$9),"")</f>
        <v>0</v>
      </c>
      <c r="CL42" s="700">
        <f ca="1">IF(INDIRECT("'Ext Tradable'!$B" &amp; CL$9)=$B42,INDIRECT("'Ext Tradable'!$" &amp; 'Ext Tradable'!$AS$23 &amp; CL$9),"")</f>
        <v>0</v>
      </c>
      <c r="CM42" s="700">
        <f ca="1">IF(INDIRECT("'Ext Tradable'!$B" &amp; CM$9)=$B42,INDIRECT("'Ext Tradable'!$" &amp; 'Ext Tradable'!$AS$23 &amp; CM$9),"")</f>
        <v>0</v>
      </c>
      <c r="CN42" s="700">
        <f ca="1">IF(INDIRECT("'Ext Tradable'!$B" &amp; CN$9)=$B42,INDIRECT("'Ext Tradable'!$" &amp; 'Ext Tradable'!$AS$23 &amp; CN$9),"")</f>
        <v>0</v>
      </c>
      <c r="CO42" s="700">
        <f ca="1">IF(INDIRECT("'Ext Tradable'!$B" &amp; CO$9)=$B42,INDIRECT("'Ext Tradable'!$" &amp; 'Ext Tradable'!$AS$23 &amp; CO$9),"")</f>
        <v>0</v>
      </c>
      <c r="CP42" s="700">
        <f ca="1">IF(INDIRECT("'Ext Tradable'!$B" &amp; CP$9)=$B42,INDIRECT("'Ext Tradable'!$" &amp; 'Ext Tradable'!$AS$23 &amp; CP$9),"")</f>
        <v>0</v>
      </c>
      <c r="CQ42" s="702" t="str">
        <f t="shared" ca="1" si="25"/>
        <v>000000000000000000000000000000</v>
      </c>
    </row>
    <row r="43" spans="1:95" ht="60" customHeight="1" x14ac:dyDescent="0.25">
      <c r="A43" s="705">
        <v>34</v>
      </c>
      <c r="B43" s="707" t="str">
        <f>'Ext Area Schedule'!Y49</f>
        <v/>
      </c>
      <c r="C43" s="707" t="str">
        <f>VLOOKUP($B43,'Ext Area Schedule'!$Y$16:$AE$65,3,FALSE)</f>
        <v/>
      </c>
      <c r="D43" s="792" t="str">
        <f>VLOOKUP($B43,'Ext Area Schedule'!$Y$16:$AE$65,4,FALSE)</f>
        <v/>
      </c>
      <c r="F43" s="792" t="str">
        <f>VLOOKUP($B43,'Ext Area Schedule'!$Y$16:$AE$65,5,FALSE)</f>
        <v/>
      </c>
      <c r="G43" s="792" t="str">
        <f>VLOOKUP($B43,'Ext Area Schedule'!$Y$16:$AE$65,7,FALSE)</f>
        <v/>
      </c>
      <c r="I43" s="703">
        <f t="shared" si="6"/>
        <v>0</v>
      </c>
      <c r="K43" s="703" t="str">
        <f>IF($B43="","",SUMIFS('Ext Tradable'!$M$26:$M$45,'Ext Tradable'!$B$26:$B$45,$B43,'Ext Tradable'!$O$26:$O$45,"New"))</f>
        <v/>
      </c>
      <c r="L43" s="703" t="str">
        <f>IF($B43="","",SUMIFS('Ext Tradable'!$M$26:$M$45,'Ext Tradable'!$B$26:$B$45,$B43,'Ext Tradable'!$O$26:$O$45,""))</f>
        <v/>
      </c>
      <c r="M43" s="703" t="str">
        <f>IF($B43="","",SUMIFS('Ext Tradable'!$K$26:$K$45,'Ext Tradable'!$B$26:$B$45,$B43,'Ext Tradable'!$O$26:$O$45,"New")+SUMIFS('Ext Tradable'!$K$26:$K$45,'Ext Tradable'!$B$26:$B$45,$B43,'Ext Tradable'!$O$26:$O$45,""))</f>
        <v/>
      </c>
      <c r="N43" s="703" t="str">
        <f>IF($B43="","",SUMIFS('Ext Tradable'!$M$26:$M$45,'Ext Tradable'!$B$26:$B$45,$B43,'Ext Tradable'!$O$26:$O$45,"Existing Remains"))</f>
        <v/>
      </c>
      <c r="O43" s="703" t="str">
        <f>IF($B43="","",SUMIFS('Ext Tradable'!$M$26:$M$45,'Ext Tradable'!$B$26:$B$45,$B43,'Ext Tradable'!$O$26:$O$45,"Existing Removed"))</f>
        <v/>
      </c>
      <c r="P43" s="703" t="str">
        <f>IF($B43="","",SUMIFS('Ext Tradable'!$K$26:$K$45,'Ext Tradable'!$B$26:$B$45,$B43,'Ext Tradable'!$O$26:$O$45,"Existing Removed"))</f>
        <v/>
      </c>
      <c r="Q43" s="703" t="str">
        <f t="shared" si="7"/>
        <v/>
      </c>
      <c r="R43" s="703" t="str">
        <f t="shared" si="8"/>
        <v/>
      </c>
      <c r="S43" s="1123" t="str">
        <f t="shared" si="9"/>
        <v/>
      </c>
      <c r="T43" s="1128" t="str">
        <f t="shared" si="23"/>
        <v/>
      </c>
      <c r="U43" s="711" t="str">
        <f t="shared" si="11"/>
        <v/>
      </c>
      <c r="V43" s="712" t="str">
        <f t="shared" si="12"/>
        <v/>
      </c>
      <c r="W43" s="762"/>
      <c r="X43" s="720" t="str">
        <f t="shared" si="13"/>
        <v/>
      </c>
      <c r="Y43" s="721" t="str">
        <f t="shared" si="14"/>
        <v/>
      </c>
      <c r="Z43" s="721" t="str">
        <f t="shared" si="15"/>
        <v/>
      </c>
      <c r="AA43" s="719" t="str">
        <f t="shared" si="2"/>
        <v/>
      </c>
      <c r="AB43" s="762"/>
      <c r="AC43" s="717" t="str">
        <f t="shared" si="16"/>
        <v/>
      </c>
      <c r="AD43" s="718" t="str">
        <f t="shared" si="17"/>
        <v/>
      </c>
      <c r="AE43" s="719" t="str">
        <f t="shared" si="3"/>
        <v/>
      </c>
      <c r="AF43" s="726"/>
      <c r="AG43" s="727" t="str">
        <f t="shared" si="18"/>
        <v/>
      </c>
      <c r="AH43" s="703" t="str">
        <f t="shared" si="19"/>
        <v/>
      </c>
      <c r="AI43" s="1114">
        <f t="shared" si="20"/>
        <v>0</v>
      </c>
      <c r="AK43" s="791" t="str">
        <f t="shared" si="4"/>
        <v/>
      </c>
      <c r="AL43" s="791" t="str">
        <f t="shared" si="21"/>
        <v/>
      </c>
      <c r="AM43" s="707" t="str">
        <f>IF(OR(AK43="Fail",AK43="Fail LPA",AK43=""),"",IF(AL43&lt;&gt;"#1",VLOOKUP(C43,'9.4.3 Tables'!B$142:O$154,14,FALSE),"No NEW controls required"))</f>
        <v/>
      </c>
      <c r="AN43" s="703">
        <f t="shared" si="22"/>
        <v>0</v>
      </c>
      <c r="AQ43">
        <v>34</v>
      </c>
      <c r="AR43" s="15" t="str">
        <f t="shared" si="24"/>
        <v/>
      </c>
      <c r="AS43" s="700" t="str">
        <f ca="1">IF(INDIRECT("'Ext Tradable'!$B" &amp; AS$9)=$B43,INDIRECT("'Ext Tradable'!$" &amp; 'Ext Tradable'!$AS$23 &amp; AS$9),"")</f>
        <v/>
      </c>
      <c r="AT43" s="700" t="str">
        <f ca="1">IF(INDIRECT("'Ext Tradable'!$B" &amp; AT$9)=$B43,INDIRECT("'Ext Tradable'!$" &amp; 'Ext Tradable'!$AS$23 &amp; AT$9),"")</f>
        <v/>
      </c>
      <c r="AU43" s="700" t="str">
        <f ca="1">IF(INDIRECT("'Ext Tradable'!$B" &amp; AU$9)=$B43,INDIRECT("'Ext Tradable'!$" &amp; 'Ext Tradable'!$AS$23 &amp; AU$9),"")</f>
        <v/>
      </c>
      <c r="AV43" s="700" t="str">
        <f ca="1">IF(INDIRECT("'Ext Tradable'!$B" &amp; AV$9)=$B43,INDIRECT("'Ext Tradable'!$" &amp; 'Ext Tradable'!$AS$23 &amp; AV$9),"")</f>
        <v/>
      </c>
      <c r="AW43" s="700" t="str">
        <f ca="1">IF(INDIRECT("'Ext Tradable'!$B" &amp; AW$9)=$B43,INDIRECT("'Ext Tradable'!$" &amp; 'Ext Tradable'!$AS$23 &amp; AW$9),"")</f>
        <v/>
      </c>
      <c r="AX43" s="700" t="str">
        <f ca="1">IF(INDIRECT("'Ext Tradable'!$B" &amp; AX$9)=$B43,INDIRECT("'Ext Tradable'!$" &amp; 'Ext Tradable'!$AS$23 &amp; AX$9),"")</f>
        <v/>
      </c>
      <c r="AY43" s="700" t="str">
        <f ca="1">IF(INDIRECT("'Ext Tradable'!$B" &amp; AY$9)=$B43,INDIRECT("'Ext Tradable'!$" &amp; 'Ext Tradable'!$AS$23 &amp; AY$9),"")</f>
        <v/>
      </c>
      <c r="AZ43" s="700" t="str">
        <f ca="1">IF(INDIRECT("'Ext Tradable'!$B" &amp; AZ$9)=$B43,INDIRECT("'Ext Tradable'!$" &amp; 'Ext Tradable'!$AS$23 &amp; AZ$9),"")</f>
        <v/>
      </c>
      <c r="BA43" s="700" t="str">
        <f ca="1">IF(INDIRECT("'Ext Tradable'!$B" &amp; BA$9)=$B43,INDIRECT("'Ext Tradable'!$" &amp; 'Ext Tradable'!$AS$23 &amp; BA$9),"")</f>
        <v/>
      </c>
      <c r="BB43" s="700" t="str">
        <f ca="1">IF(INDIRECT("'Ext Tradable'!$B" &amp; BB$9)=$B43,INDIRECT("'Ext Tradable'!$" &amp; 'Ext Tradable'!$AS$23 &amp; BB$9),"")</f>
        <v/>
      </c>
      <c r="BC43" s="700" t="str">
        <f ca="1">IF(INDIRECT("'Ext Tradable'!$B" &amp; BC$9)=$B43,INDIRECT("'Ext Tradable'!$" &amp; 'Ext Tradable'!$AS$23 &amp; BC$9),"")</f>
        <v/>
      </c>
      <c r="BD43" s="700" t="str">
        <f ca="1">IF(INDIRECT("'Ext Tradable'!$B" &amp; BD$9)=$B43,INDIRECT("'Ext Tradable'!$" &amp; 'Ext Tradable'!$AS$23 &amp; BD$9),"")</f>
        <v/>
      </c>
      <c r="BE43" s="700" t="str">
        <f ca="1">IF(INDIRECT("'Ext Tradable'!$B" &amp; BE$9)=$B43,INDIRECT("'Ext Tradable'!$" &amp; 'Ext Tradable'!$AS$23 &amp; BE$9),"")</f>
        <v/>
      </c>
      <c r="BF43" s="700" t="str">
        <f ca="1">IF(INDIRECT("'Ext Tradable'!$B" &amp; BF$9)=$B43,INDIRECT("'Ext Tradable'!$" &amp; 'Ext Tradable'!$AS$23 &amp; BF$9),"")</f>
        <v/>
      </c>
      <c r="BG43" s="700" t="str">
        <f ca="1">IF(INDIRECT("'Ext Tradable'!$B" &amp; BG$9)=$B43,INDIRECT("'Ext Tradable'!$" &amp; 'Ext Tradable'!$AS$23 &amp; BG$9),"")</f>
        <v/>
      </c>
      <c r="BH43" s="700" t="str">
        <f ca="1">IF(INDIRECT("'Ext Tradable'!$B" &amp; BH$9)=$B43,INDIRECT("'Ext Tradable'!$" &amp; 'Ext Tradable'!$AS$23 &amp; BH$9),"")</f>
        <v/>
      </c>
      <c r="BI43" s="700" t="str">
        <f ca="1">IF(INDIRECT("'Ext Tradable'!$B" &amp; BI$9)=$B43,INDIRECT("'Ext Tradable'!$" &amp; 'Ext Tradable'!$AS$23 &amp; BI$9),"")</f>
        <v/>
      </c>
      <c r="BJ43" s="700" t="str">
        <f ca="1">IF(INDIRECT("'Ext Tradable'!$B" &amp; BJ$9)=$B43,INDIRECT("'Ext Tradable'!$" &amp; 'Ext Tradable'!$AS$23 &amp; BJ$9),"")</f>
        <v/>
      </c>
      <c r="BK43" s="700" t="str">
        <f ca="1">IF(INDIRECT("'Ext Tradable'!$B" &amp; BK$9)=$B43,INDIRECT("'Ext Tradable'!$" &amp; 'Ext Tradable'!$AS$23 &amp; BK$9),"")</f>
        <v/>
      </c>
      <c r="BL43" s="700" t="str">
        <f ca="1">IF(INDIRECT("'Ext Tradable'!$B" &amp; BL$9)=$B43,INDIRECT("'Ext Tradable'!$" &amp; 'Ext Tradable'!$AS$23 &amp; BL$9),"")</f>
        <v/>
      </c>
      <c r="BM43" s="700">
        <f ca="1">IF(INDIRECT("'Ext Tradable'!$B" &amp; BM$9)=$B43,INDIRECT("'Ext Tradable'!$" &amp; 'Ext Tradable'!$AS$23 &amp; BM$9),"")</f>
        <v>0</v>
      </c>
      <c r="BN43" s="700">
        <f ca="1">IF(INDIRECT("'Ext Tradable'!$B" &amp; BN$9)=$B43,INDIRECT("'Ext Tradable'!$" &amp; 'Ext Tradable'!$AS$23 &amp; BN$9),"")</f>
        <v>0</v>
      </c>
      <c r="BO43" s="700">
        <f ca="1">IF(INDIRECT("'Ext Tradable'!$B" &amp; BO$9)=$B43,INDIRECT("'Ext Tradable'!$" &amp; 'Ext Tradable'!$AS$23 &amp; BO$9),"")</f>
        <v>0</v>
      </c>
      <c r="BP43" s="700">
        <f ca="1">IF(INDIRECT("'Ext Tradable'!$B" &amp; BP$9)=$B43,INDIRECT("'Ext Tradable'!$" &amp; 'Ext Tradable'!$AS$23 &amp; BP$9),"")</f>
        <v>0</v>
      </c>
      <c r="BQ43" s="700">
        <f ca="1">IF(INDIRECT("'Ext Tradable'!$B" &amp; BQ$9)=$B43,INDIRECT("'Ext Tradable'!$" &amp; 'Ext Tradable'!$AS$23 &amp; BQ$9),"")</f>
        <v>0</v>
      </c>
      <c r="BR43" s="700">
        <f ca="1">IF(INDIRECT("'Ext Tradable'!$B" &amp; BR$9)=$B43,INDIRECT("'Ext Tradable'!$" &amp; 'Ext Tradable'!$AS$23 &amp; BR$9),"")</f>
        <v>0</v>
      </c>
      <c r="BS43" s="700">
        <f ca="1">IF(INDIRECT("'Ext Tradable'!$B" &amp; BS$9)=$B43,INDIRECT("'Ext Tradable'!$" &amp; 'Ext Tradable'!$AS$23 &amp; BS$9),"")</f>
        <v>0</v>
      </c>
      <c r="BT43" s="700">
        <f ca="1">IF(INDIRECT("'Ext Tradable'!$B" &amp; BT$9)=$B43,INDIRECT("'Ext Tradable'!$" &amp; 'Ext Tradable'!$AS$23 &amp; BT$9),"")</f>
        <v>0</v>
      </c>
      <c r="BU43" s="700">
        <f ca="1">IF(INDIRECT("'Ext Tradable'!$B" &amp; BU$9)=$B43,INDIRECT("'Ext Tradable'!$" &amp; 'Ext Tradable'!$AS$23 &amp; BU$9),"")</f>
        <v>0</v>
      </c>
      <c r="BV43" s="700">
        <f ca="1">IF(INDIRECT("'Ext Tradable'!$B" &amp; BV$9)=$B43,INDIRECT("'Ext Tradable'!$" &amp; 'Ext Tradable'!$AS$23 &amp; BV$9),"")</f>
        <v>0</v>
      </c>
      <c r="BW43" s="700">
        <f ca="1">IF(INDIRECT("'Ext Tradable'!$B" &amp; BW$9)=$B43,INDIRECT("'Ext Tradable'!$" &amp; 'Ext Tradable'!$AS$23 &amp; BW$9),"")</f>
        <v>0</v>
      </c>
      <c r="BX43" s="700">
        <f ca="1">IF(INDIRECT("'Ext Tradable'!$B" &amp; BX$9)=$B43,INDIRECT("'Ext Tradable'!$" &amp; 'Ext Tradable'!$AS$23 &amp; BX$9),"")</f>
        <v>0</v>
      </c>
      <c r="BY43" s="700">
        <f ca="1">IF(INDIRECT("'Ext Tradable'!$B" &amp; BY$9)=$B43,INDIRECT("'Ext Tradable'!$" &amp; 'Ext Tradable'!$AS$23 &amp; BY$9),"")</f>
        <v>0</v>
      </c>
      <c r="BZ43" s="700">
        <f ca="1">IF(INDIRECT("'Ext Tradable'!$B" &amp; BZ$9)=$B43,INDIRECT("'Ext Tradable'!$" &amp; 'Ext Tradable'!$AS$23 &amp; BZ$9),"")</f>
        <v>0</v>
      </c>
      <c r="CA43" s="700">
        <f ca="1">IF(INDIRECT("'Ext Tradable'!$B" &amp; CA$9)=$B43,INDIRECT("'Ext Tradable'!$" &amp; 'Ext Tradable'!$AS$23 &amp; CA$9),"")</f>
        <v>0</v>
      </c>
      <c r="CB43" s="700">
        <f ca="1">IF(INDIRECT("'Ext Tradable'!$B" &amp; CB$9)=$B43,INDIRECT("'Ext Tradable'!$" &amp; 'Ext Tradable'!$AS$23 &amp; CB$9),"")</f>
        <v>0</v>
      </c>
      <c r="CC43" s="700">
        <f ca="1">IF(INDIRECT("'Ext Tradable'!$B" &amp; CC$9)=$B43,INDIRECT("'Ext Tradable'!$" &amp; 'Ext Tradable'!$AS$23 &amp; CC$9),"")</f>
        <v>0</v>
      </c>
      <c r="CD43" s="700">
        <f ca="1">IF(INDIRECT("'Ext Tradable'!$B" &amp; CD$9)=$B43,INDIRECT("'Ext Tradable'!$" &amp; 'Ext Tradable'!$AS$23 &amp; CD$9),"")</f>
        <v>0</v>
      </c>
      <c r="CE43" s="700">
        <f ca="1">IF(INDIRECT("'Ext Tradable'!$B" &amp; CE$9)=$B43,INDIRECT("'Ext Tradable'!$" &amp; 'Ext Tradable'!$AS$23 &amp; CE$9),"")</f>
        <v>0</v>
      </c>
      <c r="CF43" s="700">
        <f ca="1">IF(INDIRECT("'Ext Tradable'!$B" &amp; CF$9)=$B43,INDIRECT("'Ext Tradable'!$" &amp; 'Ext Tradable'!$AS$23 &amp; CF$9),"")</f>
        <v>0</v>
      </c>
      <c r="CG43" s="700">
        <f ca="1">IF(INDIRECT("'Ext Tradable'!$B" &amp; CG$9)=$B43,INDIRECT("'Ext Tradable'!$" &amp; 'Ext Tradable'!$AS$23 &amp; CG$9),"")</f>
        <v>0</v>
      </c>
      <c r="CH43" s="700">
        <f ca="1">IF(INDIRECT("'Ext Tradable'!$B" &amp; CH$9)=$B43,INDIRECT("'Ext Tradable'!$" &amp; 'Ext Tradable'!$AS$23 &amp; CH$9),"")</f>
        <v>0</v>
      </c>
      <c r="CI43" s="700">
        <f ca="1">IF(INDIRECT("'Ext Tradable'!$B" &amp; CI$9)=$B43,INDIRECT("'Ext Tradable'!$" &amp; 'Ext Tradable'!$AS$23 &amp; CI$9),"")</f>
        <v>0</v>
      </c>
      <c r="CJ43" s="700">
        <f ca="1">IF(INDIRECT("'Ext Tradable'!$B" &amp; CJ$9)=$B43,INDIRECT("'Ext Tradable'!$" &amp; 'Ext Tradable'!$AS$23 &amp; CJ$9),"")</f>
        <v>0</v>
      </c>
      <c r="CK43" s="700">
        <f ca="1">IF(INDIRECT("'Ext Tradable'!$B" &amp; CK$9)=$B43,INDIRECT("'Ext Tradable'!$" &amp; 'Ext Tradable'!$AS$23 &amp; CK$9),"")</f>
        <v>0</v>
      </c>
      <c r="CL43" s="700">
        <f ca="1">IF(INDIRECT("'Ext Tradable'!$B" &amp; CL$9)=$B43,INDIRECT("'Ext Tradable'!$" &amp; 'Ext Tradable'!$AS$23 &amp; CL$9),"")</f>
        <v>0</v>
      </c>
      <c r="CM43" s="700">
        <f ca="1">IF(INDIRECT("'Ext Tradable'!$B" &amp; CM$9)=$B43,INDIRECT("'Ext Tradable'!$" &amp; 'Ext Tradable'!$AS$23 &amp; CM$9),"")</f>
        <v>0</v>
      </c>
      <c r="CN43" s="700">
        <f ca="1">IF(INDIRECT("'Ext Tradable'!$B" &amp; CN$9)=$B43,INDIRECT("'Ext Tradable'!$" &amp; 'Ext Tradable'!$AS$23 &amp; CN$9),"")</f>
        <v>0</v>
      </c>
      <c r="CO43" s="700">
        <f ca="1">IF(INDIRECT("'Ext Tradable'!$B" &amp; CO$9)=$B43,INDIRECT("'Ext Tradable'!$" &amp; 'Ext Tradable'!$AS$23 &amp; CO$9),"")</f>
        <v>0</v>
      </c>
      <c r="CP43" s="700">
        <f ca="1">IF(INDIRECT("'Ext Tradable'!$B" &amp; CP$9)=$B43,INDIRECT("'Ext Tradable'!$" &amp; 'Ext Tradable'!$AS$23 &amp; CP$9),"")</f>
        <v>0</v>
      </c>
      <c r="CQ43" s="702" t="str">
        <f t="shared" ca="1" si="25"/>
        <v>000000000000000000000000000000</v>
      </c>
    </row>
    <row r="44" spans="1:95" ht="60" customHeight="1" x14ac:dyDescent="0.25">
      <c r="A44" s="705">
        <v>35</v>
      </c>
      <c r="B44" s="707" t="str">
        <f>'Ext Area Schedule'!Y50</f>
        <v/>
      </c>
      <c r="C44" s="707" t="str">
        <f>VLOOKUP($B44,'Ext Area Schedule'!$Y$16:$AE$65,3,FALSE)</f>
        <v/>
      </c>
      <c r="D44" s="792" t="str">
        <f>VLOOKUP($B44,'Ext Area Schedule'!$Y$16:$AE$65,4,FALSE)</f>
        <v/>
      </c>
      <c r="F44" s="792" t="str">
        <f>VLOOKUP($B44,'Ext Area Schedule'!$Y$16:$AE$65,5,FALSE)</f>
        <v/>
      </c>
      <c r="G44" s="792" t="str">
        <f>VLOOKUP($B44,'Ext Area Schedule'!$Y$16:$AE$65,7,FALSE)</f>
        <v/>
      </c>
      <c r="I44" s="703">
        <f t="shared" si="6"/>
        <v>0</v>
      </c>
      <c r="K44" s="703" t="str">
        <f>IF($B44="","",SUMIFS('Ext Tradable'!$M$26:$M$45,'Ext Tradable'!$B$26:$B$45,$B44,'Ext Tradable'!$O$26:$O$45,"New"))</f>
        <v/>
      </c>
      <c r="L44" s="703" t="str">
        <f>IF($B44="","",SUMIFS('Ext Tradable'!$M$26:$M$45,'Ext Tradable'!$B$26:$B$45,$B44,'Ext Tradable'!$O$26:$O$45,""))</f>
        <v/>
      </c>
      <c r="M44" s="703" t="str">
        <f>IF($B44="","",SUMIFS('Ext Tradable'!$K$26:$K$45,'Ext Tradable'!$B$26:$B$45,$B44,'Ext Tradable'!$O$26:$O$45,"New")+SUMIFS('Ext Tradable'!$K$26:$K$45,'Ext Tradable'!$B$26:$B$45,$B44,'Ext Tradable'!$O$26:$O$45,""))</f>
        <v/>
      </c>
      <c r="N44" s="703" t="str">
        <f>IF($B44="","",SUMIFS('Ext Tradable'!$M$26:$M$45,'Ext Tradable'!$B$26:$B$45,$B44,'Ext Tradable'!$O$26:$O$45,"Existing Remains"))</f>
        <v/>
      </c>
      <c r="O44" s="703" t="str">
        <f>IF($B44="","",SUMIFS('Ext Tradable'!$M$26:$M$45,'Ext Tradable'!$B$26:$B$45,$B44,'Ext Tradable'!$O$26:$O$45,"Existing Removed"))</f>
        <v/>
      </c>
      <c r="P44" s="703" t="str">
        <f>IF($B44="","",SUMIFS('Ext Tradable'!$K$26:$K$45,'Ext Tradable'!$B$26:$B$45,$B44,'Ext Tradable'!$O$26:$O$45,"Existing Removed"))</f>
        <v/>
      </c>
      <c r="Q44" s="703" t="str">
        <f t="shared" si="7"/>
        <v/>
      </c>
      <c r="R44" s="703" t="str">
        <f t="shared" si="8"/>
        <v/>
      </c>
      <c r="S44" s="1123" t="str">
        <f t="shared" si="9"/>
        <v/>
      </c>
      <c r="T44" s="1128" t="str">
        <f t="shared" si="23"/>
        <v/>
      </c>
      <c r="U44" s="711" t="str">
        <f t="shared" si="11"/>
        <v/>
      </c>
      <c r="V44" s="712" t="str">
        <f t="shared" si="12"/>
        <v/>
      </c>
      <c r="W44" s="762"/>
      <c r="X44" s="720" t="str">
        <f t="shared" si="13"/>
        <v/>
      </c>
      <c r="Y44" s="721" t="str">
        <f t="shared" si="14"/>
        <v/>
      </c>
      <c r="Z44" s="721" t="str">
        <f t="shared" si="15"/>
        <v/>
      </c>
      <c r="AA44" s="719" t="str">
        <f t="shared" si="2"/>
        <v/>
      </c>
      <c r="AB44" s="762"/>
      <c r="AC44" s="717" t="str">
        <f t="shared" si="16"/>
        <v/>
      </c>
      <c r="AD44" s="718" t="str">
        <f t="shared" si="17"/>
        <v/>
      </c>
      <c r="AE44" s="719" t="str">
        <f t="shared" si="3"/>
        <v/>
      </c>
      <c r="AF44" s="726"/>
      <c r="AG44" s="727" t="str">
        <f t="shared" si="18"/>
        <v/>
      </c>
      <c r="AH44" s="703" t="str">
        <f t="shared" si="19"/>
        <v/>
      </c>
      <c r="AI44" s="1114">
        <f t="shared" si="20"/>
        <v>0</v>
      </c>
      <c r="AK44" s="791" t="str">
        <f t="shared" si="4"/>
        <v/>
      </c>
      <c r="AL44" s="791" t="str">
        <f t="shared" si="21"/>
        <v/>
      </c>
      <c r="AM44" s="707" t="str">
        <f>IF(OR(AK44="Fail",AK44="Fail LPA",AK44=""),"",IF(AL44&lt;&gt;"#1",VLOOKUP(C44,'9.4.3 Tables'!B$142:O$154,14,FALSE),"No NEW controls required"))</f>
        <v/>
      </c>
      <c r="AN44" s="703">
        <f t="shared" si="22"/>
        <v>0</v>
      </c>
      <c r="AQ44">
        <v>35</v>
      </c>
      <c r="AR44" s="15" t="str">
        <f t="shared" si="24"/>
        <v/>
      </c>
      <c r="AS44" s="700" t="str">
        <f ca="1">IF(INDIRECT("'Ext Tradable'!$B" &amp; AS$9)=$B44,INDIRECT("'Ext Tradable'!$" &amp; 'Ext Tradable'!$AS$23 &amp; AS$9),"")</f>
        <v/>
      </c>
      <c r="AT44" s="700" t="str">
        <f ca="1">IF(INDIRECT("'Ext Tradable'!$B" &amp; AT$9)=$B44,INDIRECT("'Ext Tradable'!$" &amp; 'Ext Tradable'!$AS$23 &amp; AT$9),"")</f>
        <v/>
      </c>
      <c r="AU44" s="700" t="str">
        <f ca="1">IF(INDIRECT("'Ext Tradable'!$B" &amp; AU$9)=$B44,INDIRECT("'Ext Tradable'!$" &amp; 'Ext Tradable'!$AS$23 &amp; AU$9),"")</f>
        <v/>
      </c>
      <c r="AV44" s="700" t="str">
        <f ca="1">IF(INDIRECT("'Ext Tradable'!$B" &amp; AV$9)=$B44,INDIRECT("'Ext Tradable'!$" &amp; 'Ext Tradable'!$AS$23 &amp; AV$9),"")</f>
        <v/>
      </c>
      <c r="AW44" s="700" t="str">
        <f ca="1">IF(INDIRECT("'Ext Tradable'!$B" &amp; AW$9)=$B44,INDIRECT("'Ext Tradable'!$" &amp; 'Ext Tradable'!$AS$23 &amp; AW$9),"")</f>
        <v/>
      </c>
      <c r="AX44" s="700" t="str">
        <f ca="1">IF(INDIRECT("'Ext Tradable'!$B" &amp; AX$9)=$B44,INDIRECT("'Ext Tradable'!$" &amp; 'Ext Tradable'!$AS$23 &amp; AX$9),"")</f>
        <v/>
      </c>
      <c r="AY44" s="700" t="str">
        <f ca="1">IF(INDIRECT("'Ext Tradable'!$B" &amp; AY$9)=$B44,INDIRECT("'Ext Tradable'!$" &amp; 'Ext Tradable'!$AS$23 &amp; AY$9),"")</f>
        <v/>
      </c>
      <c r="AZ44" s="700" t="str">
        <f ca="1">IF(INDIRECT("'Ext Tradable'!$B" &amp; AZ$9)=$B44,INDIRECT("'Ext Tradable'!$" &amp; 'Ext Tradable'!$AS$23 &amp; AZ$9),"")</f>
        <v/>
      </c>
      <c r="BA44" s="700" t="str">
        <f ca="1">IF(INDIRECT("'Ext Tradable'!$B" &amp; BA$9)=$B44,INDIRECT("'Ext Tradable'!$" &amp; 'Ext Tradable'!$AS$23 &amp; BA$9),"")</f>
        <v/>
      </c>
      <c r="BB44" s="700" t="str">
        <f ca="1">IF(INDIRECT("'Ext Tradable'!$B" &amp; BB$9)=$B44,INDIRECT("'Ext Tradable'!$" &amp; 'Ext Tradable'!$AS$23 &amp; BB$9),"")</f>
        <v/>
      </c>
      <c r="BC44" s="700" t="str">
        <f ca="1">IF(INDIRECT("'Ext Tradable'!$B" &amp; BC$9)=$B44,INDIRECT("'Ext Tradable'!$" &amp; 'Ext Tradable'!$AS$23 &amp; BC$9),"")</f>
        <v/>
      </c>
      <c r="BD44" s="700" t="str">
        <f ca="1">IF(INDIRECT("'Ext Tradable'!$B" &amp; BD$9)=$B44,INDIRECT("'Ext Tradable'!$" &amp; 'Ext Tradable'!$AS$23 &amp; BD$9),"")</f>
        <v/>
      </c>
      <c r="BE44" s="700" t="str">
        <f ca="1">IF(INDIRECT("'Ext Tradable'!$B" &amp; BE$9)=$B44,INDIRECT("'Ext Tradable'!$" &amp; 'Ext Tradable'!$AS$23 &amp; BE$9),"")</f>
        <v/>
      </c>
      <c r="BF44" s="700" t="str">
        <f ca="1">IF(INDIRECT("'Ext Tradable'!$B" &amp; BF$9)=$B44,INDIRECT("'Ext Tradable'!$" &amp; 'Ext Tradable'!$AS$23 &amp; BF$9),"")</f>
        <v/>
      </c>
      <c r="BG44" s="700" t="str">
        <f ca="1">IF(INDIRECT("'Ext Tradable'!$B" &amp; BG$9)=$B44,INDIRECT("'Ext Tradable'!$" &amp; 'Ext Tradable'!$AS$23 &amp; BG$9),"")</f>
        <v/>
      </c>
      <c r="BH44" s="700" t="str">
        <f ca="1">IF(INDIRECT("'Ext Tradable'!$B" &amp; BH$9)=$B44,INDIRECT("'Ext Tradable'!$" &amp; 'Ext Tradable'!$AS$23 &amp; BH$9),"")</f>
        <v/>
      </c>
      <c r="BI44" s="700" t="str">
        <f ca="1">IF(INDIRECT("'Ext Tradable'!$B" &amp; BI$9)=$B44,INDIRECT("'Ext Tradable'!$" &amp; 'Ext Tradable'!$AS$23 &amp; BI$9),"")</f>
        <v/>
      </c>
      <c r="BJ44" s="700" t="str">
        <f ca="1">IF(INDIRECT("'Ext Tradable'!$B" &amp; BJ$9)=$B44,INDIRECT("'Ext Tradable'!$" &amp; 'Ext Tradable'!$AS$23 &amp; BJ$9),"")</f>
        <v/>
      </c>
      <c r="BK44" s="700" t="str">
        <f ca="1">IF(INDIRECT("'Ext Tradable'!$B" &amp; BK$9)=$B44,INDIRECT("'Ext Tradable'!$" &amp; 'Ext Tradable'!$AS$23 &amp; BK$9),"")</f>
        <v/>
      </c>
      <c r="BL44" s="700" t="str">
        <f ca="1">IF(INDIRECT("'Ext Tradable'!$B" &amp; BL$9)=$B44,INDIRECT("'Ext Tradable'!$" &amp; 'Ext Tradable'!$AS$23 &amp; BL$9),"")</f>
        <v/>
      </c>
      <c r="BM44" s="700">
        <f ca="1">IF(INDIRECT("'Ext Tradable'!$B" &amp; BM$9)=$B44,INDIRECT("'Ext Tradable'!$" &amp; 'Ext Tradable'!$AS$23 &amp; BM$9),"")</f>
        <v>0</v>
      </c>
      <c r="BN44" s="700">
        <f ca="1">IF(INDIRECT("'Ext Tradable'!$B" &amp; BN$9)=$B44,INDIRECT("'Ext Tradable'!$" &amp; 'Ext Tradable'!$AS$23 &amp; BN$9),"")</f>
        <v>0</v>
      </c>
      <c r="BO44" s="700">
        <f ca="1">IF(INDIRECT("'Ext Tradable'!$B" &amp; BO$9)=$B44,INDIRECT("'Ext Tradable'!$" &amp; 'Ext Tradable'!$AS$23 &amp; BO$9),"")</f>
        <v>0</v>
      </c>
      <c r="BP44" s="700">
        <f ca="1">IF(INDIRECT("'Ext Tradable'!$B" &amp; BP$9)=$B44,INDIRECT("'Ext Tradable'!$" &amp; 'Ext Tradable'!$AS$23 &amp; BP$9),"")</f>
        <v>0</v>
      </c>
      <c r="BQ44" s="700">
        <f ca="1">IF(INDIRECT("'Ext Tradable'!$B" &amp; BQ$9)=$B44,INDIRECT("'Ext Tradable'!$" &amp; 'Ext Tradable'!$AS$23 &amp; BQ$9),"")</f>
        <v>0</v>
      </c>
      <c r="BR44" s="700">
        <f ca="1">IF(INDIRECT("'Ext Tradable'!$B" &amp; BR$9)=$B44,INDIRECT("'Ext Tradable'!$" &amp; 'Ext Tradable'!$AS$23 &amp; BR$9),"")</f>
        <v>0</v>
      </c>
      <c r="BS44" s="700">
        <f ca="1">IF(INDIRECT("'Ext Tradable'!$B" &amp; BS$9)=$B44,INDIRECT("'Ext Tradable'!$" &amp; 'Ext Tradable'!$AS$23 &amp; BS$9),"")</f>
        <v>0</v>
      </c>
      <c r="BT44" s="700">
        <f ca="1">IF(INDIRECT("'Ext Tradable'!$B" &amp; BT$9)=$B44,INDIRECT("'Ext Tradable'!$" &amp; 'Ext Tradable'!$AS$23 &amp; BT$9),"")</f>
        <v>0</v>
      </c>
      <c r="BU44" s="700">
        <f ca="1">IF(INDIRECT("'Ext Tradable'!$B" &amp; BU$9)=$B44,INDIRECT("'Ext Tradable'!$" &amp; 'Ext Tradable'!$AS$23 &amp; BU$9),"")</f>
        <v>0</v>
      </c>
      <c r="BV44" s="700">
        <f ca="1">IF(INDIRECT("'Ext Tradable'!$B" &amp; BV$9)=$B44,INDIRECT("'Ext Tradable'!$" &amp; 'Ext Tradable'!$AS$23 &amp; BV$9),"")</f>
        <v>0</v>
      </c>
      <c r="BW44" s="700">
        <f ca="1">IF(INDIRECT("'Ext Tradable'!$B" &amp; BW$9)=$B44,INDIRECT("'Ext Tradable'!$" &amp; 'Ext Tradable'!$AS$23 &amp; BW$9),"")</f>
        <v>0</v>
      </c>
      <c r="BX44" s="700">
        <f ca="1">IF(INDIRECT("'Ext Tradable'!$B" &amp; BX$9)=$B44,INDIRECT("'Ext Tradable'!$" &amp; 'Ext Tradable'!$AS$23 &amp; BX$9),"")</f>
        <v>0</v>
      </c>
      <c r="BY44" s="700">
        <f ca="1">IF(INDIRECT("'Ext Tradable'!$B" &amp; BY$9)=$B44,INDIRECT("'Ext Tradable'!$" &amp; 'Ext Tradable'!$AS$23 &amp; BY$9),"")</f>
        <v>0</v>
      </c>
      <c r="BZ44" s="700">
        <f ca="1">IF(INDIRECT("'Ext Tradable'!$B" &amp; BZ$9)=$B44,INDIRECT("'Ext Tradable'!$" &amp; 'Ext Tradable'!$AS$23 &amp; BZ$9),"")</f>
        <v>0</v>
      </c>
      <c r="CA44" s="700">
        <f ca="1">IF(INDIRECT("'Ext Tradable'!$B" &amp; CA$9)=$B44,INDIRECT("'Ext Tradable'!$" &amp; 'Ext Tradable'!$AS$23 &amp; CA$9),"")</f>
        <v>0</v>
      </c>
      <c r="CB44" s="700">
        <f ca="1">IF(INDIRECT("'Ext Tradable'!$B" &amp; CB$9)=$B44,INDIRECT("'Ext Tradable'!$" &amp; 'Ext Tradable'!$AS$23 &amp; CB$9),"")</f>
        <v>0</v>
      </c>
      <c r="CC44" s="700">
        <f ca="1">IF(INDIRECT("'Ext Tradable'!$B" &amp; CC$9)=$B44,INDIRECT("'Ext Tradable'!$" &amp; 'Ext Tradable'!$AS$23 &amp; CC$9),"")</f>
        <v>0</v>
      </c>
      <c r="CD44" s="700">
        <f ca="1">IF(INDIRECT("'Ext Tradable'!$B" &amp; CD$9)=$B44,INDIRECT("'Ext Tradable'!$" &amp; 'Ext Tradable'!$AS$23 &amp; CD$9),"")</f>
        <v>0</v>
      </c>
      <c r="CE44" s="700">
        <f ca="1">IF(INDIRECT("'Ext Tradable'!$B" &amp; CE$9)=$B44,INDIRECT("'Ext Tradable'!$" &amp; 'Ext Tradable'!$AS$23 &amp; CE$9),"")</f>
        <v>0</v>
      </c>
      <c r="CF44" s="700">
        <f ca="1">IF(INDIRECT("'Ext Tradable'!$B" &amp; CF$9)=$B44,INDIRECT("'Ext Tradable'!$" &amp; 'Ext Tradable'!$AS$23 &amp; CF$9),"")</f>
        <v>0</v>
      </c>
      <c r="CG44" s="700">
        <f ca="1">IF(INDIRECT("'Ext Tradable'!$B" &amp; CG$9)=$B44,INDIRECT("'Ext Tradable'!$" &amp; 'Ext Tradable'!$AS$23 &amp; CG$9),"")</f>
        <v>0</v>
      </c>
      <c r="CH44" s="700">
        <f ca="1">IF(INDIRECT("'Ext Tradable'!$B" &amp; CH$9)=$B44,INDIRECT("'Ext Tradable'!$" &amp; 'Ext Tradable'!$AS$23 &amp; CH$9),"")</f>
        <v>0</v>
      </c>
      <c r="CI44" s="700">
        <f ca="1">IF(INDIRECT("'Ext Tradable'!$B" &amp; CI$9)=$B44,INDIRECT("'Ext Tradable'!$" &amp; 'Ext Tradable'!$AS$23 &amp; CI$9),"")</f>
        <v>0</v>
      </c>
      <c r="CJ44" s="700">
        <f ca="1">IF(INDIRECT("'Ext Tradable'!$B" &amp; CJ$9)=$B44,INDIRECT("'Ext Tradable'!$" &amp; 'Ext Tradable'!$AS$23 &amp; CJ$9),"")</f>
        <v>0</v>
      </c>
      <c r="CK44" s="700">
        <f ca="1">IF(INDIRECT("'Ext Tradable'!$B" &amp; CK$9)=$B44,INDIRECT("'Ext Tradable'!$" &amp; 'Ext Tradable'!$AS$23 &amp; CK$9),"")</f>
        <v>0</v>
      </c>
      <c r="CL44" s="700">
        <f ca="1">IF(INDIRECT("'Ext Tradable'!$B" &amp; CL$9)=$B44,INDIRECT("'Ext Tradable'!$" &amp; 'Ext Tradable'!$AS$23 &amp; CL$9),"")</f>
        <v>0</v>
      </c>
      <c r="CM44" s="700">
        <f ca="1">IF(INDIRECT("'Ext Tradable'!$B" &amp; CM$9)=$B44,INDIRECT("'Ext Tradable'!$" &amp; 'Ext Tradable'!$AS$23 &amp; CM$9),"")</f>
        <v>0</v>
      </c>
      <c r="CN44" s="700">
        <f ca="1">IF(INDIRECT("'Ext Tradable'!$B" &amp; CN$9)=$B44,INDIRECT("'Ext Tradable'!$" &amp; 'Ext Tradable'!$AS$23 &amp; CN$9),"")</f>
        <v>0</v>
      </c>
      <c r="CO44" s="700">
        <f ca="1">IF(INDIRECT("'Ext Tradable'!$B" &amp; CO$9)=$B44,INDIRECT("'Ext Tradable'!$" &amp; 'Ext Tradable'!$AS$23 &amp; CO$9),"")</f>
        <v>0</v>
      </c>
      <c r="CP44" s="700">
        <f ca="1">IF(INDIRECT("'Ext Tradable'!$B" &amp; CP$9)=$B44,INDIRECT("'Ext Tradable'!$" &amp; 'Ext Tradable'!$AS$23 &amp; CP$9),"")</f>
        <v>0</v>
      </c>
      <c r="CQ44" s="702" t="str">
        <f t="shared" ca="1" si="25"/>
        <v>000000000000000000000000000000</v>
      </c>
    </row>
    <row r="45" spans="1:95" ht="60" customHeight="1" x14ac:dyDescent="0.25">
      <c r="A45" s="705">
        <v>36</v>
      </c>
      <c r="B45" s="707" t="str">
        <f>'Ext Area Schedule'!Y51</f>
        <v/>
      </c>
      <c r="C45" s="707" t="str">
        <f>VLOOKUP($B45,'Ext Area Schedule'!$Y$16:$AE$65,3,FALSE)</f>
        <v/>
      </c>
      <c r="D45" s="792" t="str">
        <f>VLOOKUP($B45,'Ext Area Schedule'!$Y$16:$AE$65,4,FALSE)</f>
        <v/>
      </c>
      <c r="F45" s="792" t="str">
        <f>VLOOKUP($B45,'Ext Area Schedule'!$Y$16:$AE$65,5,FALSE)</f>
        <v/>
      </c>
      <c r="G45" s="792" t="str">
        <f>VLOOKUP($B45,'Ext Area Schedule'!$Y$16:$AE$65,7,FALSE)</f>
        <v/>
      </c>
      <c r="I45" s="703">
        <f t="shared" si="6"/>
        <v>0</v>
      </c>
      <c r="K45" s="703" t="str">
        <f>IF($B45="","",SUMIFS('Ext Tradable'!$M$26:$M$45,'Ext Tradable'!$B$26:$B$45,$B45,'Ext Tradable'!$O$26:$O$45,"New"))</f>
        <v/>
      </c>
      <c r="L45" s="703" t="str">
        <f>IF($B45="","",SUMIFS('Ext Tradable'!$M$26:$M$45,'Ext Tradable'!$B$26:$B$45,$B45,'Ext Tradable'!$O$26:$O$45,""))</f>
        <v/>
      </c>
      <c r="M45" s="703" t="str">
        <f>IF($B45="","",SUMIFS('Ext Tradable'!$K$26:$K$45,'Ext Tradable'!$B$26:$B$45,$B45,'Ext Tradable'!$O$26:$O$45,"New")+SUMIFS('Ext Tradable'!$K$26:$K$45,'Ext Tradable'!$B$26:$B$45,$B45,'Ext Tradable'!$O$26:$O$45,""))</f>
        <v/>
      </c>
      <c r="N45" s="703" t="str">
        <f>IF($B45="","",SUMIFS('Ext Tradable'!$M$26:$M$45,'Ext Tradable'!$B$26:$B$45,$B45,'Ext Tradable'!$O$26:$O$45,"Existing Remains"))</f>
        <v/>
      </c>
      <c r="O45" s="703" t="str">
        <f>IF($B45="","",SUMIFS('Ext Tradable'!$M$26:$M$45,'Ext Tradable'!$B$26:$B$45,$B45,'Ext Tradable'!$O$26:$O$45,"Existing Removed"))</f>
        <v/>
      </c>
      <c r="P45" s="703" t="str">
        <f>IF($B45="","",SUMIFS('Ext Tradable'!$K$26:$K$45,'Ext Tradable'!$B$26:$B$45,$B45,'Ext Tradable'!$O$26:$O$45,"Existing Removed"))</f>
        <v/>
      </c>
      <c r="Q45" s="703" t="str">
        <f t="shared" si="7"/>
        <v/>
      </c>
      <c r="R45" s="703" t="str">
        <f t="shared" si="8"/>
        <v/>
      </c>
      <c r="S45" s="1123" t="str">
        <f t="shared" si="9"/>
        <v/>
      </c>
      <c r="T45" s="1128" t="str">
        <f t="shared" si="23"/>
        <v/>
      </c>
      <c r="U45" s="711" t="str">
        <f t="shared" si="11"/>
        <v/>
      </c>
      <c r="V45" s="712" t="str">
        <f t="shared" si="12"/>
        <v/>
      </c>
      <c r="W45" s="762"/>
      <c r="X45" s="720" t="str">
        <f t="shared" si="13"/>
        <v/>
      </c>
      <c r="Y45" s="721" t="str">
        <f t="shared" si="14"/>
        <v/>
      </c>
      <c r="Z45" s="721" t="str">
        <f t="shared" si="15"/>
        <v/>
      </c>
      <c r="AA45" s="719" t="str">
        <f t="shared" si="2"/>
        <v/>
      </c>
      <c r="AB45" s="762"/>
      <c r="AC45" s="717" t="str">
        <f t="shared" si="16"/>
        <v/>
      </c>
      <c r="AD45" s="718" t="str">
        <f t="shared" si="17"/>
        <v/>
      </c>
      <c r="AE45" s="719" t="str">
        <f t="shared" si="3"/>
        <v/>
      </c>
      <c r="AF45" s="726"/>
      <c r="AG45" s="727" t="str">
        <f t="shared" si="18"/>
        <v/>
      </c>
      <c r="AH45" s="703" t="str">
        <f t="shared" si="19"/>
        <v/>
      </c>
      <c r="AI45" s="1114">
        <f t="shared" si="20"/>
        <v>0</v>
      </c>
      <c r="AK45" s="791" t="str">
        <f t="shared" si="4"/>
        <v/>
      </c>
      <c r="AL45" s="791" t="str">
        <f t="shared" si="21"/>
        <v/>
      </c>
      <c r="AM45" s="707" t="str">
        <f>IF(OR(AK45="Fail",AK45="Fail LPA",AK45=""),"",IF(AL45&lt;&gt;"#1",VLOOKUP(C45,'9.4.3 Tables'!B$142:O$154,14,FALSE),"No NEW controls required"))</f>
        <v/>
      </c>
      <c r="AN45" s="703">
        <f t="shared" si="22"/>
        <v>0</v>
      </c>
      <c r="AQ45">
        <v>36</v>
      </c>
      <c r="AR45" s="15" t="str">
        <f t="shared" si="24"/>
        <v/>
      </c>
      <c r="AS45" s="700" t="str">
        <f ca="1">IF(INDIRECT("'Ext Tradable'!$B" &amp; AS$9)=$B45,INDIRECT("'Ext Tradable'!$" &amp; 'Ext Tradable'!$AS$23 &amp; AS$9),"")</f>
        <v/>
      </c>
      <c r="AT45" s="700" t="str">
        <f ca="1">IF(INDIRECT("'Ext Tradable'!$B" &amp; AT$9)=$B45,INDIRECT("'Ext Tradable'!$" &amp; 'Ext Tradable'!$AS$23 &amp; AT$9),"")</f>
        <v/>
      </c>
      <c r="AU45" s="700" t="str">
        <f ca="1">IF(INDIRECT("'Ext Tradable'!$B" &amp; AU$9)=$B45,INDIRECT("'Ext Tradable'!$" &amp; 'Ext Tradable'!$AS$23 &amp; AU$9),"")</f>
        <v/>
      </c>
      <c r="AV45" s="700" t="str">
        <f ca="1">IF(INDIRECT("'Ext Tradable'!$B" &amp; AV$9)=$B45,INDIRECT("'Ext Tradable'!$" &amp; 'Ext Tradable'!$AS$23 &amp; AV$9),"")</f>
        <v/>
      </c>
      <c r="AW45" s="700" t="str">
        <f ca="1">IF(INDIRECT("'Ext Tradable'!$B" &amp; AW$9)=$B45,INDIRECT("'Ext Tradable'!$" &amp; 'Ext Tradable'!$AS$23 &amp; AW$9),"")</f>
        <v/>
      </c>
      <c r="AX45" s="700" t="str">
        <f ca="1">IF(INDIRECT("'Ext Tradable'!$B" &amp; AX$9)=$B45,INDIRECT("'Ext Tradable'!$" &amp; 'Ext Tradable'!$AS$23 &amp; AX$9),"")</f>
        <v/>
      </c>
      <c r="AY45" s="700" t="str">
        <f ca="1">IF(INDIRECT("'Ext Tradable'!$B" &amp; AY$9)=$B45,INDIRECT("'Ext Tradable'!$" &amp; 'Ext Tradable'!$AS$23 &amp; AY$9),"")</f>
        <v/>
      </c>
      <c r="AZ45" s="700" t="str">
        <f ca="1">IF(INDIRECT("'Ext Tradable'!$B" &amp; AZ$9)=$B45,INDIRECT("'Ext Tradable'!$" &amp; 'Ext Tradable'!$AS$23 &amp; AZ$9),"")</f>
        <v/>
      </c>
      <c r="BA45" s="700" t="str">
        <f ca="1">IF(INDIRECT("'Ext Tradable'!$B" &amp; BA$9)=$B45,INDIRECT("'Ext Tradable'!$" &amp; 'Ext Tradable'!$AS$23 &amp; BA$9),"")</f>
        <v/>
      </c>
      <c r="BB45" s="700" t="str">
        <f ca="1">IF(INDIRECT("'Ext Tradable'!$B" &amp; BB$9)=$B45,INDIRECT("'Ext Tradable'!$" &amp; 'Ext Tradable'!$AS$23 &amp; BB$9),"")</f>
        <v/>
      </c>
      <c r="BC45" s="700" t="str">
        <f ca="1">IF(INDIRECT("'Ext Tradable'!$B" &amp; BC$9)=$B45,INDIRECT("'Ext Tradable'!$" &amp; 'Ext Tradable'!$AS$23 &amp; BC$9),"")</f>
        <v/>
      </c>
      <c r="BD45" s="700" t="str">
        <f ca="1">IF(INDIRECT("'Ext Tradable'!$B" &amp; BD$9)=$B45,INDIRECT("'Ext Tradable'!$" &amp; 'Ext Tradable'!$AS$23 &amp; BD$9),"")</f>
        <v/>
      </c>
      <c r="BE45" s="700" t="str">
        <f ca="1">IF(INDIRECT("'Ext Tradable'!$B" &amp; BE$9)=$B45,INDIRECT("'Ext Tradable'!$" &amp; 'Ext Tradable'!$AS$23 &amp; BE$9),"")</f>
        <v/>
      </c>
      <c r="BF45" s="700" t="str">
        <f ca="1">IF(INDIRECT("'Ext Tradable'!$B" &amp; BF$9)=$B45,INDIRECT("'Ext Tradable'!$" &amp; 'Ext Tradable'!$AS$23 &amp; BF$9),"")</f>
        <v/>
      </c>
      <c r="BG45" s="700" t="str">
        <f ca="1">IF(INDIRECT("'Ext Tradable'!$B" &amp; BG$9)=$B45,INDIRECT("'Ext Tradable'!$" &amp; 'Ext Tradable'!$AS$23 &amp; BG$9),"")</f>
        <v/>
      </c>
      <c r="BH45" s="700" t="str">
        <f ca="1">IF(INDIRECT("'Ext Tradable'!$B" &amp; BH$9)=$B45,INDIRECT("'Ext Tradable'!$" &amp; 'Ext Tradable'!$AS$23 &amp; BH$9),"")</f>
        <v/>
      </c>
      <c r="BI45" s="700" t="str">
        <f ca="1">IF(INDIRECT("'Ext Tradable'!$B" &amp; BI$9)=$B45,INDIRECT("'Ext Tradable'!$" &amp; 'Ext Tradable'!$AS$23 &amp; BI$9),"")</f>
        <v/>
      </c>
      <c r="BJ45" s="700" t="str">
        <f ca="1">IF(INDIRECT("'Ext Tradable'!$B" &amp; BJ$9)=$B45,INDIRECT("'Ext Tradable'!$" &amp; 'Ext Tradable'!$AS$23 &amp; BJ$9),"")</f>
        <v/>
      </c>
      <c r="BK45" s="700" t="str">
        <f ca="1">IF(INDIRECT("'Ext Tradable'!$B" &amp; BK$9)=$B45,INDIRECT("'Ext Tradable'!$" &amp; 'Ext Tradable'!$AS$23 &amp; BK$9),"")</f>
        <v/>
      </c>
      <c r="BL45" s="700" t="str">
        <f ca="1">IF(INDIRECT("'Ext Tradable'!$B" &amp; BL$9)=$B45,INDIRECT("'Ext Tradable'!$" &amp; 'Ext Tradable'!$AS$23 &amp; BL$9),"")</f>
        <v/>
      </c>
      <c r="BM45" s="700">
        <f ca="1">IF(INDIRECT("'Ext Tradable'!$B" &amp; BM$9)=$B45,INDIRECT("'Ext Tradable'!$" &amp; 'Ext Tradable'!$AS$23 &amp; BM$9),"")</f>
        <v>0</v>
      </c>
      <c r="BN45" s="700">
        <f ca="1">IF(INDIRECT("'Ext Tradable'!$B" &amp; BN$9)=$B45,INDIRECT("'Ext Tradable'!$" &amp; 'Ext Tradable'!$AS$23 &amp; BN$9),"")</f>
        <v>0</v>
      </c>
      <c r="BO45" s="700">
        <f ca="1">IF(INDIRECT("'Ext Tradable'!$B" &amp; BO$9)=$B45,INDIRECT("'Ext Tradable'!$" &amp; 'Ext Tradable'!$AS$23 &amp; BO$9),"")</f>
        <v>0</v>
      </c>
      <c r="BP45" s="700">
        <f ca="1">IF(INDIRECT("'Ext Tradable'!$B" &amp; BP$9)=$B45,INDIRECT("'Ext Tradable'!$" &amp; 'Ext Tradable'!$AS$23 &amp; BP$9),"")</f>
        <v>0</v>
      </c>
      <c r="BQ45" s="700">
        <f ca="1">IF(INDIRECT("'Ext Tradable'!$B" &amp; BQ$9)=$B45,INDIRECT("'Ext Tradable'!$" &amp; 'Ext Tradable'!$AS$23 &amp; BQ$9),"")</f>
        <v>0</v>
      </c>
      <c r="BR45" s="700">
        <f ca="1">IF(INDIRECT("'Ext Tradable'!$B" &amp; BR$9)=$B45,INDIRECT("'Ext Tradable'!$" &amp; 'Ext Tradable'!$AS$23 &amp; BR$9),"")</f>
        <v>0</v>
      </c>
      <c r="BS45" s="700">
        <f ca="1">IF(INDIRECT("'Ext Tradable'!$B" &amp; BS$9)=$B45,INDIRECT("'Ext Tradable'!$" &amp; 'Ext Tradable'!$AS$23 &amp; BS$9),"")</f>
        <v>0</v>
      </c>
      <c r="BT45" s="700">
        <f ca="1">IF(INDIRECT("'Ext Tradable'!$B" &amp; BT$9)=$B45,INDIRECT("'Ext Tradable'!$" &amp; 'Ext Tradable'!$AS$23 &amp; BT$9),"")</f>
        <v>0</v>
      </c>
      <c r="BU45" s="700">
        <f ca="1">IF(INDIRECT("'Ext Tradable'!$B" &amp; BU$9)=$B45,INDIRECT("'Ext Tradable'!$" &amp; 'Ext Tradable'!$AS$23 &amp; BU$9),"")</f>
        <v>0</v>
      </c>
      <c r="BV45" s="700">
        <f ca="1">IF(INDIRECT("'Ext Tradable'!$B" &amp; BV$9)=$B45,INDIRECT("'Ext Tradable'!$" &amp; 'Ext Tradable'!$AS$23 &amp; BV$9),"")</f>
        <v>0</v>
      </c>
      <c r="BW45" s="700">
        <f ca="1">IF(INDIRECT("'Ext Tradable'!$B" &amp; BW$9)=$B45,INDIRECT("'Ext Tradable'!$" &amp; 'Ext Tradable'!$AS$23 &amp; BW$9),"")</f>
        <v>0</v>
      </c>
      <c r="BX45" s="700">
        <f ca="1">IF(INDIRECT("'Ext Tradable'!$B" &amp; BX$9)=$B45,INDIRECT("'Ext Tradable'!$" &amp; 'Ext Tradable'!$AS$23 &amp; BX$9),"")</f>
        <v>0</v>
      </c>
      <c r="BY45" s="700">
        <f ca="1">IF(INDIRECT("'Ext Tradable'!$B" &amp; BY$9)=$B45,INDIRECT("'Ext Tradable'!$" &amp; 'Ext Tradable'!$AS$23 &amp; BY$9),"")</f>
        <v>0</v>
      </c>
      <c r="BZ45" s="700">
        <f ca="1">IF(INDIRECT("'Ext Tradable'!$B" &amp; BZ$9)=$B45,INDIRECT("'Ext Tradable'!$" &amp; 'Ext Tradable'!$AS$23 &amp; BZ$9),"")</f>
        <v>0</v>
      </c>
      <c r="CA45" s="700">
        <f ca="1">IF(INDIRECT("'Ext Tradable'!$B" &amp; CA$9)=$B45,INDIRECT("'Ext Tradable'!$" &amp; 'Ext Tradable'!$AS$23 &amp; CA$9),"")</f>
        <v>0</v>
      </c>
      <c r="CB45" s="700">
        <f ca="1">IF(INDIRECT("'Ext Tradable'!$B" &amp; CB$9)=$B45,INDIRECT("'Ext Tradable'!$" &amp; 'Ext Tradable'!$AS$23 &amp; CB$9),"")</f>
        <v>0</v>
      </c>
      <c r="CC45" s="700">
        <f ca="1">IF(INDIRECT("'Ext Tradable'!$B" &amp; CC$9)=$B45,INDIRECT("'Ext Tradable'!$" &amp; 'Ext Tradable'!$AS$23 &amp; CC$9),"")</f>
        <v>0</v>
      </c>
      <c r="CD45" s="700">
        <f ca="1">IF(INDIRECT("'Ext Tradable'!$B" &amp; CD$9)=$B45,INDIRECT("'Ext Tradable'!$" &amp; 'Ext Tradable'!$AS$23 &amp; CD$9),"")</f>
        <v>0</v>
      </c>
      <c r="CE45" s="700">
        <f ca="1">IF(INDIRECT("'Ext Tradable'!$B" &amp; CE$9)=$B45,INDIRECT("'Ext Tradable'!$" &amp; 'Ext Tradable'!$AS$23 &amp; CE$9),"")</f>
        <v>0</v>
      </c>
      <c r="CF45" s="700">
        <f ca="1">IF(INDIRECT("'Ext Tradable'!$B" &amp; CF$9)=$B45,INDIRECT("'Ext Tradable'!$" &amp; 'Ext Tradable'!$AS$23 &amp; CF$9),"")</f>
        <v>0</v>
      </c>
      <c r="CG45" s="700">
        <f ca="1">IF(INDIRECT("'Ext Tradable'!$B" &amp; CG$9)=$B45,INDIRECT("'Ext Tradable'!$" &amp; 'Ext Tradable'!$AS$23 &amp; CG$9),"")</f>
        <v>0</v>
      </c>
      <c r="CH45" s="700">
        <f ca="1">IF(INDIRECT("'Ext Tradable'!$B" &amp; CH$9)=$B45,INDIRECT("'Ext Tradable'!$" &amp; 'Ext Tradable'!$AS$23 &amp; CH$9),"")</f>
        <v>0</v>
      </c>
      <c r="CI45" s="700">
        <f ca="1">IF(INDIRECT("'Ext Tradable'!$B" &amp; CI$9)=$B45,INDIRECT("'Ext Tradable'!$" &amp; 'Ext Tradable'!$AS$23 &amp; CI$9),"")</f>
        <v>0</v>
      </c>
      <c r="CJ45" s="700">
        <f ca="1">IF(INDIRECT("'Ext Tradable'!$B" &amp; CJ$9)=$B45,INDIRECT("'Ext Tradable'!$" &amp; 'Ext Tradable'!$AS$23 &amp; CJ$9),"")</f>
        <v>0</v>
      </c>
      <c r="CK45" s="700">
        <f ca="1">IF(INDIRECT("'Ext Tradable'!$B" &amp; CK$9)=$B45,INDIRECT("'Ext Tradable'!$" &amp; 'Ext Tradable'!$AS$23 &amp; CK$9),"")</f>
        <v>0</v>
      </c>
      <c r="CL45" s="700">
        <f ca="1">IF(INDIRECT("'Ext Tradable'!$B" &amp; CL$9)=$B45,INDIRECT("'Ext Tradable'!$" &amp; 'Ext Tradable'!$AS$23 &amp; CL$9),"")</f>
        <v>0</v>
      </c>
      <c r="CM45" s="700">
        <f ca="1">IF(INDIRECT("'Ext Tradable'!$B" &amp; CM$9)=$B45,INDIRECT("'Ext Tradable'!$" &amp; 'Ext Tradable'!$AS$23 &amp; CM$9),"")</f>
        <v>0</v>
      </c>
      <c r="CN45" s="700">
        <f ca="1">IF(INDIRECT("'Ext Tradable'!$B" &amp; CN$9)=$B45,INDIRECT("'Ext Tradable'!$" &amp; 'Ext Tradable'!$AS$23 &amp; CN$9),"")</f>
        <v>0</v>
      </c>
      <c r="CO45" s="700">
        <f ca="1">IF(INDIRECT("'Ext Tradable'!$B" &amp; CO$9)=$B45,INDIRECT("'Ext Tradable'!$" &amp; 'Ext Tradable'!$AS$23 &amp; CO$9),"")</f>
        <v>0</v>
      </c>
      <c r="CP45" s="700">
        <f ca="1">IF(INDIRECT("'Ext Tradable'!$B" &amp; CP$9)=$B45,INDIRECT("'Ext Tradable'!$" &amp; 'Ext Tradable'!$AS$23 &amp; CP$9),"")</f>
        <v>0</v>
      </c>
      <c r="CQ45" s="702" t="str">
        <f t="shared" ca="1" si="25"/>
        <v>000000000000000000000000000000</v>
      </c>
    </row>
    <row r="46" spans="1:95" ht="60" customHeight="1" x14ac:dyDescent="0.25">
      <c r="A46" s="705">
        <v>37</v>
      </c>
      <c r="B46" s="707" t="str">
        <f>'Ext Area Schedule'!Y52</f>
        <v/>
      </c>
      <c r="C46" s="707" t="str">
        <f>VLOOKUP($B46,'Ext Area Schedule'!$Y$16:$AE$65,3,FALSE)</f>
        <v/>
      </c>
      <c r="D46" s="792" t="str">
        <f>VLOOKUP($B46,'Ext Area Schedule'!$Y$16:$AE$65,4,FALSE)</f>
        <v/>
      </c>
      <c r="F46" s="792" t="str">
        <f>VLOOKUP($B46,'Ext Area Schedule'!$Y$16:$AE$65,5,FALSE)</f>
        <v/>
      </c>
      <c r="G46" s="792" t="str">
        <f>VLOOKUP($B46,'Ext Area Schedule'!$Y$16:$AE$65,7,FALSE)</f>
        <v/>
      </c>
      <c r="I46" s="703">
        <f t="shared" si="6"/>
        <v>0</v>
      </c>
      <c r="K46" s="703" t="str">
        <f>IF($B46="","",SUMIFS('Ext Tradable'!$M$26:$M$45,'Ext Tradable'!$B$26:$B$45,$B46,'Ext Tradable'!$O$26:$O$45,"New"))</f>
        <v/>
      </c>
      <c r="L46" s="703" t="str">
        <f>IF($B46="","",SUMIFS('Ext Tradable'!$M$26:$M$45,'Ext Tradable'!$B$26:$B$45,$B46,'Ext Tradable'!$O$26:$O$45,""))</f>
        <v/>
      </c>
      <c r="M46" s="703" t="str">
        <f>IF($B46="","",SUMIFS('Ext Tradable'!$K$26:$K$45,'Ext Tradable'!$B$26:$B$45,$B46,'Ext Tradable'!$O$26:$O$45,"New")+SUMIFS('Ext Tradable'!$K$26:$K$45,'Ext Tradable'!$B$26:$B$45,$B46,'Ext Tradable'!$O$26:$O$45,""))</f>
        <v/>
      </c>
      <c r="N46" s="703" t="str">
        <f>IF($B46="","",SUMIFS('Ext Tradable'!$M$26:$M$45,'Ext Tradable'!$B$26:$B$45,$B46,'Ext Tradable'!$O$26:$O$45,"Existing Remains"))</f>
        <v/>
      </c>
      <c r="O46" s="703" t="str">
        <f>IF($B46="","",SUMIFS('Ext Tradable'!$M$26:$M$45,'Ext Tradable'!$B$26:$B$45,$B46,'Ext Tradable'!$O$26:$O$45,"Existing Removed"))</f>
        <v/>
      </c>
      <c r="P46" s="703" t="str">
        <f>IF($B46="","",SUMIFS('Ext Tradable'!$K$26:$K$45,'Ext Tradable'!$B$26:$B$45,$B46,'Ext Tradable'!$O$26:$O$45,"Existing Removed"))</f>
        <v/>
      </c>
      <c r="Q46" s="703" t="str">
        <f t="shared" si="7"/>
        <v/>
      </c>
      <c r="R46" s="703" t="str">
        <f t="shared" si="8"/>
        <v/>
      </c>
      <c r="S46" s="1123" t="str">
        <f t="shared" si="9"/>
        <v/>
      </c>
      <c r="T46" s="1128" t="str">
        <f t="shared" si="23"/>
        <v/>
      </c>
      <c r="U46" s="711" t="str">
        <f t="shared" si="11"/>
        <v/>
      </c>
      <c r="V46" s="712" t="str">
        <f t="shared" si="12"/>
        <v/>
      </c>
      <c r="W46" s="762"/>
      <c r="X46" s="720" t="str">
        <f t="shared" si="13"/>
        <v/>
      </c>
      <c r="Y46" s="721" t="str">
        <f t="shared" si="14"/>
        <v/>
      </c>
      <c r="Z46" s="721" t="str">
        <f t="shared" si="15"/>
        <v/>
      </c>
      <c r="AA46" s="719" t="str">
        <f t="shared" si="2"/>
        <v/>
      </c>
      <c r="AB46" s="762"/>
      <c r="AC46" s="717" t="str">
        <f t="shared" si="16"/>
        <v/>
      </c>
      <c r="AD46" s="718" t="str">
        <f t="shared" si="17"/>
        <v/>
      </c>
      <c r="AE46" s="719" t="str">
        <f t="shared" si="3"/>
        <v/>
      </c>
      <c r="AF46" s="726"/>
      <c r="AG46" s="727" t="str">
        <f t="shared" si="18"/>
        <v/>
      </c>
      <c r="AH46" s="703" t="str">
        <f t="shared" si="19"/>
        <v/>
      </c>
      <c r="AI46" s="1114">
        <f t="shared" si="20"/>
        <v>0</v>
      </c>
      <c r="AK46" s="791" t="str">
        <f t="shared" si="4"/>
        <v/>
      </c>
      <c r="AL46" s="791" t="str">
        <f t="shared" si="21"/>
        <v/>
      </c>
      <c r="AM46" s="707" t="str">
        <f>IF(OR(AK46="Fail",AK46="Fail LPA",AK46=""),"",IF(AL46&lt;&gt;"#1",VLOOKUP(C46,'9.4.3 Tables'!B$142:O$154,14,FALSE),"No NEW controls required"))</f>
        <v/>
      </c>
      <c r="AN46" s="703">
        <f t="shared" si="22"/>
        <v>0</v>
      </c>
      <c r="AQ46">
        <v>37</v>
      </c>
      <c r="AR46" s="15" t="str">
        <f t="shared" si="24"/>
        <v/>
      </c>
      <c r="AS46" s="700" t="str">
        <f ca="1">IF(INDIRECT("'Ext Tradable'!$B" &amp; AS$9)=$B46,INDIRECT("'Ext Tradable'!$" &amp; 'Ext Tradable'!$AS$23 &amp; AS$9),"")</f>
        <v/>
      </c>
      <c r="AT46" s="700" t="str">
        <f ca="1">IF(INDIRECT("'Ext Tradable'!$B" &amp; AT$9)=$B46,INDIRECT("'Ext Tradable'!$" &amp; 'Ext Tradable'!$AS$23 &amp; AT$9),"")</f>
        <v/>
      </c>
      <c r="AU46" s="700" t="str">
        <f ca="1">IF(INDIRECT("'Ext Tradable'!$B" &amp; AU$9)=$B46,INDIRECT("'Ext Tradable'!$" &amp; 'Ext Tradable'!$AS$23 &amp; AU$9),"")</f>
        <v/>
      </c>
      <c r="AV46" s="700" t="str">
        <f ca="1">IF(INDIRECT("'Ext Tradable'!$B" &amp; AV$9)=$B46,INDIRECT("'Ext Tradable'!$" &amp; 'Ext Tradable'!$AS$23 &amp; AV$9),"")</f>
        <v/>
      </c>
      <c r="AW46" s="700" t="str">
        <f ca="1">IF(INDIRECT("'Ext Tradable'!$B" &amp; AW$9)=$B46,INDIRECT("'Ext Tradable'!$" &amp; 'Ext Tradable'!$AS$23 &amp; AW$9),"")</f>
        <v/>
      </c>
      <c r="AX46" s="700" t="str">
        <f ca="1">IF(INDIRECT("'Ext Tradable'!$B" &amp; AX$9)=$B46,INDIRECT("'Ext Tradable'!$" &amp; 'Ext Tradable'!$AS$23 &amp; AX$9),"")</f>
        <v/>
      </c>
      <c r="AY46" s="700" t="str">
        <f ca="1">IF(INDIRECT("'Ext Tradable'!$B" &amp; AY$9)=$B46,INDIRECT("'Ext Tradable'!$" &amp; 'Ext Tradable'!$AS$23 &amp; AY$9),"")</f>
        <v/>
      </c>
      <c r="AZ46" s="700" t="str">
        <f ca="1">IF(INDIRECT("'Ext Tradable'!$B" &amp; AZ$9)=$B46,INDIRECT("'Ext Tradable'!$" &amp; 'Ext Tradable'!$AS$23 &amp; AZ$9),"")</f>
        <v/>
      </c>
      <c r="BA46" s="700" t="str">
        <f ca="1">IF(INDIRECT("'Ext Tradable'!$B" &amp; BA$9)=$B46,INDIRECT("'Ext Tradable'!$" &amp; 'Ext Tradable'!$AS$23 &amp; BA$9),"")</f>
        <v/>
      </c>
      <c r="BB46" s="700" t="str">
        <f ca="1">IF(INDIRECT("'Ext Tradable'!$B" &amp; BB$9)=$B46,INDIRECT("'Ext Tradable'!$" &amp; 'Ext Tradable'!$AS$23 &amp; BB$9),"")</f>
        <v/>
      </c>
      <c r="BC46" s="700" t="str">
        <f ca="1">IF(INDIRECT("'Ext Tradable'!$B" &amp; BC$9)=$B46,INDIRECT("'Ext Tradable'!$" &amp; 'Ext Tradable'!$AS$23 &amp; BC$9),"")</f>
        <v/>
      </c>
      <c r="BD46" s="700" t="str">
        <f ca="1">IF(INDIRECT("'Ext Tradable'!$B" &amp; BD$9)=$B46,INDIRECT("'Ext Tradable'!$" &amp; 'Ext Tradable'!$AS$23 &amp; BD$9),"")</f>
        <v/>
      </c>
      <c r="BE46" s="700" t="str">
        <f ca="1">IF(INDIRECT("'Ext Tradable'!$B" &amp; BE$9)=$B46,INDIRECT("'Ext Tradable'!$" &amp; 'Ext Tradable'!$AS$23 &amp; BE$9),"")</f>
        <v/>
      </c>
      <c r="BF46" s="700" t="str">
        <f ca="1">IF(INDIRECT("'Ext Tradable'!$B" &amp; BF$9)=$B46,INDIRECT("'Ext Tradable'!$" &amp; 'Ext Tradable'!$AS$23 &amp; BF$9),"")</f>
        <v/>
      </c>
      <c r="BG46" s="700" t="str">
        <f ca="1">IF(INDIRECT("'Ext Tradable'!$B" &amp; BG$9)=$B46,INDIRECT("'Ext Tradable'!$" &amp; 'Ext Tradable'!$AS$23 &amp; BG$9),"")</f>
        <v/>
      </c>
      <c r="BH46" s="700" t="str">
        <f ca="1">IF(INDIRECT("'Ext Tradable'!$B" &amp; BH$9)=$B46,INDIRECT("'Ext Tradable'!$" &amp; 'Ext Tradable'!$AS$23 &amp; BH$9),"")</f>
        <v/>
      </c>
      <c r="BI46" s="700" t="str">
        <f ca="1">IF(INDIRECT("'Ext Tradable'!$B" &amp; BI$9)=$B46,INDIRECT("'Ext Tradable'!$" &amp; 'Ext Tradable'!$AS$23 &amp; BI$9),"")</f>
        <v/>
      </c>
      <c r="BJ46" s="700" t="str">
        <f ca="1">IF(INDIRECT("'Ext Tradable'!$B" &amp; BJ$9)=$B46,INDIRECT("'Ext Tradable'!$" &amp; 'Ext Tradable'!$AS$23 &amp; BJ$9),"")</f>
        <v/>
      </c>
      <c r="BK46" s="700" t="str">
        <f ca="1">IF(INDIRECT("'Ext Tradable'!$B" &amp; BK$9)=$B46,INDIRECT("'Ext Tradable'!$" &amp; 'Ext Tradable'!$AS$23 &amp; BK$9),"")</f>
        <v/>
      </c>
      <c r="BL46" s="700" t="str">
        <f ca="1">IF(INDIRECT("'Ext Tradable'!$B" &amp; BL$9)=$B46,INDIRECT("'Ext Tradable'!$" &amp; 'Ext Tradable'!$AS$23 &amp; BL$9),"")</f>
        <v/>
      </c>
      <c r="BM46" s="700">
        <f ca="1">IF(INDIRECT("'Ext Tradable'!$B" &amp; BM$9)=$B46,INDIRECT("'Ext Tradable'!$" &amp; 'Ext Tradable'!$AS$23 &amp; BM$9),"")</f>
        <v>0</v>
      </c>
      <c r="BN46" s="700">
        <f ca="1">IF(INDIRECT("'Ext Tradable'!$B" &amp; BN$9)=$B46,INDIRECT("'Ext Tradable'!$" &amp; 'Ext Tradable'!$AS$23 &amp; BN$9),"")</f>
        <v>0</v>
      </c>
      <c r="BO46" s="700">
        <f ca="1">IF(INDIRECT("'Ext Tradable'!$B" &amp; BO$9)=$B46,INDIRECT("'Ext Tradable'!$" &amp; 'Ext Tradable'!$AS$23 &amp; BO$9),"")</f>
        <v>0</v>
      </c>
      <c r="BP46" s="700">
        <f ca="1">IF(INDIRECT("'Ext Tradable'!$B" &amp; BP$9)=$B46,INDIRECT("'Ext Tradable'!$" &amp; 'Ext Tradable'!$AS$23 &amp; BP$9),"")</f>
        <v>0</v>
      </c>
      <c r="BQ46" s="700">
        <f ca="1">IF(INDIRECT("'Ext Tradable'!$B" &amp; BQ$9)=$B46,INDIRECT("'Ext Tradable'!$" &amp; 'Ext Tradable'!$AS$23 &amp; BQ$9),"")</f>
        <v>0</v>
      </c>
      <c r="BR46" s="700">
        <f ca="1">IF(INDIRECT("'Ext Tradable'!$B" &amp; BR$9)=$B46,INDIRECT("'Ext Tradable'!$" &amp; 'Ext Tradable'!$AS$23 &amp; BR$9),"")</f>
        <v>0</v>
      </c>
      <c r="BS46" s="700">
        <f ca="1">IF(INDIRECT("'Ext Tradable'!$B" &amp; BS$9)=$B46,INDIRECT("'Ext Tradable'!$" &amp; 'Ext Tradable'!$AS$23 &amp; BS$9),"")</f>
        <v>0</v>
      </c>
      <c r="BT46" s="700">
        <f ca="1">IF(INDIRECT("'Ext Tradable'!$B" &amp; BT$9)=$B46,INDIRECT("'Ext Tradable'!$" &amp; 'Ext Tradable'!$AS$23 &amp; BT$9),"")</f>
        <v>0</v>
      </c>
      <c r="BU46" s="700">
        <f ca="1">IF(INDIRECT("'Ext Tradable'!$B" &amp; BU$9)=$B46,INDIRECT("'Ext Tradable'!$" &amp; 'Ext Tradable'!$AS$23 &amp; BU$9),"")</f>
        <v>0</v>
      </c>
      <c r="BV46" s="700">
        <f ca="1">IF(INDIRECT("'Ext Tradable'!$B" &amp; BV$9)=$B46,INDIRECT("'Ext Tradable'!$" &amp; 'Ext Tradable'!$AS$23 &amp; BV$9),"")</f>
        <v>0</v>
      </c>
      <c r="BW46" s="700">
        <f ca="1">IF(INDIRECT("'Ext Tradable'!$B" &amp; BW$9)=$B46,INDIRECT("'Ext Tradable'!$" &amp; 'Ext Tradable'!$AS$23 &amp; BW$9),"")</f>
        <v>0</v>
      </c>
      <c r="BX46" s="700">
        <f ca="1">IF(INDIRECT("'Ext Tradable'!$B" &amp; BX$9)=$B46,INDIRECT("'Ext Tradable'!$" &amp; 'Ext Tradable'!$AS$23 &amp; BX$9),"")</f>
        <v>0</v>
      </c>
      <c r="BY46" s="700">
        <f ca="1">IF(INDIRECT("'Ext Tradable'!$B" &amp; BY$9)=$B46,INDIRECT("'Ext Tradable'!$" &amp; 'Ext Tradable'!$AS$23 &amp; BY$9),"")</f>
        <v>0</v>
      </c>
      <c r="BZ46" s="700">
        <f ca="1">IF(INDIRECT("'Ext Tradable'!$B" &amp; BZ$9)=$B46,INDIRECT("'Ext Tradable'!$" &amp; 'Ext Tradable'!$AS$23 &amp; BZ$9),"")</f>
        <v>0</v>
      </c>
      <c r="CA46" s="700">
        <f ca="1">IF(INDIRECT("'Ext Tradable'!$B" &amp; CA$9)=$B46,INDIRECT("'Ext Tradable'!$" &amp; 'Ext Tradable'!$AS$23 &amp; CA$9),"")</f>
        <v>0</v>
      </c>
      <c r="CB46" s="700">
        <f ca="1">IF(INDIRECT("'Ext Tradable'!$B" &amp; CB$9)=$B46,INDIRECT("'Ext Tradable'!$" &amp; 'Ext Tradable'!$AS$23 &amp; CB$9),"")</f>
        <v>0</v>
      </c>
      <c r="CC46" s="700">
        <f ca="1">IF(INDIRECT("'Ext Tradable'!$B" &amp; CC$9)=$B46,INDIRECT("'Ext Tradable'!$" &amp; 'Ext Tradable'!$AS$23 &amp; CC$9),"")</f>
        <v>0</v>
      </c>
      <c r="CD46" s="700">
        <f ca="1">IF(INDIRECT("'Ext Tradable'!$B" &amp; CD$9)=$B46,INDIRECT("'Ext Tradable'!$" &amp; 'Ext Tradable'!$AS$23 &amp; CD$9),"")</f>
        <v>0</v>
      </c>
      <c r="CE46" s="700">
        <f ca="1">IF(INDIRECT("'Ext Tradable'!$B" &amp; CE$9)=$B46,INDIRECT("'Ext Tradable'!$" &amp; 'Ext Tradable'!$AS$23 &amp; CE$9),"")</f>
        <v>0</v>
      </c>
      <c r="CF46" s="700">
        <f ca="1">IF(INDIRECT("'Ext Tradable'!$B" &amp; CF$9)=$B46,INDIRECT("'Ext Tradable'!$" &amp; 'Ext Tradable'!$AS$23 &amp; CF$9),"")</f>
        <v>0</v>
      </c>
      <c r="CG46" s="700">
        <f ca="1">IF(INDIRECT("'Ext Tradable'!$B" &amp; CG$9)=$B46,INDIRECT("'Ext Tradable'!$" &amp; 'Ext Tradable'!$AS$23 &amp; CG$9),"")</f>
        <v>0</v>
      </c>
      <c r="CH46" s="700">
        <f ca="1">IF(INDIRECT("'Ext Tradable'!$B" &amp; CH$9)=$B46,INDIRECT("'Ext Tradable'!$" &amp; 'Ext Tradable'!$AS$23 &amp; CH$9),"")</f>
        <v>0</v>
      </c>
      <c r="CI46" s="700">
        <f ca="1">IF(INDIRECT("'Ext Tradable'!$B" &amp; CI$9)=$B46,INDIRECT("'Ext Tradable'!$" &amp; 'Ext Tradable'!$AS$23 &amp; CI$9),"")</f>
        <v>0</v>
      </c>
      <c r="CJ46" s="700">
        <f ca="1">IF(INDIRECT("'Ext Tradable'!$B" &amp; CJ$9)=$B46,INDIRECT("'Ext Tradable'!$" &amp; 'Ext Tradable'!$AS$23 &amp; CJ$9),"")</f>
        <v>0</v>
      </c>
      <c r="CK46" s="700">
        <f ca="1">IF(INDIRECT("'Ext Tradable'!$B" &amp; CK$9)=$B46,INDIRECT("'Ext Tradable'!$" &amp; 'Ext Tradable'!$AS$23 &amp; CK$9),"")</f>
        <v>0</v>
      </c>
      <c r="CL46" s="700">
        <f ca="1">IF(INDIRECT("'Ext Tradable'!$B" &amp; CL$9)=$B46,INDIRECT("'Ext Tradable'!$" &amp; 'Ext Tradable'!$AS$23 &amp; CL$9),"")</f>
        <v>0</v>
      </c>
      <c r="CM46" s="700">
        <f ca="1">IF(INDIRECT("'Ext Tradable'!$B" &amp; CM$9)=$B46,INDIRECT("'Ext Tradable'!$" &amp; 'Ext Tradable'!$AS$23 &amp; CM$9),"")</f>
        <v>0</v>
      </c>
      <c r="CN46" s="700">
        <f ca="1">IF(INDIRECT("'Ext Tradable'!$B" &amp; CN$9)=$B46,INDIRECT("'Ext Tradable'!$" &amp; 'Ext Tradable'!$AS$23 &amp; CN$9),"")</f>
        <v>0</v>
      </c>
      <c r="CO46" s="700">
        <f ca="1">IF(INDIRECT("'Ext Tradable'!$B" &amp; CO$9)=$B46,INDIRECT("'Ext Tradable'!$" &amp; 'Ext Tradable'!$AS$23 &amp; CO$9),"")</f>
        <v>0</v>
      </c>
      <c r="CP46" s="700">
        <f ca="1">IF(INDIRECT("'Ext Tradable'!$B" &amp; CP$9)=$B46,INDIRECT("'Ext Tradable'!$" &amp; 'Ext Tradable'!$AS$23 &amp; CP$9),"")</f>
        <v>0</v>
      </c>
      <c r="CQ46" s="702" t="str">
        <f t="shared" ca="1" si="25"/>
        <v>000000000000000000000000000000</v>
      </c>
    </row>
    <row r="47" spans="1:95" ht="60" customHeight="1" x14ac:dyDescent="0.25">
      <c r="A47" s="705">
        <v>38</v>
      </c>
      <c r="B47" s="707" t="str">
        <f>'Ext Area Schedule'!Y53</f>
        <v/>
      </c>
      <c r="C47" s="707" t="str">
        <f>VLOOKUP($B47,'Ext Area Schedule'!$Y$16:$AE$65,3,FALSE)</f>
        <v/>
      </c>
      <c r="D47" s="792" t="str">
        <f>VLOOKUP($B47,'Ext Area Schedule'!$Y$16:$AE$65,4,FALSE)</f>
        <v/>
      </c>
      <c r="F47" s="792" t="str">
        <f>VLOOKUP($B47,'Ext Area Schedule'!$Y$16:$AE$65,5,FALSE)</f>
        <v/>
      </c>
      <c r="G47" s="792" t="str">
        <f>VLOOKUP($B47,'Ext Area Schedule'!$Y$16:$AE$65,7,FALSE)</f>
        <v/>
      </c>
      <c r="I47" s="703">
        <f t="shared" si="6"/>
        <v>0</v>
      </c>
      <c r="K47" s="703" t="str">
        <f>IF($B47="","",SUMIFS('Ext Tradable'!$M$26:$M$45,'Ext Tradable'!$B$26:$B$45,$B47,'Ext Tradable'!$O$26:$O$45,"New"))</f>
        <v/>
      </c>
      <c r="L47" s="703" t="str">
        <f>IF($B47="","",SUMIFS('Ext Tradable'!$M$26:$M$45,'Ext Tradable'!$B$26:$B$45,$B47,'Ext Tradable'!$O$26:$O$45,""))</f>
        <v/>
      </c>
      <c r="M47" s="703" t="str">
        <f>IF($B47="","",SUMIFS('Ext Tradable'!$K$26:$K$45,'Ext Tradable'!$B$26:$B$45,$B47,'Ext Tradable'!$O$26:$O$45,"New")+SUMIFS('Ext Tradable'!$K$26:$K$45,'Ext Tradable'!$B$26:$B$45,$B47,'Ext Tradable'!$O$26:$O$45,""))</f>
        <v/>
      </c>
      <c r="N47" s="703" t="str">
        <f>IF($B47="","",SUMIFS('Ext Tradable'!$M$26:$M$45,'Ext Tradable'!$B$26:$B$45,$B47,'Ext Tradable'!$O$26:$O$45,"Existing Remains"))</f>
        <v/>
      </c>
      <c r="O47" s="703" t="str">
        <f>IF($B47="","",SUMIFS('Ext Tradable'!$M$26:$M$45,'Ext Tradable'!$B$26:$B$45,$B47,'Ext Tradable'!$O$26:$O$45,"Existing Removed"))</f>
        <v/>
      </c>
      <c r="P47" s="703" t="str">
        <f>IF($B47="","",SUMIFS('Ext Tradable'!$K$26:$K$45,'Ext Tradable'!$B$26:$B$45,$B47,'Ext Tradable'!$O$26:$O$45,"Existing Removed"))</f>
        <v/>
      </c>
      <c r="Q47" s="703" t="str">
        <f t="shared" si="7"/>
        <v/>
      </c>
      <c r="R47" s="703" t="str">
        <f t="shared" si="8"/>
        <v/>
      </c>
      <c r="S47" s="1123" t="str">
        <f t="shared" si="9"/>
        <v/>
      </c>
      <c r="T47" s="1128" t="str">
        <f t="shared" si="23"/>
        <v/>
      </c>
      <c r="U47" s="711" t="str">
        <f t="shared" si="11"/>
        <v/>
      </c>
      <c r="V47" s="712" t="str">
        <f t="shared" si="12"/>
        <v/>
      </c>
      <c r="W47" s="762"/>
      <c r="X47" s="720" t="str">
        <f t="shared" si="13"/>
        <v/>
      </c>
      <c r="Y47" s="721" t="str">
        <f t="shared" si="14"/>
        <v/>
      </c>
      <c r="Z47" s="721" t="str">
        <f t="shared" si="15"/>
        <v/>
      </c>
      <c r="AA47" s="719" t="str">
        <f t="shared" si="2"/>
        <v/>
      </c>
      <c r="AB47" s="762"/>
      <c r="AC47" s="717" t="str">
        <f t="shared" si="16"/>
        <v/>
      </c>
      <c r="AD47" s="718" t="str">
        <f t="shared" si="17"/>
        <v/>
      </c>
      <c r="AE47" s="719" t="str">
        <f t="shared" si="3"/>
        <v/>
      </c>
      <c r="AF47" s="726"/>
      <c r="AG47" s="727" t="str">
        <f t="shared" si="18"/>
        <v/>
      </c>
      <c r="AH47" s="703" t="str">
        <f t="shared" si="19"/>
        <v/>
      </c>
      <c r="AI47" s="1114">
        <f t="shared" si="20"/>
        <v>0</v>
      </c>
      <c r="AK47" s="791" t="str">
        <f t="shared" si="4"/>
        <v/>
      </c>
      <c r="AL47" s="791" t="str">
        <f t="shared" si="21"/>
        <v/>
      </c>
      <c r="AM47" s="707" t="str">
        <f>IF(OR(AK47="Fail",AK47="Fail LPA",AK47=""),"",IF(AL47&lt;&gt;"#1",VLOOKUP(C47,'9.4.3 Tables'!B$142:O$154,14,FALSE),"No NEW controls required"))</f>
        <v/>
      </c>
      <c r="AN47" s="703">
        <f t="shared" si="22"/>
        <v>0</v>
      </c>
      <c r="AQ47">
        <v>38</v>
      </c>
      <c r="AR47" s="15" t="str">
        <f t="shared" si="24"/>
        <v/>
      </c>
      <c r="AS47" s="700" t="str">
        <f ca="1">IF(INDIRECT("'Ext Tradable'!$B" &amp; AS$9)=$B47,INDIRECT("'Ext Tradable'!$" &amp; 'Ext Tradable'!$AS$23 &amp; AS$9),"")</f>
        <v/>
      </c>
      <c r="AT47" s="700" t="str">
        <f ca="1">IF(INDIRECT("'Ext Tradable'!$B" &amp; AT$9)=$B47,INDIRECT("'Ext Tradable'!$" &amp; 'Ext Tradable'!$AS$23 &amp; AT$9),"")</f>
        <v/>
      </c>
      <c r="AU47" s="700" t="str">
        <f ca="1">IF(INDIRECT("'Ext Tradable'!$B" &amp; AU$9)=$B47,INDIRECT("'Ext Tradable'!$" &amp; 'Ext Tradable'!$AS$23 &amp; AU$9),"")</f>
        <v/>
      </c>
      <c r="AV47" s="700" t="str">
        <f ca="1">IF(INDIRECT("'Ext Tradable'!$B" &amp; AV$9)=$B47,INDIRECT("'Ext Tradable'!$" &amp; 'Ext Tradable'!$AS$23 &amp; AV$9),"")</f>
        <v/>
      </c>
      <c r="AW47" s="700" t="str">
        <f ca="1">IF(INDIRECT("'Ext Tradable'!$B" &amp; AW$9)=$B47,INDIRECT("'Ext Tradable'!$" &amp; 'Ext Tradable'!$AS$23 &amp; AW$9),"")</f>
        <v/>
      </c>
      <c r="AX47" s="700" t="str">
        <f ca="1">IF(INDIRECT("'Ext Tradable'!$B" &amp; AX$9)=$B47,INDIRECT("'Ext Tradable'!$" &amp; 'Ext Tradable'!$AS$23 &amp; AX$9),"")</f>
        <v/>
      </c>
      <c r="AY47" s="700" t="str">
        <f ca="1">IF(INDIRECT("'Ext Tradable'!$B" &amp; AY$9)=$B47,INDIRECT("'Ext Tradable'!$" &amp; 'Ext Tradable'!$AS$23 &amp; AY$9),"")</f>
        <v/>
      </c>
      <c r="AZ47" s="700" t="str">
        <f ca="1">IF(INDIRECT("'Ext Tradable'!$B" &amp; AZ$9)=$B47,INDIRECT("'Ext Tradable'!$" &amp; 'Ext Tradable'!$AS$23 &amp; AZ$9),"")</f>
        <v/>
      </c>
      <c r="BA47" s="700" t="str">
        <f ca="1">IF(INDIRECT("'Ext Tradable'!$B" &amp; BA$9)=$B47,INDIRECT("'Ext Tradable'!$" &amp; 'Ext Tradable'!$AS$23 &amp; BA$9),"")</f>
        <v/>
      </c>
      <c r="BB47" s="700" t="str">
        <f ca="1">IF(INDIRECT("'Ext Tradable'!$B" &amp; BB$9)=$B47,INDIRECT("'Ext Tradable'!$" &amp; 'Ext Tradable'!$AS$23 &amp; BB$9),"")</f>
        <v/>
      </c>
      <c r="BC47" s="700" t="str">
        <f ca="1">IF(INDIRECT("'Ext Tradable'!$B" &amp; BC$9)=$B47,INDIRECT("'Ext Tradable'!$" &amp; 'Ext Tradable'!$AS$23 &amp; BC$9),"")</f>
        <v/>
      </c>
      <c r="BD47" s="700" t="str">
        <f ca="1">IF(INDIRECT("'Ext Tradable'!$B" &amp; BD$9)=$B47,INDIRECT("'Ext Tradable'!$" &amp; 'Ext Tradable'!$AS$23 &amp; BD$9),"")</f>
        <v/>
      </c>
      <c r="BE47" s="700" t="str">
        <f ca="1">IF(INDIRECT("'Ext Tradable'!$B" &amp; BE$9)=$B47,INDIRECT("'Ext Tradable'!$" &amp; 'Ext Tradable'!$AS$23 &amp; BE$9),"")</f>
        <v/>
      </c>
      <c r="BF47" s="700" t="str">
        <f ca="1">IF(INDIRECT("'Ext Tradable'!$B" &amp; BF$9)=$B47,INDIRECT("'Ext Tradable'!$" &amp; 'Ext Tradable'!$AS$23 &amp; BF$9),"")</f>
        <v/>
      </c>
      <c r="BG47" s="700" t="str">
        <f ca="1">IF(INDIRECT("'Ext Tradable'!$B" &amp; BG$9)=$B47,INDIRECT("'Ext Tradable'!$" &amp; 'Ext Tradable'!$AS$23 &amp; BG$9),"")</f>
        <v/>
      </c>
      <c r="BH47" s="700" t="str">
        <f ca="1">IF(INDIRECT("'Ext Tradable'!$B" &amp; BH$9)=$B47,INDIRECT("'Ext Tradable'!$" &amp; 'Ext Tradable'!$AS$23 &amp; BH$9),"")</f>
        <v/>
      </c>
      <c r="BI47" s="700" t="str">
        <f ca="1">IF(INDIRECT("'Ext Tradable'!$B" &amp; BI$9)=$B47,INDIRECT("'Ext Tradable'!$" &amp; 'Ext Tradable'!$AS$23 &amp; BI$9),"")</f>
        <v/>
      </c>
      <c r="BJ47" s="700" t="str">
        <f ca="1">IF(INDIRECT("'Ext Tradable'!$B" &amp; BJ$9)=$B47,INDIRECT("'Ext Tradable'!$" &amp; 'Ext Tradable'!$AS$23 &amp; BJ$9),"")</f>
        <v/>
      </c>
      <c r="BK47" s="700" t="str">
        <f ca="1">IF(INDIRECT("'Ext Tradable'!$B" &amp; BK$9)=$B47,INDIRECT("'Ext Tradable'!$" &amp; 'Ext Tradable'!$AS$23 &amp; BK$9),"")</f>
        <v/>
      </c>
      <c r="BL47" s="700" t="str">
        <f ca="1">IF(INDIRECT("'Ext Tradable'!$B" &amp; BL$9)=$B47,INDIRECT("'Ext Tradable'!$" &amp; 'Ext Tradable'!$AS$23 &amp; BL$9),"")</f>
        <v/>
      </c>
      <c r="BM47" s="700">
        <f ca="1">IF(INDIRECT("'Ext Tradable'!$B" &amp; BM$9)=$B47,INDIRECT("'Ext Tradable'!$" &amp; 'Ext Tradable'!$AS$23 &amp; BM$9),"")</f>
        <v>0</v>
      </c>
      <c r="BN47" s="700">
        <f ca="1">IF(INDIRECT("'Ext Tradable'!$B" &amp; BN$9)=$B47,INDIRECT("'Ext Tradable'!$" &amp; 'Ext Tradable'!$AS$23 &amp; BN$9),"")</f>
        <v>0</v>
      </c>
      <c r="BO47" s="700">
        <f ca="1">IF(INDIRECT("'Ext Tradable'!$B" &amp; BO$9)=$B47,INDIRECT("'Ext Tradable'!$" &amp; 'Ext Tradable'!$AS$23 &amp; BO$9),"")</f>
        <v>0</v>
      </c>
      <c r="BP47" s="700">
        <f ca="1">IF(INDIRECT("'Ext Tradable'!$B" &amp; BP$9)=$B47,INDIRECT("'Ext Tradable'!$" &amp; 'Ext Tradable'!$AS$23 &amp; BP$9),"")</f>
        <v>0</v>
      </c>
      <c r="BQ47" s="700">
        <f ca="1">IF(INDIRECT("'Ext Tradable'!$B" &amp; BQ$9)=$B47,INDIRECT("'Ext Tradable'!$" &amp; 'Ext Tradable'!$AS$23 &amp; BQ$9),"")</f>
        <v>0</v>
      </c>
      <c r="BR47" s="700">
        <f ca="1">IF(INDIRECT("'Ext Tradable'!$B" &amp; BR$9)=$B47,INDIRECT("'Ext Tradable'!$" &amp; 'Ext Tradable'!$AS$23 &amp; BR$9),"")</f>
        <v>0</v>
      </c>
      <c r="BS47" s="700">
        <f ca="1">IF(INDIRECT("'Ext Tradable'!$B" &amp; BS$9)=$B47,INDIRECT("'Ext Tradable'!$" &amp; 'Ext Tradable'!$AS$23 &amp; BS$9),"")</f>
        <v>0</v>
      </c>
      <c r="BT47" s="700">
        <f ca="1">IF(INDIRECT("'Ext Tradable'!$B" &amp; BT$9)=$B47,INDIRECT("'Ext Tradable'!$" &amp; 'Ext Tradable'!$AS$23 &amp; BT$9),"")</f>
        <v>0</v>
      </c>
      <c r="BU47" s="700">
        <f ca="1">IF(INDIRECT("'Ext Tradable'!$B" &amp; BU$9)=$B47,INDIRECT("'Ext Tradable'!$" &amp; 'Ext Tradable'!$AS$23 &amp; BU$9),"")</f>
        <v>0</v>
      </c>
      <c r="BV47" s="700">
        <f ca="1">IF(INDIRECT("'Ext Tradable'!$B" &amp; BV$9)=$B47,INDIRECT("'Ext Tradable'!$" &amp; 'Ext Tradable'!$AS$23 &amp; BV$9),"")</f>
        <v>0</v>
      </c>
      <c r="BW47" s="700">
        <f ca="1">IF(INDIRECT("'Ext Tradable'!$B" &amp; BW$9)=$B47,INDIRECT("'Ext Tradable'!$" &amp; 'Ext Tradable'!$AS$23 &amp; BW$9),"")</f>
        <v>0</v>
      </c>
      <c r="BX47" s="700">
        <f ca="1">IF(INDIRECT("'Ext Tradable'!$B" &amp; BX$9)=$B47,INDIRECT("'Ext Tradable'!$" &amp; 'Ext Tradable'!$AS$23 &amp; BX$9),"")</f>
        <v>0</v>
      </c>
      <c r="BY47" s="700">
        <f ca="1">IF(INDIRECT("'Ext Tradable'!$B" &amp; BY$9)=$B47,INDIRECT("'Ext Tradable'!$" &amp; 'Ext Tradable'!$AS$23 &amp; BY$9),"")</f>
        <v>0</v>
      </c>
      <c r="BZ47" s="700">
        <f ca="1">IF(INDIRECT("'Ext Tradable'!$B" &amp; BZ$9)=$B47,INDIRECT("'Ext Tradable'!$" &amp; 'Ext Tradable'!$AS$23 &amp; BZ$9),"")</f>
        <v>0</v>
      </c>
      <c r="CA47" s="700">
        <f ca="1">IF(INDIRECT("'Ext Tradable'!$B" &amp; CA$9)=$B47,INDIRECT("'Ext Tradable'!$" &amp; 'Ext Tradable'!$AS$23 &amp; CA$9),"")</f>
        <v>0</v>
      </c>
      <c r="CB47" s="700">
        <f ca="1">IF(INDIRECT("'Ext Tradable'!$B" &amp; CB$9)=$B47,INDIRECT("'Ext Tradable'!$" &amp; 'Ext Tradable'!$AS$23 &amp; CB$9),"")</f>
        <v>0</v>
      </c>
      <c r="CC47" s="700">
        <f ca="1">IF(INDIRECT("'Ext Tradable'!$B" &amp; CC$9)=$B47,INDIRECT("'Ext Tradable'!$" &amp; 'Ext Tradable'!$AS$23 &amp; CC$9),"")</f>
        <v>0</v>
      </c>
      <c r="CD47" s="700">
        <f ca="1">IF(INDIRECT("'Ext Tradable'!$B" &amp; CD$9)=$B47,INDIRECT("'Ext Tradable'!$" &amp; 'Ext Tradable'!$AS$23 &amp; CD$9),"")</f>
        <v>0</v>
      </c>
      <c r="CE47" s="700">
        <f ca="1">IF(INDIRECT("'Ext Tradable'!$B" &amp; CE$9)=$B47,INDIRECT("'Ext Tradable'!$" &amp; 'Ext Tradable'!$AS$23 &amp; CE$9),"")</f>
        <v>0</v>
      </c>
      <c r="CF47" s="700">
        <f ca="1">IF(INDIRECT("'Ext Tradable'!$B" &amp; CF$9)=$B47,INDIRECT("'Ext Tradable'!$" &amp; 'Ext Tradable'!$AS$23 &amp; CF$9),"")</f>
        <v>0</v>
      </c>
      <c r="CG47" s="700">
        <f ca="1">IF(INDIRECT("'Ext Tradable'!$B" &amp; CG$9)=$B47,INDIRECT("'Ext Tradable'!$" &amp; 'Ext Tradable'!$AS$23 &amp; CG$9),"")</f>
        <v>0</v>
      </c>
      <c r="CH47" s="700">
        <f ca="1">IF(INDIRECT("'Ext Tradable'!$B" &amp; CH$9)=$B47,INDIRECT("'Ext Tradable'!$" &amp; 'Ext Tradable'!$AS$23 &amp; CH$9),"")</f>
        <v>0</v>
      </c>
      <c r="CI47" s="700">
        <f ca="1">IF(INDIRECT("'Ext Tradable'!$B" &amp; CI$9)=$B47,INDIRECT("'Ext Tradable'!$" &amp; 'Ext Tradable'!$AS$23 &amp; CI$9),"")</f>
        <v>0</v>
      </c>
      <c r="CJ47" s="700">
        <f ca="1">IF(INDIRECT("'Ext Tradable'!$B" &amp; CJ$9)=$B47,INDIRECT("'Ext Tradable'!$" &amp; 'Ext Tradable'!$AS$23 &amp; CJ$9),"")</f>
        <v>0</v>
      </c>
      <c r="CK47" s="700">
        <f ca="1">IF(INDIRECT("'Ext Tradable'!$B" &amp; CK$9)=$B47,INDIRECT("'Ext Tradable'!$" &amp; 'Ext Tradable'!$AS$23 &amp; CK$9),"")</f>
        <v>0</v>
      </c>
      <c r="CL47" s="700">
        <f ca="1">IF(INDIRECT("'Ext Tradable'!$B" &amp; CL$9)=$B47,INDIRECT("'Ext Tradable'!$" &amp; 'Ext Tradable'!$AS$23 &amp; CL$9),"")</f>
        <v>0</v>
      </c>
      <c r="CM47" s="700">
        <f ca="1">IF(INDIRECT("'Ext Tradable'!$B" &amp; CM$9)=$B47,INDIRECT("'Ext Tradable'!$" &amp; 'Ext Tradable'!$AS$23 &amp; CM$9),"")</f>
        <v>0</v>
      </c>
      <c r="CN47" s="700">
        <f ca="1">IF(INDIRECT("'Ext Tradable'!$B" &amp; CN$9)=$B47,INDIRECT("'Ext Tradable'!$" &amp; 'Ext Tradable'!$AS$23 &amp; CN$9),"")</f>
        <v>0</v>
      </c>
      <c r="CO47" s="700">
        <f ca="1">IF(INDIRECT("'Ext Tradable'!$B" &amp; CO$9)=$B47,INDIRECT("'Ext Tradable'!$" &amp; 'Ext Tradable'!$AS$23 &amp; CO$9),"")</f>
        <v>0</v>
      </c>
      <c r="CP47" s="700">
        <f ca="1">IF(INDIRECT("'Ext Tradable'!$B" &amp; CP$9)=$B47,INDIRECT("'Ext Tradable'!$" &amp; 'Ext Tradable'!$AS$23 &amp; CP$9),"")</f>
        <v>0</v>
      </c>
      <c r="CQ47" s="702" t="str">
        <f t="shared" ca="1" si="25"/>
        <v>000000000000000000000000000000</v>
      </c>
    </row>
    <row r="48" spans="1:95" ht="60" customHeight="1" x14ac:dyDescent="0.25">
      <c r="A48" s="705">
        <v>39</v>
      </c>
      <c r="B48" s="707" t="str">
        <f>'Ext Area Schedule'!Y54</f>
        <v/>
      </c>
      <c r="C48" s="707" t="str">
        <f>VLOOKUP($B48,'Ext Area Schedule'!$Y$16:$AE$65,3,FALSE)</f>
        <v/>
      </c>
      <c r="D48" s="792" t="str">
        <f>VLOOKUP($B48,'Ext Area Schedule'!$Y$16:$AE$65,4,FALSE)</f>
        <v/>
      </c>
      <c r="F48" s="792" t="str">
        <f>VLOOKUP($B48,'Ext Area Schedule'!$Y$16:$AE$65,5,FALSE)</f>
        <v/>
      </c>
      <c r="G48" s="792" t="str">
        <f>VLOOKUP($B48,'Ext Area Schedule'!$Y$16:$AE$65,7,FALSE)</f>
        <v/>
      </c>
      <c r="I48" s="703">
        <f t="shared" si="6"/>
        <v>0</v>
      </c>
      <c r="K48" s="703" t="str">
        <f>IF($B48="","",SUMIFS('Ext Tradable'!$M$26:$M$45,'Ext Tradable'!$B$26:$B$45,$B48,'Ext Tradable'!$O$26:$O$45,"New"))</f>
        <v/>
      </c>
      <c r="L48" s="703" t="str">
        <f>IF($B48="","",SUMIFS('Ext Tradable'!$M$26:$M$45,'Ext Tradable'!$B$26:$B$45,$B48,'Ext Tradable'!$O$26:$O$45,""))</f>
        <v/>
      </c>
      <c r="M48" s="703" t="str">
        <f>IF($B48="","",SUMIFS('Ext Tradable'!$K$26:$K$45,'Ext Tradable'!$B$26:$B$45,$B48,'Ext Tradable'!$O$26:$O$45,"New")+SUMIFS('Ext Tradable'!$K$26:$K$45,'Ext Tradable'!$B$26:$B$45,$B48,'Ext Tradable'!$O$26:$O$45,""))</f>
        <v/>
      </c>
      <c r="N48" s="703" t="str">
        <f>IF($B48="","",SUMIFS('Ext Tradable'!$M$26:$M$45,'Ext Tradable'!$B$26:$B$45,$B48,'Ext Tradable'!$O$26:$O$45,"Existing Remains"))</f>
        <v/>
      </c>
      <c r="O48" s="703" t="str">
        <f>IF($B48="","",SUMIFS('Ext Tradable'!$M$26:$M$45,'Ext Tradable'!$B$26:$B$45,$B48,'Ext Tradable'!$O$26:$O$45,"Existing Removed"))</f>
        <v/>
      </c>
      <c r="P48" s="703" t="str">
        <f>IF($B48="","",SUMIFS('Ext Tradable'!$K$26:$K$45,'Ext Tradable'!$B$26:$B$45,$B48,'Ext Tradable'!$O$26:$O$45,"Existing Removed"))</f>
        <v/>
      </c>
      <c r="Q48" s="703" t="str">
        <f t="shared" si="7"/>
        <v/>
      </c>
      <c r="R48" s="703" t="str">
        <f t="shared" si="8"/>
        <v/>
      </c>
      <c r="S48" s="1123" t="str">
        <f t="shared" si="9"/>
        <v/>
      </c>
      <c r="T48" s="1128" t="str">
        <f t="shared" si="23"/>
        <v/>
      </c>
      <c r="U48" s="711" t="str">
        <f t="shared" si="11"/>
        <v/>
      </c>
      <c r="V48" s="712" t="str">
        <f t="shared" si="12"/>
        <v/>
      </c>
      <c r="W48" s="762"/>
      <c r="X48" s="720" t="str">
        <f t="shared" si="13"/>
        <v/>
      </c>
      <c r="Y48" s="721" t="str">
        <f t="shared" si="14"/>
        <v/>
      </c>
      <c r="Z48" s="721" t="str">
        <f t="shared" si="15"/>
        <v/>
      </c>
      <c r="AA48" s="719" t="str">
        <f t="shared" si="2"/>
        <v/>
      </c>
      <c r="AB48" s="762"/>
      <c r="AC48" s="717" t="str">
        <f t="shared" si="16"/>
        <v/>
      </c>
      <c r="AD48" s="718" t="str">
        <f t="shared" si="17"/>
        <v/>
      </c>
      <c r="AE48" s="719" t="str">
        <f t="shared" si="3"/>
        <v/>
      </c>
      <c r="AF48" s="726"/>
      <c r="AG48" s="727" t="str">
        <f t="shared" si="18"/>
        <v/>
      </c>
      <c r="AH48" s="703" t="str">
        <f t="shared" si="19"/>
        <v/>
      </c>
      <c r="AI48" s="1114">
        <f t="shared" si="20"/>
        <v>0</v>
      </c>
      <c r="AK48" s="791" t="str">
        <f t="shared" si="4"/>
        <v/>
      </c>
      <c r="AL48" s="791" t="str">
        <f t="shared" si="21"/>
        <v/>
      </c>
      <c r="AM48" s="707" t="str">
        <f>IF(OR(AK48="Fail",AK48="Fail LPA",AK48=""),"",IF(AL48&lt;&gt;"#1",VLOOKUP(C48,'9.4.3 Tables'!B$142:O$154,14,FALSE),"No NEW controls required"))</f>
        <v/>
      </c>
      <c r="AN48" s="703">
        <f t="shared" si="22"/>
        <v>0</v>
      </c>
      <c r="AQ48">
        <v>39</v>
      </c>
      <c r="AR48" s="15" t="str">
        <f t="shared" si="24"/>
        <v/>
      </c>
      <c r="AS48" s="700" t="str">
        <f ca="1">IF(INDIRECT("'Ext Tradable'!$B" &amp; AS$9)=$B48,INDIRECT("'Ext Tradable'!$" &amp; 'Ext Tradable'!$AS$23 &amp; AS$9),"")</f>
        <v/>
      </c>
      <c r="AT48" s="700" t="str">
        <f ca="1">IF(INDIRECT("'Ext Tradable'!$B" &amp; AT$9)=$B48,INDIRECT("'Ext Tradable'!$" &amp; 'Ext Tradable'!$AS$23 &amp; AT$9),"")</f>
        <v/>
      </c>
      <c r="AU48" s="700" t="str">
        <f ca="1">IF(INDIRECT("'Ext Tradable'!$B" &amp; AU$9)=$B48,INDIRECT("'Ext Tradable'!$" &amp; 'Ext Tradable'!$AS$23 &amp; AU$9),"")</f>
        <v/>
      </c>
      <c r="AV48" s="700" t="str">
        <f ca="1">IF(INDIRECT("'Ext Tradable'!$B" &amp; AV$9)=$B48,INDIRECT("'Ext Tradable'!$" &amp; 'Ext Tradable'!$AS$23 &amp; AV$9),"")</f>
        <v/>
      </c>
      <c r="AW48" s="700" t="str">
        <f ca="1">IF(INDIRECT("'Ext Tradable'!$B" &amp; AW$9)=$B48,INDIRECT("'Ext Tradable'!$" &amp; 'Ext Tradable'!$AS$23 &amp; AW$9),"")</f>
        <v/>
      </c>
      <c r="AX48" s="700" t="str">
        <f ca="1">IF(INDIRECT("'Ext Tradable'!$B" &amp; AX$9)=$B48,INDIRECT("'Ext Tradable'!$" &amp; 'Ext Tradable'!$AS$23 &amp; AX$9),"")</f>
        <v/>
      </c>
      <c r="AY48" s="700" t="str">
        <f ca="1">IF(INDIRECT("'Ext Tradable'!$B" &amp; AY$9)=$B48,INDIRECT("'Ext Tradable'!$" &amp; 'Ext Tradable'!$AS$23 &amp; AY$9),"")</f>
        <v/>
      </c>
      <c r="AZ48" s="700" t="str">
        <f ca="1">IF(INDIRECT("'Ext Tradable'!$B" &amp; AZ$9)=$B48,INDIRECT("'Ext Tradable'!$" &amp; 'Ext Tradable'!$AS$23 &amp; AZ$9),"")</f>
        <v/>
      </c>
      <c r="BA48" s="700" t="str">
        <f ca="1">IF(INDIRECT("'Ext Tradable'!$B" &amp; BA$9)=$B48,INDIRECT("'Ext Tradable'!$" &amp; 'Ext Tradable'!$AS$23 &amp; BA$9),"")</f>
        <v/>
      </c>
      <c r="BB48" s="700" t="str">
        <f ca="1">IF(INDIRECT("'Ext Tradable'!$B" &amp; BB$9)=$B48,INDIRECT("'Ext Tradable'!$" &amp; 'Ext Tradable'!$AS$23 &amp; BB$9),"")</f>
        <v/>
      </c>
      <c r="BC48" s="700" t="str">
        <f ca="1">IF(INDIRECT("'Ext Tradable'!$B" &amp; BC$9)=$B48,INDIRECT("'Ext Tradable'!$" &amp; 'Ext Tradable'!$AS$23 &amp; BC$9),"")</f>
        <v/>
      </c>
      <c r="BD48" s="700" t="str">
        <f ca="1">IF(INDIRECT("'Ext Tradable'!$B" &amp; BD$9)=$B48,INDIRECT("'Ext Tradable'!$" &amp; 'Ext Tradable'!$AS$23 &amp; BD$9),"")</f>
        <v/>
      </c>
      <c r="BE48" s="700" t="str">
        <f ca="1">IF(INDIRECT("'Ext Tradable'!$B" &amp; BE$9)=$B48,INDIRECT("'Ext Tradable'!$" &amp; 'Ext Tradable'!$AS$23 &amp; BE$9),"")</f>
        <v/>
      </c>
      <c r="BF48" s="700" t="str">
        <f ca="1">IF(INDIRECT("'Ext Tradable'!$B" &amp; BF$9)=$B48,INDIRECT("'Ext Tradable'!$" &amp; 'Ext Tradable'!$AS$23 &amp; BF$9),"")</f>
        <v/>
      </c>
      <c r="BG48" s="700" t="str">
        <f ca="1">IF(INDIRECT("'Ext Tradable'!$B" &amp; BG$9)=$B48,INDIRECT("'Ext Tradable'!$" &amp; 'Ext Tradable'!$AS$23 &amp; BG$9),"")</f>
        <v/>
      </c>
      <c r="BH48" s="700" t="str">
        <f ca="1">IF(INDIRECT("'Ext Tradable'!$B" &amp; BH$9)=$B48,INDIRECT("'Ext Tradable'!$" &amp; 'Ext Tradable'!$AS$23 &amp; BH$9),"")</f>
        <v/>
      </c>
      <c r="BI48" s="700" t="str">
        <f ca="1">IF(INDIRECT("'Ext Tradable'!$B" &amp; BI$9)=$B48,INDIRECT("'Ext Tradable'!$" &amp; 'Ext Tradable'!$AS$23 &amp; BI$9),"")</f>
        <v/>
      </c>
      <c r="BJ48" s="700" t="str">
        <f ca="1">IF(INDIRECT("'Ext Tradable'!$B" &amp; BJ$9)=$B48,INDIRECT("'Ext Tradable'!$" &amp; 'Ext Tradable'!$AS$23 &amp; BJ$9),"")</f>
        <v/>
      </c>
      <c r="BK48" s="700" t="str">
        <f ca="1">IF(INDIRECT("'Ext Tradable'!$B" &amp; BK$9)=$B48,INDIRECT("'Ext Tradable'!$" &amp; 'Ext Tradable'!$AS$23 &amp; BK$9),"")</f>
        <v/>
      </c>
      <c r="BL48" s="700" t="str">
        <f ca="1">IF(INDIRECT("'Ext Tradable'!$B" &amp; BL$9)=$B48,INDIRECT("'Ext Tradable'!$" &amp; 'Ext Tradable'!$AS$23 &amp; BL$9),"")</f>
        <v/>
      </c>
      <c r="BM48" s="700">
        <f ca="1">IF(INDIRECT("'Ext Tradable'!$B" &amp; BM$9)=$B48,INDIRECT("'Ext Tradable'!$" &amp; 'Ext Tradable'!$AS$23 &amp; BM$9),"")</f>
        <v>0</v>
      </c>
      <c r="BN48" s="700">
        <f ca="1">IF(INDIRECT("'Ext Tradable'!$B" &amp; BN$9)=$B48,INDIRECT("'Ext Tradable'!$" &amp; 'Ext Tradable'!$AS$23 &amp; BN$9),"")</f>
        <v>0</v>
      </c>
      <c r="BO48" s="700">
        <f ca="1">IF(INDIRECT("'Ext Tradable'!$B" &amp; BO$9)=$B48,INDIRECT("'Ext Tradable'!$" &amp; 'Ext Tradable'!$AS$23 &amp; BO$9),"")</f>
        <v>0</v>
      </c>
      <c r="BP48" s="700">
        <f ca="1">IF(INDIRECT("'Ext Tradable'!$B" &amp; BP$9)=$B48,INDIRECT("'Ext Tradable'!$" &amp; 'Ext Tradable'!$AS$23 &amp; BP$9),"")</f>
        <v>0</v>
      </c>
      <c r="BQ48" s="700">
        <f ca="1">IF(INDIRECT("'Ext Tradable'!$B" &amp; BQ$9)=$B48,INDIRECT("'Ext Tradable'!$" &amp; 'Ext Tradable'!$AS$23 &amp; BQ$9),"")</f>
        <v>0</v>
      </c>
      <c r="BR48" s="700">
        <f ca="1">IF(INDIRECT("'Ext Tradable'!$B" &amp; BR$9)=$B48,INDIRECT("'Ext Tradable'!$" &amp; 'Ext Tradable'!$AS$23 &amp; BR$9),"")</f>
        <v>0</v>
      </c>
      <c r="BS48" s="700">
        <f ca="1">IF(INDIRECT("'Ext Tradable'!$B" &amp; BS$9)=$B48,INDIRECT("'Ext Tradable'!$" &amp; 'Ext Tradable'!$AS$23 &amp; BS$9),"")</f>
        <v>0</v>
      </c>
      <c r="BT48" s="700">
        <f ca="1">IF(INDIRECT("'Ext Tradable'!$B" &amp; BT$9)=$B48,INDIRECT("'Ext Tradable'!$" &amp; 'Ext Tradable'!$AS$23 &amp; BT$9),"")</f>
        <v>0</v>
      </c>
      <c r="BU48" s="700">
        <f ca="1">IF(INDIRECT("'Ext Tradable'!$B" &amp; BU$9)=$B48,INDIRECT("'Ext Tradable'!$" &amp; 'Ext Tradable'!$AS$23 &amp; BU$9),"")</f>
        <v>0</v>
      </c>
      <c r="BV48" s="700">
        <f ca="1">IF(INDIRECT("'Ext Tradable'!$B" &amp; BV$9)=$B48,INDIRECT("'Ext Tradable'!$" &amp; 'Ext Tradable'!$AS$23 &amp; BV$9),"")</f>
        <v>0</v>
      </c>
      <c r="BW48" s="700">
        <f ca="1">IF(INDIRECT("'Ext Tradable'!$B" &amp; BW$9)=$B48,INDIRECT("'Ext Tradable'!$" &amp; 'Ext Tradable'!$AS$23 &amp; BW$9),"")</f>
        <v>0</v>
      </c>
      <c r="BX48" s="700">
        <f ca="1">IF(INDIRECT("'Ext Tradable'!$B" &amp; BX$9)=$B48,INDIRECT("'Ext Tradable'!$" &amp; 'Ext Tradable'!$AS$23 &amp; BX$9),"")</f>
        <v>0</v>
      </c>
      <c r="BY48" s="700">
        <f ca="1">IF(INDIRECT("'Ext Tradable'!$B" &amp; BY$9)=$B48,INDIRECT("'Ext Tradable'!$" &amp; 'Ext Tradable'!$AS$23 &amp; BY$9),"")</f>
        <v>0</v>
      </c>
      <c r="BZ48" s="700">
        <f ca="1">IF(INDIRECT("'Ext Tradable'!$B" &amp; BZ$9)=$B48,INDIRECT("'Ext Tradable'!$" &amp; 'Ext Tradable'!$AS$23 &amp; BZ$9),"")</f>
        <v>0</v>
      </c>
      <c r="CA48" s="700">
        <f ca="1">IF(INDIRECT("'Ext Tradable'!$B" &amp; CA$9)=$B48,INDIRECT("'Ext Tradable'!$" &amp; 'Ext Tradable'!$AS$23 &amp; CA$9),"")</f>
        <v>0</v>
      </c>
      <c r="CB48" s="700">
        <f ca="1">IF(INDIRECT("'Ext Tradable'!$B" &amp; CB$9)=$B48,INDIRECT("'Ext Tradable'!$" &amp; 'Ext Tradable'!$AS$23 &amp; CB$9),"")</f>
        <v>0</v>
      </c>
      <c r="CC48" s="700">
        <f ca="1">IF(INDIRECT("'Ext Tradable'!$B" &amp; CC$9)=$B48,INDIRECT("'Ext Tradable'!$" &amp; 'Ext Tradable'!$AS$23 &amp; CC$9),"")</f>
        <v>0</v>
      </c>
      <c r="CD48" s="700">
        <f ca="1">IF(INDIRECT("'Ext Tradable'!$B" &amp; CD$9)=$B48,INDIRECT("'Ext Tradable'!$" &amp; 'Ext Tradable'!$AS$23 &amp; CD$9),"")</f>
        <v>0</v>
      </c>
      <c r="CE48" s="700">
        <f ca="1">IF(INDIRECT("'Ext Tradable'!$B" &amp; CE$9)=$B48,INDIRECT("'Ext Tradable'!$" &amp; 'Ext Tradable'!$AS$23 &amp; CE$9),"")</f>
        <v>0</v>
      </c>
      <c r="CF48" s="700">
        <f ca="1">IF(INDIRECT("'Ext Tradable'!$B" &amp; CF$9)=$B48,INDIRECT("'Ext Tradable'!$" &amp; 'Ext Tradable'!$AS$23 &amp; CF$9),"")</f>
        <v>0</v>
      </c>
      <c r="CG48" s="700">
        <f ca="1">IF(INDIRECT("'Ext Tradable'!$B" &amp; CG$9)=$B48,INDIRECT("'Ext Tradable'!$" &amp; 'Ext Tradable'!$AS$23 &amp; CG$9),"")</f>
        <v>0</v>
      </c>
      <c r="CH48" s="700">
        <f ca="1">IF(INDIRECT("'Ext Tradable'!$B" &amp; CH$9)=$B48,INDIRECT("'Ext Tradable'!$" &amp; 'Ext Tradable'!$AS$23 &amp; CH$9),"")</f>
        <v>0</v>
      </c>
      <c r="CI48" s="700">
        <f ca="1">IF(INDIRECT("'Ext Tradable'!$B" &amp; CI$9)=$B48,INDIRECT("'Ext Tradable'!$" &amp; 'Ext Tradable'!$AS$23 &amp; CI$9),"")</f>
        <v>0</v>
      </c>
      <c r="CJ48" s="700">
        <f ca="1">IF(INDIRECT("'Ext Tradable'!$B" &amp; CJ$9)=$B48,INDIRECT("'Ext Tradable'!$" &amp; 'Ext Tradable'!$AS$23 &amp; CJ$9),"")</f>
        <v>0</v>
      </c>
      <c r="CK48" s="700">
        <f ca="1">IF(INDIRECT("'Ext Tradable'!$B" &amp; CK$9)=$B48,INDIRECT("'Ext Tradable'!$" &amp; 'Ext Tradable'!$AS$23 &amp; CK$9),"")</f>
        <v>0</v>
      </c>
      <c r="CL48" s="700">
        <f ca="1">IF(INDIRECT("'Ext Tradable'!$B" &amp; CL$9)=$B48,INDIRECT("'Ext Tradable'!$" &amp; 'Ext Tradable'!$AS$23 &amp; CL$9),"")</f>
        <v>0</v>
      </c>
      <c r="CM48" s="700">
        <f ca="1">IF(INDIRECT("'Ext Tradable'!$B" &amp; CM$9)=$B48,INDIRECT("'Ext Tradable'!$" &amp; 'Ext Tradable'!$AS$23 &amp; CM$9),"")</f>
        <v>0</v>
      </c>
      <c r="CN48" s="700">
        <f ca="1">IF(INDIRECT("'Ext Tradable'!$B" &amp; CN$9)=$B48,INDIRECT("'Ext Tradable'!$" &amp; 'Ext Tradable'!$AS$23 &amp; CN$9),"")</f>
        <v>0</v>
      </c>
      <c r="CO48" s="700">
        <f ca="1">IF(INDIRECT("'Ext Tradable'!$B" &amp; CO$9)=$B48,INDIRECT("'Ext Tradable'!$" &amp; 'Ext Tradable'!$AS$23 &amp; CO$9),"")</f>
        <v>0</v>
      </c>
      <c r="CP48" s="700">
        <f ca="1">IF(INDIRECT("'Ext Tradable'!$B" &amp; CP$9)=$B48,INDIRECT("'Ext Tradable'!$" &amp; 'Ext Tradable'!$AS$23 &amp; CP$9),"")</f>
        <v>0</v>
      </c>
      <c r="CQ48" s="702" t="str">
        <f t="shared" ca="1" si="25"/>
        <v>000000000000000000000000000000</v>
      </c>
    </row>
    <row r="49" spans="1:95" ht="60" customHeight="1" x14ac:dyDescent="0.25">
      <c r="A49" s="705">
        <v>40</v>
      </c>
      <c r="B49" s="707" t="str">
        <f>'Ext Area Schedule'!Y55</f>
        <v/>
      </c>
      <c r="C49" s="707" t="str">
        <f>VLOOKUP($B49,'Ext Area Schedule'!$Y$16:$AE$65,3,FALSE)</f>
        <v/>
      </c>
      <c r="D49" s="792" t="str">
        <f>VLOOKUP($B49,'Ext Area Schedule'!$Y$16:$AE$65,4,FALSE)</f>
        <v/>
      </c>
      <c r="F49" s="792" t="str">
        <f>VLOOKUP($B49,'Ext Area Schedule'!$Y$16:$AE$65,5,FALSE)</f>
        <v/>
      </c>
      <c r="G49" s="792" t="str">
        <f>VLOOKUP($B49,'Ext Area Schedule'!$Y$16:$AE$65,7,FALSE)</f>
        <v/>
      </c>
      <c r="I49" s="703">
        <f t="shared" si="6"/>
        <v>0</v>
      </c>
      <c r="K49" s="703" t="str">
        <f>IF($B49="","",SUMIFS('Ext Tradable'!$M$26:$M$45,'Ext Tradable'!$B$26:$B$45,$B49,'Ext Tradable'!$O$26:$O$45,"New"))</f>
        <v/>
      </c>
      <c r="L49" s="703" t="str">
        <f>IF($B49="","",SUMIFS('Ext Tradable'!$M$26:$M$45,'Ext Tradable'!$B$26:$B$45,$B49,'Ext Tradable'!$O$26:$O$45,""))</f>
        <v/>
      </c>
      <c r="M49" s="703" t="str">
        <f>IF($B49="","",SUMIFS('Ext Tradable'!$K$26:$K$45,'Ext Tradable'!$B$26:$B$45,$B49,'Ext Tradable'!$O$26:$O$45,"New")+SUMIFS('Ext Tradable'!$K$26:$K$45,'Ext Tradable'!$B$26:$B$45,$B49,'Ext Tradable'!$O$26:$O$45,""))</f>
        <v/>
      </c>
      <c r="N49" s="703" t="str">
        <f>IF($B49="","",SUMIFS('Ext Tradable'!$M$26:$M$45,'Ext Tradable'!$B$26:$B$45,$B49,'Ext Tradable'!$O$26:$O$45,"Existing Remains"))</f>
        <v/>
      </c>
      <c r="O49" s="703" t="str">
        <f>IF($B49="","",SUMIFS('Ext Tradable'!$M$26:$M$45,'Ext Tradable'!$B$26:$B$45,$B49,'Ext Tradable'!$O$26:$O$45,"Existing Removed"))</f>
        <v/>
      </c>
      <c r="P49" s="703" t="str">
        <f>IF($B49="","",SUMIFS('Ext Tradable'!$K$26:$K$45,'Ext Tradable'!$B$26:$B$45,$B49,'Ext Tradable'!$O$26:$O$45,"Existing Removed"))</f>
        <v/>
      </c>
      <c r="Q49" s="703" t="str">
        <f t="shared" si="7"/>
        <v/>
      </c>
      <c r="R49" s="703" t="str">
        <f t="shared" si="8"/>
        <v/>
      </c>
      <c r="S49" s="1123" t="str">
        <f t="shared" si="9"/>
        <v/>
      </c>
      <c r="T49" s="1128" t="str">
        <f t="shared" si="23"/>
        <v/>
      </c>
      <c r="U49" s="711" t="str">
        <f t="shared" si="11"/>
        <v/>
      </c>
      <c r="V49" s="712" t="str">
        <f t="shared" si="12"/>
        <v/>
      </c>
      <c r="W49" s="762"/>
      <c r="X49" s="720" t="str">
        <f t="shared" si="13"/>
        <v/>
      </c>
      <c r="Y49" s="721" t="str">
        <f t="shared" si="14"/>
        <v/>
      </c>
      <c r="Z49" s="721" t="str">
        <f t="shared" si="15"/>
        <v/>
      </c>
      <c r="AA49" s="719" t="str">
        <f t="shared" si="2"/>
        <v/>
      </c>
      <c r="AB49" s="762"/>
      <c r="AC49" s="717" t="str">
        <f t="shared" si="16"/>
        <v/>
      </c>
      <c r="AD49" s="718" t="str">
        <f t="shared" si="17"/>
        <v/>
      </c>
      <c r="AE49" s="719" t="str">
        <f t="shared" si="3"/>
        <v/>
      </c>
      <c r="AF49" s="726"/>
      <c r="AG49" s="727" t="str">
        <f t="shared" si="18"/>
        <v/>
      </c>
      <c r="AH49" s="703" t="str">
        <f t="shared" si="19"/>
        <v/>
      </c>
      <c r="AI49" s="1114">
        <f t="shared" si="20"/>
        <v>0</v>
      </c>
      <c r="AK49" s="791" t="str">
        <f t="shared" si="4"/>
        <v/>
      </c>
      <c r="AL49" s="791" t="str">
        <f t="shared" si="21"/>
        <v/>
      </c>
      <c r="AM49" s="707" t="str">
        <f>IF(OR(AK49="Fail",AK49="Fail LPA",AK49=""),"",IF(AL49&lt;&gt;"#1",VLOOKUP(C49,'9.4.3 Tables'!B$142:O$154,14,FALSE),"No NEW controls required"))</f>
        <v/>
      </c>
      <c r="AN49" s="703">
        <f t="shared" si="22"/>
        <v>0</v>
      </c>
      <c r="AQ49">
        <v>40</v>
      </c>
      <c r="AR49" s="15" t="str">
        <f t="shared" si="24"/>
        <v/>
      </c>
      <c r="AS49" s="700" t="str">
        <f ca="1">IF(INDIRECT("'Ext Tradable'!$B" &amp; AS$9)=$B49,INDIRECT("'Ext Tradable'!$" &amp; 'Ext Tradable'!$AS$23 &amp; AS$9),"")</f>
        <v/>
      </c>
      <c r="AT49" s="700" t="str">
        <f ca="1">IF(INDIRECT("'Ext Tradable'!$B" &amp; AT$9)=$B49,INDIRECT("'Ext Tradable'!$" &amp; 'Ext Tradable'!$AS$23 &amp; AT$9),"")</f>
        <v/>
      </c>
      <c r="AU49" s="700" t="str">
        <f ca="1">IF(INDIRECT("'Ext Tradable'!$B" &amp; AU$9)=$B49,INDIRECT("'Ext Tradable'!$" &amp; 'Ext Tradable'!$AS$23 &amp; AU$9),"")</f>
        <v/>
      </c>
      <c r="AV49" s="700" t="str">
        <f ca="1">IF(INDIRECT("'Ext Tradable'!$B" &amp; AV$9)=$B49,INDIRECT("'Ext Tradable'!$" &amp; 'Ext Tradable'!$AS$23 &amp; AV$9),"")</f>
        <v/>
      </c>
      <c r="AW49" s="700" t="str">
        <f ca="1">IF(INDIRECT("'Ext Tradable'!$B" &amp; AW$9)=$B49,INDIRECT("'Ext Tradable'!$" &amp; 'Ext Tradable'!$AS$23 &amp; AW$9),"")</f>
        <v/>
      </c>
      <c r="AX49" s="700" t="str">
        <f ca="1">IF(INDIRECT("'Ext Tradable'!$B" &amp; AX$9)=$B49,INDIRECT("'Ext Tradable'!$" &amp; 'Ext Tradable'!$AS$23 &amp; AX$9),"")</f>
        <v/>
      </c>
      <c r="AY49" s="700" t="str">
        <f ca="1">IF(INDIRECT("'Ext Tradable'!$B" &amp; AY$9)=$B49,INDIRECT("'Ext Tradable'!$" &amp; 'Ext Tradable'!$AS$23 &amp; AY$9),"")</f>
        <v/>
      </c>
      <c r="AZ49" s="700" t="str">
        <f ca="1">IF(INDIRECT("'Ext Tradable'!$B" &amp; AZ$9)=$B49,INDIRECT("'Ext Tradable'!$" &amp; 'Ext Tradable'!$AS$23 &amp; AZ$9),"")</f>
        <v/>
      </c>
      <c r="BA49" s="700" t="str">
        <f ca="1">IF(INDIRECT("'Ext Tradable'!$B" &amp; BA$9)=$B49,INDIRECT("'Ext Tradable'!$" &amp; 'Ext Tradable'!$AS$23 &amp; BA$9),"")</f>
        <v/>
      </c>
      <c r="BB49" s="700" t="str">
        <f ca="1">IF(INDIRECT("'Ext Tradable'!$B" &amp; BB$9)=$B49,INDIRECT("'Ext Tradable'!$" &amp; 'Ext Tradable'!$AS$23 &amp; BB$9),"")</f>
        <v/>
      </c>
      <c r="BC49" s="700" t="str">
        <f ca="1">IF(INDIRECT("'Ext Tradable'!$B" &amp; BC$9)=$B49,INDIRECT("'Ext Tradable'!$" &amp; 'Ext Tradable'!$AS$23 &amp; BC$9),"")</f>
        <v/>
      </c>
      <c r="BD49" s="700" t="str">
        <f ca="1">IF(INDIRECT("'Ext Tradable'!$B" &amp; BD$9)=$B49,INDIRECT("'Ext Tradable'!$" &amp; 'Ext Tradable'!$AS$23 &amp; BD$9),"")</f>
        <v/>
      </c>
      <c r="BE49" s="700" t="str">
        <f ca="1">IF(INDIRECT("'Ext Tradable'!$B" &amp; BE$9)=$B49,INDIRECT("'Ext Tradable'!$" &amp; 'Ext Tradable'!$AS$23 &amp; BE$9),"")</f>
        <v/>
      </c>
      <c r="BF49" s="700" t="str">
        <f ca="1">IF(INDIRECT("'Ext Tradable'!$B" &amp; BF$9)=$B49,INDIRECT("'Ext Tradable'!$" &amp; 'Ext Tradable'!$AS$23 &amp; BF$9),"")</f>
        <v/>
      </c>
      <c r="BG49" s="700" t="str">
        <f ca="1">IF(INDIRECT("'Ext Tradable'!$B" &amp; BG$9)=$B49,INDIRECT("'Ext Tradable'!$" &amp; 'Ext Tradable'!$AS$23 &amp; BG$9),"")</f>
        <v/>
      </c>
      <c r="BH49" s="700" t="str">
        <f ca="1">IF(INDIRECT("'Ext Tradable'!$B" &amp; BH$9)=$B49,INDIRECT("'Ext Tradable'!$" &amp; 'Ext Tradable'!$AS$23 &amp; BH$9),"")</f>
        <v/>
      </c>
      <c r="BI49" s="700" t="str">
        <f ca="1">IF(INDIRECT("'Ext Tradable'!$B" &amp; BI$9)=$B49,INDIRECT("'Ext Tradable'!$" &amp; 'Ext Tradable'!$AS$23 &amp; BI$9),"")</f>
        <v/>
      </c>
      <c r="BJ49" s="700" t="str">
        <f ca="1">IF(INDIRECT("'Ext Tradable'!$B" &amp; BJ$9)=$B49,INDIRECT("'Ext Tradable'!$" &amp; 'Ext Tradable'!$AS$23 &amp; BJ$9),"")</f>
        <v/>
      </c>
      <c r="BK49" s="700" t="str">
        <f ca="1">IF(INDIRECT("'Ext Tradable'!$B" &amp; BK$9)=$B49,INDIRECT("'Ext Tradable'!$" &amp; 'Ext Tradable'!$AS$23 &amp; BK$9),"")</f>
        <v/>
      </c>
      <c r="BL49" s="700" t="str">
        <f ca="1">IF(INDIRECT("'Ext Tradable'!$B" &amp; BL$9)=$B49,INDIRECT("'Ext Tradable'!$" &amp; 'Ext Tradable'!$AS$23 &amp; BL$9),"")</f>
        <v/>
      </c>
      <c r="BM49" s="700">
        <f ca="1">IF(INDIRECT("'Ext Tradable'!$B" &amp; BM$9)=$B49,INDIRECT("'Ext Tradable'!$" &amp; 'Ext Tradable'!$AS$23 &amp; BM$9),"")</f>
        <v>0</v>
      </c>
      <c r="BN49" s="700">
        <f ca="1">IF(INDIRECT("'Ext Tradable'!$B" &amp; BN$9)=$B49,INDIRECT("'Ext Tradable'!$" &amp; 'Ext Tradable'!$AS$23 &amp; BN$9),"")</f>
        <v>0</v>
      </c>
      <c r="BO49" s="700">
        <f ca="1">IF(INDIRECT("'Ext Tradable'!$B" &amp; BO$9)=$B49,INDIRECT("'Ext Tradable'!$" &amp; 'Ext Tradable'!$AS$23 &amp; BO$9),"")</f>
        <v>0</v>
      </c>
      <c r="BP49" s="700">
        <f ca="1">IF(INDIRECT("'Ext Tradable'!$B" &amp; BP$9)=$B49,INDIRECT("'Ext Tradable'!$" &amp; 'Ext Tradable'!$AS$23 &amp; BP$9),"")</f>
        <v>0</v>
      </c>
      <c r="BQ49" s="700">
        <f ca="1">IF(INDIRECT("'Ext Tradable'!$B" &amp; BQ$9)=$B49,INDIRECT("'Ext Tradable'!$" &amp; 'Ext Tradable'!$AS$23 &amp; BQ$9),"")</f>
        <v>0</v>
      </c>
      <c r="BR49" s="700">
        <f ca="1">IF(INDIRECT("'Ext Tradable'!$B" &amp; BR$9)=$B49,INDIRECT("'Ext Tradable'!$" &amp; 'Ext Tradable'!$AS$23 &amp; BR$9),"")</f>
        <v>0</v>
      </c>
      <c r="BS49" s="700">
        <f ca="1">IF(INDIRECT("'Ext Tradable'!$B" &amp; BS$9)=$B49,INDIRECT("'Ext Tradable'!$" &amp; 'Ext Tradable'!$AS$23 &amp; BS$9),"")</f>
        <v>0</v>
      </c>
      <c r="BT49" s="700">
        <f ca="1">IF(INDIRECT("'Ext Tradable'!$B" &amp; BT$9)=$B49,INDIRECT("'Ext Tradable'!$" &amp; 'Ext Tradable'!$AS$23 &amp; BT$9),"")</f>
        <v>0</v>
      </c>
      <c r="BU49" s="700">
        <f ca="1">IF(INDIRECT("'Ext Tradable'!$B" &amp; BU$9)=$B49,INDIRECT("'Ext Tradable'!$" &amp; 'Ext Tradable'!$AS$23 &amp; BU$9),"")</f>
        <v>0</v>
      </c>
      <c r="BV49" s="700">
        <f ca="1">IF(INDIRECT("'Ext Tradable'!$B" &amp; BV$9)=$B49,INDIRECT("'Ext Tradable'!$" &amp; 'Ext Tradable'!$AS$23 &amp; BV$9),"")</f>
        <v>0</v>
      </c>
      <c r="BW49" s="700">
        <f ca="1">IF(INDIRECT("'Ext Tradable'!$B" &amp; BW$9)=$B49,INDIRECT("'Ext Tradable'!$" &amp; 'Ext Tradable'!$AS$23 &amp; BW$9),"")</f>
        <v>0</v>
      </c>
      <c r="BX49" s="700">
        <f ca="1">IF(INDIRECT("'Ext Tradable'!$B" &amp; BX$9)=$B49,INDIRECT("'Ext Tradable'!$" &amp; 'Ext Tradable'!$AS$23 &amp; BX$9),"")</f>
        <v>0</v>
      </c>
      <c r="BY49" s="700">
        <f ca="1">IF(INDIRECT("'Ext Tradable'!$B" &amp; BY$9)=$B49,INDIRECT("'Ext Tradable'!$" &amp; 'Ext Tradable'!$AS$23 &amp; BY$9),"")</f>
        <v>0</v>
      </c>
      <c r="BZ49" s="700">
        <f ca="1">IF(INDIRECT("'Ext Tradable'!$B" &amp; BZ$9)=$B49,INDIRECT("'Ext Tradable'!$" &amp; 'Ext Tradable'!$AS$23 &amp; BZ$9),"")</f>
        <v>0</v>
      </c>
      <c r="CA49" s="700">
        <f ca="1">IF(INDIRECT("'Ext Tradable'!$B" &amp; CA$9)=$B49,INDIRECT("'Ext Tradable'!$" &amp; 'Ext Tradable'!$AS$23 &amp; CA$9),"")</f>
        <v>0</v>
      </c>
      <c r="CB49" s="700">
        <f ca="1">IF(INDIRECT("'Ext Tradable'!$B" &amp; CB$9)=$B49,INDIRECT("'Ext Tradable'!$" &amp; 'Ext Tradable'!$AS$23 &amp; CB$9),"")</f>
        <v>0</v>
      </c>
      <c r="CC49" s="700">
        <f ca="1">IF(INDIRECT("'Ext Tradable'!$B" &amp; CC$9)=$B49,INDIRECT("'Ext Tradable'!$" &amp; 'Ext Tradable'!$AS$23 &amp; CC$9),"")</f>
        <v>0</v>
      </c>
      <c r="CD49" s="700">
        <f ca="1">IF(INDIRECT("'Ext Tradable'!$B" &amp; CD$9)=$B49,INDIRECT("'Ext Tradable'!$" &amp; 'Ext Tradable'!$AS$23 &amp; CD$9),"")</f>
        <v>0</v>
      </c>
      <c r="CE49" s="700">
        <f ca="1">IF(INDIRECT("'Ext Tradable'!$B" &amp; CE$9)=$B49,INDIRECT("'Ext Tradable'!$" &amp; 'Ext Tradable'!$AS$23 &amp; CE$9),"")</f>
        <v>0</v>
      </c>
      <c r="CF49" s="700">
        <f ca="1">IF(INDIRECT("'Ext Tradable'!$B" &amp; CF$9)=$B49,INDIRECT("'Ext Tradable'!$" &amp; 'Ext Tradable'!$AS$23 &amp; CF$9),"")</f>
        <v>0</v>
      </c>
      <c r="CG49" s="700">
        <f ca="1">IF(INDIRECT("'Ext Tradable'!$B" &amp; CG$9)=$B49,INDIRECT("'Ext Tradable'!$" &amp; 'Ext Tradable'!$AS$23 &amp; CG$9),"")</f>
        <v>0</v>
      </c>
      <c r="CH49" s="700">
        <f ca="1">IF(INDIRECT("'Ext Tradable'!$B" &amp; CH$9)=$B49,INDIRECT("'Ext Tradable'!$" &amp; 'Ext Tradable'!$AS$23 &amp; CH$9),"")</f>
        <v>0</v>
      </c>
      <c r="CI49" s="700">
        <f ca="1">IF(INDIRECT("'Ext Tradable'!$B" &amp; CI$9)=$B49,INDIRECT("'Ext Tradable'!$" &amp; 'Ext Tradable'!$AS$23 &amp; CI$9),"")</f>
        <v>0</v>
      </c>
      <c r="CJ49" s="700">
        <f ca="1">IF(INDIRECT("'Ext Tradable'!$B" &amp; CJ$9)=$B49,INDIRECT("'Ext Tradable'!$" &amp; 'Ext Tradable'!$AS$23 &amp; CJ$9),"")</f>
        <v>0</v>
      </c>
      <c r="CK49" s="700">
        <f ca="1">IF(INDIRECT("'Ext Tradable'!$B" &amp; CK$9)=$B49,INDIRECT("'Ext Tradable'!$" &amp; 'Ext Tradable'!$AS$23 &amp; CK$9),"")</f>
        <v>0</v>
      </c>
      <c r="CL49" s="700">
        <f ca="1">IF(INDIRECT("'Ext Tradable'!$B" &amp; CL$9)=$B49,INDIRECT("'Ext Tradable'!$" &amp; 'Ext Tradable'!$AS$23 &amp; CL$9),"")</f>
        <v>0</v>
      </c>
      <c r="CM49" s="700">
        <f ca="1">IF(INDIRECT("'Ext Tradable'!$B" &amp; CM$9)=$B49,INDIRECT("'Ext Tradable'!$" &amp; 'Ext Tradable'!$AS$23 &amp; CM$9),"")</f>
        <v>0</v>
      </c>
      <c r="CN49" s="700">
        <f ca="1">IF(INDIRECT("'Ext Tradable'!$B" &amp; CN$9)=$B49,INDIRECT("'Ext Tradable'!$" &amp; 'Ext Tradable'!$AS$23 &amp; CN$9),"")</f>
        <v>0</v>
      </c>
      <c r="CO49" s="700">
        <f ca="1">IF(INDIRECT("'Ext Tradable'!$B" &amp; CO$9)=$B49,INDIRECT("'Ext Tradable'!$" &amp; 'Ext Tradable'!$AS$23 &amp; CO$9),"")</f>
        <v>0</v>
      </c>
      <c r="CP49" s="700">
        <f ca="1">IF(INDIRECT("'Ext Tradable'!$B" &amp; CP$9)=$B49,INDIRECT("'Ext Tradable'!$" &amp; 'Ext Tradable'!$AS$23 &amp; CP$9),"")</f>
        <v>0</v>
      </c>
      <c r="CQ49" s="702" t="str">
        <f t="shared" ca="1" si="25"/>
        <v>000000000000000000000000000000</v>
      </c>
    </row>
    <row r="50" spans="1:95" ht="60" customHeight="1" x14ac:dyDescent="0.25">
      <c r="A50" s="705">
        <v>41</v>
      </c>
      <c r="B50" s="707" t="str">
        <f>'Ext Area Schedule'!Y56</f>
        <v/>
      </c>
      <c r="C50" s="707" t="str">
        <f>VLOOKUP($B50,'Ext Area Schedule'!$Y$16:$AE$65,3,FALSE)</f>
        <v/>
      </c>
      <c r="D50" s="792" t="str">
        <f>VLOOKUP($B50,'Ext Area Schedule'!$Y$16:$AE$65,4,FALSE)</f>
        <v/>
      </c>
      <c r="F50" s="792" t="str">
        <f>VLOOKUP($B50,'Ext Area Schedule'!$Y$16:$AE$65,5,FALSE)</f>
        <v/>
      </c>
      <c r="G50" s="792" t="str">
        <f>VLOOKUP($B50,'Ext Area Schedule'!$Y$16:$AE$65,7,FALSE)</f>
        <v/>
      </c>
      <c r="I50" s="703">
        <f t="shared" si="6"/>
        <v>0</v>
      </c>
      <c r="K50" s="703" t="str">
        <f>IF($B50="","",SUMIFS('Ext Tradable'!$M$26:$M$45,'Ext Tradable'!$B$26:$B$45,$B50,'Ext Tradable'!$O$26:$O$45,"New"))</f>
        <v/>
      </c>
      <c r="L50" s="703" t="str">
        <f>IF($B50="","",SUMIFS('Ext Tradable'!$M$26:$M$45,'Ext Tradable'!$B$26:$B$45,$B50,'Ext Tradable'!$O$26:$O$45,""))</f>
        <v/>
      </c>
      <c r="M50" s="703" t="str">
        <f>IF($B50="","",SUMIFS('Ext Tradable'!$K$26:$K$45,'Ext Tradable'!$B$26:$B$45,$B50,'Ext Tradable'!$O$26:$O$45,"New")+SUMIFS('Ext Tradable'!$K$26:$K$45,'Ext Tradable'!$B$26:$B$45,$B50,'Ext Tradable'!$O$26:$O$45,""))</f>
        <v/>
      </c>
      <c r="N50" s="703" t="str">
        <f>IF($B50="","",SUMIFS('Ext Tradable'!$M$26:$M$45,'Ext Tradable'!$B$26:$B$45,$B50,'Ext Tradable'!$O$26:$O$45,"Existing Remains"))</f>
        <v/>
      </c>
      <c r="O50" s="703" t="str">
        <f>IF($B50="","",SUMIFS('Ext Tradable'!$M$26:$M$45,'Ext Tradable'!$B$26:$B$45,$B50,'Ext Tradable'!$O$26:$O$45,"Existing Removed"))</f>
        <v/>
      </c>
      <c r="P50" s="703" t="str">
        <f>IF($B50="","",SUMIFS('Ext Tradable'!$K$26:$K$45,'Ext Tradable'!$B$26:$B$45,$B50,'Ext Tradable'!$O$26:$O$45,"Existing Removed"))</f>
        <v/>
      </c>
      <c r="Q50" s="703" t="str">
        <f t="shared" si="7"/>
        <v/>
      </c>
      <c r="R50" s="703" t="str">
        <f t="shared" si="8"/>
        <v/>
      </c>
      <c r="S50" s="1123" t="str">
        <f t="shared" si="9"/>
        <v/>
      </c>
      <c r="T50" s="1128" t="str">
        <f t="shared" si="23"/>
        <v/>
      </c>
      <c r="U50" s="711" t="str">
        <f t="shared" si="11"/>
        <v/>
      </c>
      <c r="V50" s="712" t="str">
        <f t="shared" si="12"/>
        <v/>
      </c>
      <c r="W50" s="762"/>
      <c r="X50" s="720" t="str">
        <f t="shared" si="13"/>
        <v/>
      </c>
      <c r="Y50" s="721" t="str">
        <f t="shared" si="14"/>
        <v/>
      </c>
      <c r="Z50" s="721" t="str">
        <f t="shared" si="15"/>
        <v/>
      </c>
      <c r="AA50" s="719" t="str">
        <f t="shared" si="2"/>
        <v/>
      </c>
      <c r="AB50" s="762"/>
      <c r="AC50" s="717" t="str">
        <f t="shared" si="16"/>
        <v/>
      </c>
      <c r="AD50" s="718" t="str">
        <f t="shared" si="17"/>
        <v/>
      </c>
      <c r="AE50" s="719" t="str">
        <f t="shared" si="3"/>
        <v/>
      </c>
      <c r="AF50" s="726"/>
      <c r="AG50" s="727" t="str">
        <f t="shared" si="18"/>
        <v/>
      </c>
      <c r="AH50" s="703" t="str">
        <f t="shared" si="19"/>
        <v/>
      </c>
      <c r="AI50" s="1114">
        <f t="shared" si="20"/>
        <v>0</v>
      </c>
      <c r="AK50" s="791" t="str">
        <f t="shared" si="4"/>
        <v/>
      </c>
      <c r="AL50" s="791" t="str">
        <f t="shared" si="21"/>
        <v/>
      </c>
      <c r="AM50" s="707" t="str">
        <f>IF(OR(AK50="Fail",AK50="Fail LPA",AK50=""),"",IF(AL50&lt;&gt;"#1",VLOOKUP(C50,'9.4.3 Tables'!B$142:O$154,14,FALSE),"No NEW controls required"))</f>
        <v/>
      </c>
      <c r="AN50" s="703">
        <f t="shared" si="22"/>
        <v>0</v>
      </c>
      <c r="AQ50">
        <v>41</v>
      </c>
      <c r="AR50" s="15" t="str">
        <f t="shared" si="24"/>
        <v/>
      </c>
      <c r="AS50" s="700" t="str">
        <f ca="1">IF(INDIRECT("'Ext Tradable'!$B" &amp; AS$9)=$B50,INDIRECT("'Ext Tradable'!$" &amp; 'Ext Tradable'!$AS$23 &amp; AS$9),"")</f>
        <v/>
      </c>
      <c r="AT50" s="700" t="str">
        <f ca="1">IF(INDIRECT("'Ext Tradable'!$B" &amp; AT$9)=$B50,INDIRECT("'Ext Tradable'!$" &amp; 'Ext Tradable'!$AS$23 &amp; AT$9),"")</f>
        <v/>
      </c>
      <c r="AU50" s="700" t="str">
        <f ca="1">IF(INDIRECT("'Ext Tradable'!$B" &amp; AU$9)=$B50,INDIRECT("'Ext Tradable'!$" &amp; 'Ext Tradable'!$AS$23 &amp; AU$9),"")</f>
        <v/>
      </c>
      <c r="AV50" s="700" t="str">
        <f ca="1">IF(INDIRECT("'Ext Tradable'!$B" &amp; AV$9)=$B50,INDIRECT("'Ext Tradable'!$" &amp; 'Ext Tradable'!$AS$23 &amp; AV$9),"")</f>
        <v/>
      </c>
      <c r="AW50" s="700" t="str">
        <f ca="1">IF(INDIRECT("'Ext Tradable'!$B" &amp; AW$9)=$B50,INDIRECT("'Ext Tradable'!$" &amp; 'Ext Tradable'!$AS$23 &amp; AW$9),"")</f>
        <v/>
      </c>
      <c r="AX50" s="700" t="str">
        <f ca="1">IF(INDIRECT("'Ext Tradable'!$B" &amp; AX$9)=$B50,INDIRECT("'Ext Tradable'!$" &amp; 'Ext Tradable'!$AS$23 &amp; AX$9),"")</f>
        <v/>
      </c>
      <c r="AY50" s="700" t="str">
        <f ca="1">IF(INDIRECT("'Ext Tradable'!$B" &amp; AY$9)=$B50,INDIRECT("'Ext Tradable'!$" &amp; 'Ext Tradable'!$AS$23 &amp; AY$9),"")</f>
        <v/>
      </c>
      <c r="AZ50" s="700" t="str">
        <f ca="1">IF(INDIRECT("'Ext Tradable'!$B" &amp; AZ$9)=$B50,INDIRECT("'Ext Tradable'!$" &amp; 'Ext Tradable'!$AS$23 &amp; AZ$9),"")</f>
        <v/>
      </c>
      <c r="BA50" s="700" t="str">
        <f ca="1">IF(INDIRECT("'Ext Tradable'!$B" &amp; BA$9)=$B50,INDIRECT("'Ext Tradable'!$" &amp; 'Ext Tradable'!$AS$23 &amp; BA$9),"")</f>
        <v/>
      </c>
      <c r="BB50" s="700" t="str">
        <f ca="1">IF(INDIRECT("'Ext Tradable'!$B" &amp; BB$9)=$B50,INDIRECT("'Ext Tradable'!$" &amp; 'Ext Tradable'!$AS$23 &amp; BB$9),"")</f>
        <v/>
      </c>
      <c r="BC50" s="700" t="str">
        <f ca="1">IF(INDIRECT("'Ext Tradable'!$B" &amp; BC$9)=$B50,INDIRECT("'Ext Tradable'!$" &amp; 'Ext Tradable'!$AS$23 &amp; BC$9),"")</f>
        <v/>
      </c>
      <c r="BD50" s="700" t="str">
        <f ca="1">IF(INDIRECT("'Ext Tradable'!$B" &amp; BD$9)=$B50,INDIRECT("'Ext Tradable'!$" &amp; 'Ext Tradable'!$AS$23 &amp; BD$9),"")</f>
        <v/>
      </c>
      <c r="BE50" s="700" t="str">
        <f ca="1">IF(INDIRECT("'Ext Tradable'!$B" &amp; BE$9)=$B50,INDIRECT("'Ext Tradable'!$" &amp; 'Ext Tradable'!$AS$23 &amp; BE$9),"")</f>
        <v/>
      </c>
      <c r="BF50" s="700" t="str">
        <f ca="1">IF(INDIRECT("'Ext Tradable'!$B" &amp; BF$9)=$B50,INDIRECT("'Ext Tradable'!$" &amp; 'Ext Tradable'!$AS$23 &amp; BF$9),"")</f>
        <v/>
      </c>
      <c r="BG50" s="700" t="str">
        <f ca="1">IF(INDIRECT("'Ext Tradable'!$B" &amp; BG$9)=$B50,INDIRECT("'Ext Tradable'!$" &amp; 'Ext Tradable'!$AS$23 &amp; BG$9),"")</f>
        <v/>
      </c>
      <c r="BH50" s="700" t="str">
        <f ca="1">IF(INDIRECT("'Ext Tradable'!$B" &amp; BH$9)=$B50,INDIRECT("'Ext Tradable'!$" &amp; 'Ext Tradable'!$AS$23 &amp; BH$9),"")</f>
        <v/>
      </c>
      <c r="BI50" s="700" t="str">
        <f ca="1">IF(INDIRECT("'Ext Tradable'!$B" &amp; BI$9)=$B50,INDIRECT("'Ext Tradable'!$" &amp; 'Ext Tradable'!$AS$23 &amp; BI$9),"")</f>
        <v/>
      </c>
      <c r="BJ50" s="700" t="str">
        <f ca="1">IF(INDIRECT("'Ext Tradable'!$B" &amp; BJ$9)=$B50,INDIRECT("'Ext Tradable'!$" &amp; 'Ext Tradable'!$AS$23 &amp; BJ$9),"")</f>
        <v/>
      </c>
      <c r="BK50" s="700" t="str">
        <f ca="1">IF(INDIRECT("'Ext Tradable'!$B" &amp; BK$9)=$B50,INDIRECT("'Ext Tradable'!$" &amp; 'Ext Tradable'!$AS$23 &amp; BK$9),"")</f>
        <v/>
      </c>
      <c r="BL50" s="700" t="str">
        <f ca="1">IF(INDIRECT("'Ext Tradable'!$B" &amp; BL$9)=$B50,INDIRECT("'Ext Tradable'!$" &amp; 'Ext Tradable'!$AS$23 &amp; BL$9),"")</f>
        <v/>
      </c>
      <c r="BM50" s="700">
        <f ca="1">IF(INDIRECT("'Ext Tradable'!$B" &amp; BM$9)=$B50,INDIRECT("'Ext Tradable'!$" &amp; 'Ext Tradable'!$AS$23 &amp; BM$9),"")</f>
        <v>0</v>
      </c>
      <c r="BN50" s="700">
        <f ca="1">IF(INDIRECT("'Ext Tradable'!$B" &amp; BN$9)=$B50,INDIRECT("'Ext Tradable'!$" &amp; 'Ext Tradable'!$AS$23 &amp; BN$9),"")</f>
        <v>0</v>
      </c>
      <c r="BO50" s="700">
        <f ca="1">IF(INDIRECT("'Ext Tradable'!$B" &amp; BO$9)=$B50,INDIRECT("'Ext Tradable'!$" &amp; 'Ext Tradable'!$AS$23 &amp; BO$9),"")</f>
        <v>0</v>
      </c>
      <c r="BP50" s="700">
        <f ca="1">IF(INDIRECT("'Ext Tradable'!$B" &amp; BP$9)=$B50,INDIRECT("'Ext Tradable'!$" &amp; 'Ext Tradable'!$AS$23 &amp; BP$9),"")</f>
        <v>0</v>
      </c>
      <c r="BQ50" s="700">
        <f ca="1">IF(INDIRECT("'Ext Tradable'!$B" &amp; BQ$9)=$B50,INDIRECT("'Ext Tradable'!$" &amp; 'Ext Tradable'!$AS$23 &amp; BQ$9),"")</f>
        <v>0</v>
      </c>
      <c r="BR50" s="700">
        <f ca="1">IF(INDIRECT("'Ext Tradable'!$B" &amp; BR$9)=$B50,INDIRECT("'Ext Tradable'!$" &amp; 'Ext Tradable'!$AS$23 &amp; BR$9),"")</f>
        <v>0</v>
      </c>
      <c r="BS50" s="700">
        <f ca="1">IF(INDIRECT("'Ext Tradable'!$B" &amp; BS$9)=$B50,INDIRECT("'Ext Tradable'!$" &amp; 'Ext Tradable'!$AS$23 &amp; BS$9),"")</f>
        <v>0</v>
      </c>
      <c r="BT50" s="700">
        <f ca="1">IF(INDIRECT("'Ext Tradable'!$B" &amp; BT$9)=$B50,INDIRECT("'Ext Tradable'!$" &amp; 'Ext Tradable'!$AS$23 &amp; BT$9),"")</f>
        <v>0</v>
      </c>
      <c r="BU50" s="700">
        <f ca="1">IF(INDIRECT("'Ext Tradable'!$B" &amp; BU$9)=$B50,INDIRECT("'Ext Tradable'!$" &amp; 'Ext Tradable'!$AS$23 &amp; BU$9),"")</f>
        <v>0</v>
      </c>
      <c r="BV50" s="700">
        <f ca="1">IF(INDIRECT("'Ext Tradable'!$B" &amp; BV$9)=$B50,INDIRECT("'Ext Tradable'!$" &amp; 'Ext Tradable'!$AS$23 &amp; BV$9),"")</f>
        <v>0</v>
      </c>
      <c r="BW50" s="700">
        <f ca="1">IF(INDIRECT("'Ext Tradable'!$B" &amp; BW$9)=$B50,INDIRECT("'Ext Tradable'!$" &amp; 'Ext Tradable'!$AS$23 &amp; BW$9),"")</f>
        <v>0</v>
      </c>
      <c r="BX50" s="700">
        <f ca="1">IF(INDIRECT("'Ext Tradable'!$B" &amp; BX$9)=$B50,INDIRECT("'Ext Tradable'!$" &amp; 'Ext Tradable'!$AS$23 &amp; BX$9),"")</f>
        <v>0</v>
      </c>
      <c r="BY50" s="700">
        <f ca="1">IF(INDIRECT("'Ext Tradable'!$B" &amp; BY$9)=$B50,INDIRECT("'Ext Tradable'!$" &amp; 'Ext Tradable'!$AS$23 &amp; BY$9),"")</f>
        <v>0</v>
      </c>
      <c r="BZ50" s="700">
        <f ca="1">IF(INDIRECT("'Ext Tradable'!$B" &amp; BZ$9)=$B50,INDIRECT("'Ext Tradable'!$" &amp; 'Ext Tradable'!$AS$23 &amp; BZ$9),"")</f>
        <v>0</v>
      </c>
      <c r="CA50" s="700">
        <f ca="1">IF(INDIRECT("'Ext Tradable'!$B" &amp; CA$9)=$B50,INDIRECT("'Ext Tradable'!$" &amp; 'Ext Tradable'!$AS$23 &amp; CA$9),"")</f>
        <v>0</v>
      </c>
      <c r="CB50" s="700">
        <f ca="1">IF(INDIRECT("'Ext Tradable'!$B" &amp; CB$9)=$B50,INDIRECT("'Ext Tradable'!$" &amp; 'Ext Tradable'!$AS$23 &amp; CB$9),"")</f>
        <v>0</v>
      </c>
      <c r="CC50" s="700">
        <f ca="1">IF(INDIRECT("'Ext Tradable'!$B" &amp; CC$9)=$B50,INDIRECT("'Ext Tradable'!$" &amp; 'Ext Tradable'!$AS$23 &amp; CC$9),"")</f>
        <v>0</v>
      </c>
      <c r="CD50" s="700">
        <f ca="1">IF(INDIRECT("'Ext Tradable'!$B" &amp; CD$9)=$B50,INDIRECT("'Ext Tradable'!$" &amp; 'Ext Tradable'!$AS$23 &amp; CD$9),"")</f>
        <v>0</v>
      </c>
      <c r="CE50" s="700">
        <f ca="1">IF(INDIRECT("'Ext Tradable'!$B" &amp; CE$9)=$B50,INDIRECT("'Ext Tradable'!$" &amp; 'Ext Tradable'!$AS$23 &amp; CE$9),"")</f>
        <v>0</v>
      </c>
      <c r="CF50" s="700">
        <f ca="1">IF(INDIRECT("'Ext Tradable'!$B" &amp; CF$9)=$B50,INDIRECT("'Ext Tradable'!$" &amp; 'Ext Tradable'!$AS$23 &amp; CF$9),"")</f>
        <v>0</v>
      </c>
      <c r="CG50" s="700">
        <f ca="1">IF(INDIRECT("'Ext Tradable'!$B" &amp; CG$9)=$B50,INDIRECT("'Ext Tradable'!$" &amp; 'Ext Tradable'!$AS$23 &amp; CG$9),"")</f>
        <v>0</v>
      </c>
      <c r="CH50" s="700">
        <f ca="1">IF(INDIRECT("'Ext Tradable'!$B" &amp; CH$9)=$B50,INDIRECT("'Ext Tradable'!$" &amp; 'Ext Tradable'!$AS$23 &amp; CH$9),"")</f>
        <v>0</v>
      </c>
      <c r="CI50" s="700">
        <f ca="1">IF(INDIRECT("'Ext Tradable'!$B" &amp; CI$9)=$B50,INDIRECT("'Ext Tradable'!$" &amp; 'Ext Tradable'!$AS$23 &amp; CI$9),"")</f>
        <v>0</v>
      </c>
      <c r="CJ50" s="700">
        <f ca="1">IF(INDIRECT("'Ext Tradable'!$B" &amp; CJ$9)=$B50,INDIRECT("'Ext Tradable'!$" &amp; 'Ext Tradable'!$AS$23 &amp; CJ$9),"")</f>
        <v>0</v>
      </c>
      <c r="CK50" s="700">
        <f ca="1">IF(INDIRECT("'Ext Tradable'!$B" &amp; CK$9)=$B50,INDIRECT("'Ext Tradable'!$" &amp; 'Ext Tradable'!$AS$23 &amp; CK$9),"")</f>
        <v>0</v>
      </c>
      <c r="CL50" s="700">
        <f ca="1">IF(INDIRECT("'Ext Tradable'!$B" &amp; CL$9)=$B50,INDIRECT("'Ext Tradable'!$" &amp; 'Ext Tradable'!$AS$23 &amp; CL$9),"")</f>
        <v>0</v>
      </c>
      <c r="CM50" s="700">
        <f ca="1">IF(INDIRECT("'Ext Tradable'!$B" &amp; CM$9)=$B50,INDIRECT("'Ext Tradable'!$" &amp; 'Ext Tradable'!$AS$23 &amp; CM$9),"")</f>
        <v>0</v>
      </c>
      <c r="CN50" s="700">
        <f ca="1">IF(INDIRECT("'Ext Tradable'!$B" &amp; CN$9)=$B50,INDIRECT("'Ext Tradable'!$" &amp; 'Ext Tradable'!$AS$23 &amp; CN$9),"")</f>
        <v>0</v>
      </c>
      <c r="CO50" s="700">
        <f ca="1">IF(INDIRECT("'Ext Tradable'!$B" &amp; CO$9)=$B50,INDIRECT("'Ext Tradable'!$" &amp; 'Ext Tradable'!$AS$23 &amp; CO$9),"")</f>
        <v>0</v>
      </c>
      <c r="CP50" s="700">
        <f ca="1">IF(INDIRECT("'Ext Tradable'!$B" &amp; CP$9)=$B50,INDIRECT("'Ext Tradable'!$" &amp; 'Ext Tradable'!$AS$23 &amp; CP$9),"")</f>
        <v>0</v>
      </c>
      <c r="CQ50" s="702" t="str">
        <f t="shared" ca="1" si="25"/>
        <v>000000000000000000000000000000</v>
      </c>
    </row>
    <row r="51" spans="1:95" ht="60" customHeight="1" x14ac:dyDescent="0.25">
      <c r="A51" s="705">
        <v>42</v>
      </c>
      <c r="B51" s="707" t="str">
        <f>'Ext Area Schedule'!Y57</f>
        <v/>
      </c>
      <c r="C51" s="707" t="str">
        <f>VLOOKUP($B51,'Ext Area Schedule'!$Y$16:$AE$65,3,FALSE)</f>
        <v/>
      </c>
      <c r="D51" s="792" t="str">
        <f>VLOOKUP($B51,'Ext Area Schedule'!$Y$16:$AE$65,4,FALSE)</f>
        <v/>
      </c>
      <c r="F51" s="792" t="str">
        <f>VLOOKUP($B51,'Ext Area Schedule'!$Y$16:$AE$65,5,FALSE)</f>
        <v/>
      </c>
      <c r="G51" s="792" t="str">
        <f>VLOOKUP($B51,'Ext Area Schedule'!$Y$16:$AE$65,7,FALSE)</f>
        <v/>
      </c>
      <c r="I51" s="703">
        <f t="shared" si="6"/>
        <v>0</v>
      </c>
      <c r="K51" s="703" t="str">
        <f>IF($B51="","",SUMIFS('Ext Tradable'!$M$26:$M$45,'Ext Tradable'!$B$26:$B$45,$B51,'Ext Tradable'!$O$26:$O$45,"New"))</f>
        <v/>
      </c>
      <c r="L51" s="703" t="str">
        <f>IF($B51="","",SUMIFS('Ext Tradable'!$M$26:$M$45,'Ext Tradable'!$B$26:$B$45,$B51,'Ext Tradable'!$O$26:$O$45,""))</f>
        <v/>
      </c>
      <c r="M51" s="703" t="str">
        <f>IF($B51="","",SUMIFS('Ext Tradable'!$K$26:$K$45,'Ext Tradable'!$B$26:$B$45,$B51,'Ext Tradable'!$O$26:$O$45,"New")+SUMIFS('Ext Tradable'!$K$26:$K$45,'Ext Tradable'!$B$26:$B$45,$B51,'Ext Tradable'!$O$26:$O$45,""))</f>
        <v/>
      </c>
      <c r="N51" s="703" t="str">
        <f>IF($B51="","",SUMIFS('Ext Tradable'!$M$26:$M$45,'Ext Tradable'!$B$26:$B$45,$B51,'Ext Tradable'!$O$26:$O$45,"Existing Remains"))</f>
        <v/>
      </c>
      <c r="O51" s="703" t="str">
        <f>IF($B51="","",SUMIFS('Ext Tradable'!$M$26:$M$45,'Ext Tradable'!$B$26:$B$45,$B51,'Ext Tradable'!$O$26:$O$45,"Existing Removed"))</f>
        <v/>
      </c>
      <c r="P51" s="703" t="str">
        <f>IF($B51="","",SUMIFS('Ext Tradable'!$K$26:$K$45,'Ext Tradable'!$B$26:$B$45,$B51,'Ext Tradable'!$O$26:$O$45,"Existing Removed"))</f>
        <v/>
      </c>
      <c r="Q51" s="703" t="str">
        <f t="shared" si="7"/>
        <v/>
      </c>
      <c r="R51" s="703" t="str">
        <f t="shared" si="8"/>
        <v/>
      </c>
      <c r="S51" s="1123" t="str">
        <f t="shared" si="9"/>
        <v/>
      </c>
      <c r="T51" s="1128" t="str">
        <f t="shared" si="23"/>
        <v/>
      </c>
      <c r="U51" s="711" t="str">
        <f t="shared" si="11"/>
        <v/>
      </c>
      <c r="V51" s="712" t="str">
        <f t="shared" si="12"/>
        <v/>
      </c>
      <c r="W51" s="762"/>
      <c r="X51" s="720" t="str">
        <f t="shared" si="13"/>
        <v/>
      </c>
      <c r="Y51" s="721" t="str">
        <f t="shared" si="14"/>
        <v/>
      </c>
      <c r="Z51" s="721" t="str">
        <f t="shared" si="15"/>
        <v/>
      </c>
      <c r="AA51" s="719" t="str">
        <f t="shared" si="2"/>
        <v/>
      </c>
      <c r="AB51" s="762"/>
      <c r="AC51" s="717" t="str">
        <f t="shared" si="16"/>
        <v/>
      </c>
      <c r="AD51" s="718" t="str">
        <f t="shared" si="17"/>
        <v/>
      </c>
      <c r="AE51" s="719" t="str">
        <f t="shared" si="3"/>
        <v/>
      </c>
      <c r="AF51" s="726"/>
      <c r="AG51" s="727" t="str">
        <f t="shared" si="18"/>
        <v/>
      </c>
      <c r="AH51" s="703" t="str">
        <f t="shared" si="19"/>
        <v/>
      </c>
      <c r="AI51" s="1114">
        <f t="shared" si="20"/>
        <v>0</v>
      </c>
      <c r="AK51" s="791" t="str">
        <f t="shared" si="4"/>
        <v/>
      </c>
      <c r="AL51" s="791" t="str">
        <f t="shared" si="21"/>
        <v/>
      </c>
      <c r="AM51" s="707" t="str">
        <f>IF(OR(AK51="Fail",AK51="Fail LPA",AK51=""),"",IF(AL51&lt;&gt;"#1",VLOOKUP(C51,'9.4.3 Tables'!B$142:O$154,14,FALSE),"No NEW controls required"))</f>
        <v/>
      </c>
      <c r="AN51" s="703">
        <f t="shared" si="22"/>
        <v>0</v>
      </c>
      <c r="AQ51">
        <v>42</v>
      </c>
      <c r="AR51" s="15" t="str">
        <f t="shared" si="24"/>
        <v/>
      </c>
      <c r="AS51" s="700" t="str">
        <f ca="1">IF(INDIRECT("'Ext Tradable'!$B" &amp; AS$9)=$B51,INDIRECT("'Ext Tradable'!$" &amp; 'Ext Tradable'!$AS$23 &amp; AS$9),"")</f>
        <v/>
      </c>
      <c r="AT51" s="700" t="str">
        <f ca="1">IF(INDIRECT("'Ext Tradable'!$B" &amp; AT$9)=$B51,INDIRECT("'Ext Tradable'!$" &amp; 'Ext Tradable'!$AS$23 &amp; AT$9),"")</f>
        <v/>
      </c>
      <c r="AU51" s="700" t="str">
        <f ca="1">IF(INDIRECT("'Ext Tradable'!$B" &amp; AU$9)=$B51,INDIRECT("'Ext Tradable'!$" &amp; 'Ext Tradable'!$AS$23 &amp; AU$9),"")</f>
        <v/>
      </c>
      <c r="AV51" s="700" t="str">
        <f ca="1">IF(INDIRECT("'Ext Tradable'!$B" &amp; AV$9)=$B51,INDIRECT("'Ext Tradable'!$" &amp; 'Ext Tradable'!$AS$23 &amp; AV$9),"")</f>
        <v/>
      </c>
      <c r="AW51" s="700" t="str">
        <f ca="1">IF(INDIRECT("'Ext Tradable'!$B" &amp; AW$9)=$B51,INDIRECT("'Ext Tradable'!$" &amp; 'Ext Tradable'!$AS$23 &amp; AW$9),"")</f>
        <v/>
      </c>
      <c r="AX51" s="700" t="str">
        <f ca="1">IF(INDIRECT("'Ext Tradable'!$B" &amp; AX$9)=$B51,INDIRECT("'Ext Tradable'!$" &amp; 'Ext Tradable'!$AS$23 &amp; AX$9),"")</f>
        <v/>
      </c>
      <c r="AY51" s="700" t="str">
        <f ca="1">IF(INDIRECT("'Ext Tradable'!$B" &amp; AY$9)=$B51,INDIRECT("'Ext Tradable'!$" &amp; 'Ext Tradable'!$AS$23 &amp; AY$9),"")</f>
        <v/>
      </c>
      <c r="AZ51" s="700" t="str">
        <f ca="1">IF(INDIRECT("'Ext Tradable'!$B" &amp; AZ$9)=$B51,INDIRECT("'Ext Tradable'!$" &amp; 'Ext Tradable'!$AS$23 &amp; AZ$9),"")</f>
        <v/>
      </c>
      <c r="BA51" s="700" t="str">
        <f ca="1">IF(INDIRECT("'Ext Tradable'!$B" &amp; BA$9)=$B51,INDIRECT("'Ext Tradable'!$" &amp; 'Ext Tradable'!$AS$23 &amp; BA$9),"")</f>
        <v/>
      </c>
      <c r="BB51" s="700" t="str">
        <f ca="1">IF(INDIRECT("'Ext Tradable'!$B" &amp; BB$9)=$B51,INDIRECT("'Ext Tradable'!$" &amp; 'Ext Tradable'!$AS$23 &amp; BB$9),"")</f>
        <v/>
      </c>
      <c r="BC51" s="700" t="str">
        <f ca="1">IF(INDIRECT("'Ext Tradable'!$B" &amp; BC$9)=$B51,INDIRECT("'Ext Tradable'!$" &amp; 'Ext Tradable'!$AS$23 &amp; BC$9),"")</f>
        <v/>
      </c>
      <c r="BD51" s="700" t="str">
        <f ca="1">IF(INDIRECT("'Ext Tradable'!$B" &amp; BD$9)=$B51,INDIRECT("'Ext Tradable'!$" &amp; 'Ext Tradable'!$AS$23 &amp; BD$9),"")</f>
        <v/>
      </c>
      <c r="BE51" s="700" t="str">
        <f ca="1">IF(INDIRECT("'Ext Tradable'!$B" &amp; BE$9)=$B51,INDIRECT("'Ext Tradable'!$" &amp; 'Ext Tradable'!$AS$23 &amp; BE$9),"")</f>
        <v/>
      </c>
      <c r="BF51" s="700" t="str">
        <f ca="1">IF(INDIRECT("'Ext Tradable'!$B" &amp; BF$9)=$B51,INDIRECT("'Ext Tradable'!$" &amp; 'Ext Tradable'!$AS$23 &amp; BF$9),"")</f>
        <v/>
      </c>
      <c r="BG51" s="700" t="str">
        <f ca="1">IF(INDIRECT("'Ext Tradable'!$B" &amp; BG$9)=$B51,INDIRECT("'Ext Tradable'!$" &amp; 'Ext Tradable'!$AS$23 &amp; BG$9),"")</f>
        <v/>
      </c>
      <c r="BH51" s="700" t="str">
        <f ca="1">IF(INDIRECT("'Ext Tradable'!$B" &amp; BH$9)=$B51,INDIRECT("'Ext Tradable'!$" &amp; 'Ext Tradable'!$AS$23 &amp; BH$9),"")</f>
        <v/>
      </c>
      <c r="BI51" s="700" t="str">
        <f ca="1">IF(INDIRECT("'Ext Tradable'!$B" &amp; BI$9)=$B51,INDIRECT("'Ext Tradable'!$" &amp; 'Ext Tradable'!$AS$23 &amp; BI$9),"")</f>
        <v/>
      </c>
      <c r="BJ51" s="700" t="str">
        <f ca="1">IF(INDIRECT("'Ext Tradable'!$B" &amp; BJ$9)=$B51,INDIRECT("'Ext Tradable'!$" &amp; 'Ext Tradable'!$AS$23 &amp; BJ$9),"")</f>
        <v/>
      </c>
      <c r="BK51" s="700" t="str">
        <f ca="1">IF(INDIRECT("'Ext Tradable'!$B" &amp; BK$9)=$B51,INDIRECT("'Ext Tradable'!$" &amp; 'Ext Tradable'!$AS$23 &amp; BK$9),"")</f>
        <v/>
      </c>
      <c r="BL51" s="700" t="str">
        <f ca="1">IF(INDIRECT("'Ext Tradable'!$B" &amp; BL$9)=$B51,INDIRECT("'Ext Tradable'!$" &amp; 'Ext Tradable'!$AS$23 &amp; BL$9),"")</f>
        <v/>
      </c>
      <c r="BM51" s="700">
        <f ca="1">IF(INDIRECT("'Ext Tradable'!$B" &amp; BM$9)=$B51,INDIRECT("'Ext Tradable'!$" &amp; 'Ext Tradable'!$AS$23 &amp; BM$9),"")</f>
        <v>0</v>
      </c>
      <c r="BN51" s="700">
        <f ca="1">IF(INDIRECT("'Ext Tradable'!$B" &amp; BN$9)=$B51,INDIRECT("'Ext Tradable'!$" &amp; 'Ext Tradable'!$AS$23 &amp; BN$9),"")</f>
        <v>0</v>
      </c>
      <c r="BO51" s="700">
        <f ca="1">IF(INDIRECT("'Ext Tradable'!$B" &amp; BO$9)=$B51,INDIRECT("'Ext Tradable'!$" &amp; 'Ext Tradable'!$AS$23 &amp; BO$9),"")</f>
        <v>0</v>
      </c>
      <c r="BP51" s="700">
        <f ca="1">IF(INDIRECT("'Ext Tradable'!$B" &amp; BP$9)=$B51,INDIRECT("'Ext Tradable'!$" &amp; 'Ext Tradable'!$AS$23 &amp; BP$9),"")</f>
        <v>0</v>
      </c>
      <c r="BQ51" s="700">
        <f ca="1">IF(INDIRECT("'Ext Tradable'!$B" &amp; BQ$9)=$B51,INDIRECT("'Ext Tradable'!$" &amp; 'Ext Tradable'!$AS$23 &amp; BQ$9),"")</f>
        <v>0</v>
      </c>
      <c r="BR51" s="700">
        <f ca="1">IF(INDIRECT("'Ext Tradable'!$B" &amp; BR$9)=$B51,INDIRECT("'Ext Tradable'!$" &amp; 'Ext Tradable'!$AS$23 &amp; BR$9),"")</f>
        <v>0</v>
      </c>
      <c r="BS51" s="700">
        <f ca="1">IF(INDIRECT("'Ext Tradable'!$B" &amp; BS$9)=$B51,INDIRECT("'Ext Tradable'!$" &amp; 'Ext Tradable'!$AS$23 &amp; BS$9),"")</f>
        <v>0</v>
      </c>
      <c r="BT51" s="700">
        <f ca="1">IF(INDIRECT("'Ext Tradable'!$B" &amp; BT$9)=$B51,INDIRECT("'Ext Tradable'!$" &amp; 'Ext Tradable'!$AS$23 &amp; BT$9),"")</f>
        <v>0</v>
      </c>
      <c r="BU51" s="700">
        <f ca="1">IF(INDIRECT("'Ext Tradable'!$B" &amp; BU$9)=$B51,INDIRECT("'Ext Tradable'!$" &amp; 'Ext Tradable'!$AS$23 &amp; BU$9),"")</f>
        <v>0</v>
      </c>
      <c r="BV51" s="700">
        <f ca="1">IF(INDIRECT("'Ext Tradable'!$B" &amp; BV$9)=$B51,INDIRECT("'Ext Tradable'!$" &amp; 'Ext Tradable'!$AS$23 &amp; BV$9),"")</f>
        <v>0</v>
      </c>
      <c r="BW51" s="700">
        <f ca="1">IF(INDIRECT("'Ext Tradable'!$B" &amp; BW$9)=$B51,INDIRECT("'Ext Tradable'!$" &amp; 'Ext Tradable'!$AS$23 &amp; BW$9),"")</f>
        <v>0</v>
      </c>
      <c r="BX51" s="700">
        <f ca="1">IF(INDIRECT("'Ext Tradable'!$B" &amp; BX$9)=$B51,INDIRECT("'Ext Tradable'!$" &amp; 'Ext Tradable'!$AS$23 &amp; BX$9),"")</f>
        <v>0</v>
      </c>
      <c r="BY51" s="700">
        <f ca="1">IF(INDIRECT("'Ext Tradable'!$B" &amp; BY$9)=$B51,INDIRECT("'Ext Tradable'!$" &amp; 'Ext Tradable'!$AS$23 &amp; BY$9),"")</f>
        <v>0</v>
      </c>
      <c r="BZ51" s="700">
        <f ca="1">IF(INDIRECT("'Ext Tradable'!$B" &amp; BZ$9)=$B51,INDIRECT("'Ext Tradable'!$" &amp; 'Ext Tradable'!$AS$23 &amp; BZ$9),"")</f>
        <v>0</v>
      </c>
      <c r="CA51" s="700">
        <f ca="1">IF(INDIRECT("'Ext Tradable'!$B" &amp; CA$9)=$B51,INDIRECT("'Ext Tradable'!$" &amp; 'Ext Tradable'!$AS$23 &amp; CA$9),"")</f>
        <v>0</v>
      </c>
      <c r="CB51" s="700">
        <f ca="1">IF(INDIRECT("'Ext Tradable'!$B" &amp; CB$9)=$B51,INDIRECT("'Ext Tradable'!$" &amp; 'Ext Tradable'!$AS$23 &amp; CB$9),"")</f>
        <v>0</v>
      </c>
      <c r="CC51" s="700">
        <f ca="1">IF(INDIRECT("'Ext Tradable'!$B" &amp; CC$9)=$B51,INDIRECT("'Ext Tradable'!$" &amp; 'Ext Tradable'!$AS$23 &amp; CC$9),"")</f>
        <v>0</v>
      </c>
      <c r="CD51" s="700">
        <f ca="1">IF(INDIRECT("'Ext Tradable'!$B" &amp; CD$9)=$B51,INDIRECT("'Ext Tradable'!$" &amp; 'Ext Tradable'!$AS$23 &amp; CD$9),"")</f>
        <v>0</v>
      </c>
      <c r="CE51" s="700">
        <f ca="1">IF(INDIRECT("'Ext Tradable'!$B" &amp; CE$9)=$B51,INDIRECT("'Ext Tradable'!$" &amp; 'Ext Tradable'!$AS$23 &amp; CE$9),"")</f>
        <v>0</v>
      </c>
      <c r="CF51" s="700">
        <f ca="1">IF(INDIRECT("'Ext Tradable'!$B" &amp; CF$9)=$B51,INDIRECT("'Ext Tradable'!$" &amp; 'Ext Tradable'!$AS$23 &amp; CF$9),"")</f>
        <v>0</v>
      </c>
      <c r="CG51" s="700">
        <f ca="1">IF(INDIRECT("'Ext Tradable'!$B" &amp; CG$9)=$B51,INDIRECT("'Ext Tradable'!$" &amp; 'Ext Tradable'!$AS$23 &amp; CG$9),"")</f>
        <v>0</v>
      </c>
      <c r="CH51" s="700">
        <f ca="1">IF(INDIRECT("'Ext Tradable'!$B" &amp; CH$9)=$B51,INDIRECT("'Ext Tradable'!$" &amp; 'Ext Tradable'!$AS$23 &amp; CH$9),"")</f>
        <v>0</v>
      </c>
      <c r="CI51" s="700">
        <f ca="1">IF(INDIRECT("'Ext Tradable'!$B" &amp; CI$9)=$B51,INDIRECT("'Ext Tradable'!$" &amp; 'Ext Tradable'!$AS$23 &amp; CI$9),"")</f>
        <v>0</v>
      </c>
      <c r="CJ51" s="700">
        <f ca="1">IF(INDIRECT("'Ext Tradable'!$B" &amp; CJ$9)=$B51,INDIRECT("'Ext Tradable'!$" &amp; 'Ext Tradable'!$AS$23 &amp; CJ$9),"")</f>
        <v>0</v>
      </c>
      <c r="CK51" s="700">
        <f ca="1">IF(INDIRECT("'Ext Tradable'!$B" &amp; CK$9)=$B51,INDIRECT("'Ext Tradable'!$" &amp; 'Ext Tradable'!$AS$23 &amp; CK$9),"")</f>
        <v>0</v>
      </c>
      <c r="CL51" s="700">
        <f ca="1">IF(INDIRECT("'Ext Tradable'!$B" &amp; CL$9)=$B51,INDIRECT("'Ext Tradable'!$" &amp; 'Ext Tradable'!$AS$23 &amp; CL$9),"")</f>
        <v>0</v>
      </c>
      <c r="CM51" s="700">
        <f ca="1">IF(INDIRECT("'Ext Tradable'!$B" &amp; CM$9)=$B51,INDIRECT("'Ext Tradable'!$" &amp; 'Ext Tradable'!$AS$23 &amp; CM$9),"")</f>
        <v>0</v>
      </c>
      <c r="CN51" s="700">
        <f ca="1">IF(INDIRECT("'Ext Tradable'!$B" &amp; CN$9)=$B51,INDIRECT("'Ext Tradable'!$" &amp; 'Ext Tradable'!$AS$23 &amp; CN$9),"")</f>
        <v>0</v>
      </c>
      <c r="CO51" s="700">
        <f ca="1">IF(INDIRECT("'Ext Tradable'!$B" &amp; CO$9)=$B51,INDIRECT("'Ext Tradable'!$" &amp; 'Ext Tradable'!$AS$23 &amp; CO$9),"")</f>
        <v>0</v>
      </c>
      <c r="CP51" s="700">
        <f ca="1">IF(INDIRECT("'Ext Tradable'!$B" &amp; CP$9)=$B51,INDIRECT("'Ext Tradable'!$" &amp; 'Ext Tradable'!$AS$23 &amp; CP$9),"")</f>
        <v>0</v>
      </c>
      <c r="CQ51" s="702" t="str">
        <f t="shared" ca="1" si="25"/>
        <v>000000000000000000000000000000</v>
      </c>
    </row>
    <row r="52" spans="1:95" ht="60" customHeight="1" x14ac:dyDescent="0.25">
      <c r="A52" s="705">
        <v>43</v>
      </c>
      <c r="B52" s="707" t="str">
        <f>'Ext Area Schedule'!Y58</f>
        <v/>
      </c>
      <c r="C52" s="707" t="str">
        <f>VLOOKUP($B52,'Ext Area Schedule'!$Y$16:$AE$65,3,FALSE)</f>
        <v/>
      </c>
      <c r="D52" s="792" t="str">
        <f>VLOOKUP($B52,'Ext Area Schedule'!$Y$16:$AE$65,4,FALSE)</f>
        <v/>
      </c>
      <c r="F52" s="792" t="str">
        <f>VLOOKUP($B52,'Ext Area Schedule'!$Y$16:$AE$65,5,FALSE)</f>
        <v/>
      </c>
      <c r="G52" s="792" t="str">
        <f>VLOOKUP($B52,'Ext Area Schedule'!$Y$16:$AE$65,7,FALSE)</f>
        <v/>
      </c>
      <c r="I52" s="703">
        <f t="shared" si="6"/>
        <v>0</v>
      </c>
      <c r="K52" s="703" t="str">
        <f>IF($B52="","",SUMIFS('Ext Tradable'!$M$26:$M$45,'Ext Tradable'!$B$26:$B$45,$B52,'Ext Tradable'!$O$26:$O$45,"New"))</f>
        <v/>
      </c>
      <c r="L52" s="703" t="str">
        <f>IF($B52="","",SUMIFS('Ext Tradable'!$M$26:$M$45,'Ext Tradable'!$B$26:$B$45,$B52,'Ext Tradable'!$O$26:$O$45,""))</f>
        <v/>
      </c>
      <c r="M52" s="703" t="str">
        <f>IF($B52="","",SUMIFS('Ext Tradable'!$K$26:$K$45,'Ext Tradable'!$B$26:$B$45,$B52,'Ext Tradable'!$O$26:$O$45,"New")+SUMIFS('Ext Tradable'!$K$26:$K$45,'Ext Tradable'!$B$26:$B$45,$B52,'Ext Tradable'!$O$26:$O$45,""))</f>
        <v/>
      </c>
      <c r="N52" s="703" t="str">
        <f>IF($B52="","",SUMIFS('Ext Tradable'!$M$26:$M$45,'Ext Tradable'!$B$26:$B$45,$B52,'Ext Tradable'!$O$26:$O$45,"Existing Remains"))</f>
        <v/>
      </c>
      <c r="O52" s="703" t="str">
        <f>IF($B52="","",SUMIFS('Ext Tradable'!$M$26:$M$45,'Ext Tradable'!$B$26:$B$45,$B52,'Ext Tradable'!$O$26:$O$45,"Existing Removed"))</f>
        <v/>
      </c>
      <c r="P52" s="703" t="str">
        <f>IF($B52="","",SUMIFS('Ext Tradable'!$K$26:$K$45,'Ext Tradable'!$B$26:$B$45,$B52,'Ext Tradable'!$O$26:$O$45,"Existing Removed"))</f>
        <v/>
      </c>
      <c r="Q52" s="703" t="str">
        <f t="shared" si="7"/>
        <v/>
      </c>
      <c r="R52" s="703" t="str">
        <f t="shared" si="8"/>
        <v/>
      </c>
      <c r="S52" s="1123" t="str">
        <f t="shared" si="9"/>
        <v/>
      </c>
      <c r="T52" s="1128" t="str">
        <f t="shared" si="23"/>
        <v/>
      </c>
      <c r="U52" s="711" t="str">
        <f t="shared" si="11"/>
        <v/>
      </c>
      <c r="V52" s="712" t="str">
        <f t="shared" si="12"/>
        <v/>
      </c>
      <c r="W52" s="762"/>
      <c r="X52" s="720" t="str">
        <f t="shared" si="13"/>
        <v/>
      </c>
      <c r="Y52" s="721" t="str">
        <f t="shared" si="14"/>
        <v/>
      </c>
      <c r="Z52" s="721" t="str">
        <f t="shared" si="15"/>
        <v/>
      </c>
      <c r="AA52" s="719" t="str">
        <f t="shared" si="2"/>
        <v/>
      </c>
      <c r="AB52" s="762"/>
      <c r="AC52" s="717" t="str">
        <f t="shared" si="16"/>
        <v/>
      </c>
      <c r="AD52" s="718" t="str">
        <f t="shared" si="17"/>
        <v/>
      </c>
      <c r="AE52" s="719" t="str">
        <f t="shared" si="3"/>
        <v/>
      </c>
      <c r="AF52" s="726"/>
      <c r="AG52" s="727" t="str">
        <f t="shared" si="18"/>
        <v/>
      </c>
      <c r="AH52" s="703" t="str">
        <f t="shared" si="19"/>
        <v/>
      </c>
      <c r="AI52" s="1114">
        <f t="shared" si="20"/>
        <v>0</v>
      </c>
      <c r="AK52" s="791" t="str">
        <f t="shared" si="4"/>
        <v/>
      </c>
      <c r="AL52" s="791" t="str">
        <f t="shared" si="21"/>
        <v/>
      </c>
      <c r="AM52" s="707" t="str">
        <f>IF(OR(AK52="Fail",AK52="Fail LPA",AK52=""),"",IF(AL52&lt;&gt;"#1",VLOOKUP(C52,'9.4.3 Tables'!B$142:O$154,14,FALSE),"No NEW controls required"))</f>
        <v/>
      </c>
      <c r="AN52" s="703">
        <f t="shared" si="22"/>
        <v>0</v>
      </c>
      <c r="AQ52">
        <v>43</v>
      </c>
      <c r="AR52" s="15" t="str">
        <f t="shared" si="24"/>
        <v/>
      </c>
      <c r="AS52" s="700" t="str">
        <f ca="1">IF(INDIRECT("'Ext Tradable'!$B" &amp; AS$9)=$B52,INDIRECT("'Ext Tradable'!$" &amp; 'Ext Tradable'!$AS$23 &amp; AS$9),"")</f>
        <v/>
      </c>
      <c r="AT52" s="700" t="str">
        <f ca="1">IF(INDIRECT("'Ext Tradable'!$B" &amp; AT$9)=$B52,INDIRECT("'Ext Tradable'!$" &amp; 'Ext Tradable'!$AS$23 &amp; AT$9),"")</f>
        <v/>
      </c>
      <c r="AU52" s="700" t="str">
        <f ca="1">IF(INDIRECT("'Ext Tradable'!$B" &amp; AU$9)=$B52,INDIRECT("'Ext Tradable'!$" &amp; 'Ext Tradable'!$AS$23 &amp; AU$9),"")</f>
        <v/>
      </c>
      <c r="AV52" s="700" t="str">
        <f ca="1">IF(INDIRECT("'Ext Tradable'!$B" &amp; AV$9)=$B52,INDIRECT("'Ext Tradable'!$" &amp; 'Ext Tradable'!$AS$23 &amp; AV$9),"")</f>
        <v/>
      </c>
      <c r="AW52" s="700" t="str">
        <f ca="1">IF(INDIRECT("'Ext Tradable'!$B" &amp; AW$9)=$B52,INDIRECT("'Ext Tradable'!$" &amp; 'Ext Tradable'!$AS$23 &amp; AW$9),"")</f>
        <v/>
      </c>
      <c r="AX52" s="700" t="str">
        <f ca="1">IF(INDIRECT("'Ext Tradable'!$B" &amp; AX$9)=$B52,INDIRECT("'Ext Tradable'!$" &amp; 'Ext Tradable'!$AS$23 &amp; AX$9),"")</f>
        <v/>
      </c>
      <c r="AY52" s="700" t="str">
        <f ca="1">IF(INDIRECT("'Ext Tradable'!$B" &amp; AY$9)=$B52,INDIRECT("'Ext Tradable'!$" &amp; 'Ext Tradable'!$AS$23 &amp; AY$9),"")</f>
        <v/>
      </c>
      <c r="AZ52" s="700" t="str">
        <f ca="1">IF(INDIRECT("'Ext Tradable'!$B" &amp; AZ$9)=$B52,INDIRECT("'Ext Tradable'!$" &amp; 'Ext Tradable'!$AS$23 &amp; AZ$9),"")</f>
        <v/>
      </c>
      <c r="BA52" s="700" t="str">
        <f ca="1">IF(INDIRECT("'Ext Tradable'!$B" &amp; BA$9)=$B52,INDIRECT("'Ext Tradable'!$" &amp; 'Ext Tradable'!$AS$23 &amp; BA$9),"")</f>
        <v/>
      </c>
      <c r="BB52" s="700" t="str">
        <f ca="1">IF(INDIRECT("'Ext Tradable'!$B" &amp; BB$9)=$B52,INDIRECT("'Ext Tradable'!$" &amp; 'Ext Tradable'!$AS$23 &amp; BB$9),"")</f>
        <v/>
      </c>
      <c r="BC52" s="700" t="str">
        <f ca="1">IF(INDIRECT("'Ext Tradable'!$B" &amp; BC$9)=$B52,INDIRECT("'Ext Tradable'!$" &amp; 'Ext Tradable'!$AS$23 &amp; BC$9),"")</f>
        <v/>
      </c>
      <c r="BD52" s="700" t="str">
        <f ca="1">IF(INDIRECT("'Ext Tradable'!$B" &amp; BD$9)=$B52,INDIRECT("'Ext Tradable'!$" &amp; 'Ext Tradable'!$AS$23 &amp; BD$9),"")</f>
        <v/>
      </c>
      <c r="BE52" s="700" t="str">
        <f ca="1">IF(INDIRECT("'Ext Tradable'!$B" &amp; BE$9)=$B52,INDIRECT("'Ext Tradable'!$" &amp; 'Ext Tradable'!$AS$23 &amp; BE$9),"")</f>
        <v/>
      </c>
      <c r="BF52" s="700" t="str">
        <f ca="1">IF(INDIRECT("'Ext Tradable'!$B" &amp; BF$9)=$B52,INDIRECT("'Ext Tradable'!$" &amp; 'Ext Tradable'!$AS$23 &amp; BF$9),"")</f>
        <v/>
      </c>
      <c r="BG52" s="700" t="str">
        <f ca="1">IF(INDIRECT("'Ext Tradable'!$B" &amp; BG$9)=$B52,INDIRECT("'Ext Tradable'!$" &amp; 'Ext Tradable'!$AS$23 &amp; BG$9),"")</f>
        <v/>
      </c>
      <c r="BH52" s="700" t="str">
        <f ca="1">IF(INDIRECT("'Ext Tradable'!$B" &amp; BH$9)=$B52,INDIRECT("'Ext Tradable'!$" &amp; 'Ext Tradable'!$AS$23 &amp; BH$9),"")</f>
        <v/>
      </c>
      <c r="BI52" s="700" t="str">
        <f ca="1">IF(INDIRECT("'Ext Tradable'!$B" &amp; BI$9)=$B52,INDIRECT("'Ext Tradable'!$" &amp; 'Ext Tradable'!$AS$23 &amp; BI$9),"")</f>
        <v/>
      </c>
      <c r="BJ52" s="700" t="str">
        <f ca="1">IF(INDIRECT("'Ext Tradable'!$B" &amp; BJ$9)=$B52,INDIRECT("'Ext Tradable'!$" &amp; 'Ext Tradable'!$AS$23 &amp; BJ$9),"")</f>
        <v/>
      </c>
      <c r="BK52" s="700" t="str">
        <f ca="1">IF(INDIRECT("'Ext Tradable'!$B" &amp; BK$9)=$B52,INDIRECT("'Ext Tradable'!$" &amp; 'Ext Tradable'!$AS$23 &amp; BK$9),"")</f>
        <v/>
      </c>
      <c r="BL52" s="700" t="str">
        <f ca="1">IF(INDIRECT("'Ext Tradable'!$B" &amp; BL$9)=$B52,INDIRECT("'Ext Tradable'!$" &amp; 'Ext Tradable'!$AS$23 &amp; BL$9),"")</f>
        <v/>
      </c>
      <c r="BM52" s="700">
        <f ca="1">IF(INDIRECT("'Ext Tradable'!$B" &amp; BM$9)=$B52,INDIRECT("'Ext Tradable'!$" &amp; 'Ext Tradable'!$AS$23 &amp; BM$9),"")</f>
        <v>0</v>
      </c>
      <c r="BN52" s="700">
        <f ca="1">IF(INDIRECT("'Ext Tradable'!$B" &amp; BN$9)=$B52,INDIRECT("'Ext Tradable'!$" &amp; 'Ext Tradable'!$AS$23 &amp; BN$9),"")</f>
        <v>0</v>
      </c>
      <c r="BO52" s="700">
        <f ca="1">IF(INDIRECT("'Ext Tradable'!$B" &amp; BO$9)=$B52,INDIRECT("'Ext Tradable'!$" &amp; 'Ext Tradable'!$AS$23 &amp; BO$9),"")</f>
        <v>0</v>
      </c>
      <c r="BP52" s="700">
        <f ca="1">IF(INDIRECT("'Ext Tradable'!$B" &amp; BP$9)=$B52,INDIRECT("'Ext Tradable'!$" &amp; 'Ext Tradable'!$AS$23 &amp; BP$9),"")</f>
        <v>0</v>
      </c>
      <c r="BQ52" s="700">
        <f ca="1">IF(INDIRECT("'Ext Tradable'!$B" &amp; BQ$9)=$B52,INDIRECT("'Ext Tradable'!$" &amp; 'Ext Tradable'!$AS$23 &amp; BQ$9),"")</f>
        <v>0</v>
      </c>
      <c r="BR52" s="700">
        <f ca="1">IF(INDIRECT("'Ext Tradable'!$B" &amp; BR$9)=$B52,INDIRECT("'Ext Tradable'!$" &amp; 'Ext Tradable'!$AS$23 &amp; BR$9),"")</f>
        <v>0</v>
      </c>
      <c r="BS52" s="700">
        <f ca="1">IF(INDIRECT("'Ext Tradable'!$B" &amp; BS$9)=$B52,INDIRECT("'Ext Tradable'!$" &amp; 'Ext Tradable'!$AS$23 &amp; BS$9),"")</f>
        <v>0</v>
      </c>
      <c r="BT52" s="700">
        <f ca="1">IF(INDIRECT("'Ext Tradable'!$B" &amp; BT$9)=$B52,INDIRECT("'Ext Tradable'!$" &amp; 'Ext Tradable'!$AS$23 &amp; BT$9),"")</f>
        <v>0</v>
      </c>
      <c r="BU52" s="700">
        <f ca="1">IF(INDIRECT("'Ext Tradable'!$B" &amp; BU$9)=$B52,INDIRECT("'Ext Tradable'!$" &amp; 'Ext Tradable'!$AS$23 &amp; BU$9),"")</f>
        <v>0</v>
      </c>
      <c r="BV52" s="700">
        <f ca="1">IF(INDIRECT("'Ext Tradable'!$B" &amp; BV$9)=$B52,INDIRECT("'Ext Tradable'!$" &amp; 'Ext Tradable'!$AS$23 &amp; BV$9),"")</f>
        <v>0</v>
      </c>
      <c r="BW52" s="700">
        <f ca="1">IF(INDIRECT("'Ext Tradable'!$B" &amp; BW$9)=$B52,INDIRECT("'Ext Tradable'!$" &amp; 'Ext Tradable'!$AS$23 &amp; BW$9),"")</f>
        <v>0</v>
      </c>
      <c r="BX52" s="700">
        <f ca="1">IF(INDIRECT("'Ext Tradable'!$B" &amp; BX$9)=$B52,INDIRECT("'Ext Tradable'!$" &amp; 'Ext Tradable'!$AS$23 &amp; BX$9),"")</f>
        <v>0</v>
      </c>
      <c r="BY52" s="700">
        <f ca="1">IF(INDIRECT("'Ext Tradable'!$B" &amp; BY$9)=$B52,INDIRECT("'Ext Tradable'!$" &amp; 'Ext Tradable'!$AS$23 &amp; BY$9),"")</f>
        <v>0</v>
      </c>
      <c r="BZ52" s="700">
        <f ca="1">IF(INDIRECT("'Ext Tradable'!$B" &amp; BZ$9)=$B52,INDIRECT("'Ext Tradable'!$" &amp; 'Ext Tradable'!$AS$23 &amp; BZ$9),"")</f>
        <v>0</v>
      </c>
      <c r="CA52" s="700">
        <f ca="1">IF(INDIRECT("'Ext Tradable'!$B" &amp; CA$9)=$B52,INDIRECT("'Ext Tradable'!$" &amp; 'Ext Tradable'!$AS$23 &amp; CA$9),"")</f>
        <v>0</v>
      </c>
      <c r="CB52" s="700">
        <f ca="1">IF(INDIRECT("'Ext Tradable'!$B" &amp; CB$9)=$B52,INDIRECT("'Ext Tradable'!$" &amp; 'Ext Tradable'!$AS$23 &amp; CB$9),"")</f>
        <v>0</v>
      </c>
      <c r="CC52" s="700">
        <f ca="1">IF(INDIRECT("'Ext Tradable'!$B" &amp; CC$9)=$B52,INDIRECT("'Ext Tradable'!$" &amp; 'Ext Tradable'!$AS$23 &amp; CC$9),"")</f>
        <v>0</v>
      </c>
      <c r="CD52" s="700">
        <f ca="1">IF(INDIRECT("'Ext Tradable'!$B" &amp; CD$9)=$B52,INDIRECT("'Ext Tradable'!$" &amp; 'Ext Tradable'!$AS$23 &amp; CD$9),"")</f>
        <v>0</v>
      </c>
      <c r="CE52" s="700">
        <f ca="1">IF(INDIRECT("'Ext Tradable'!$B" &amp; CE$9)=$B52,INDIRECT("'Ext Tradable'!$" &amp; 'Ext Tradable'!$AS$23 &amp; CE$9),"")</f>
        <v>0</v>
      </c>
      <c r="CF52" s="700">
        <f ca="1">IF(INDIRECT("'Ext Tradable'!$B" &amp; CF$9)=$B52,INDIRECT("'Ext Tradable'!$" &amp; 'Ext Tradable'!$AS$23 &amp; CF$9),"")</f>
        <v>0</v>
      </c>
      <c r="CG52" s="700">
        <f ca="1">IF(INDIRECT("'Ext Tradable'!$B" &amp; CG$9)=$B52,INDIRECT("'Ext Tradable'!$" &amp; 'Ext Tradable'!$AS$23 &amp; CG$9),"")</f>
        <v>0</v>
      </c>
      <c r="CH52" s="700">
        <f ca="1">IF(INDIRECT("'Ext Tradable'!$B" &amp; CH$9)=$B52,INDIRECT("'Ext Tradable'!$" &amp; 'Ext Tradable'!$AS$23 &amp; CH$9),"")</f>
        <v>0</v>
      </c>
      <c r="CI52" s="700">
        <f ca="1">IF(INDIRECT("'Ext Tradable'!$B" &amp; CI$9)=$B52,INDIRECT("'Ext Tradable'!$" &amp; 'Ext Tradable'!$AS$23 &amp; CI$9),"")</f>
        <v>0</v>
      </c>
      <c r="CJ52" s="700">
        <f ca="1">IF(INDIRECT("'Ext Tradable'!$B" &amp; CJ$9)=$B52,INDIRECT("'Ext Tradable'!$" &amp; 'Ext Tradable'!$AS$23 &amp; CJ$9),"")</f>
        <v>0</v>
      </c>
      <c r="CK52" s="700">
        <f ca="1">IF(INDIRECT("'Ext Tradable'!$B" &amp; CK$9)=$B52,INDIRECT("'Ext Tradable'!$" &amp; 'Ext Tradable'!$AS$23 &amp; CK$9),"")</f>
        <v>0</v>
      </c>
      <c r="CL52" s="700">
        <f ca="1">IF(INDIRECT("'Ext Tradable'!$B" &amp; CL$9)=$B52,INDIRECT("'Ext Tradable'!$" &amp; 'Ext Tradable'!$AS$23 &amp; CL$9),"")</f>
        <v>0</v>
      </c>
      <c r="CM52" s="700">
        <f ca="1">IF(INDIRECT("'Ext Tradable'!$B" &amp; CM$9)=$B52,INDIRECT("'Ext Tradable'!$" &amp; 'Ext Tradable'!$AS$23 &amp; CM$9),"")</f>
        <v>0</v>
      </c>
      <c r="CN52" s="700">
        <f ca="1">IF(INDIRECT("'Ext Tradable'!$B" &amp; CN$9)=$B52,INDIRECT("'Ext Tradable'!$" &amp; 'Ext Tradable'!$AS$23 &amp; CN$9),"")</f>
        <v>0</v>
      </c>
      <c r="CO52" s="700">
        <f ca="1">IF(INDIRECT("'Ext Tradable'!$B" &amp; CO$9)=$B52,INDIRECT("'Ext Tradable'!$" &amp; 'Ext Tradable'!$AS$23 &amp; CO$9),"")</f>
        <v>0</v>
      </c>
      <c r="CP52" s="700">
        <f ca="1">IF(INDIRECT("'Ext Tradable'!$B" &amp; CP$9)=$B52,INDIRECT("'Ext Tradable'!$" &amp; 'Ext Tradable'!$AS$23 &amp; CP$9),"")</f>
        <v>0</v>
      </c>
      <c r="CQ52" s="702" t="str">
        <f t="shared" ca="1" si="25"/>
        <v>000000000000000000000000000000</v>
      </c>
    </row>
    <row r="53" spans="1:95" ht="60" customHeight="1" x14ac:dyDescent="0.25">
      <c r="A53" s="705">
        <v>44</v>
      </c>
      <c r="B53" s="707" t="str">
        <f>'Ext Area Schedule'!Y59</f>
        <v/>
      </c>
      <c r="C53" s="707" t="str">
        <f>VLOOKUP($B53,'Ext Area Schedule'!$Y$16:$AE$65,3,FALSE)</f>
        <v/>
      </c>
      <c r="D53" s="792" t="str">
        <f>VLOOKUP($B53,'Ext Area Schedule'!$Y$16:$AE$65,4,FALSE)</f>
        <v/>
      </c>
      <c r="F53" s="792" t="str">
        <f>VLOOKUP($B53,'Ext Area Schedule'!$Y$16:$AE$65,5,FALSE)</f>
        <v/>
      </c>
      <c r="G53" s="792" t="str">
        <f>VLOOKUP($B53,'Ext Area Schedule'!$Y$16:$AE$65,7,FALSE)</f>
        <v/>
      </c>
      <c r="I53" s="703">
        <f t="shared" si="6"/>
        <v>0</v>
      </c>
      <c r="K53" s="703" t="str">
        <f>IF($B53="","",SUMIFS('Ext Tradable'!$M$26:$M$45,'Ext Tradable'!$B$26:$B$45,$B53,'Ext Tradable'!$O$26:$O$45,"New"))</f>
        <v/>
      </c>
      <c r="L53" s="703" t="str">
        <f>IF($B53="","",SUMIFS('Ext Tradable'!$M$26:$M$45,'Ext Tradable'!$B$26:$B$45,$B53,'Ext Tradable'!$O$26:$O$45,""))</f>
        <v/>
      </c>
      <c r="M53" s="703" t="str">
        <f>IF($B53="","",SUMIFS('Ext Tradable'!$K$26:$K$45,'Ext Tradable'!$B$26:$B$45,$B53,'Ext Tradable'!$O$26:$O$45,"New")+SUMIFS('Ext Tradable'!$K$26:$K$45,'Ext Tradable'!$B$26:$B$45,$B53,'Ext Tradable'!$O$26:$O$45,""))</f>
        <v/>
      </c>
      <c r="N53" s="703" t="str">
        <f>IF($B53="","",SUMIFS('Ext Tradable'!$M$26:$M$45,'Ext Tradable'!$B$26:$B$45,$B53,'Ext Tradable'!$O$26:$O$45,"Existing Remains"))</f>
        <v/>
      </c>
      <c r="O53" s="703" t="str">
        <f>IF($B53="","",SUMIFS('Ext Tradable'!$M$26:$M$45,'Ext Tradable'!$B$26:$B$45,$B53,'Ext Tradable'!$O$26:$O$45,"Existing Removed"))</f>
        <v/>
      </c>
      <c r="P53" s="703" t="str">
        <f>IF($B53="","",SUMIFS('Ext Tradable'!$K$26:$K$45,'Ext Tradable'!$B$26:$B$45,$B53,'Ext Tradable'!$O$26:$O$45,"Existing Removed"))</f>
        <v/>
      </c>
      <c r="Q53" s="703" t="str">
        <f t="shared" si="7"/>
        <v/>
      </c>
      <c r="R53" s="703" t="str">
        <f t="shared" si="8"/>
        <v/>
      </c>
      <c r="S53" s="1123" t="str">
        <f t="shared" si="9"/>
        <v/>
      </c>
      <c r="T53" s="1128" t="str">
        <f t="shared" si="23"/>
        <v/>
      </c>
      <c r="U53" s="711" t="str">
        <f t="shared" si="11"/>
        <v/>
      </c>
      <c r="V53" s="712" t="str">
        <f t="shared" si="12"/>
        <v/>
      </c>
      <c r="W53" s="762"/>
      <c r="X53" s="720" t="str">
        <f t="shared" si="13"/>
        <v/>
      </c>
      <c r="Y53" s="721" t="str">
        <f t="shared" si="14"/>
        <v/>
      </c>
      <c r="Z53" s="721" t="str">
        <f t="shared" si="15"/>
        <v/>
      </c>
      <c r="AA53" s="719" t="str">
        <f t="shared" si="2"/>
        <v/>
      </c>
      <c r="AB53" s="762"/>
      <c r="AC53" s="717" t="str">
        <f t="shared" si="16"/>
        <v/>
      </c>
      <c r="AD53" s="718" t="str">
        <f t="shared" si="17"/>
        <v/>
      </c>
      <c r="AE53" s="719" t="str">
        <f t="shared" si="3"/>
        <v/>
      </c>
      <c r="AF53" s="726"/>
      <c r="AG53" s="727" t="str">
        <f t="shared" si="18"/>
        <v/>
      </c>
      <c r="AH53" s="703" t="str">
        <f t="shared" si="19"/>
        <v/>
      </c>
      <c r="AI53" s="1114">
        <f t="shared" si="20"/>
        <v>0</v>
      </c>
      <c r="AK53" s="791" t="str">
        <f t="shared" si="4"/>
        <v/>
      </c>
      <c r="AL53" s="791" t="str">
        <f t="shared" si="21"/>
        <v/>
      </c>
      <c r="AM53" s="707" t="str">
        <f>IF(OR(AK53="Fail",AK53="Fail LPA",AK53=""),"",IF(AL53&lt;&gt;"#1",VLOOKUP(C53,'9.4.3 Tables'!B$142:O$154,14,FALSE),"No NEW controls required"))</f>
        <v/>
      </c>
      <c r="AN53" s="703">
        <f t="shared" si="22"/>
        <v>0</v>
      </c>
      <c r="AQ53">
        <v>44</v>
      </c>
      <c r="AR53" s="15" t="str">
        <f t="shared" si="24"/>
        <v/>
      </c>
      <c r="AS53" s="700" t="str">
        <f ca="1">IF(INDIRECT("'Ext Tradable'!$B" &amp; AS$9)=$B53,INDIRECT("'Ext Tradable'!$" &amp; 'Ext Tradable'!$AS$23 &amp; AS$9),"")</f>
        <v/>
      </c>
      <c r="AT53" s="700" t="str">
        <f ca="1">IF(INDIRECT("'Ext Tradable'!$B" &amp; AT$9)=$B53,INDIRECT("'Ext Tradable'!$" &amp; 'Ext Tradable'!$AS$23 &amp; AT$9),"")</f>
        <v/>
      </c>
      <c r="AU53" s="700" t="str">
        <f ca="1">IF(INDIRECT("'Ext Tradable'!$B" &amp; AU$9)=$B53,INDIRECT("'Ext Tradable'!$" &amp; 'Ext Tradable'!$AS$23 &amp; AU$9),"")</f>
        <v/>
      </c>
      <c r="AV53" s="700" t="str">
        <f ca="1">IF(INDIRECT("'Ext Tradable'!$B" &amp; AV$9)=$B53,INDIRECT("'Ext Tradable'!$" &amp; 'Ext Tradable'!$AS$23 &amp; AV$9),"")</f>
        <v/>
      </c>
      <c r="AW53" s="700" t="str">
        <f ca="1">IF(INDIRECT("'Ext Tradable'!$B" &amp; AW$9)=$B53,INDIRECT("'Ext Tradable'!$" &amp; 'Ext Tradable'!$AS$23 &amp; AW$9),"")</f>
        <v/>
      </c>
      <c r="AX53" s="700" t="str">
        <f ca="1">IF(INDIRECT("'Ext Tradable'!$B" &amp; AX$9)=$B53,INDIRECT("'Ext Tradable'!$" &amp; 'Ext Tradable'!$AS$23 &amp; AX$9),"")</f>
        <v/>
      </c>
      <c r="AY53" s="700" t="str">
        <f ca="1">IF(INDIRECT("'Ext Tradable'!$B" &amp; AY$9)=$B53,INDIRECT("'Ext Tradable'!$" &amp; 'Ext Tradable'!$AS$23 &amp; AY$9),"")</f>
        <v/>
      </c>
      <c r="AZ53" s="700" t="str">
        <f ca="1">IF(INDIRECT("'Ext Tradable'!$B" &amp; AZ$9)=$B53,INDIRECT("'Ext Tradable'!$" &amp; 'Ext Tradable'!$AS$23 &amp; AZ$9),"")</f>
        <v/>
      </c>
      <c r="BA53" s="700" t="str">
        <f ca="1">IF(INDIRECT("'Ext Tradable'!$B" &amp; BA$9)=$B53,INDIRECT("'Ext Tradable'!$" &amp; 'Ext Tradable'!$AS$23 &amp; BA$9),"")</f>
        <v/>
      </c>
      <c r="BB53" s="700" t="str">
        <f ca="1">IF(INDIRECT("'Ext Tradable'!$B" &amp; BB$9)=$B53,INDIRECT("'Ext Tradable'!$" &amp; 'Ext Tradable'!$AS$23 &amp; BB$9),"")</f>
        <v/>
      </c>
      <c r="BC53" s="700" t="str">
        <f ca="1">IF(INDIRECT("'Ext Tradable'!$B" &amp; BC$9)=$B53,INDIRECT("'Ext Tradable'!$" &amp; 'Ext Tradable'!$AS$23 &amp; BC$9),"")</f>
        <v/>
      </c>
      <c r="BD53" s="700" t="str">
        <f ca="1">IF(INDIRECT("'Ext Tradable'!$B" &amp; BD$9)=$B53,INDIRECT("'Ext Tradable'!$" &amp; 'Ext Tradable'!$AS$23 &amp; BD$9),"")</f>
        <v/>
      </c>
      <c r="BE53" s="700" t="str">
        <f ca="1">IF(INDIRECT("'Ext Tradable'!$B" &amp; BE$9)=$B53,INDIRECT("'Ext Tradable'!$" &amp; 'Ext Tradable'!$AS$23 &amp; BE$9),"")</f>
        <v/>
      </c>
      <c r="BF53" s="700" t="str">
        <f ca="1">IF(INDIRECT("'Ext Tradable'!$B" &amp; BF$9)=$B53,INDIRECT("'Ext Tradable'!$" &amp; 'Ext Tradable'!$AS$23 &amp; BF$9),"")</f>
        <v/>
      </c>
      <c r="BG53" s="700" t="str">
        <f ca="1">IF(INDIRECT("'Ext Tradable'!$B" &amp; BG$9)=$B53,INDIRECT("'Ext Tradable'!$" &amp; 'Ext Tradable'!$AS$23 &amp; BG$9),"")</f>
        <v/>
      </c>
      <c r="BH53" s="700" t="str">
        <f ca="1">IF(INDIRECT("'Ext Tradable'!$B" &amp; BH$9)=$B53,INDIRECT("'Ext Tradable'!$" &amp; 'Ext Tradable'!$AS$23 &amp; BH$9),"")</f>
        <v/>
      </c>
      <c r="BI53" s="700" t="str">
        <f ca="1">IF(INDIRECT("'Ext Tradable'!$B" &amp; BI$9)=$B53,INDIRECT("'Ext Tradable'!$" &amp; 'Ext Tradable'!$AS$23 &amp; BI$9),"")</f>
        <v/>
      </c>
      <c r="BJ53" s="700" t="str">
        <f ca="1">IF(INDIRECT("'Ext Tradable'!$B" &amp; BJ$9)=$B53,INDIRECT("'Ext Tradable'!$" &amp; 'Ext Tradable'!$AS$23 &amp; BJ$9),"")</f>
        <v/>
      </c>
      <c r="BK53" s="700" t="str">
        <f ca="1">IF(INDIRECT("'Ext Tradable'!$B" &amp; BK$9)=$B53,INDIRECT("'Ext Tradable'!$" &amp; 'Ext Tradable'!$AS$23 &amp; BK$9),"")</f>
        <v/>
      </c>
      <c r="BL53" s="700" t="str">
        <f ca="1">IF(INDIRECT("'Ext Tradable'!$B" &amp; BL$9)=$B53,INDIRECT("'Ext Tradable'!$" &amp; 'Ext Tradable'!$AS$23 &amp; BL$9),"")</f>
        <v/>
      </c>
      <c r="BM53" s="700">
        <f ca="1">IF(INDIRECT("'Ext Tradable'!$B" &amp; BM$9)=$B53,INDIRECT("'Ext Tradable'!$" &amp; 'Ext Tradable'!$AS$23 &amp; BM$9),"")</f>
        <v>0</v>
      </c>
      <c r="BN53" s="700">
        <f ca="1">IF(INDIRECT("'Ext Tradable'!$B" &amp; BN$9)=$B53,INDIRECT("'Ext Tradable'!$" &amp; 'Ext Tradable'!$AS$23 &amp; BN$9),"")</f>
        <v>0</v>
      </c>
      <c r="BO53" s="700">
        <f ca="1">IF(INDIRECT("'Ext Tradable'!$B" &amp; BO$9)=$B53,INDIRECT("'Ext Tradable'!$" &amp; 'Ext Tradable'!$AS$23 &amp; BO$9),"")</f>
        <v>0</v>
      </c>
      <c r="BP53" s="700">
        <f ca="1">IF(INDIRECT("'Ext Tradable'!$B" &amp; BP$9)=$B53,INDIRECT("'Ext Tradable'!$" &amp; 'Ext Tradable'!$AS$23 &amp; BP$9),"")</f>
        <v>0</v>
      </c>
      <c r="BQ53" s="700">
        <f ca="1">IF(INDIRECT("'Ext Tradable'!$B" &amp; BQ$9)=$B53,INDIRECT("'Ext Tradable'!$" &amp; 'Ext Tradable'!$AS$23 &amp; BQ$9),"")</f>
        <v>0</v>
      </c>
      <c r="BR53" s="700">
        <f ca="1">IF(INDIRECT("'Ext Tradable'!$B" &amp; BR$9)=$B53,INDIRECT("'Ext Tradable'!$" &amp; 'Ext Tradable'!$AS$23 &amp; BR$9),"")</f>
        <v>0</v>
      </c>
      <c r="BS53" s="700">
        <f ca="1">IF(INDIRECT("'Ext Tradable'!$B" &amp; BS$9)=$B53,INDIRECT("'Ext Tradable'!$" &amp; 'Ext Tradable'!$AS$23 &amp; BS$9),"")</f>
        <v>0</v>
      </c>
      <c r="BT53" s="700">
        <f ca="1">IF(INDIRECT("'Ext Tradable'!$B" &amp; BT$9)=$B53,INDIRECT("'Ext Tradable'!$" &amp; 'Ext Tradable'!$AS$23 &amp; BT$9),"")</f>
        <v>0</v>
      </c>
      <c r="BU53" s="700">
        <f ca="1">IF(INDIRECT("'Ext Tradable'!$B" &amp; BU$9)=$B53,INDIRECT("'Ext Tradable'!$" &amp; 'Ext Tradable'!$AS$23 &amp; BU$9),"")</f>
        <v>0</v>
      </c>
      <c r="BV53" s="700">
        <f ca="1">IF(INDIRECT("'Ext Tradable'!$B" &amp; BV$9)=$B53,INDIRECT("'Ext Tradable'!$" &amp; 'Ext Tradable'!$AS$23 &amp; BV$9),"")</f>
        <v>0</v>
      </c>
      <c r="BW53" s="700">
        <f ca="1">IF(INDIRECT("'Ext Tradable'!$B" &amp; BW$9)=$B53,INDIRECT("'Ext Tradable'!$" &amp; 'Ext Tradable'!$AS$23 &amp; BW$9),"")</f>
        <v>0</v>
      </c>
      <c r="BX53" s="700">
        <f ca="1">IF(INDIRECT("'Ext Tradable'!$B" &amp; BX$9)=$B53,INDIRECT("'Ext Tradable'!$" &amp; 'Ext Tradable'!$AS$23 &amp; BX$9),"")</f>
        <v>0</v>
      </c>
      <c r="BY53" s="700">
        <f ca="1">IF(INDIRECT("'Ext Tradable'!$B" &amp; BY$9)=$B53,INDIRECT("'Ext Tradable'!$" &amp; 'Ext Tradable'!$AS$23 &amp; BY$9),"")</f>
        <v>0</v>
      </c>
      <c r="BZ53" s="700">
        <f ca="1">IF(INDIRECT("'Ext Tradable'!$B" &amp; BZ$9)=$B53,INDIRECT("'Ext Tradable'!$" &amp; 'Ext Tradable'!$AS$23 &amp; BZ$9),"")</f>
        <v>0</v>
      </c>
      <c r="CA53" s="700">
        <f ca="1">IF(INDIRECT("'Ext Tradable'!$B" &amp; CA$9)=$B53,INDIRECT("'Ext Tradable'!$" &amp; 'Ext Tradable'!$AS$23 &amp; CA$9),"")</f>
        <v>0</v>
      </c>
      <c r="CB53" s="700">
        <f ca="1">IF(INDIRECT("'Ext Tradable'!$B" &amp; CB$9)=$B53,INDIRECT("'Ext Tradable'!$" &amp; 'Ext Tradable'!$AS$23 &amp; CB$9),"")</f>
        <v>0</v>
      </c>
      <c r="CC53" s="700">
        <f ca="1">IF(INDIRECT("'Ext Tradable'!$B" &amp; CC$9)=$B53,INDIRECT("'Ext Tradable'!$" &amp; 'Ext Tradable'!$AS$23 &amp; CC$9),"")</f>
        <v>0</v>
      </c>
      <c r="CD53" s="700">
        <f ca="1">IF(INDIRECT("'Ext Tradable'!$B" &amp; CD$9)=$B53,INDIRECT("'Ext Tradable'!$" &amp; 'Ext Tradable'!$AS$23 &amp; CD$9),"")</f>
        <v>0</v>
      </c>
      <c r="CE53" s="700">
        <f ca="1">IF(INDIRECT("'Ext Tradable'!$B" &amp; CE$9)=$B53,INDIRECT("'Ext Tradable'!$" &amp; 'Ext Tradable'!$AS$23 &amp; CE$9),"")</f>
        <v>0</v>
      </c>
      <c r="CF53" s="700">
        <f ca="1">IF(INDIRECT("'Ext Tradable'!$B" &amp; CF$9)=$B53,INDIRECT("'Ext Tradable'!$" &amp; 'Ext Tradable'!$AS$23 &amp; CF$9),"")</f>
        <v>0</v>
      </c>
      <c r="CG53" s="700">
        <f ca="1">IF(INDIRECT("'Ext Tradable'!$B" &amp; CG$9)=$B53,INDIRECT("'Ext Tradable'!$" &amp; 'Ext Tradable'!$AS$23 &amp; CG$9),"")</f>
        <v>0</v>
      </c>
      <c r="CH53" s="700">
        <f ca="1">IF(INDIRECT("'Ext Tradable'!$B" &amp; CH$9)=$B53,INDIRECT("'Ext Tradable'!$" &amp; 'Ext Tradable'!$AS$23 &amp; CH$9),"")</f>
        <v>0</v>
      </c>
      <c r="CI53" s="700">
        <f ca="1">IF(INDIRECT("'Ext Tradable'!$B" &amp; CI$9)=$B53,INDIRECT("'Ext Tradable'!$" &amp; 'Ext Tradable'!$AS$23 &amp; CI$9),"")</f>
        <v>0</v>
      </c>
      <c r="CJ53" s="700">
        <f ca="1">IF(INDIRECT("'Ext Tradable'!$B" &amp; CJ$9)=$B53,INDIRECT("'Ext Tradable'!$" &amp; 'Ext Tradable'!$AS$23 &amp; CJ$9),"")</f>
        <v>0</v>
      </c>
      <c r="CK53" s="700">
        <f ca="1">IF(INDIRECT("'Ext Tradable'!$B" &amp; CK$9)=$B53,INDIRECT("'Ext Tradable'!$" &amp; 'Ext Tradable'!$AS$23 &amp; CK$9),"")</f>
        <v>0</v>
      </c>
      <c r="CL53" s="700">
        <f ca="1">IF(INDIRECT("'Ext Tradable'!$B" &amp; CL$9)=$B53,INDIRECT("'Ext Tradable'!$" &amp; 'Ext Tradable'!$AS$23 &amp; CL$9),"")</f>
        <v>0</v>
      </c>
      <c r="CM53" s="700">
        <f ca="1">IF(INDIRECT("'Ext Tradable'!$B" &amp; CM$9)=$B53,INDIRECT("'Ext Tradable'!$" &amp; 'Ext Tradable'!$AS$23 &amp; CM$9),"")</f>
        <v>0</v>
      </c>
      <c r="CN53" s="700">
        <f ca="1">IF(INDIRECT("'Ext Tradable'!$B" &amp; CN$9)=$B53,INDIRECT("'Ext Tradable'!$" &amp; 'Ext Tradable'!$AS$23 &amp; CN$9),"")</f>
        <v>0</v>
      </c>
      <c r="CO53" s="700">
        <f ca="1">IF(INDIRECT("'Ext Tradable'!$B" &amp; CO$9)=$B53,INDIRECT("'Ext Tradable'!$" &amp; 'Ext Tradable'!$AS$23 &amp; CO$9),"")</f>
        <v>0</v>
      </c>
      <c r="CP53" s="700">
        <f ca="1">IF(INDIRECT("'Ext Tradable'!$B" &amp; CP$9)=$B53,INDIRECT("'Ext Tradable'!$" &amp; 'Ext Tradable'!$AS$23 &amp; CP$9),"")</f>
        <v>0</v>
      </c>
      <c r="CQ53" s="702" t="str">
        <f t="shared" ca="1" si="25"/>
        <v>000000000000000000000000000000</v>
      </c>
    </row>
    <row r="54" spans="1:95" ht="60" customHeight="1" x14ac:dyDescent="0.25">
      <c r="A54" s="705">
        <v>45</v>
      </c>
      <c r="B54" s="707" t="str">
        <f>'Ext Area Schedule'!Y60</f>
        <v/>
      </c>
      <c r="C54" s="707" t="str">
        <f>VLOOKUP($B54,'Ext Area Schedule'!$Y$16:$AE$65,3,FALSE)</f>
        <v/>
      </c>
      <c r="D54" s="792" t="str">
        <f>VLOOKUP($B54,'Ext Area Schedule'!$Y$16:$AE$65,4,FALSE)</f>
        <v/>
      </c>
      <c r="F54" s="792" t="str">
        <f>VLOOKUP($B54,'Ext Area Schedule'!$Y$16:$AE$65,5,FALSE)</f>
        <v/>
      </c>
      <c r="G54" s="792" t="str">
        <f>VLOOKUP($B54,'Ext Area Schedule'!$Y$16:$AE$65,7,FALSE)</f>
        <v/>
      </c>
      <c r="I54" s="703">
        <f t="shared" si="6"/>
        <v>0</v>
      </c>
      <c r="K54" s="703" t="str">
        <f>IF($B54="","",SUMIFS('Ext Tradable'!$M$26:$M$45,'Ext Tradable'!$B$26:$B$45,$B54,'Ext Tradable'!$O$26:$O$45,"New"))</f>
        <v/>
      </c>
      <c r="L54" s="703" t="str">
        <f>IF($B54="","",SUMIFS('Ext Tradable'!$M$26:$M$45,'Ext Tradable'!$B$26:$B$45,$B54,'Ext Tradable'!$O$26:$O$45,""))</f>
        <v/>
      </c>
      <c r="M54" s="703" t="str">
        <f>IF($B54="","",SUMIFS('Ext Tradable'!$K$26:$K$45,'Ext Tradable'!$B$26:$B$45,$B54,'Ext Tradable'!$O$26:$O$45,"New")+SUMIFS('Ext Tradable'!$K$26:$K$45,'Ext Tradable'!$B$26:$B$45,$B54,'Ext Tradable'!$O$26:$O$45,""))</f>
        <v/>
      </c>
      <c r="N54" s="703" t="str">
        <f>IF($B54="","",SUMIFS('Ext Tradable'!$M$26:$M$45,'Ext Tradable'!$B$26:$B$45,$B54,'Ext Tradable'!$O$26:$O$45,"Existing Remains"))</f>
        <v/>
      </c>
      <c r="O54" s="703" t="str">
        <f>IF($B54="","",SUMIFS('Ext Tradable'!$M$26:$M$45,'Ext Tradable'!$B$26:$B$45,$B54,'Ext Tradable'!$O$26:$O$45,"Existing Removed"))</f>
        <v/>
      </c>
      <c r="P54" s="703" t="str">
        <f>IF($B54="","",SUMIFS('Ext Tradable'!$K$26:$K$45,'Ext Tradable'!$B$26:$B$45,$B54,'Ext Tradable'!$O$26:$O$45,"Existing Removed"))</f>
        <v/>
      </c>
      <c r="Q54" s="703" t="str">
        <f t="shared" si="7"/>
        <v/>
      </c>
      <c r="R54" s="703" t="str">
        <f t="shared" si="8"/>
        <v/>
      </c>
      <c r="S54" s="1123" t="str">
        <f t="shared" si="9"/>
        <v/>
      </c>
      <c r="T54" s="1128" t="str">
        <f t="shared" si="23"/>
        <v/>
      </c>
      <c r="U54" s="711" t="str">
        <f t="shared" si="11"/>
        <v/>
      </c>
      <c r="V54" s="712" t="str">
        <f t="shared" si="12"/>
        <v/>
      </c>
      <c r="W54" s="762"/>
      <c r="X54" s="720" t="str">
        <f t="shared" si="13"/>
        <v/>
      </c>
      <c r="Y54" s="721" t="str">
        <f t="shared" si="14"/>
        <v/>
      </c>
      <c r="Z54" s="721" t="str">
        <f t="shared" si="15"/>
        <v/>
      </c>
      <c r="AA54" s="719" t="str">
        <f t="shared" si="2"/>
        <v/>
      </c>
      <c r="AB54" s="762"/>
      <c r="AC54" s="717" t="str">
        <f t="shared" si="16"/>
        <v/>
      </c>
      <c r="AD54" s="718" t="str">
        <f t="shared" si="17"/>
        <v/>
      </c>
      <c r="AE54" s="719" t="str">
        <f t="shared" si="3"/>
        <v/>
      </c>
      <c r="AF54" s="726"/>
      <c r="AG54" s="727" t="str">
        <f t="shared" si="18"/>
        <v/>
      </c>
      <c r="AH54" s="703" t="str">
        <f t="shared" si="19"/>
        <v/>
      </c>
      <c r="AI54" s="1114">
        <f t="shared" si="20"/>
        <v>0</v>
      </c>
      <c r="AK54" s="791" t="str">
        <f t="shared" si="4"/>
        <v/>
      </c>
      <c r="AL54" s="791" t="str">
        <f t="shared" si="21"/>
        <v/>
      </c>
      <c r="AM54" s="707" t="str">
        <f>IF(OR(AK54="Fail",AK54="Fail LPA",AK54=""),"",IF(AL54&lt;&gt;"#1",VLOOKUP(C54,'9.4.3 Tables'!B$142:O$154,14,FALSE),"No NEW controls required"))</f>
        <v/>
      </c>
      <c r="AN54" s="703">
        <f t="shared" si="22"/>
        <v>0</v>
      </c>
      <c r="AQ54">
        <v>45</v>
      </c>
      <c r="AR54" s="15" t="str">
        <f t="shared" si="24"/>
        <v/>
      </c>
      <c r="AS54" s="700" t="str">
        <f ca="1">IF(INDIRECT("'Ext Tradable'!$B" &amp; AS$9)=$B54,INDIRECT("'Ext Tradable'!$" &amp; 'Ext Tradable'!$AS$23 &amp; AS$9),"")</f>
        <v/>
      </c>
      <c r="AT54" s="700" t="str">
        <f ca="1">IF(INDIRECT("'Ext Tradable'!$B" &amp; AT$9)=$B54,INDIRECT("'Ext Tradable'!$" &amp; 'Ext Tradable'!$AS$23 &amp; AT$9),"")</f>
        <v/>
      </c>
      <c r="AU54" s="700" t="str">
        <f ca="1">IF(INDIRECT("'Ext Tradable'!$B" &amp; AU$9)=$B54,INDIRECT("'Ext Tradable'!$" &amp; 'Ext Tradable'!$AS$23 &amp; AU$9),"")</f>
        <v/>
      </c>
      <c r="AV54" s="700" t="str">
        <f ca="1">IF(INDIRECT("'Ext Tradable'!$B" &amp; AV$9)=$B54,INDIRECT("'Ext Tradable'!$" &amp; 'Ext Tradable'!$AS$23 &amp; AV$9),"")</f>
        <v/>
      </c>
      <c r="AW54" s="700" t="str">
        <f ca="1">IF(INDIRECT("'Ext Tradable'!$B" &amp; AW$9)=$B54,INDIRECT("'Ext Tradable'!$" &amp; 'Ext Tradable'!$AS$23 &amp; AW$9),"")</f>
        <v/>
      </c>
      <c r="AX54" s="700" t="str">
        <f ca="1">IF(INDIRECT("'Ext Tradable'!$B" &amp; AX$9)=$B54,INDIRECT("'Ext Tradable'!$" &amp; 'Ext Tradable'!$AS$23 &amp; AX$9),"")</f>
        <v/>
      </c>
      <c r="AY54" s="700" t="str">
        <f ca="1">IF(INDIRECT("'Ext Tradable'!$B" &amp; AY$9)=$B54,INDIRECT("'Ext Tradable'!$" &amp; 'Ext Tradable'!$AS$23 &amp; AY$9),"")</f>
        <v/>
      </c>
      <c r="AZ54" s="700" t="str">
        <f ca="1">IF(INDIRECT("'Ext Tradable'!$B" &amp; AZ$9)=$B54,INDIRECT("'Ext Tradable'!$" &amp; 'Ext Tradable'!$AS$23 &amp; AZ$9),"")</f>
        <v/>
      </c>
      <c r="BA54" s="700" t="str">
        <f ca="1">IF(INDIRECT("'Ext Tradable'!$B" &amp; BA$9)=$B54,INDIRECT("'Ext Tradable'!$" &amp; 'Ext Tradable'!$AS$23 &amp; BA$9),"")</f>
        <v/>
      </c>
      <c r="BB54" s="700" t="str">
        <f ca="1">IF(INDIRECT("'Ext Tradable'!$B" &amp; BB$9)=$B54,INDIRECT("'Ext Tradable'!$" &amp; 'Ext Tradable'!$AS$23 &amp; BB$9),"")</f>
        <v/>
      </c>
      <c r="BC54" s="700" t="str">
        <f ca="1">IF(INDIRECT("'Ext Tradable'!$B" &amp; BC$9)=$B54,INDIRECT("'Ext Tradable'!$" &amp; 'Ext Tradable'!$AS$23 &amp; BC$9),"")</f>
        <v/>
      </c>
      <c r="BD54" s="700" t="str">
        <f ca="1">IF(INDIRECT("'Ext Tradable'!$B" &amp; BD$9)=$B54,INDIRECT("'Ext Tradable'!$" &amp; 'Ext Tradable'!$AS$23 &amp; BD$9),"")</f>
        <v/>
      </c>
      <c r="BE54" s="700" t="str">
        <f ca="1">IF(INDIRECT("'Ext Tradable'!$B" &amp; BE$9)=$B54,INDIRECT("'Ext Tradable'!$" &amp; 'Ext Tradable'!$AS$23 &amp; BE$9),"")</f>
        <v/>
      </c>
      <c r="BF54" s="700" t="str">
        <f ca="1">IF(INDIRECT("'Ext Tradable'!$B" &amp; BF$9)=$B54,INDIRECT("'Ext Tradable'!$" &amp; 'Ext Tradable'!$AS$23 &amp; BF$9),"")</f>
        <v/>
      </c>
      <c r="BG54" s="700" t="str">
        <f ca="1">IF(INDIRECT("'Ext Tradable'!$B" &amp; BG$9)=$B54,INDIRECT("'Ext Tradable'!$" &amp; 'Ext Tradable'!$AS$23 &amp; BG$9),"")</f>
        <v/>
      </c>
      <c r="BH54" s="700" t="str">
        <f ca="1">IF(INDIRECT("'Ext Tradable'!$B" &amp; BH$9)=$B54,INDIRECT("'Ext Tradable'!$" &amp; 'Ext Tradable'!$AS$23 &amp; BH$9),"")</f>
        <v/>
      </c>
      <c r="BI54" s="700" t="str">
        <f ca="1">IF(INDIRECT("'Ext Tradable'!$B" &amp; BI$9)=$B54,INDIRECT("'Ext Tradable'!$" &amp; 'Ext Tradable'!$AS$23 &amp; BI$9),"")</f>
        <v/>
      </c>
      <c r="BJ54" s="700" t="str">
        <f ca="1">IF(INDIRECT("'Ext Tradable'!$B" &amp; BJ$9)=$B54,INDIRECT("'Ext Tradable'!$" &amp; 'Ext Tradable'!$AS$23 &amp; BJ$9),"")</f>
        <v/>
      </c>
      <c r="BK54" s="700" t="str">
        <f ca="1">IF(INDIRECT("'Ext Tradable'!$B" &amp; BK$9)=$B54,INDIRECT("'Ext Tradable'!$" &amp; 'Ext Tradable'!$AS$23 &amp; BK$9),"")</f>
        <v/>
      </c>
      <c r="BL54" s="700" t="str">
        <f ca="1">IF(INDIRECT("'Ext Tradable'!$B" &amp; BL$9)=$B54,INDIRECT("'Ext Tradable'!$" &amp; 'Ext Tradable'!$AS$23 &amp; BL$9),"")</f>
        <v/>
      </c>
      <c r="BM54" s="700">
        <f ca="1">IF(INDIRECT("'Ext Tradable'!$B" &amp; BM$9)=$B54,INDIRECT("'Ext Tradable'!$" &amp; 'Ext Tradable'!$AS$23 &amp; BM$9),"")</f>
        <v>0</v>
      </c>
      <c r="BN54" s="700">
        <f ca="1">IF(INDIRECT("'Ext Tradable'!$B" &amp; BN$9)=$B54,INDIRECT("'Ext Tradable'!$" &amp; 'Ext Tradable'!$AS$23 &amp; BN$9),"")</f>
        <v>0</v>
      </c>
      <c r="BO54" s="700">
        <f ca="1">IF(INDIRECT("'Ext Tradable'!$B" &amp; BO$9)=$B54,INDIRECT("'Ext Tradable'!$" &amp; 'Ext Tradable'!$AS$23 &amp; BO$9),"")</f>
        <v>0</v>
      </c>
      <c r="BP54" s="700">
        <f ca="1">IF(INDIRECT("'Ext Tradable'!$B" &amp; BP$9)=$B54,INDIRECT("'Ext Tradable'!$" &amp; 'Ext Tradable'!$AS$23 &amp; BP$9),"")</f>
        <v>0</v>
      </c>
      <c r="BQ54" s="700">
        <f ca="1">IF(INDIRECT("'Ext Tradable'!$B" &amp; BQ$9)=$B54,INDIRECT("'Ext Tradable'!$" &amp; 'Ext Tradable'!$AS$23 &amp; BQ$9),"")</f>
        <v>0</v>
      </c>
      <c r="BR54" s="700">
        <f ca="1">IF(INDIRECT("'Ext Tradable'!$B" &amp; BR$9)=$B54,INDIRECT("'Ext Tradable'!$" &amp; 'Ext Tradable'!$AS$23 &amp; BR$9),"")</f>
        <v>0</v>
      </c>
      <c r="BS54" s="700">
        <f ca="1">IF(INDIRECT("'Ext Tradable'!$B" &amp; BS$9)=$B54,INDIRECT("'Ext Tradable'!$" &amp; 'Ext Tradable'!$AS$23 &amp; BS$9),"")</f>
        <v>0</v>
      </c>
      <c r="BT54" s="700">
        <f ca="1">IF(INDIRECT("'Ext Tradable'!$B" &amp; BT$9)=$B54,INDIRECT("'Ext Tradable'!$" &amp; 'Ext Tradable'!$AS$23 &amp; BT$9),"")</f>
        <v>0</v>
      </c>
      <c r="BU54" s="700">
        <f ca="1">IF(INDIRECT("'Ext Tradable'!$B" &amp; BU$9)=$B54,INDIRECT("'Ext Tradable'!$" &amp; 'Ext Tradable'!$AS$23 &amp; BU$9),"")</f>
        <v>0</v>
      </c>
      <c r="BV54" s="700">
        <f ca="1">IF(INDIRECT("'Ext Tradable'!$B" &amp; BV$9)=$B54,INDIRECT("'Ext Tradable'!$" &amp; 'Ext Tradable'!$AS$23 &amp; BV$9),"")</f>
        <v>0</v>
      </c>
      <c r="BW54" s="700">
        <f ca="1">IF(INDIRECT("'Ext Tradable'!$B" &amp; BW$9)=$B54,INDIRECT("'Ext Tradable'!$" &amp; 'Ext Tradable'!$AS$23 &amp; BW$9),"")</f>
        <v>0</v>
      </c>
      <c r="BX54" s="700">
        <f ca="1">IF(INDIRECT("'Ext Tradable'!$B" &amp; BX$9)=$B54,INDIRECT("'Ext Tradable'!$" &amp; 'Ext Tradable'!$AS$23 &amp; BX$9),"")</f>
        <v>0</v>
      </c>
      <c r="BY54" s="700">
        <f ca="1">IF(INDIRECT("'Ext Tradable'!$B" &amp; BY$9)=$B54,INDIRECT("'Ext Tradable'!$" &amp; 'Ext Tradable'!$AS$23 &amp; BY$9),"")</f>
        <v>0</v>
      </c>
      <c r="BZ54" s="700">
        <f ca="1">IF(INDIRECT("'Ext Tradable'!$B" &amp; BZ$9)=$B54,INDIRECT("'Ext Tradable'!$" &amp; 'Ext Tradable'!$AS$23 &amp; BZ$9),"")</f>
        <v>0</v>
      </c>
      <c r="CA54" s="700">
        <f ca="1">IF(INDIRECT("'Ext Tradable'!$B" &amp; CA$9)=$B54,INDIRECT("'Ext Tradable'!$" &amp; 'Ext Tradable'!$AS$23 &amp; CA$9),"")</f>
        <v>0</v>
      </c>
      <c r="CB54" s="700">
        <f ca="1">IF(INDIRECT("'Ext Tradable'!$B" &amp; CB$9)=$B54,INDIRECT("'Ext Tradable'!$" &amp; 'Ext Tradable'!$AS$23 &amp; CB$9),"")</f>
        <v>0</v>
      </c>
      <c r="CC54" s="700">
        <f ca="1">IF(INDIRECT("'Ext Tradable'!$B" &amp; CC$9)=$B54,INDIRECT("'Ext Tradable'!$" &amp; 'Ext Tradable'!$AS$23 &amp; CC$9),"")</f>
        <v>0</v>
      </c>
      <c r="CD54" s="700">
        <f ca="1">IF(INDIRECT("'Ext Tradable'!$B" &amp; CD$9)=$B54,INDIRECT("'Ext Tradable'!$" &amp; 'Ext Tradable'!$AS$23 &amp; CD$9),"")</f>
        <v>0</v>
      </c>
      <c r="CE54" s="700">
        <f ca="1">IF(INDIRECT("'Ext Tradable'!$B" &amp; CE$9)=$B54,INDIRECT("'Ext Tradable'!$" &amp; 'Ext Tradable'!$AS$23 &amp; CE$9),"")</f>
        <v>0</v>
      </c>
      <c r="CF54" s="700">
        <f ca="1">IF(INDIRECT("'Ext Tradable'!$B" &amp; CF$9)=$B54,INDIRECT("'Ext Tradable'!$" &amp; 'Ext Tradable'!$AS$23 &amp; CF$9),"")</f>
        <v>0</v>
      </c>
      <c r="CG54" s="700">
        <f ca="1">IF(INDIRECT("'Ext Tradable'!$B" &amp; CG$9)=$B54,INDIRECT("'Ext Tradable'!$" &amp; 'Ext Tradable'!$AS$23 &amp; CG$9),"")</f>
        <v>0</v>
      </c>
      <c r="CH54" s="700">
        <f ca="1">IF(INDIRECT("'Ext Tradable'!$B" &amp; CH$9)=$B54,INDIRECT("'Ext Tradable'!$" &amp; 'Ext Tradable'!$AS$23 &amp; CH$9),"")</f>
        <v>0</v>
      </c>
      <c r="CI54" s="700">
        <f ca="1">IF(INDIRECT("'Ext Tradable'!$B" &amp; CI$9)=$B54,INDIRECT("'Ext Tradable'!$" &amp; 'Ext Tradable'!$AS$23 &amp; CI$9),"")</f>
        <v>0</v>
      </c>
      <c r="CJ54" s="700">
        <f ca="1">IF(INDIRECT("'Ext Tradable'!$B" &amp; CJ$9)=$B54,INDIRECT("'Ext Tradable'!$" &amp; 'Ext Tradable'!$AS$23 &amp; CJ$9),"")</f>
        <v>0</v>
      </c>
      <c r="CK54" s="700">
        <f ca="1">IF(INDIRECT("'Ext Tradable'!$B" &amp; CK$9)=$B54,INDIRECT("'Ext Tradable'!$" &amp; 'Ext Tradable'!$AS$23 &amp; CK$9),"")</f>
        <v>0</v>
      </c>
      <c r="CL54" s="700">
        <f ca="1">IF(INDIRECT("'Ext Tradable'!$B" &amp; CL$9)=$B54,INDIRECT("'Ext Tradable'!$" &amp; 'Ext Tradable'!$AS$23 &amp; CL$9),"")</f>
        <v>0</v>
      </c>
      <c r="CM54" s="700">
        <f ca="1">IF(INDIRECT("'Ext Tradable'!$B" &amp; CM$9)=$B54,INDIRECT("'Ext Tradable'!$" &amp; 'Ext Tradable'!$AS$23 &amp; CM$9),"")</f>
        <v>0</v>
      </c>
      <c r="CN54" s="700">
        <f ca="1">IF(INDIRECT("'Ext Tradable'!$B" &amp; CN$9)=$B54,INDIRECT("'Ext Tradable'!$" &amp; 'Ext Tradable'!$AS$23 &amp; CN$9),"")</f>
        <v>0</v>
      </c>
      <c r="CO54" s="700">
        <f ca="1">IF(INDIRECT("'Ext Tradable'!$B" &amp; CO$9)=$B54,INDIRECT("'Ext Tradable'!$" &amp; 'Ext Tradable'!$AS$23 &amp; CO$9),"")</f>
        <v>0</v>
      </c>
      <c r="CP54" s="700">
        <f ca="1">IF(INDIRECT("'Ext Tradable'!$B" &amp; CP$9)=$B54,INDIRECT("'Ext Tradable'!$" &amp; 'Ext Tradable'!$AS$23 &amp; CP$9),"")</f>
        <v>0</v>
      </c>
      <c r="CQ54" s="702" t="str">
        <f t="shared" ca="1" si="25"/>
        <v>000000000000000000000000000000</v>
      </c>
    </row>
    <row r="55" spans="1:95" ht="60" customHeight="1" x14ac:dyDescent="0.25">
      <c r="A55" s="705">
        <v>46</v>
      </c>
      <c r="B55" s="707" t="str">
        <f>'Ext Area Schedule'!Y61</f>
        <v/>
      </c>
      <c r="C55" s="707" t="str">
        <f>VLOOKUP($B55,'Ext Area Schedule'!$Y$16:$AE$65,3,FALSE)</f>
        <v/>
      </c>
      <c r="D55" s="792" t="str">
        <f>VLOOKUP($B55,'Ext Area Schedule'!$Y$16:$AE$65,4,FALSE)</f>
        <v/>
      </c>
      <c r="F55" s="792" t="str">
        <f>VLOOKUP($B55,'Ext Area Schedule'!$Y$16:$AE$65,5,FALSE)</f>
        <v/>
      </c>
      <c r="G55" s="792" t="str">
        <f>VLOOKUP($B55,'Ext Area Schedule'!$Y$16:$AE$65,7,FALSE)</f>
        <v/>
      </c>
      <c r="I55" s="703">
        <f t="shared" si="6"/>
        <v>0</v>
      </c>
      <c r="K55" s="703" t="str">
        <f>IF($B55="","",SUMIFS('Ext Tradable'!$M$26:$M$45,'Ext Tradable'!$B$26:$B$45,$B55,'Ext Tradable'!$O$26:$O$45,"New"))</f>
        <v/>
      </c>
      <c r="L55" s="703" t="str">
        <f>IF($B55="","",SUMIFS('Ext Tradable'!$M$26:$M$45,'Ext Tradable'!$B$26:$B$45,$B55,'Ext Tradable'!$O$26:$O$45,""))</f>
        <v/>
      </c>
      <c r="M55" s="703" t="str">
        <f>IF($B55="","",SUMIFS('Ext Tradable'!$K$26:$K$45,'Ext Tradable'!$B$26:$B$45,$B55,'Ext Tradable'!$O$26:$O$45,"New")+SUMIFS('Ext Tradable'!$K$26:$K$45,'Ext Tradable'!$B$26:$B$45,$B55,'Ext Tradable'!$O$26:$O$45,""))</f>
        <v/>
      </c>
      <c r="N55" s="703" t="str">
        <f>IF($B55="","",SUMIFS('Ext Tradable'!$M$26:$M$45,'Ext Tradable'!$B$26:$B$45,$B55,'Ext Tradable'!$O$26:$O$45,"Existing Remains"))</f>
        <v/>
      </c>
      <c r="O55" s="703" t="str">
        <f>IF($B55="","",SUMIFS('Ext Tradable'!$M$26:$M$45,'Ext Tradable'!$B$26:$B$45,$B55,'Ext Tradable'!$O$26:$O$45,"Existing Removed"))</f>
        <v/>
      </c>
      <c r="P55" s="703" t="str">
        <f>IF($B55="","",SUMIFS('Ext Tradable'!$K$26:$K$45,'Ext Tradable'!$B$26:$B$45,$B55,'Ext Tradable'!$O$26:$O$45,"Existing Removed"))</f>
        <v/>
      </c>
      <c r="Q55" s="703" t="str">
        <f t="shared" si="7"/>
        <v/>
      </c>
      <c r="R55" s="703" t="str">
        <f t="shared" si="8"/>
        <v/>
      </c>
      <c r="S55" s="1123" t="str">
        <f t="shared" si="9"/>
        <v/>
      </c>
      <c r="T55" s="1128" t="str">
        <f t="shared" si="23"/>
        <v/>
      </c>
      <c r="U55" s="711" t="str">
        <f t="shared" si="11"/>
        <v/>
      </c>
      <c r="V55" s="712" t="str">
        <f t="shared" si="12"/>
        <v/>
      </c>
      <c r="W55" s="762"/>
      <c r="X55" s="720" t="str">
        <f t="shared" si="13"/>
        <v/>
      </c>
      <c r="Y55" s="721" t="str">
        <f t="shared" si="14"/>
        <v/>
      </c>
      <c r="Z55" s="721" t="str">
        <f t="shared" si="15"/>
        <v/>
      </c>
      <c r="AA55" s="719" t="str">
        <f t="shared" si="2"/>
        <v/>
      </c>
      <c r="AB55" s="762"/>
      <c r="AC55" s="717" t="str">
        <f t="shared" si="16"/>
        <v/>
      </c>
      <c r="AD55" s="718" t="str">
        <f t="shared" si="17"/>
        <v/>
      </c>
      <c r="AE55" s="719" t="str">
        <f t="shared" si="3"/>
        <v/>
      </c>
      <c r="AF55" s="726"/>
      <c r="AG55" s="727" t="str">
        <f t="shared" si="18"/>
        <v/>
      </c>
      <c r="AH55" s="703" t="str">
        <f t="shared" si="19"/>
        <v/>
      </c>
      <c r="AI55" s="1114">
        <f t="shared" si="20"/>
        <v>0</v>
      </c>
      <c r="AK55" s="791" t="str">
        <f t="shared" si="4"/>
        <v/>
      </c>
      <c r="AL55" s="791" t="str">
        <f t="shared" si="21"/>
        <v/>
      </c>
      <c r="AM55" s="707" t="str">
        <f>IF(OR(AK55="Fail",AK55="Fail LPA",AK55=""),"",IF(AL55&lt;&gt;"#1",VLOOKUP(C55,'9.4.3 Tables'!B$142:O$154,14,FALSE),"No NEW controls required"))</f>
        <v/>
      </c>
      <c r="AN55" s="703">
        <f t="shared" si="22"/>
        <v>0</v>
      </c>
      <c r="AQ55">
        <v>46</v>
      </c>
      <c r="AR55" s="15" t="str">
        <f t="shared" si="24"/>
        <v/>
      </c>
      <c r="AS55" s="700" t="str">
        <f ca="1">IF(INDIRECT("'Ext Tradable'!$B" &amp; AS$9)=$B55,INDIRECT("'Ext Tradable'!$" &amp; 'Ext Tradable'!$AS$23 &amp; AS$9),"")</f>
        <v/>
      </c>
      <c r="AT55" s="700" t="str">
        <f ca="1">IF(INDIRECT("'Ext Tradable'!$B" &amp; AT$9)=$B55,INDIRECT("'Ext Tradable'!$" &amp; 'Ext Tradable'!$AS$23 &amp; AT$9),"")</f>
        <v/>
      </c>
      <c r="AU55" s="700" t="str">
        <f ca="1">IF(INDIRECT("'Ext Tradable'!$B" &amp; AU$9)=$B55,INDIRECT("'Ext Tradable'!$" &amp; 'Ext Tradable'!$AS$23 &amp; AU$9),"")</f>
        <v/>
      </c>
      <c r="AV55" s="700" t="str">
        <f ca="1">IF(INDIRECT("'Ext Tradable'!$B" &amp; AV$9)=$B55,INDIRECT("'Ext Tradable'!$" &amp; 'Ext Tradable'!$AS$23 &amp; AV$9),"")</f>
        <v/>
      </c>
      <c r="AW55" s="700" t="str">
        <f ca="1">IF(INDIRECT("'Ext Tradable'!$B" &amp; AW$9)=$B55,INDIRECT("'Ext Tradable'!$" &amp; 'Ext Tradable'!$AS$23 &amp; AW$9),"")</f>
        <v/>
      </c>
      <c r="AX55" s="700" t="str">
        <f ca="1">IF(INDIRECT("'Ext Tradable'!$B" &amp; AX$9)=$B55,INDIRECT("'Ext Tradable'!$" &amp; 'Ext Tradable'!$AS$23 &amp; AX$9),"")</f>
        <v/>
      </c>
      <c r="AY55" s="700" t="str">
        <f ca="1">IF(INDIRECT("'Ext Tradable'!$B" &amp; AY$9)=$B55,INDIRECT("'Ext Tradable'!$" &amp; 'Ext Tradable'!$AS$23 &amp; AY$9),"")</f>
        <v/>
      </c>
      <c r="AZ55" s="700" t="str">
        <f ca="1">IF(INDIRECT("'Ext Tradable'!$B" &amp; AZ$9)=$B55,INDIRECT("'Ext Tradable'!$" &amp; 'Ext Tradable'!$AS$23 &amp; AZ$9),"")</f>
        <v/>
      </c>
      <c r="BA55" s="700" t="str">
        <f ca="1">IF(INDIRECT("'Ext Tradable'!$B" &amp; BA$9)=$B55,INDIRECT("'Ext Tradable'!$" &amp; 'Ext Tradable'!$AS$23 &amp; BA$9),"")</f>
        <v/>
      </c>
      <c r="BB55" s="700" t="str">
        <f ca="1">IF(INDIRECT("'Ext Tradable'!$B" &amp; BB$9)=$B55,INDIRECT("'Ext Tradable'!$" &amp; 'Ext Tradable'!$AS$23 &amp; BB$9),"")</f>
        <v/>
      </c>
      <c r="BC55" s="700" t="str">
        <f ca="1">IF(INDIRECT("'Ext Tradable'!$B" &amp; BC$9)=$B55,INDIRECT("'Ext Tradable'!$" &amp; 'Ext Tradable'!$AS$23 &amp; BC$9),"")</f>
        <v/>
      </c>
      <c r="BD55" s="700" t="str">
        <f ca="1">IF(INDIRECT("'Ext Tradable'!$B" &amp; BD$9)=$B55,INDIRECT("'Ext Tradable'!$" &amp; 'Ext Tradable'!$AS$23 &amp; BD$9),"")</f>
        <v/>
      </c>
      <c r="BE55" s="700" t="str">
        <f ca="1">IF(INDIRECT("'Ext Tradable'!$B" &amp; BE$9)=$B55,INDIRECT("'Ext Tradable'!$" &amp; 'Ext Tradable'!$AS$23 &amp; BE$9),"")</f>
        <v/>
      </c>
      <c r="BF55" s="700" t="str">
        <f ca="1">IF(INDIRECT("'Ext Tradable'!$B" &amp; BF$9)=$B55,INDIRECT("'Ext Tradable'!$" &amp; 'Ext Tradable'!$AS$23 &amp; BF$9),"")</f>
        <v/>
      </c>
      <c r="BG55" s="700" t="str">
        <f ca="1">IF(INDIRECT("'Ext Tradable'!$B" &amp; BG$9)=$B55,INDIRECT("'Ext Tradable'!$" &amp; 'Ext Tradable'!$AS$23 &amp; BG$9),"")</f>
        <v/>
      </c>
      <c r="BH55" s="700" t="str">
        <f ca="1">IF(INDIRECT("'Ext Tradable'!$B" &amp; BH$9)=$B55,INDIRECT("'Ext Tradable'!$" &amp; 'Ext Tradable'!$AS$23 &amp; BH$9),"")</f>
        <v/>
      </c>
      <c r="BI55" s="700" t="str">
        <f ca="1">IF(INDIRECT("'Ext Tradable'!$B" &amp; BI$9)=$B55,INDIRECT("'Ext Tradable'!$" &amp; 'Ext Tradable'!$AS$23 &amp; BI$9),"")</f>
        <v/>
      </c>
      <c r="BJ55" s="700" t="str">
        <f ca="1">IF(INDIRECT("'Ext Tradable'!$B" &amp; BJ$9)=$B55,INDIRECT("'Ext Tradable'!$" &amp; 'Ext Tradable'!$AS$23 &amp; BJ$9),"")</f>
        <v/>
      </c>
      <c r="BK55" s="700" t="str">
        <f ca="1">IF(INDIRECT("'Ext Tradable'!$B" &amp; BK$9)=$B55,INDIRECT("'Ext Tradable'!$" &amp; 'Ext Tradable'!$AS$23 &amp; BK$9),"")</f>
        <v/>
      </c>
      <c r="BL55" s="700" t="str">
        <f ca="1">IF(INDIRECT("'Ext Tradable'!$B" &amp; BL$9)=$B55,INDIRECT("'Ext Tradable'!$" &amp; 'Ext Tradable'!$AS$23 &amp; BL$9),"")</f>
        <v/>
      </c>
      <c r="BM55" s="700">
        <f ca="1">IF(INDIRECT("'Ext Tradable'!$B" &amp; BM$9)=$B55,INDIRECT("'Ext Tradable'!$" &amp; 'Ext Tradable'!$AS$23 &amp; BM$9),"")</f>
        <v>0</v>
      </c>
      <c r="BN55" s="700">
        <f ca="1">IF(INDIRECT("'Ext Tradable'!$B" &amp; BN$9)=$B55,INDIRECT("'Ext Tradable'!$" &amp; 'Ext Tradable'!$AS$23 &amp; BN$9),"")</f>
        <v>0</v>
      </c>
      <c r="BO55" s="700">
        <f ca="1">IF(INDIRECT("'Ext Tradable'!$B" &amp; BO$9)=$B55,INDIRECT("'Ext Tradable'!$" &amp; 'Ext Tradable'!$AS$23 &amp; BO$9),"")</f>
        <v>0</v>
      </c>
      <c r="BP55" s="700">
        <f ca="1">IF(INDIRECT("'Ext Tradable'!$B" &amp; BP$9)=$B55,INDIRECT("'Ext Tradable'!$" &amp; 'Ext Tradable'!$AS$23 &amp; BP$9),"")</f>
        <v>0</v>
      </c>
      <c r="BQ55" s="700">
        <f ca="1">IF(INDIRECT("'Ext Tradable'!$B" &amp; BQ$9)=$B55,INDIRECT("'Ext Tradable'!$" &amp; 'Ext Tradable'!$AS$23 &amp; BQ$9),"")</f>
        <v>0</v>
      </c>
      <c r="BR55" s="700">
        <f ca="1">IF(INDIRECT("'Ext Tradable'!$B" &amp; BR$9)=$B55,INDIRECT("'Ext Tradable'!$" &amp; 'Ext Tradable'!$AS$23 &amp; BR$9),"")</f>
        <v>0</v>
      </c>
      <c r="BS55" s="700">
        <f ca="1">IF(INDIRECT("'Ext Tradable'!$B" &amp; BS$9)=$B55,INDIRECT("'Ext Tradable'!$" &amp; 'Ext Tradable'!$AS$23 &amp; BS$9),"")</f>
        <v>0</v>
      </c>
      <c r="BT55" s="700">
        <f ca="1">IF(INDIRECT("'Ext Tradable'!$B" &amp; BT$9)=$B55,INDIRECT("'Ext Tradable'!$" &amp; 'Ext Tradable'!$AS$23 &amp; BT$9),"")</f>
        <v>0</v>
      </c>
      <c r="BU55" s="700">
        <f ca="1">IF(INDIRECT("'Ext Tradable'!$B" &amp; BU$9)=$B55,INDIRECT("'Ext Tradable'!$" &amp; 'Ext Tradable'!$AS$23 &amp; BU$9),"")</f>
        <v>0</v>
      </c>
      <c r="BV55" s="700">
        <f ca="1">IF(INDIRECT("'Ext Tradable'!$B" &amp; BV$9)=$B55,INDIRECT("'Ext Tradable'!$" &amp; 'Ext Tradable'!$AS$23 &amp; BV$9),"")</f>
        <v>0</v>
      </c>
      <c r="BW55" s="700">
        <f ca="1">IF(INDIRECT("'Ext Tradable'!$B" &amp; BW$9)=$B55,INDIRECT("'Ext Tradable'!$" &amp; 'Ext Tradable'!$AS$23 &amp; BW$9),"")</f>
        <v>0</v>
      </c>
      <c r="BX55" s="700">
        <f ca="1">IF(INDIRECT("'Ext Tradable'!$B" &amp; BX$9)=$B55,INDIRECT("'Ext Tradable'!$" &amp; 'Ext Tradable'!$AS$23 &amp; BX$9),"")</f>
        <v>0</v>
      </c>
      <c r="BY55" s="700">
        <f ca="1">IF(INDIRECT("'Ext Tradable'!$B" &amp; BY$9)=$B55,INDIRECT("'Ext Tradable'!$" &amp; 'Ext Tradable'!$AS$23 &amp; BY$9),"")</f>
        <v>0</v>
      </c>
      <c r="BZ55" s="700">
        <f ca="1">IF(INDIRECT("'Ext Tradable'!$B" &amp; BZ$9)=$B55,INDIRECT("'Ext Tradable'!$" &amp; 'Ext Tradable'!$AS$23 &amp; BZ$9),"")</f>
        <v>0</v>
      </c>
      <c r="CA55" s="700">
        <f ca="1">IF(INDIRECT("'Ext Tradable'!$B" &amp; CA$9)=$B55,INDIRECT("'Ext Tradable'!$" &amp; 'Ext Tradable'!$AS$23 &amp; CA$9),"")</f>
        <v>0</v>
      </c>
      <c r="CB55" s="700">
        <f ca="1">IF(INDIRECT("'Ext Tradable'!$B" &amp; CB$9)=$B55,INDIRECT("'Ext Tradable'!$" &amp; 'Ext Tradable'!$AS$23 &amp; CB$9),"")</f>
        <v>0</v>
      </c>
      <c r="CC55" s="700">
        <f ca="1">IF(INDIRECT("'Ext Tradable'!$B" &amp; CC$9)=$B55,INDIRECT("'Ext Tradable'!$" &amp; 'Ext Tradable'!$AS$23 &amp; CC$9),"")</f>
        <v>0</v>
      </c>
      <c r="CD55" s="700">
        <f ca="1">IF(INDIRECT("'Ext Tradable'!$B" &amp; CD$9)=$B55,INDIRECT("'Ext Tradable'!$" &amp; 'Ext Tradable'!$AS$23 &amp; CD$9),"")</f>
        <v>0</v>
      </c>
      <c r="CE55" s="700">
        <f ca="1">IF(INDIRECT("'Ext Tradable'!$B" &amp; CE$9)=$B55,INDIRECT("'Ext Tradable'!$" &amp; 'Ext Tradable'!$AS$23 &amp; CE$9),"")</f>
        <v>0</v>
      </c>
      <c r="CF55" s="700">
        <f ca="1">IF(INDIRECT("'Ext Tradable'!$B" &amp; CF$9)=$B55,INDIRECT("'Ext Tradable'!$" &amp; 'Ext Tradable'!$AS$23 &amp; CF$9),"")</f>
        <v>0</v>
      </c>
      <c r="CG55" s="700">
        <f ca="1">IF(INDIRECT("'Ext Tradable'!$B" &amp; CG$9)=$B55,INDIRECT("'Ext Tradable'!$" &amp; 'Ext Tradable'!$AS$23 &amp; CG$9),"")</f>
        <v>0</v>
      </c>
      <c r="CH55" s="700">
        <f ca="1">IF(INDIRECT("'Ext Tradable'!$B" &amp; CH$9)=$B55,INDIRECT("'Ext Tradable'!$" &amp; 'Ext Tradable'!$AS$23 &amp; CH$9),"")</f>
        <v>0</v>
      </c>
      <c r="CI55" s="700">
        <f ca="1">IF(INDIRECT("'Ext Tradable'!$B" &amp; CI$9)=$B55,INDIRECT("'Ext Tradable'!$" &amp; 'Ext Tradable'!$AS$23 &amp; CI$9),"")</f>
        <v>0</v>
      </c>
      <c r="CJ55" s="700">
        <f ca="1">IF(INDIRECT("'Ext Tradable'!$B" &amp; CJ$9)=$B55,INDIRECT("'Ext Tradable'!$" &amp; 'Ext Tradable'!$AS$23 &amp; CJ$9),"")</f>
        <v>0</v>
      </c>
      <c r="CK55" s="700">
        <f ca="1">IF(INDIRECT("'Ext Tradable'!$B" &amp; CK$9)=$B55,INDIRECT("'Ext Tradable'!$" &amp; 'Ext Tradable'!$AS$23 &amp; CK$9),"")</f>
        <v>0</v>
      </c>
      <c r="CL55" s="700">
        <f ca="1">IF(INDIRECT("'Ext Tradable'!$B" &amp; CL$9)=$B55,INDIRECT("'Ext Tradable'!$" &amp; 'Ext Tradable'!$AS$23 &amp; CL$9),"")</f>
        <v>0</v>
      </c>
      <c r="CM55" s="700">
        <f ca="1">IF(INDIRECT("'Ext Tradable'!$B" &amp; CM$9)=$B55,INDIRECT("'Ext Tradable'!$" &amp; 'Ext Tradable'!$AS$23 &amp; CM$9),"")</f>
        <v>0</v>
      </c>
      <c r="CN55" s="700">
        <f ca="1">IF(INDIRECT("'Ext Tradable'!$B" &amp; CN$9)=$B55,INDIRECT("'Ext Tradable'!$" &amp; 'Ext Tradable'!$AS$23 &amp; CN$9),"")</f>
        <v>0</v>
      </c>
      <c r="CO55" s="700">
        <f ca="1">IF(INDIRECT("'Ext Tradable'!$B" &amp; CO$9)=$B55,INDIRECT("'Ext Tradable'!$" &amp; 'Ext Tradable'!$AS$23 &amp; CO$9),"")</f>
        <v>0</v>
      </c>
      <c r="CP55" s="700">
        <f ca="1">IF(INDIRECT("'Ext Tradable'!$B" &amp; CP$9)=$B55,INDIRECT("'Ext Tradable'!$" &amp; 'Ext Tradable'!$AS$23 &amp; CP$9),"")</f>
        <v>0</v>
      </c>
      <c r="CQ55" s="702" t="str">
        <f t="shared" ca="1" si="25"/>
        <v>000000000000000000000000000000</v>
      </c>
    </row>
    <row r="56" spans="1:95" ht="60" customHeight="1" x14ac:dyDescent="0.25">
      <c r="A56" s="705">
        <v>47</v>
      </c>
      <c r="B56" s="707" t="str">
        <f>'Ext Area Schedule'!Y62</f>
        <v/>
      </c>
      <c r="C56" s="707" t="str">
        <f>VLOOKUP($B56,'Ext Area Schedule'!$Y$16:$AE$65,3,FALSE)</f>
        <v/>
      </c>
      <c r="D56" s="792" t="str">
        <f>VLOOKUP($B56,'Ext Area Schedule'!$Y$16:$AE$65,4,FALSE)</f>
        <v/>
      </c>
      <c r="F56" s="792" t="str">
        <f>VLOOKUP($B56,'Ext Area Schedule'!$Y$16:$AE$65,5,FALSE)</f>
        <v/>
      </c>
      <c r="G56" s="792" t="str">
        <f>VLOOKUP($B56,'Ext Area Schedule'!$Y$16:$AE$65,7,FALSE)</f>
        <v/>
      </c>
      <c r="I56" s="703">
        <f t="shared" si="6"/>
        <v>0</v>
      </c>
      <c r="K56" s="703" t="str">
        <f>IF($B56="","",SUMIFS('Ext Tradable'!$M$26:$M$45,'Ext Tradable'!$B$26:$B$45,$B56,'Ext Tradable'!$O$26:$O$45,"New"))</f>
        <v/>
      </c>
      <c r="L56" s="703" t="str">
        <f>IF($B56="","",SUMIFS('Ext Tradable'!$M$26:$M$45,'Ext Tradable'!$B$26:$B$45,$B56,'Ext Tradable'!$O$26:$O$45,""))</f>
        <v/>
      </c>
      <c r="M56" s="703" t="str">
        <f>IF($B56="","",SUMIFS('Ext Tradable'!$K$26:$K$45,'Ext Tradable'!$B$26:$B$45,$B56,'Ext Tradable'!$O$26:$O$45,"New")+SUMIFS('Ext Tradable'!$K$26:$K$45,'Ext Tradable'!$B$26:$B$45,$B56,'Ext Tradable'!$O$26:$O$45,""))</f>
        <v/>
      </c>
      <c r="N56" s="703" t="str">
        <f>IF($B56="","",SUMIFS('Ext Tradable'!$M$26:$M$45,'Ext Tradable'!$B$26:$B$45,$B56,'Ext Tradable'!$O$26:$O$45,"Existing Remains"))</f>
        <v/>
      </c>
      <c r="O56" s="703" t="str">
        <f>IF($B56="","",SUMIFS('Ext Tradable'!$M$26:$M$45,'Ext Tradable'!$B$26:$B$45,$B56,'Ext Tradable'!$O$26:$O$45,"Existing Removed"))</f>
        <v/>
      </c>
      <c r="P56" s="703" t="str">
        <f>IF($B56="","",SUMIFS('Ext Tradable'!$K$26:$K$45,'Ext Tradable'!$B$26:$B$45,$B56,'Ext Tradable'!$O$26:$O$45,"Existing Removed"))</f>
        <v/>
      </c>
      <c r="Q56" s="703" t="str">
        <f t="shared" si="7"/>
        <v/>
      </c>
      <c r="R56" s="703" t="str">
        <f t="shared" si="8"/>
        <v/>
      </c>
      <c r="S56" s="1123" t="str">
        <f t="shared" si="9"/>
        <v/>
      </c>
      <c r="T56" s="1128" t="str">
        <f t="shared" si="23"/>
        <v/>
      </c>
      <c r="U56" s="711" t="str">
        <f t="shared" si="11"/>
        <v/>
      </c>
      <c r="V56" s="712" t="str">
        <f t="shared" si="12"/>
        <v/>
      </c>
      <c r="W56" s="762"/>
      <c r="X56" s="720" t="str">
        <f t="shared" si="13"/>
        <v/>
      </c>
      <c r="Y56" s="721" t="str">
        <f t="shared" si="14"/>
        <v/>
      </c>
      <c r="Z56" s="721" t="str">
        <f t="shared" si="15"/>
        <v/>
      </c>
      <c r="AA56" s="719" t="str">
        <f t="shared" si="2"/>
        <v/>
      </c>
      <c r="AB56" s="762"/>
      <c r="AC56" s="717" t="str">
        <f t="shared" si="16"/>
        <v/>
      </c>
      <c r="AD56" s="718" t="str">
        <f t="shared" si="17"/>
        <v/>
      </c>
      <c r="AE56" s="719" t="str">
        <f t="shared" si="3"/>
        <v/>
      </c>
      <c r="AF56" s="726"/>
      <c r="AG56" s="727" t="str">
        <f t="shared" si="18"/>
        <v/>
      </c>
      <c r="AH56" s="703" t="str">
        <f t="shared" si="19"/>
        <v/>
      </c>
      <c r="AI56" s="1114">
        <f t="shared" si="20"/>
        <v>0</v>
      </c>
      <c r="AK56" s="791" t="str">
        <f t="shared" si="4"/>
        <v/>
      </c>
      <c r="AL56" s="791" t="str">
        <f t="shared" si="21"/>
        <v/>
      </c>
      <c r="AM56" s="707" t="str">
        <f>IF(OR(AK56="Fail",AK56="Fail LPA",AK56=""),"",IF(AL56&lt;&gt;"#1",VLOOKUP(C56,'9.4.3 Tables'!B$142:O$154,14,FALSE),"No NEW controls required"))</f>
        <v/>
      </c>
      <c r="AN56" s="703">
        <f t="shared" si="22"/>
        <v>0</v>
      </c>
      <c r="AQ56">
        <v>47</v>
      </c>
      <c r="AR56" s="15" t="str">
        <f t="shared" si="24"/>
        <v/>
      </c>
      <c r="AS56" s="700" t="str">
        <f ca="1">IF(INDIRECT("'Ext Tradable'!$B" &amp; AS$9)=$B56,INDIRECT("'Ext Tradable'!$" &amp; 'Ext Tradable'!$AS$23 &amp; AS$9),"")</f>
        <v/>
      </c>
      <c r="AT56" s="700" t="str">
        <f ca="1">IF(INDIRECT("'Ext Tradable'!$B" &amp; AT$9)=$B56,INDIRECT("'Ext Tradable'!$" &amp; 'Ext Tradable'!$AS$23 &amp; AT$9),"")</f>
        <v/>
      </c>
      <c r="AU56" s="700" t="str">
        <f ca="1">IF(INDIRECT("'Ext Tradable'!$B" &amp; AU$9)=$B56,INDIRECT("'Ext Tradable'!$" &amp; 'Ext Tradable'!$AS$23 &amp; AU$9),"")</f>
        <v/>
      </c>
      <c r="AV56" s="700" t="str">
        <f ca="1">IF(INDIRECT("'Ext Tradable'!$B" &amp; AV$9)=$B56,INDIRECT("'Ext Tradable'!$" &amp; 'Ext Tradable'!$AS$23 &amp; AV$9),"")</f>
        <v/>
      </c>
      <c r="AW56" s="700" t="str">
        <f ca="1">IF(INDIRECT("'Ext Tradable'!$B" &amp; AW$9)=$B56,INDIRECT("'Ext Tradable'!$" &amp; 'Ext Tradable'!$AS$23 &amp; AW$9),"")</f>
        <v/>
      </c>
      <c r="AX56" s="700" t="str">
        <f ca="1">IF(INDIRECT("'Ext Tradable'!$B" &amp; AX$9)=$B56,INDIRECT("'Ext Tradable'!$" &amp; 'Ext Tradable'!$AS$23 &amp; AX$9),"")</f>
        <v/>
      </c>
      <c r="AY56" s="700" t="str">
        <f ca="1">IF(INDIRECT("'Ext Tradable'!$B" &amp; AY$9)=$B56,INDIRECT("'Ext Tradable'!$" &amp; 'Ext Tradable'!$AS$23 &amp; AY$9),"")</f>
        <v/>
      </c>
      <c r="AZ56" s="700" t="str">
        <f ca="1">IF(INDIRECT("'Ext Tradable'!$B" &amp; AZ$9)=$B56,INDIRECT("'Ext Tradable'!$" &amp; 'Ext Tradable'!$AS$23 &amp; AZ$9),"")</f>
        <v/>
      </c>
      <c r="BA56" s="700" t="str">
        <f ca="1">IF(INDIRECT("'Ext Tradable'!$B" &amp; BA$9)=$B56,INDIRECT("'Ext Tradable'!$" &amp; 'Ext Tradable'!$AS$23 &amp; BA$9),"")</f>
        <v/>
      </c>
      <c r="BB56" s="700" t="str">
        <f ca="1">IF(INDIRECT("'Ext Tradable'!$B" &amp; BB$9)=$B56,INDIRECT("'Ext Tradable'!$" &amp; 'Ext Tradable'!$AS$23 &amp; BB$9),"")</f>
        <v/>
      </c>
      <c r="BC56" s="700" t="str">
        <f ca="1">IF(INDIRECT("'Ext Tradable'!$B" &amp; BC$9)=$B56,INDIRECT("'Ext Tradable'!$" &amp; 'Ext Tradable'!$AS$23 &amp; BC$9),"")</f>
        <v/>
      </c>
      <c r="BD56" s="700" t="str">
        <f ca="1">IF(INDIRECT("'Ext Tradable'!$B" &amp; BD$9)=$B56,INDIRECT("'Ext Tradable'!$" &amp; 'Ext Tradable'!$AS$23 &amp; BD$9),"")</f>
        <v/>
      </c>
      <c r="BE56" s="700" t="str">
        <f ca="1">IF(INDIRECT("'Ext Tradable'!$B" &amp; BE$9)=$B56,INDIRECT("'Ext Tradable'!$" &amp; 'Ext Tradable'!$AS$23 &amp; BE$9),"")</f>
        <v/>
      </c>
      <c r="BF56" s="700" t="str">
        <f ca="1">IF(INDIRECT("'Ext Tradable'!$B" &amp; BF$9)=$B56,INDIRECT("'Ext Tradable'!$" &amp; 'Ext Tradable'!$AS$23 &amp; BF$9),"")</f>
        <v/>
      </c>
      <c r="BG56" s="700" t="str">
        <f ca="1">IF(INDIRECT("'Ext Tradable'!$B" &amp; BG$9)=$B56,INDIRECT("'Ext Tradable'!$" &amp; 'Ext Tradable'!$AS$23 &amp; BG$9),"")</f>
        <v/>
      </c>
      <c r="BH56" s="700" t="str">
        <f ca="1">IF(INDIRECT("'Ext Tradable'!$B" &amp; BH$9)=$B56,INDIRECT("'Ext Tradable'!$" &amp; 'Ext Tradable'!$AS$23 &amp; BH$9),"")</f>
        <v/>
      </c>
      <c r="BI56" s="700" t="str">
        <f ca="1">IF(INDIRECT("'Ext Tradable'!$B" &amp; BI$9)=$B56,INDIRECT("'Ext Tradable'!$" &amp; 'Ext Tradable'!$AS$23 &amp; BI$9),"")</f>
        <v/>
      </c>
      <c r="BJ56" s="700" t="str">
        <f ca="1">IF(INDIRECT("'Ext Tradable'!$B" &amp; BJ$9)=$B56,INDIRECT("'Ext Tradable'!$" &amp; 'Ext Tradable'!$AS$23 &amp; BJ$9),"")</f>
        <v/>
      </c>
      <c r="BK56" s="700" t="str">
        <f ca="1">IF(INDIRECT("'Ext Tradable'!$B" &amp; BK$9)=$B56,INDIRECT("'Ext Tradable'!$" &amp; 'Ext Tradable'!$AS$23 &amp; BK$9),"")</f>
        <v/>
      </c>
      <c r="BL56" s="700" t="str">
        <f ca="1">IF(INDIRECT("'Ext Tradable'!$B" &amp; BL$9)=$B56,INDIRECT("'Ext Tradable'!$" &amp; 'Ext Tradable'!$AS$23 &amp; BL$9),"")</f>
        <v/>
      </c>
      <c r="BM56" s="700">
        <f ca="1">IF(INDIRECT("'Ext Tradable'!$B" &amp; BM$9)=$B56,INDIRECT("'Ext Tradable'!$" &amp; 'Ext Tradable'!$AS$23 &amp; BM$9),"")</f>
        <v>0</v>
      </c>
      <c r="BN56" s="700">
        <f ca="1">IF(INDIRECT("'Ext Tradable'!$B" &amp; BN$9)=$B56,INDIRECT("'Ext Tradable'!$" &amp; 'Ext Tradable'!$AS$23 &amp; BN$9),"")</f>
        <v>0</v>
      </c>
      <c r="BO56" s="700">
        <f ca="1">IF(INDIRECT("'Ext Tradable'!$B" &amp; BO$9)=$B56,INDIRECT("'Ext Tradable'!$" &amp; 'Ext Tradable'!$AS$23 &amp; BO$9),"")</f>
        <v>0</v>
      </c>
      <c r="BP56" s="700">
        <f ca="1">IF(INDIRECT("'Ext Tradable'!$B" &amp; BP$9)=$B56,INDIRECT("'Ext Tradable'!$" &amp; 'Ext Tradable'!$AS$23 &amp; BP$9),"")</f>
        <v>0</v>
      </c>
      <c r="BQ56" s="700">
        <f ca="1">IF(INDIRECT("'Ext Tradable'!$B" &amp; BQ$9)=$B56,INDIRECT("'Ext Tradable'!$" &amp; 'Ext Tradable'!$AS$23 &amp; BQ$9),"")</f>
        <v>0</v>
      </c>
      <c r="BR56" s="700">
        <f ca="1">IF(INDIRECT("'Ext Tradable'!$B" &amp; BR$9)=$B56,INDIRECT("'Ext Tradable'!$" &amp; 'Ext Tradable'!$AS$23 &amp; BR$9),"")</f>
        <v>0</v>
      </c>
      <c r="BS56" s="700">
        <f ca="1">IF(INDIRECT("'Ext Tradable'!$B" &amp; BS$9)=$B56,INDIRECT("'Ext Tradable'!$" &amp; 'Ext Tradable'!$AS$23 &amp; BS$9),"")</f>
        <v>0</v>
      </c>
      <c r="BT56" s="700">
        <f ca="1">IF(INDIRECT("'Ext Tradable'!$B" &amp; BT$9)=$B56,INDIRECT("'Ext Tradable'!$" &amp; 'Ext Tradable'!$AS$23 &amp; BT$9),"")</f>
        <v>0</v>
      </c>
      <c r="BU56" s="700">
        <f ca="1">IF(INDIRECT("'Ext Tradable'!$B" &amp; BU$9)=$B56,INDIRECT("'Ext Tradable'!$" &amp; 'Ext Tradable'!$AS$23 &amp; BU$9),"")</f>
        <v>0</v>
      </c>
      <c r="BV56" s="700">
        <f ca="1">IF(INDIRECT("'Ext Tradable'!$B" &amp; BV$9)=$B56,INDIRECT("'Ext Tradable'!$" &amp; 'Ext Tradable'!$AS$23 &amp; BV$9),"")</f>
        <v>0</v>
      </c>
      <c r="BW56" s="700">
        <f ca="1">IF(INDIRECT("'Ext Tradable'!$B" &amp; BW$9)=$B56,INDIRECT("'Ext Tradable'!$" &amp; 'Ext Tradable'!$AS$23 &amp; BW$9),"")</f>
        <v>0</v>
      </c>
      <c r="BX56" s="700">
        <f ca="1">IF(INDIRECT("'Ext Tradable'!$B" &amp; BX$9)=$B56,INDIRECT("'Ext Tradable'!$" &amp; 'Ext Tradable'!$AS$23 &amp; BX$9),"")</f>
        <v>0</v>
      </c>
      <c r="BY56" s="700">
        <f ca="1">IF(INDIRECT("'Ext Tradable'!$B" &amp; BY$9)=$B56,INDIRECT("'Ext Tradable'!$" &amp; 'Ext Tradable'!$AS$23 &amp; BY$9),"")</f>
        <v>0</v>
      </c>
      <c r="BZ56" s="700">
        <f ca="1">IF(INDIRECT("'Ext Tradable'!$B" &amp; BZ$9)=$B56,INDIRECT("'Ext Tradable'!$" &amp; 'Ext Tradable'!$AS$23 &amp; BZ$9),"")</f>
        <v>0</v>
      </c>
      <c r="CA56" s="700">
        <f ca="1">IF(INDIRECT("'Ext Tradable'!$B" &amp; CA$9)=$B56,INDIRECT("'Ext Tradable'!$" &amp; 'Ext Tradable'!$AS$23 &amp; CA$9),"")</f>
        <v>0</v>
      </c>
      <c r="CB56" s="700">
        <f ca="1">IF(INDIRECT("'Ext Tradable'!$B" &amp; CB$9)=$B56,INDIRECT("'Ext Tradable'!$" &amp; 'Ext Tradable'!$AS$23 &amp; CB$9),"")</f>
        <v>0</v>
      </c>
      <c r="CC56" s="700">
        <f ca="1">IF(INDIRECT("'Ext Tradable'!$B" &amp; CC$9)=$B56,INDIRECT("'Ext Tradable'!$" &amp; 'Ext Tradable'!$AS$23 &amp; CC$9),"")</f>
        <v>0</v>
      </c>
      <c r="CD56" s="700">
        <f ca="1">IF(INDIRECT("'Ext Tradable'!$B" &amp; CD$9)=$B56,INDIRECT("'Ext Tradable'!$" &amp; 'Ext Tradable'!$AS$23 &amp; CD$9),"")</f>
        <v>0</v>
      </c>
      <c r="CE56" s="700">
        <f ca="1">IF(INDIRECT("'Ext Tradable'!$B" &amp; CE$9)=$B56,INDIRECT("'Ext Tradable'!$" &amp; 'Ext Tradable'!$AS$23 &amp; CE$9),"")</f>
        <v>0</v>
      </c>
      <c r="CF56" s="700">
        <f ca="1">IF(INDIRECT("'Ext Tradable'!$B" &amp; CF$9)=$B56,INDIRECT("'Ext Tradable'!$" &amp; 'Ext Tradable'!$AS$23 &amp; CF$9),"")</f>
        <v>0</v>
      </c>
      <c r="CG56" s="700">
        <f ca="1">IF(INDIRECT("'Ext Tradable'!$B" &amp; CG$9)=$B56,INDIRECT("'Ext Tradable'!$" &amp; 'Ext Tradable'!$AS$23 &amp; CG$9),"")</f>
        <v>0</v>
      </c>
      <c r="CH56" s="700">
        <f ca="1">IF(INDIRECT("'Ext Tradable'!$B" &amp; CH$9)=$B56,INDIRECT("'Ext Tradable'!$" &amp; 'Ext Tradable'!$AS$23 &amp; CH$9),"")</f>
        <v>0</v>
      </c>
      <c r="CI56" s="700">
        <f ca="1">IF(INDIRECT("'Ext Tradable'!$B" &amp; CI$9)=$B56,INDIRECT("'Ext Tradable'!$" &amp; 'Ext Tradable'!$AS$23 &amp; CI$9),"")</f>
        <v>0</v>
      </c>
      <c r="CJ56" s="700">
        <f ca="1">IF(INDIRECT("'Ext Tradable'!$B" &amp; CJ$9)=$B56,INDIRECT("'Ext Tradable'!$" &amp; 'Ext Tradable'!$AS$23 &amp; CJ$9),"")</f>
        <v>0</v>
      </c>
      <c r="CK56" s="700">
        <f ca="1">IF(INDIRECT("'Ext Tradable'!$B" &amp; CK$9)=$B56,INDIRECT("'Ext Tradable'!$" &amp; 'Ext Tradable'!$AS$23 &amp; CK$9),"")</f>
        <v>0</v>
      </c>
      <c r="CL56" s="700">
        <f ca="1">IF(INDIRECT("'Ext Tradable'!$B" &amp; CL$9)=$B56,INDIRECT("'Ext Tradable'!$" &amp; 'Ext Tradable'!$AS$23 &amp; CL$9),"")</f>
        <v>0</v>
      </c>
      <c r="CM56" s="700">
        <f ca="1">IF(INDIRECT("'Ext Tradable'!$B" &amp; CM$9)=$B56,INDIRECT("'Ext Tradable'!$" &amp; 'Ext Tradable'!$AS$23 &amp; CM$9),"")</f>
        <v>0</v>
      </c>
      <c r="CN56" s="700">
        <f ca="1">IF(INDIRECT("'Ext Tradable'!$B" &amp; CN$9)=$B56,INDIRECT("'Ext Tradable'!$" &amp; 'Ext Tradable'!$AS$23 &amp; CN$9),"")</f>
        <v>0</v>
      </c>
      <c r="CO56" s="700">
        <f ca="1">IF(INDIRECT("'Ext Tradable'!$B" &amp; CO$9)=$B56,INDIRECT("'Ext Tradable'!$" &amp; 'Ext Tradable'!$AS$23 &amp; CO$9),"")</f>
        <v>0</v>
      </c>
      <c r="CP56" s="700">
        <f ca="1">IF(INDIRECT("'Ext Tradable'!$B" &amp; CP$9)=$B56,INDIRECT("'Ext Tradable'!$" &amp; 'Ext Tradable'!$AS$23 &amp; CP$9),"")</f>
        <v>0</v>
      </c>
      <c r="CQ56" s="702" t="str">
        <f t="shared" ca="1" si="25"/>
        <v>000000000000000000000000000000</v>
      </c>
    </row>
    <row r="57" spans="1:95" ht="60" customHeight="1" x14ac:dyDescent="0.25">
      <c r="A57" s="705">
        <v>48</v>
      </c>
      <c r="B57" s="707" t="str">
        <f>'Ext Area Schedule'!Y63</f>
        <v/>
      </c>
      <c r="C57" s="707" t="str">
        <f>VLOOKUP($B57,'Ext Area Schedule'!$Y$16:$AE$65,3,FALSE)</f>
        <v/>
      </c>
      <c r="D57" s="792" t="str">
        <f>VLOOKUP($B57,'Ext Area Schedule'!$Y$16:$AE$65,4,FALSE)</f>
        <v/>
      </c>
      <c r="F57" s="792" t="str">
        <f>VLOOKUP($B57,'Ext Area Schedule'!$Y$16:$AE$65,5,FALSE)</f>
        <v/>
      </c>
      <c r="G57" s="792" t="str">
        <f>VLOOKUP($B57,'Ext Area Schedule'!$Y$16:$AE$65,7,FALSE)</f>
        <v/>
      </c>
      <c r="I57" s="703">
        <f t="shared" si="6"/>
        <v>0</v>
      </c>
      <c r="K57" s="703" t="str">
        <f>IF($B57="","",SUMIFS('Ext Tradable'!$M$26:$M$45,'Ext Tradable'!$B$26:$B$45,$B57,'Ext Tradable'!$O$26:$O$45,"New"))</f>
        <v/>
      </c>
      <c r="L57" s="703" t="str">
        <f>IF($B57="","",SUMIFS('Ext Tradable'!$M$26:$M$45,'Ext Tradable'!$B$26:$B$45,$B57,'Ext Tradable'!$O$26:$O$45,""))</f>
        <v/>
      </c>
      <c r="M57" s="703" t="str">
        <f>IF($B57="","",SUMIFS('Ext Tradable'!$K$26:$K$45,'Ext Tradable'!$B$26:$B$45,$B57,'Ext Tradable'!$O$26:$O$45,"New")+SUMIFS('Ext Tradable'!$K$26:$K$45,'Ext Tradable'!$B$26:$B$45,$B57,'Ext Tradable'!$O$26:$O$45,""))</f>
        <v/>
      </c>
      <c r="N57" s="703" t="str">
        <f>IF($B57="","",SUMIFS('Ext Tradable'!$M$26:$M$45,'Ext Tradable'!$B$26:$B$45,$B57,'Ext Tradable'!$O$26:$O$45,"Existing Remains"))</f>
        <v/>
      </c>
      <c r="O57" s="703" t="str">
        <f>IF($B57="","",SUMIFS('Ext Tradable'!$M$26:$M$45,'Ext Tradable'!$B$26:$B$45,$B57,'Ext Tradable'!$O$26:$O$45,"Existing Removed"))</f>
        <v/>
      </c>
      <c r="P57" s="703" t="str">
        <f>IF($B57="","",SUMIFS('Ext Tradable'!$K$26:$K$45,'Ext Tradable'!$B$26:$B$45,$B57,'Ext Tradable'!$O$26:$O$45,"Existing Removed"))</f>
        <v/>
      </c>
      <c r="Q57" s="703" t="str">
        <f t="shared" si="7"/>
        <v/>
      </c>
      <c r="R57" s="703" t="str">
        <f t="shared" si="8"/>
        <v/>
      </c>
      <c r="S57" s="1123" t="str">
        <f t="shared" si="9"/>
        <v/>
      </c>
      <c r="T57" s="1128" t="str">
        <f t="shared" si="23"/>
        <v/>
      </c>
      <c r="U57" s="711" t="str">
        <f t="shared" si="11"/>
        <v/>
      </c>
      <c r="V57" s="712" t="str">
        <f t="shared" si="12"/>
        <v/>
      </c>
      <c r="W57" s="762"/>
      <c r="X57" s="720" t="str">
        <f t="shared" si="13"/>
        <v/>
      </c>
      <c r="Y57" s="721" t="str">
        <f t="shared" si="14"/>
        <v/>
      </c>
      <c r="Z57" s="721" t="str">
        <f t="shared" si="15"/>
        <v/>
      </c>
      <c r="AA57" s="719" t="str">
        <f t="shared" si="2"/>
        <v/>
      </c>
      <c r="AB57" s="762"/>
      <c r="AC57" s="717" t="str">
        <f t="shared" si="16"/>
        <v/>
      </c>
      <c r="AD57" s="718" t="str">
        <f t="shared" si="17"/>
        <v/>
      </c>
      <c r="AE57" s="719" t="str">
        <f t="shared" si="3"/>
        <v/>
      </c>
      <c r="AF57" s="726"/>
      <c r="AG57" s="727" t="str">
        <f t="shared" si="18"/>
        <v/>
      </c>
      <c r="AH57" s="703" t="str">
        <f t="shared" si="19"/>
        <v/>
      </c>
      <c r="AI57" s="1114">
        <f t="shared" si="20"/>
        <v>0</v>
      </c>
      <c r="AK57" s="791" t="str">
        <f t="shared" si="4"/>
        <v/>
      </c>
      <c r="AL57" s="791" t="str">
        <f t="shared" si="21"/>
        <v/>
      </c>
      <c r="AM57" s="707" t="str">
        <f>IF(OR(AK57="Fail",AK57="Fail LPA",AK57=""),"",IF(AL57&lt;&gt;"#1",VLOOKUP(C57,'9.4.3 Tables'!B$142:O$154,14,FALSE),"No NEW controls required"))</f>
        <v/>
      </c>
      <c r="AN57" s="703">
        <f t="shared" si="22"/>
        <v>0</v>
      </c>
      <c r="AQ57">
        <v>48</v>
      </c>
      <c r="AR57" s="15" t="str">
        <f t="shared" si="24"/>
        <v/>
      </c>
      <c r="AS57" s="700" t="str">
        <f ca="1">IF(INDIRECT("'Ext Tradable'!$B" &amp; AS$9)=$B57,INDIRECT("'Ext Tradable'!$" &amp; 'Ext Tradable'!$AS$23 &amp; AS$9),"")</f>
        <v/>
      </c>
      <c r="AT57" s="700" t="str">
        <f ca="1">IF(INDIRECT("'Ext Tradable'!$B" &amp; AT$9)=$B57,INDIRECT("'Ext Tradable'!$" &amp; 'Ext Tradable'!$AS$23 &amp; AT$9),"")</f>
        <v/>
      </c>
      <c r="AU57" s="700" t="str">
        <f ca="1">IF(INDIRECT("'Ext Tradable'!$B" &amp; AU$9)=$B57,INDIRECT("'Ext Tradable'!$" &amp; 'Ext Tradable'!$AS$23 &amp; AU$9),"")</f>
        <v/>
      </c>
      <c r="AV57" s="700" t="str">
        <f ca="1">IF(INDIRECT("'Ext Tradable'!$B" &amp; AV$9)=$B57,INDIRECT("'Ext Tradable'!$" &amp; 'Ext Tradable'!$AS$23 &amp; AV$9),"")</f>
        <v/>
      </c>
      <c r="AW57" s="700" t="str">
        <f ca="1">IF(INDIRECT("'Ext Tradable'!$B" &amp; AW$9)=$B57,INDIRECT("'Ext Tradable'!$" &amp; 'Ext Tradable'!$AS$23 &amp; AW$9),"")</f>
        <v/>
      </c>
      <c r="AX57" s="700" t="str">
        <f ca="1">IF(INDIRECT("'Ext Tradable'!$B" &amp; AX$9)=$B57,INDIRECT("'Ext Tradable'!$" &amp; 'Ext Tradable'!$AS$23 &amp; AX$9),"")</f>
        <v/>
      </c>
      <c r="AY57" s="700" t="str">
        <f ca="1">IF(INDIRECT("'Ext Tradable'!$B" &amp; AY$9)=$B57,INDIRECT("'Ext Tradable'!$" &amp; 'Ext Tradable'!$AS$23 &amp; AY$9),"")</f>
        <v/>
      </c>
      <c r="AZ57" s="700" t="str">
        <f ca="1">IF(INDIRECT("'Ext Tradable'!$B" &amp; AZ$9)=$B57,INDIRECT("'Ext Tradable'!$" &amp; 'Ext Tradable'!$AS$23 &amp; AZ$9),"")</f>
        <v/>
      </c>
      <c r="BA57" s="700" t="str">
        <f ca="1">IF(INDIRECT("'Ext Tradable'!$B" &amp; BA$9)=$B57,INDIRECT("'Ext Tradable'!$" &amp; 'Ext Tradable'!$AS$23 &amp; BA$9),"")</f>
        <v/>
      </c>
      <c r="BB57" s="700" t="str">
        <f ca="1">IF(INDIRECT("'Ext Tradable'!$B" &amp; BB$9)=$B57,INDIRECT("'Ext Tradable'!$" &amp; 'Ext Tradable'!$AS$23 &amp; BB$9),"")</f>
        <v/>
      </c>
      <c r="BC57" s="700" t="str">
        <f ca="1">IF(INDIRECT("'Ext Tradable'!$B" &amp; BC$9)=$B57,INDIRECT("'Ext Tradable'!$" &amp; 'Ext Tradable'!$AS$23 &amp; BC$9),"")</f>
        <v/>
      </c>
      <c r="BD57" s="700" t="str">
        <f ca="1">IF(INDIRECT("'Ext Tradable'!$B" &amp; BD$9)=$B57,INDIRECT("'Ext Tradable'!$" &amp; 'Ext Tradable'!$AS$23 &amp; BD$9),"")</f>
        <v/>
      </c>
      <c r="BE57" s="700" t="str">
        <f ca="1">IF(INDIRECT("'Ext Tradable'!$B" &amp; BE$9)=$B57,INDIRECT("'Ext Tradable'!$" &amp; 'Ext Tradable'!$AS$23 &amp; BE$9),"")</f>
        <v/>
      </c>
      <c r="BF57" s="700" t="str">
        <f ca="1">IF(INDIRECT("'Ext Tradable'!$B" &amp; BF$9)=$B57,INDIRECT("'Ext Tradable'!$" &amp; 'Ext Tradable'!$AS$23 &amp; BF$9),"")</f>
        <v/>
      </c>
      <c r="BG57" s="700" t="str">
        <f ca="1">IF(INDIRECT("'Ext Tradable'!$B" &amp; BG$9)=$B57,INDIRECT("'Ext Tradable'!$" &amp; 'Ext Tradable'!$AS$23 &amp; BG$9),"")</f>
        <v/>
      </c>
      <c r="BH57" s="700" t="str">
        <f ca="1">IF(INDIRECT("'Ext Tradable'!$B" &amp; BH$9)=$B57,INDIRECT("'Ext Tradable'!$" &amp; 'Ext Tradable'!$AS$23 &amp; BH$9),"")</f>
        <v/>
      </c>
      <c r="BI57" s="700" t="str">
        <f ca="1">IF(INDIRECT("'Ext Tradable'!$B" &amp; BI$9)=$B57,INDIRECT("'Ext Tradable'!$" &amp; 'Ext Tradable'!$AS$23 &amp; BI$9),"")</f>
        <v/>
      </c>
      <c r="BJ57" s="700" t="str">
        <f ca="1">IF(INDIRECT("'Ext Tradable'!$B" &amp; BJ$9)=$B57,INDIRECT("'Ext Tradable'!$" &amp; 'Ext Tradable'!$AS$23 &amp; BJ$9),"")</f>
        <v/>
      </c>
      <c r="BK57" s="700" t="str">
        <f ca="1">IF(INDIRECT("'Ext Tradable'!$B" &amp; BK$9)=$B57,INDIRECT("'Ext Tradable'!$" &amp; 'Ext Tradable'!$AS$23 &amp; BK$9),"")</f>
        <v/>
      </c>
      <c r="BL57" s="700" t="str">
        <f ca="1">IF(INDIRECT("'Ext Tradable'!$B" &amp; BL$9)=$B57,INDIRECT("'Ext Tradable'!$" &amp; 'Ext Tradable'!$AS$23 &amp; BL$9),"")</f>
        <v/>
      </c>
      <c r="BM57" s="700">
        <f ca="1">IF(INDIRECT("'Ext Tradable'!$B" &amp; BM$9)=$B57,INDIRECT("'Ext Tradable'!$" &amp; 'Ext Tradable'!$AS$23 &amp; BM$9),"")</f>
        <v>0</v>
      </c>
      <c r="BN57" s="700">
        <f ca="1">IF(INDIRECT("'Ext Tradable'!$B" &amp; BN$9)=$B57,INDIRECT("'Ext Tradable'!$" &amp; 'Ext Tradable'!$AS$23 &amp; BN$9),"")</f>
        <v>0</v>
      </c>
      <c r="BO57" s="700">
        <f ca="1">IF(INDIRECT("'Ext Tradable'!$B" &amp; BO$9)=$B57,INDIRECT("'Ext Tradable'!$" &amp; 'Ext Tradable'!$AS$23 &amp; BO$9),"")</f>
        <v>0</v>
      </c>
      <c r="BP57" s="700">
        <f ca="1">IF(INDIRECT("'Ext Tradable'!$B" &amp; BP$9)=$B57,INDIRECT("'Ext Tradable'!$" &amp; 'Ext Tradable'!$AS$23 &amp; BP$9),"")</f>
        <v>0</v>
      </c>
      <c r="BQ57" s="700">
        <f ca="1">IF(INDIRECT("'Ext Tradable'!$B" &amp; BQ$9)=$B57,INDIRECT("'Ext Tradable'!$" &amp; 'Ext Tradable'!$AS$23 &amp; BQ$9),"")</f>
        <v>0</v>
      </c>
      <c r="BR57" s="700">
        <f ca="1">IF(INDIRECT("'Ext Tradable'!$B" &amp; BR$9)=$B57,INDIRECT("'Ext Tradable'!$" &amp; 'Ext Tradable'!$AS$23 &amp; BR$9),"")</f>
        <v>0</v>
      </c>
      <c r="BS57" s="700">
        <f ca="1">IF(INDIRECT("'Ext Tradable'!$B" &amp; BS$9)=$B57,INDIRECT("'Ext Tradable'!$" &amp; 'Ext Tradable'!$AS$23 &amp; BS$9),"")</f>
        <v>0</v>
      </c>
      <c r="BT57" s="700">
        <f ca="1">IF(INDIRECT("'Ext Tradable'!$B" &amp; BT$9)=$B57,INDIRECT("'Ext Tradable'!$" &amp; 'Ext Tradable'!$AS$23 &amp; BT$9),"")</f>
        <v>0</v>
      </c>
      <c r="BU57" s="700">
        <f ca="1">IF(INDIRECT("'Ext Tradable'!$B" &amp; BU$9)=$B57,INDIRECT("'Ext Tradable'!$" &amp; 'Ext Tradable'!$AS$23 &amp; BU$9),"")</f>
        <v>0</v>
      </c>
      <c r="BV57" s="700">
        <f ca="1">IF(INDIRECT("'Ext Tradable'!$B" &amp; BV$9)=$B57,INDIRECT("'Ext Tradable'!$" &amp; 'Ext Tradable'!$AS$23 &amp; BV$9),"")</f>
        <v>0</v>
      </c>
      <c r="BW57" s="700">
        <f ca="1">IF(INDIRECT("'Ext Tradable'!$B" &amp; BW$9)=$B57,INDIRECT("'Ext Tradable'!$" &amp; 'Ext Tradable'!$AS$23 &amp; BW$9),"")</f>
        <v>0</v>
      </c>
      <c r="BX57" s="700">
        <f ca="1">IF(INDIRECT("'Ext Tradable'!$B" &amp; BX$9)=$B57,INDIRECT("'Ext Tradable'!$" &amp; 'Ext Tradable'!$AS$23 &amp; BX$9),"")</f>
        <v>0</v>
      </c>
      <c r="BY57" s="700">
        <f ca="1">IF(INDIRECT("'Ext Tradable'!$B" &amp; BY$9)=$B57,INDIRECT("'Ext Tradable'!$" &amp; 'Ext Tradable'!$AS$23 &amp; BY$9),"")</f>
        <v>0</v>
      </c>
      <c r="BZ57" s="700">
        <f ca="1">IF(INDIRECT("'Ext Tradable'!$B" &amp; BZ$9)=$B57,INDIRECT("'Ext Tradable'!$" &amp; 'Ext Tradable'!$AS$23 &amp; BZ$9),"")</f>
        <v>0</v>
      </c>
      <c r="CA57" s="700">
        <f ca="1">IF(INDIRECT("'Ext Tradable'!$B" &amp; CA$9)=$B57,INDIRECT("'Ext Tradable'!$" &amp; 'Ext Tradable'!$AS$23 &amp; CA$9),"")</f>
        <v>0</v>
      </c>
      <c r="CB57" s="700">
        <f ca="1">IF(INDIRECT("'Ext Tradable'!$B" &amp; CB$9)=$B57,INDIRECT("'Ext Tradable'!$" &amp; 'Ext Tradable'!$AS$23 &amp; CB$9),"")</f>
        <v>0</v>
      </c>
      <c r="CC57" s="700">
        <f ca="1">IF(INDIRECT("'Ext Tradable'!$B" &amp; CC$9)=$B57,INDIRECT("'Ext Tradable'!$" &amp; 'Ext Tradable'!$AS$23 &amp; CC$9),"")</f>
        <v>0</v>
      </c>
      <c r="CD57" s="700">
        <f ca="1">IF(INDIRECT("'Ext Tradable'!$B" &amp; CD$9)=$B57,INDIRECT("'Ext Tradable'!$" &amp; 'Ext Tradable'!$AS$23 &amp; CD$9),"")</f>
        <v>0</v>
      </c>
      <c r="CE57" s="700">
        <f ca="1">IF(INDIRECT("'Ext Tradable'!$B" &amp; CE$9)=$B57,INDIRECT("'Ext Tradable'!$" &amp; 'Ext Tradable'!$AS$23 &amp; CE$9),"")</f>
        <v>0</v>
      </c>
      <c r="CF57" s="700">
        <f ca="1">IF(INDIRECT("'Ext Tradable'!$B" &amp; CF$9)=$B57,INDIRECT("'Ext Tradable'!$" &amp; 'Ext Tradable'!$AS$23 &amp; CF$9),"")</f>
        <v>0</v>
      </c>
      <c r="CG57" s="700">
        <f ca="1">IF(INDIRECT("'Ext Tradable'!$B" &amp; CG$9)=$B57,INDIRECT("'Ext Tradable'!$" &amp; 'Ext Tradable'!$AS$23 &amp; CG$9),"")</f>
        <v>0</v>
      </c>
      <c r="CH57" s="700">
        <f ca="1">IF(INDIRECT("'Ext Tradable'!$B" &amp; CH$9)=$B57,INDIRECT("'Ext Tradable'!$" &amp; 'Ext Tradable'!$AS$23 &amp; CH$9),"")</f>
        <v>0</v>
      </c>
      <c r="CI57" s="700">
        <f ca="1">IF(INDIRECT("'Ext Tradable'!$B" &amp; CI$9)=$B57,INDIRECT("'Ext Tradable'!$" &amp; 'Ext Tradable'!$AS$23 &amp; CI$9),"")</f>
        <v>0</v>
      </c>
      <c r="CJ57" s="700">
        <f ca="1">IF(INDIRECT("'Ext Tradable'!$B" &amp; CJ$9)=$B57,INDIRECT("'Ext Tradable'!$" &amp; 'Ext Tradable'!$AS$23 &amp; CJ$9),"")</f>
        <v>0</v>
      </c>
      <c r="CK57" s="700">
        <f ca="1">IF(INDIRECT("'Ext Tradable'!$B" &amp; CK$9)=$B57,INDIRECT("'Ext Tradable'!$" &amp; 'Ext Tradable'!$AS$23 &amp; CK$9),"")</f>
        <v>0</v>
      </c>
      <c r="CL57" s="700">
        <f ca="1">IF(INDIRECT("'Ext Tradable'!$B" &amp; CL$9)=$B57,INDIRECT("'Ext Tradable'!$" &amp; 'Ext Tradable'!$AS$23 &amp; CL$9),"")</f>
        <v>0</v>
      </c>
      <c r="CM57" s="700">
        <f ca="1">IF(INDIRECT("'Ext Tradable'!$B" &amp; CM$9)=$B57,INDIRECT("'Ext Tradable'!$" &amp; 'Ext Tradable'!$AS$23 &amp; CM$9),"")</f>
        <v>0</v>
      </c>
      <c r="CN57" s="700">
        <f ca="1">IF(INDIRECT("'Ext Tradable'!$B" &amp; CN$9)=$B57,INDIRECT("'Ext Tradable'!$" &amp; 'Ext Tradable'!$AS$23 &amp; CN$9),"")</f>
        <v>0</v>
      </c>
      <c r="CO57" s="700">
        <f ca="1">IF(INDIRECT("'Ext Tradable'!$B" &amp; CO$9)=$B57,INDIRECT("'Ext Tradable'!$" &amp; 'Ext Tradable'!$AS$23 &amp; CO$9),"")</f>
        <v>0</v>
      </c>
      <c r="CP57" s="700">
        <f ca="1">IF(INDIRECT("'Ext Tradable'!$B" &amp; CP$9)=$B57,INDIRECT("'Ext Tradable'!$" &amp; 'Ext Tradable'!$AS$23 &amp; CP$9),"")</f>
        <v>0</v>
      </c>
      <c r="CQ57" s="702" t="str">
        <f t="shared" ca="1" si="25"/>
        <v>000000000000000000000000000000</v>
      </c>
    </row>
    <row r="58" spans="1:95" ht="60" customHeight="1" x14ac:dyDescent="0.25">
      <c r="A58" s="705">
        <v>49</v>
      </c>
      <c r="B58" s="707" t="str">
        <f>'Ext Area Schedule'!Y64</f>
        <v/>
      </c>
      <c r="C58" s="707" t="str">
        <f>VLOOKUP($B58,'Ext Area Schedule'!$Y$16:$AE$65,3,FALSE)</f>
        <v/>
      </c>
      <c r="D58" s="792" t="str">
        <f>VLOOKUP($B58,'Ext Area Schedule'!$Y$16:$AE$65,4,FALSE)</f>
        <v/>
      </c>
      <c r="F58" s="792" t="str">
        <f>VLOOKUP($B58,'Ext Area Schedule'!$Y$16:$AE$65,5,FALSE)</f>
        <v/>
      </c>
      <c r="G58" s="792" t="str">
        <f>VLOOKUP($B58,'Ext Area Schedule'!$Y$16:$AE$65,7,FALSE)</f>
        <v/>
      </c>
      <c r="I58" s="703">
        <f t="shared" si="6"/>
        <v>0</v>
      </c>
      <c r="K58" s="703" t="str">
        <f>IF($B58="","",SUMIFS('Ext Tradable'!$M$26:$M$45,'Ext Tradable'!$B$26:$B$45,$B58,'Ext Tradable'!$O$26:$O$45,"New"))</f>
        <v/>
      </c>
      <c r="L58" s="703" t="str">
        <f>IF($B58="","",SUMIFS('Ext Tradable'!$M$26:$M$45,'Ext Tradable'!$B$26:$B$45,$B58,'Ext Tradable'!$O$26:$O$45,""))</f>
        <v/>
      </c>
      <c r="M58" s="703" t="str">
        <f>IF($B58="","",SUMIFS('Ext Tradable'!$K$26:$K$45,'Ext Tradable'!$B$26:$B$45,$B58,'Ext Tradable'!$O$26:$O$45,"New")+SUMIFS('Ext Tradable'!$K$26:$K$45,'Ext Tradable'!$B$26:$B$45,$B58,'Ext Tradable'!$O$26:$O$45,""))</f>
        <v/>
      </c>
      <c r="N58" s="703" t="str">
        <f>IF($B58="","",SUMIFS('Ext Tradable'!$M$26:$M$45,'Ext Tradable'!$B$26:$B$45,$B58,'Ext Tradable'!$O$26:$O$45,"Existing Remains"))</f>
        <v/>
      </c>
      <c r="O58" s="703" t="str">
        <f>IF($B58="","",SUMIFS('Ext Tradable'!$M$26:$M$45,'Ext Tradable'!$B$26:$B$45,$B58,'Ext Tradable'!$O$26:$O$45,"Existing Removed"))</f>
        <v/>
      </c>
      <c r="P58" s="703" t="str">
        <f>IF($B58="","",SUMIFS('Ext Tradable'!$K$26:$K$45,'Ext Tradable'!$B$26:$B$45,$B58,'Ext Tradable'!$O$26:$O$45,"Existing Removed"))</f>
        <v/>
      </c>
      <c r="Q58" s="703" t="str">
        <f t="shared" si="7"/>
        <v/>
      </c>
      <c r="R58" s="703" t="str">
        <f t="shared" si="8"/>
        <v/>
      </c>
      <c r="S58" s="1123" t="str">
        <f t="shared" si="9"/>
        <v/>
      </c>
      <c r="T58" s="1128" t="str">
        <f t="shared" si="23"/>
        <v/>
      </c>
      <c r="U58" s="711" t="str">
        <f t="shared" si="11"/>
        <v/>
      </c>
      <c r="V58" s="712" t="str">
        <f t="shared" si="12"/>
        <v/>
      </c>
      <c r="W58" s="762"/>
      <c r="X58" s="720" t="str">
        <f t="shared" si="13"/>
        <v/>
      </c>
      <c r="Y58" s="721" t="str">
        <f t="shared" si="14"/>
        <v/>
      </c>
      <c r="Z58" s="721" t="str">
        <f t="shared" si="15"/>
        <v/>
      </c>
      <c r="AA58" s="719" t="str">
        <f t="shared" si="2"/>
        <v/>
      </c>
      <c r="AB58" s="762"/>
      <c r="AC58" s="717" t="str">
        <f t="shared" si="16"/>
        <v/>
      </c>
      <c r="AD58" s="718" t="str">
        <f t="shared" si="17"/>
        <v/>
      </c>
      <c r="AE58" s="719" t="str">
        <f t="shared" si="3"/>
        <v/>
      </c>
      <c r="AF58" s="726"/>
      <c r="AG58" s="727" t="str">
        <f t="shared" si="18"/>
        <v/>
      </c>
      <c r="AH58" s="703" t="str">
        <f t="shared" si="19"/>
        <v/>
      </c>
      <c r="AI58" s="1114">
        <f t="shared" si="20"/>
        <v>0</v>
      </c>
      <c r="AK58" s="791" t="str">
        <f t="shared" si="4"/>
        <v/>
      </c>
      <c r="AL58" s="791" t="str">
        <f t="shared" si="21"/>
        <v/>
      </c>
      <c r="AM58" s="707" t="str">
        <f>IF(OR(AK58="Fail",AK58="Fail LPA",AK58=""),"",IF(AL58&lt;&gt;"#1",VLOOKUP(C58,'9.4.3 Tables'!B$142:O$154,14,FALSE),"No NEW controls required"))</f>
        <v/>
      </c>
      <c r="AN58" s="703">
        <f t="shared" si="22"/>
        <v>0</v>
      </c>
      <c r="AQ58">
        <v>49</v>
      </c>
      <c r="AR58" s="15" t="str">
        <f t="shared" si="24"/>
        <v/>
      </c>
      <c r="AS58" s="700" t="str">
        <f ca="1">IF(INDIRECT("'Ext Tradable'!$B" &amp; AS$9)=$B58,INDIRECT("'Ext Tradable'!$" &amp; 'Ext Tradable'!$AS$23 &amp; AS$9),"")</f>
        <v/>
      </c>
      <c r="AT58" s="700" t="str">
        <f ca="1">IF(INDIRECT("'Ext Tradable'!$B" &amp; AT$9)=$B58,INDIRECT("'Ext Tradable'!$" &amp; 'Ext Tradable'!$AS$23 &amp; AT$9),"")</f>
        <v/>
      </c>
      <c r="AU58" s="700" t="str">
        <f ca="1">IF(INDIRECT("'Ext Tradable'!$B" &amp; AU$9)=$B58,INDIRECT("'Ext Tradable'!$" &amp; 'Ext Tradable'!$AS$23 &amp; AU$9),"")</f>
        <v/>
      </c>
      <c r="AV58" s="700" t="str">
        <f ca="1">IF(INDIRECT("'Ext Tradable'!$B" &amp; AV$9)=$B58,INDIRECT("'Ext Tradable'!$" &amp; 'Ext Tradable'!$AS$23 &amp; AV$9),"")</f>
        <v/>
      </c>
      <c r="AW58" s="700" t="str">
        <f ca="1">IF(INDIRECT("'Ext Tradable'!$B" &amp; AW$9)=$B58,INDIRECT("'Ext Tradable'!$" &amp; 'Ext Tradable'!$AS$23 &amp; AW$9),"")</f>
        <v/>
      </c>
      <c r="AX58" s="700" t="str">
        <f ca="1">IF(INDIRECT("'Ext Tradable'!$B" &amp; AX$9)=$B58,INDIRECT("'Ext Tradable'!$" &amp; 'Ext Tradable'!$AS$23 &amp; AX$9),"")</f>
        <v/>
      </c>
      <c r="AY58" s="700" t="str">
        <f ca="1">IF(INDIRECT("'Ext Tradable'!$B" &amp; AY$9)=$B58,INDIRECT("'Ext Tradable'!$" &amp; 'Ext Tradable'!$AS$23 &amp; AY$9),"")</f>
        <v/>
      </c>
      <c r="AZ58" s="700" t="str">
        <f ca="1">IF(INDIRECT("'Ext Tradable'!$B" &amp; AZ$9)=$B58,INDIRECT("'Ext Tradable'!$" &amp; 'Ext Tradable'!$AS$23 &amp; AZ$9),"")</f>
        <v/>
      </c>
      <c r="BA58" s="700" t="str">
        <f ca="1">IF(INDIRECT("'Ext Tradable'!$B" &amp; BA$9)=$B58,INDIRECT("'Ext Tradable'!$" &amp; 'Ext Tradable'!$AS$23 &amp; BA$9),"")</f>
        <v/>
      </c>
      <c r="BB58" s="700" t="str">
        <f ca="1">IF(INDIRECT("'Ext Tradable'!$B" &amp; BB$9)=$B58,INDIRECT("'Ext Tradable'!$" &amp; 'Ext Tradable'!$AS$23 &amp; BB$9),"")</f>
        <v/>
      </c>
      <c r="BC58" s="700" t="str">
        <f ca="1">IF(INDIRECT("'Ext Tradable'!$B" &amp; BC$9)=$B58,INDIRECT("'Ext Tradable'!$" &amp; 'Ext Tradable'!$AS$23 &amp; BC$9),"")</f>
        <v/>
      </c>
      <c r="BD58" s="700" t="str">
        <f ca="1">IF(INDIRECT("'Ext Tradable'!$B" &amp; BD$9)=$B58,INDIRECT("'Ext Tradable'!$" &amp; 'Ext Tradable'!$AS$23 &amp; BD$9),"")</f>
        <v/>
      </c>
      <c r="BE58" s="700" t="str">
        <f ca="1">IF(INDIRECT("'Ext Tradable'!$B" &amp; BE$9)=$B58,INDIRECT("'Ext Tradable'!$" &amp; 'Ext Tradable'!$AS$23 &amp; BE$9),"")</f>
        <v/>
      </c>
      <c r="BF58" s="700" t="str">
        <f ca="1">IF(INDIRECT("'Ext Tradable'!$B" &amp; BF$9)=$B58,INDIRECT("'Ext Tradable'!$" &amp; 'Ext Tradable'!$AS$23 &amp; BF$9),"")</f>
        <v/>
      </c>
      <c r="BG58" s="700" t="str">
        <f ca="1">IF(INDIRECT("'Ext Tradable'!$B" &amp; BG$9)=$B58,INDIRECT("'Ext Tradable'!$" &amp; 'Ext Tradable'!$AS$23 &amp; BG$9),"")</f>
        <v/>
      </c>
      <c r="BH58" s="700" t="str">
        <f ca="1">IF(INDIRECT("'Ext Tradable'!$B" &amp; BH$9)=$B58,INDIRECT("'Ext Tradable'!$" &amp; 'Ext Tradable'!$AS$23 &amp; BH$9),"")</f>
        <v/>
      </c>
      <c r="BI58" s="700" t="str">
        <f ca="1">IF(INDIRECT("'Ext Tradable'!$B" &amp; BI$9)=$B58,INDIRECT("'Ext Tradable'!$" &amp; 'Ext Tradable'!$AS$23 &amp; BI$9),"")</f>
        <v/>
      </c>
      <c r="BJ58" s="700" t="str">
        <f ca="1">IF(INDIRECT("'Ext Tradable'!$B" &amp; BJ$9)=$B58,INDIRECT("'Ext Tradable'!$" &amp; 'Ext Tradable'!$AS$23 &amp; BJ$9),"")</f>
        <v/>
      </c>
      <c r="BK58" s="700" t="str">
        <f ca="1">IF(INDIRECT("'Ext Tradable'!$B" &amp; BK$9)=$B58,INDIRECT("'Ext Tradable'!$" &amp; 'Ext Tradable'!$AS$23 &amp; BK$9),"")</f>
        <v/>
      </c>
      <c r="BL58" s="700" t="str">
        <f ca="1">IF(INDIRECT("'Ext Tradable'!$B" &amp; BL$9)=$B58,INDIRECT("'Ext Tradable'!$" &amp; 'Ext Tradable'!$AS$23 &amp; BL$9),"")</f>
        <v/>
      </c>
      <c r="BM58" s="700">
        <f ca="1">IF(INDIRECT("'Ext Tradable'!$B" &amp; BM$9)=$B58,INDIRECT("'Ext Tradable'!$" &amp; 'Ext Tradable'!$AS$23 &amp; BM$9),"")</f>
        <v>0</v>
      </c>
      <c r="BN58" s="700">
        <f ca="1">IF(INDIRECT("'Ext Tradable'!$B" &amp; BN$9)=$B58,INDIRECT("'Ext Tradable'!$" &amp; 'Ext Tradable'!$AS$23 &amp; BN$9),"")</f>
        <v>0</v>
      </c>
      <c r="BO58" s="700">
        <f ca="1">IF(INDIRECT("'Ext Tradable'!$B" &amp; BO$9)=$B58,INDIRECT("'Ext Tradable'!$" &amp; 'Ext Tradable'!$AS$23 &amp; BO$9),"")</f>
        <v>0</v>
      </c>
      <c r="BP58" s="700">
        <f ca="1">IF(INDIRECT("'Ext Tradable'!$B" &amp; BP$9)=$B58,INDIRECT("'Ext Tradable'!$" &amp; 'Ext Tradable'!$AS$23 &amp; BP$9),"")</f>
        <v>0</v>
      </c>
      <c r="BQ58" s="700">
        <f ca="1">IF(INDIRECT("'Ext Tradable'!$B" &amp; BQ$9)=$B58,INDIRECT("'Ext Tradable'!$" &amp; 'Ext Tradable'!$AS$23 &amp; BQ$9),"")</f>
        <v>0</v>
      </c>
      <c r="BR58" s="700">
        <f ca="1">IF(INDIRECT("'Ext Tradable'!$B" &amp; BR$9)=$B58,INDIRECT("'Ext Tradable'!$" &amp; 'Ext Tradable'!$AS$23 &amp; BR$9),"")</f>
        <v>0</v>
      </c>
      <c r="BS58" s="700">
        <f ca="1">IF(INDIRECT("'Ext Tradable'!$B" &amp; BS$9)=$B58,INDIRECT("'Ext Tradable'!$" &amp; 'Ext Tradable'!$AS$23 &amp; BS$9),"")</f>
        <v>0</v>
      </c>
      <c r="BT58" s="700">
        <f ca="1">IF(INDIRECT("'Ext Tradable'!$B" &amp; BT$9)=$B58,INDIRECT("'Ext Tradable'!$" &amp; 'Ext Tradable'!$AS$23 &amp; BT$9),"")</f>
        <v>0</v>
      </c>
      <c r="BU58" s="700">
        <f ca="1">IF(INDIRECT("'Ext Tradable'!$B" &amp; BU$9)=$B58,INDIRECT("'Ext Tradable'!$" &amp; 'Ext Tradable'!$AS$23 &amp; BU$9),"")</f>
        <v>0</v>
      </c>
      <c r="BV58" s="700">
        <f ca="1">IF(INDIRECT("'Ext Tradable'!$B" &amp; BV$9)=$B58,INDIRECT("'Ext Tradable'!$" &amp; 'Ext Tradable'!$AS$23 &amp; BV$9),"")</f>
        <v>0</v>
      </c>
      <c r="BW58" s="700">
        <f ca="1">IF(INDIRECT("'Ext Tradable'!$B" &amp; BW$9)=$B58,INDIRECT("'Ext Tradable'!$" &amp; 'Ext Tradable'!$AS$23 &amp; BW$9),"")</f>
        <v>0</v>
      </c>
      <c r="BX58" s="700">
        <f ca="1">IF(INDIRECT("'Ext Tradable'!$B" &amp; BX$9)=$B58,INDIRECT("'Ext Tradable'!$" &amp; 'Ext Tradable'!$AS$23 &amp; BX$9),"")</f>
        <v>0</v>
      </c>
      <c r="BY58" s="700">
        <f ca="1">IF(INDIRECT("'Ext Tradable'!$B" &amp; BY$9)=$B58,INDIRECT("'Ext Tradable'!$" &amp; 'Ext Tradable'!$AS$23 &amp; BY$9),"")</f>
        <v>0</v>
      </c>
      <c r="BZ58" s="700">
        <f ca="1">IF(INDIRECT("'Ext Tradable'!$B" &amp; BZ$9)=$B58,INDIRECT("'Ext Tradable'!$" &amp; 'Ext Tradable'!$AS$23 &amp; BZ$9),"")</f>
        <v>0</v>
      </c>
      <c r="CA58" s="700">
        <f ca="1">IF(INDIRECT("'Ext Tradable'!$B" &amp; CA$9)=$B58,INDIRECT("'Ext Tradable'!$" &amp; 'Ext Tradable'!$AS$23 &amp; CA$9),"")</f>
        <v>0</v>
      </c>
      <c r="CB58" s="700">
        <f ca="1">IF(INDIRECT("'Ext Tradable'!$B" &amp; CB$9)=$B58,INDIRECT("'Ext Tradable'!$" &amp; 'Ext Tradable'!$AS$23 &amp; CB$9),"")</f>
        <v>0</v>
      </c>
      <c r="CC58" s="700">
        <f ca="1">IF(INDIRECT("'Ext Tradable'!$B" &amp; CC$9)=$B58,INDIRECT("'Ext Tradable'!$" &amp; 'Ext Tradable'!$AS$23 &amp; CC$9),"")</f>
        <v>0</v>
      </c>
      <c r="CD58" s="700">
        <f ca="1">IF(INDIRECT("'Ext Tradable'!$B" &amp; CD$9)=$B58,INDIRECT("'Ext Tradable'!$" &amp; 'Ext Tradable'!$AS$23 &amp; CD$9),"")</f>
        <v>0</v>
      </c>
      <c r="CE58" s="700">
        <f ca="1">IF(INDIRECT("'Ext Tradable'!$B" &amp; CE$9)=$B58,INDIRECT("'Ext Tradable'!$" &amp; 'Ext Tradable'!$AS$23 &amp; CE$9),"")</f>
        <v>0</v>
      </c>
      <c r="CF58" s="700">
        <f ca="1">IF(INDIRECT("'Ext Tradable'!$B" &amp; CF$9)=$B58,INDIRECT("'Ext Tradable'!$" &amp; 'Ext Tradable'!$AS$23 &amp; CF$9),"")</f>
        <v>0</v>
      </c>
      <c r="CG58" s="700">
        <f ca="1">IF(INDIRECT("'Ext Tradable'!$B" &amp; CG$9)=$B58,INDIRECT("'Ext Tradable'!$" &amp; 'Ext Tradable'!$AS$23 &amp; CG$9),"")</f>
        <v>0</v>
      </c>
      <c r="CH58" s="700">
        <f ca="1">IF(INDIRECT("'Ext Tradable'!$B" &amp; CH$9)=$B58,INDIRECT("'Ext Tradable'!$" &amp; 'Ext Tradable'!$AS$23 &amp; CH$9),"")</f>
        <v>0</v>
      </c>
      <c r="CI58" s="700">
        <f ca="1">IF(INDIRECT("'Ext Tradable'!$B" &amp; CI$9)=$B58,INDIRECT("'Ext Tradable'!$" &amp; 'Ext Tradable'!$AS$23 &amp; CI$9),"")</f>
        <v>0</v>
      </c>
      <c r="CJ58" s="700">
        <f ca="1">IF(INDIRECT("'Ext Tradable'!$B" &amp; CJ$9)=$B58,INDIRECT("'Ext Tradable'!$" &amp; 'Ext Tradable'!$AS$23 &amp; CJ$9),"")</f>
        <v>0</v>
      </c>
      <c r="CK58" s="700">
        <f ca="1">IF(INDIRECT("'Ext Tradable'!$B" &amp; CK$9)=$B58,INDIRECT("'Ext Tradable'!$" &amp; 'Ext Tradable'!$AS$23 &amp; CK$9),"")</f>
        <v>0</v>
      </c>
      <c r="CL58" s="700">
        <f ca="1">IF(INDIRECT("'Ext Tradable'!$B" &amp; CL$9)=$B58,INDIRECT("'Ext Tradable'!$" &amp; 'Ext Tradable'!$AS$23 &amp; CL$9),"")</f>
        <v>0</v>
      </c>
      <c r="CM58" s="700">
        <f ca="1">IF(INDIRECT("'Ext Tradable'!$B" &amp; CM$9)=$B58,INDIRECT("'Ext Tradable'!$" &amp; 'Ext Tradable'!$AS$23 &amp; CM$9),"")</f>
        <v>0</v>
      </c>
      <c r="CN58" s="700">
        <f ca="1">IF(INDIRECT("'Ext Tradable'!$B" &amp; CN$9)=$B58,INDIRECT("'Ext Tradable'!$" &amp; 'Ext Tradable'!$AS$23 &amp; CN$9),"")</f>
        <v>0</v>
      </c>
      <c r="CO58" s="700">
        <f ca="1">IF(INDIRECT("'Ext Tradable'!$B" &amp; CO$9)=$B58,INDIRECT("'Ext Tradable'!$" &amp; 'Ext Tradable'!$AS$23 &amp; CO$9),"")</f>
        <v>0</v>
      </c>
      <c r="CP58" s="700">
        <f ca="1">IF(INDIRECT("'Ext Tradable'!$B" &amp; CP$9)=$B58,INDIRECT("'Ext Tradable'!$" &amp; 'Ext Tradable'!$AS$23 &amp; CP$9),"")</f>
        <v>0</v>
      </c>
      <c r="CQ58" s="702" t="str">
        <f t="shared" ca="1" si="25"/>
        <v>000000000000000000000000000000</v>
      </c>
    </row>
    <row r="59" spans="1:95" ht="60" customHeight="1" x14ac:dyDescent="0.25">
      <c r="A59" s="705">
        <v>50</v>
      </c>
      <c r="B59" s="707" t="str">
        <f>'Ext Area Schedule'!Y65</f>
        <v/>
      </c>
      <c r="C59" s="707" t="str">
        <f>VLOOKUP($B59,'Ext Area Schedule'!$Y$16:$AE$65,3,FALSE)</f>
        <v/>
      </c>
      <c r="D59" s="792" t="str">
        <f>VLOOKUP($B59,'Ext Area Schedule'!$Y$16:$AE$65,4,FALSE)</f>
        <v/>
      </c>
      <c r="F59" s="792" t="str">
        <f>VLOOKUP($B59,'Ext Area Schedule'!$Y$16:$AE$65,5,FALSE)</f>
        <v/>
      </c>
      <c r="G59" s="792" t="str">
        <f>VLOOKUP($B59,'Ext Area Schedule'!$Y$16:$AE$65,7,FALSE)</f>
        <v/>
      </c>
      <c r="I59" s="703">
        <f t="shared" si="6"/>
        <v>0</v>
      </c>
      <c r="K59" s="703" t="str">
        <f>IF($B59="","",SUMIFS('Ext Tradable'!$M$26:$M$45,'Ext Tradable'!$B$26:$B$45,$B59,'Ext Tradable'!$O$26:$O$45,"New"))</f>
        <v/>
      </c>
      <c r="L59" s="703" t="str">
        <f>IF($B59="","",SUMIFS('Ext Tradable'!$M$26:$M$45,'Ext Tradable'!$B$26:$B$45,$B59,'Ext Tradable'!$O$26:$O$45,""))</f>
        <v/>
      </c>
      <c r="M59" s="703" t="str">
        <f>IF($B59="","",SUMIFS('Ext Tradable'!$K$26:$K$45,'Ext Tradable'!$B$26:$B$45,$B59,'Ext Tradable'!$O$26:$O$45,"New")+SUMIFS('Ext Tradable'!$K$26:$K$45,'Ext Tradable'!$B$26:$B$45,$B59,'Ext Tradable'!$O$26:$O$45,""))</f>
        <v/>
      </c>
      <c r="N59" s="703" t="str">
        <f>IF($B59="","",SUMIFS('Ext Tradable'!$M$26:$M$45,'Ext Tradable'!$B$26:$B$45,$B59,'Ext Tradable'!$O$26:$O$45,"Existing Remains"))</f>
        <v/>
      </c>
      <c r="O59" s="703" t="str">
        <f>IF($B59="","",SUMIFS('Ext Tradable'!$M$26:$M$45,'Ext Tradable'!$B$26:$B$45,$B59,'Ext Tradable'!$O$26:$O$45,"Existing Removed"))</f>
        <v/>
      </c>
      <c r="P59" s="703" t="str">
        <f>IF($B59="","",SUMIFS('Ext Tradable'!$K$26:$K$45,'Ext Tradable'!$B$26:$B$45,$B59,'Ext Tradable'!$O$26:$O$45,"Existing Removed"))</f>
        <v/>
      </c>
      <c r="Q59" s="703" t="str">
        <f t="shared" si="7"/>
        <v/>
      </c>
      <c r="R59" s="703" t="str">
        <f t="shared" si="8"/>
        <v/>
      </c>
      <c r="S59" s="1123" t="str">
        <f t="shared" si="9"/>
        <v/>
      </c>
      <c r="T59" s="1128" t="str">
        <f t="shared" si="23"/>
        <v/>
      </c>
      <c r="U59" s="711" t="str">
        <f t="shared" si="11"/>
        <v/>
      </c>
      <c r="V59" s="712" t="str">
        <f t="shared" si="12"/>
        <v/>
      </c>
      <c r="W59" s="762"/>
      <c r="X59" s="720" t="str">
        <f t="shared" si="13"/>
        <v/>
      </c>
      <c r="Y59" s="721" t="str">
        <f t="shared" si="14"/>
        <v/>
      </c>
      <c r="Z59" s="721" t="str">
        <f t="shared" si="15"/>
        <v/>
      </c>
      <c r="AA59" s="719" t="str">
        <f t="shared" si="2"/>
        <v/>
      </c>
      <c r="AB59" s="762"/>
      <c r="AC59" s="717" t="str">
        <f t="shared" si="16"/>
        <v/>
      </c>
      <c r="AD59" s="718" t="str">
        <f t="shared" si="17"/>
        <v/>
      </c>
      <c r="AE59" s="719" t="str">
        <f t="shared" si="3"/>
        <v/>
      </c>
      <c r="AF59" s="726"/>
      <c r="AG59" s="727" t="str">
        <f t="shared" si="18"/>
        <v/>
      </c>
      <c r="AH59" s="703" t="str">
        <f t="shared" si="19"/>
        <v/>
      </c>
      <c r="AI59" s="1114">
        <f t="shared" si="20"/>
        <v>0</v>
      </c>
      <c r="AK59" s="791" t="str">
        <f t="shared" si="4"/>
        <v/>
      </c>
      <c r="AL59" s="791" t="str">
        <f t="shared" si="21"/>
        <v/>
      </c>
      <c r="AM59" s="707" t="str">
        <f>IF(OR(AK59="Fail",AK59="Fail LPA",AK59=""),"",IF(AL59&lt;&gt;"#1",VLOOKUP(C59,'9.4.3 Tables'!B$142:O$154,14,FALSE),"No NEW controls required"))</f>
        <v/>
      </c>
      <c r="AN59" s="703">
        <f t="shared" si="22"/>
        <v>0</v>
      </c>
      <c r="AQ59">
        <v>50</v>
      </c>
      <c r="AR59" s="15" t="str">
        <f t="shared" si="24"/>
        <v/>
      </c>
      <c r="AS59" s="700" t="str">
        <f ca="1">IF(INDIRECT("'Ext Tradable'!$B" &amp; AS$9)=$B59,INDIRECT("'Ext Tradable'!$" &amp; 'Ext Tradable'!$AS$23 &amp; AS$9),"")</f>
        <v/>
      </c>
      <c r="AT59" s="700" t="str">
        <f ca="1">IF(INDIRECT("'Ext Tradable'!$B" &amp; AT$9)=$B59,INDIRECT("'Ext Tradable'!$" &amp; 'Ext Tradable'!$AS$23 &amp; AT$9),"")</f>
        <v/>
      </c>
      <c r="AU59" s="700" t="str">
        <f ca="1">IF(INDIRECT("'Ext Tradable'!$B" &amp; AU$9)=$B59,INDIRECT("'Ext Tradable'!$" &amp; 'Ext Tradable'!$AS$23 &amp; AU$9),"")</f>
        <v/>
      </c>
      <c r="AV59" s="700" t="str">
        <f ca="1">IF(INDIRECT("'Ext Tradable'!$B" &amp; AV$9)=$B59,INDIRECT("'Ext Tradable'!$" &amp; 'Ext Tradable'!$AS$23 &amp; AV$9),"")</f>
        <v/>
      </c>
      <c r="AW59" s="700" t="str">
        <f ca="1">IF(INDIRECT("'Ext Tradable'!$B" &amp; AW$9)=$B59,INDIRECT("'Ext Tradable'!$" &amp; 'Ext Tradable'!$AS$23 &amp; AW$9),"")</f>
        <v/>
      </c>
      <c r="AX59" s="700" t="str">
        <f ca="1">IF(INDIRECT("'Ext Tradable'!$B" &amp; AX$9)=$B59,INDIRECT("'Ext Tradable'!$" &amp; 'Ext Tradable'!$AS$23 &amp; AX$9),"")</f>
        <v/>
      </c>
      <c r="AY59" s="700" t="str">
        <f ca="1">IF(INDIRECT("'Ext Tradable'!$B" &amp; AY$9)=$B59,INDIRECT("'Ext Tradable'!$" &amp; 'Ext Tradable'!$AS$23 &amp; AY$9),"")</f>
        <v/>
      </c>
      <c r="AZ59" s="700" t="str">
        <f ca="1">IF(INDIRECT("'Ext Tradable'!$B" &amp; AZ$9)=$B59,INDIRECT("'Ext Tradable'!$" &amp; 'Ext Tradable'!$AS$23 &amp; AZ$9),"")</f>
        <v/>
      </c>
      <c r="BA59" s="700" t="str">
        <f ca="1">IF(INDIRECT("'Ext Tradable'!$B" &amp; BA$9)=$B59,INDIRECT("'Ext Tradable'!$" &amp; 'Ext Tradable'!$AS$23 &amp; BA$9),"")</f>
        <v/>
      </c>
      <c r="BB59" s="700" t="str">
        <f ca="1">IF(INDIRECT("'Ext Tradable'!$B" &amp; BB$9)=$B59,INDIRECT("'Ext Tradable'!$" &amp; 'Ext Tradable'!$AS$23 &amp; BB$9),"")</f>
        <v/>
      </c>
      <c r="BC59" s="700" t="str">
        <f ca="1">IF(INDIRECT("'Ext Tradable'!$B" &amp; BC$9)=$B59,INDIRECT("'Ext Tradable'!$" &amp; 'Ext Tradable'!$AS$23 &amp; BC$9),"")</f>
        <v/>
      </c>
      <c r="BD59" s="700" t="str">
        <f ca="1">IF(INDIRECT("'Ext Tradable'!$B" &amp; BD$9)=$B59,INDIRECT("'Ext Tradable'!$" &amp; 'Ext Tradable'!$AS$23 &amp; BD$9),"")</f>
        <v/>
      </c>
      <c r="BE59" s="700" t="str">
        <f ca="1">IF(INDIRECT("'Ext Tradable'!$B" &amp; BE$9)=$B59,INDIRECT("'Ext Tradable'!$" &amp; 'Ext Tradable'!$AS$23 &amp; BE$9),"")</f>
        <v/>
      </c>
      <c r="BF59" s="700" t="str">
        <f ca="1">IF(INDIRECT("'Ext Tradable'!$B" &amp; BF$9)=$B59,INDIRECT("'Ext Tradable'!$" &amp; 'Ext Tradable'!$AS$23 &amp; BF$9),"")</f>
        <v/>
      </c>
      <c r="BG59" s="700" t="str">
        <f ca="1">IF(INDIRECT("'Ext Tradable'!$B" &amp; BG$9)=$B59,INDIRECT("'Ext Tradable'!$" &amp; 'Ext Tradable'!$AS$23 &amp; BG$9),"")</f>
        <v/>
      </c>
      <c r="BH59" s="700" t="str">
        <f ca="1">IF(INDIRECT("'Ext Tradable'!$B" &amp; BH$9)=$B59,INDIRECT("'Ext Tradable'!$" &amp; 'Ext Tradable'!$AS$23 &amp; BH$9),"")</f>
        <v/>
      </c>
      <c r="BI59" s="700" t="str">
        <f ca="1">IF(INDIRECT("'Ext Tradable'!$B" &amp; BI$9)=$B59,INDIRECT("'Ext Tradable'!$" &amp; 'Ext Tradable'!$AS$23 &amp; BI$9),"")</f>
        <v/>
      </c>
      <c r="BJ59" s="700" t="str">
        <f ca="1">IF(INDIRECT("'Ext Tradable'!$B" &amp; BJ$9)=$B59,INDIRECT("'Ext Tradable'!$" &amp; 'Ext Tradable'!$AS$23 &amp; BJ$9),"")</f>
        <v/>
      </c>
      <c r="BK59" s="700" t="str">
        <f ca="1">IF(INDIRECT("'Ext Tradable'!$B" &amp; BK$9)=$B59,INDIRECT("'Ext Tradable'!$" &amp; 'Ext Tradable'!$AS$23 &amp; BK$9),"")</f>
        <v/>
      </c>
      <c r="BL59" s="700" t="str">
        <f ca="1">IF(INDIRECT("'Ext Tradable'!$B" &amp; BL$9)=$B59,INDIRECT("'Ext Tradable'!$" &amp; 'Ext Tradable'!$AS$23 &amp; BL$9),"")</f>
        <v/>
      </c>
      <c r="BM59" s="700">
        <f ca="1">IF(INDIRECT("'Ext Tradable'!$B" &amp; BM$9)=$B59,INDIRECT("'Ext Tradable'!$" &amp; 'Ext Tradable'!$AS$23 &amp; BM$9),"")</f>
        <v>0</v>
      </c>
      <c r="BN59" s="700">
        <f ca="1">IF(INDIRECT("'Ext Tradable'!$B" &amp; BN$9)=$B59,INDIRECT("'Ext Tradable'!$" &amp; 'Ext Tradable'!$AS$23 &amp; BN$9),"")</f>
        <v>0</v>
      </c>
      <c r="BO59" s="700">
        <f ca="1">IF(INDIRECT("'Ext Tradable'!$B" &amp; BO$9)=$B59,INDIRECT("'Ext Tradable'!$" &amp; 'Ext Tradable'!$AS$23 &amp; BO$9),"")</f>
        <v>0</v>
      </c>
      <c r="BP59" s="700">
        <f ca="1">IF(INDIRECT("'Ext Tradable'!$B" &amp; BP$9)=$B59,INDIRECT("'Ext Tradable'!$" &amp; 'Ext Tradable'!$AS$23 &amp; BP$9),"")</f>
        <v>0</v>
      </c>
      <c r="BQ59" s="700">
        <f ca="1">IF(INDIRECT("'Ext Tradable'!$B" &amp; BQ$9)=$B59,INDIRECT("'Ext Tradable'!$" &amp; 'Ext Tradable'!$AS$23 &amp; BQ$9),"")</f>
        <v>0</v>
      </c>
      <c r="BR59" s="700">
        <f ca="1">IF(INDIRECT("'Ext Tradable'!$B" &amp; BR$9)=$B59,INDIRECT("'Ext Tradable'!$" &amp; 'Ext Tradable'!$AS$23 &amp; BR$9),"")</f>
        <v>0</v>
      </c>
      <c r="BS59" s="700">
        <f ca="1">IF(INDIRECT("'Ext Tradable'!$B" &amp; BS$9)=$B59,INDIRECT("'Ext Tradable'!$" &amp; 'Ext Tradable'!$AS$23 &amp; BS$9),"")</f>
        <v>0</v>
      </c>
      <c r="BT59" s="700">
        <f ca="1">IF(INDIRECT("'Ext Tradable'!$B" &amp; BT$9)=$B59,INDIRECT("'Ext Tradable'!$" &amp; 'Ext Tradable'!$AS$23 &amp; BT$9),"")</f>
        <v>0</v>
      </c>
      <c r="BU59" s="700">
        <f ca="1">IF(INDIRECT("'Ext Tradable'!$B" &amp; BU$9)=$B59,INDIRECT("'Ext Tradable'!$" &amp; 'Ext Tradable'!$AS$23 &amp; BU$9),"")</f>
        <v>0</v>
      </c>
      <c r="BV59" s="700">
        <f ca="1">IF(INDIRECT("'Ext Tradable'!$B" &amp; BV$9)=$B59,INDIRECT("'Ext Tradable'!$" &amp; 'Ext Tradable'!$AS$23 &amp; BV$9),"")</f>
        <v>0</v>
      </c>
      <c r="BW59" s="700">
        <f ca="1">IF(INDIRECT("'Ext Tradable'!$B" &amp; BW$9)=$B59,INDIRECT("'Ext Tradable'!$" &amp; 'Ext Tradable'!$AS$23 &amp; BW$9),"")</f>
        <v>0</v>
      </c>
      <c r="BX59" s="700">
        <f ca="1">IF(INDIRECT("'Ext Tradable'!$B" &amp; BX$9)=$B59,INDIRECT("'Ext Tradable'!$" &amp; 'Ext Tradable'!$AS$23 &amp; BX$9),"")</f>
        <v>0</v>
      </c>
      <c r="BY59" s="700">
        <f ca="1">IF(INDIRECT("'Ext Tradable'!$B" &amp; BY$9)=$B59,INDIRECT("'Ext Tradable'!$" &amp; 'Ext Tradable'!$AS$23 &amp; BY$9),"")</f>
        <v>0</v>
      </c>
      <c r="BZ59" s="700">
        <f ca="1">IF(INDIRECT("'Ext Tradable'!$B" &amp; BZ$9)=$B59,INDIRECT("'Ext Tradable'!$" &amp; 'Ext Tradable'!$AS$23 &amp; BZ$9),"")</f>
        <v>0</v>
      </c>
      <c r="CA59" s="700">
        <f ca="1">IF(INDIRECT("'Ext Tradable'!$B" &amp; CA$9)=$B59,INDIRECT("'Ext Tradable'!$" &amp; 'Ext Tradable'!$AS$23 &amp; CA$9),"")</f>
        <v>0</v>
      </c>
      <c r="CB59" s="700">
        <f ca="1">IF(INDIRECT("'Ext Tradable'!$B" &amp; CB$9)=$B59,INDIRECT("'Ext Tradable'!$" &amp; 'Ext Tradable'!$AS$23 &amp; CB$9),"")</f>
        <v>0</v>
      </c>
      <c r="CC59" s="700">
        <f ca="1">IF(INDIRECT("'Ext Tradable'!$B" &amp; CC$9)=$B59,INDIRECT("'Ext Tradable'!$" &amp; 'Ext Tradable'!$AS$23 &amp; CC$9),"")</f>
        <v>0</v>
      </c>
      <c r="CD59" s="700">
        <f ca="1">IF(INDIRECT("'Ext Tradable'!$B" &amp; CD$9)=$B59,INDIRECT("'Ext Tradable'!$" &amp; 'Ext Tradable'!$AS$23 &amp; CD$9),"")</f>
        <v>0</v>
      </c>
      <c r="CE59" s="700">
        <f ca="1">IF(INDIRECT("'Ext Tradable'!$B" &amp; CE$9)=$B59,INDIRECT("'Ext Tradable'!$" &amp; 'Ext Tradable'!$AS$23 &amp; CE$9),"")</f>
        <v>0</v>
      </c>
      <c r="CF59" s="700">
        <f ca="1">IF(INDIRECT("'Ext Tradable'!$B" &amp; CF$9)=$B59,INDIRECT("'Ext Tradable'!$" &amp; 'Ext Tradable'!$AS$23 &amp; CF$9),"")</f>
        <v>0</v>
      </c>
      <c r="CG59" s="700">
        <f ca="1">IF(INDIRECT("'Ext Tradable'!$B" &amp; CG$9)=$B59,INDIRECT("'Ext Tradable'!$" &amp; 'Ext Tradable'!$AS$23 &amp; CG$9),"")</f>
        <v>0</v>
      </c>
      <c r="CH59" s="700">
        <f ca="1">IF(INDIRECT("'Ext Tradable'!$B" &amp; CH$9)=$B59,INDIRECT("'Ext Tradable'!$" &amp; 'Ext Tradable'!$AS$23 &amp; CH$9),"")</f>
        <v>0</v>
      </c>
      <c r="CI59" s="700">
        <f ca="1">IF(INDIRECT("'Ext Tradable'!$B" &amp; CI$9)=$B59,INDIRECT("'Ext Tradable'!$" &amp; 'Ext Tradable'!$AS$23 &amp; CI$9),"")</f>
        <v>0</v>
      </c>
      <c r="CJ59" s="700">
        <f ca="1">IF(INDIRECT("'Ext Tradable'!$B" &amp; CJ$9)=$B59,INDIRECT("'Ext Tradable'!$" &amp; 'Ext Tradable'!$AS$23 &amp; CJ$9),"")</f>
        <v>0</v>
      </c>
      <c r="CK59" s="700">
        <f ca="1">IF(INDIRECT("'Ext Tradable'!$B" &amp; CK$9)=$B59,INDIRECT("'Ext Tradable'!$" &amp; 'Ext Tradable'!$AS$23 &amp; CK$9),"")</f>
        <v>0</v>
      </c>
      <c r="CL59" s="700">
        <f ca="1">IF(INDIRECT("'Ext Tradable'!$B" &amp; CL$9)=$B59,INDIRECT("'Ext Tradable'!$" &amp; 'Ext Tradable'!$AS$23 &amp; CL$9),"")</f>
        <v>0</v>
      </c>
      <c r="CM59" s="700">
        <f ca="1">IF(INDIRECT("'Ext Tradable'!$B" &amp; CM$9)=$B59,INDIRECT("'Ext Tradable'!$" &amp; 'Ext Tradable'!$AS$23 &amp; CM$9),"")</f>
        <v>0</v>
      </c>
      <c r="CN59" s="700">
        <f ca="1">IF(INDIRECT("'Ext Tradable'!$B" &amp; CN$9)=$B59,INDIRECT("'Ext Tradable'!$" &amp; 'Ext Tradable'!$AS$23 &amp; CN$9),"")</f>
        <v>0</v>
      </c>
      <c r="CO59" s="700">
        <f ca="1">IF(INDIRECT("'Ext Tradable'!$B" &amp; CO$9)=$B59,INDIRECT("'Ext Tradable'!$" &amp; 'Ext Tradable'!$AS$23 &amp; CO$9),"")</f>
        <v>0</v>
      </c>
      <c r="CP59" s="700">
        <f ca="1">IF(INDIRECT("'Ext Tradable'!$B" &amp; CP$9)=$B59,INDIRECT("'Ext Tradable'!$" &amp; 'Ext Tradable'!$AS$23 &amp; CP$9),"")</f>
        <v>0</v>
      </c>
      <c r="CQ59" s="702" t="str">
        <f t="shared" ca="1" si="25"/>
        <v>000000000000000000000000000000</v>
      </c>
    </row>
    <row r="60" spans="1:95" x14ac:dyDescent="0.25">
      <c r="AF60" s="14"/>
      <c r="AG60" s="14"/>
    </row>
    <row r="61" spans="1:95" x14ac:dyDescent="0.25">
      <c r="AF61" s="14"/>
      <c r="AG61" s="14"/>
      <c r="AH61" s="1"/>
      <c r="AI61" s="763"/>
    </row>
    <row r="62" spans="1:95" x14ac:dyDescent="0.25">
      <c r="AF62" s="14"/>
      <c r="AG62" s="14"/>
    </row>
  </sheetData>
  <mergeCells count="7">
    <mergeCell ref="AH3:AI3"/>
    <mergeCell ref="U6:V6"/>
    <mergeCell ref="U8:V8"/>
    <mergeCell ref="X8:AA8"/>
    <mergeCell ref="AC8:AE8"/>
    <mergeCell ref="AH8:AI8"/>
    <mergeCell ref="AC6:AE6"/>
  </mergeCells>
  <conditionalFormatting sqref="X6">
    <cfRule type="cellIs" dxfId="155" priority="1" operator="equal">
      <formula>FALSE</formula>
    </cfRule>
    <cfRule type="cellIs" dxfId="154" priority="2" operator="equal">
      <formula>TRUE</formula>
    </cfRule>
  </conditionalFormatting>
  <conditionalFormatting sqref="Z6">
    <cfRule type="cellIs" dxfId="151" priority="3" operator="equal">
      <formula>FALSE</formula>
    </cfRule>
    <cfRule type="cellIs" dxfId="150" priority="4" operator="equal">
      <formula>TRUE</formula>
    </cfRule>
  </conditionalFormatting>
  <conditionalFormatting sqref="AC10:AC59">
    <cfRule type="containsText" dxfId="149" priority="13" operator="containsText" text="Pass">
      <formula>NOT(ISERROR(SEARCH("Pass",AC10)))</formula>
    </cfRule>
    <cfRule type="containsText" dxfId="148" priority="14" operator="containsText" text="Fail">
      <formula>NOT(ISERROR(SEARCH("Fail",AC10)))</formula>
    </cfRule>
  </conditionalFormatting>
  <conditionalFormatting sqref="AI4">
    <cfRule type="cellIs" dxfId="145" priority="5" operator="equal">
      <formula>FALSE</formula>
    </cfRule>
    <cfRule type="cellIs" dxfId="144" priority="6" operator="equal">
      <formula>TRUE</formula>
    </cfRule>
  </conditionalFormatting>
  <conditionalFormatting sqref="AK10:AL59">
    <cfRule type="containsText" dxfId="143" priority="7" operator="containsText" text="Pass">
      <formula>NOT(ISERROR(SEARCH("Pass",AK10)))</formula>
    </cfRule>
    <cfRule type="containsText" dxfId="142" priority="8" operator="containsText" text="Fail">
      <formula>NOT(ISERROR(SEARCH("Fail",AK10)))</formula>
    </cfRule>
  </conditionalFormatting>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17" operator="containsText" id="{C6DA255A-8820-4191-B633-8FE994449E66}">
            <xm:f>NOT(ISERROR(SEARCH("Pass",V10)))</xm:f>
            <xm:f>"Pass"</xm:f>
            <x14:dxf>
              <font>
                <color rgb="FF006100"/>
              </font>
              <fill>
                <patternFill>
                  <bgColor rgb="FFC6EFCE"/>
                </patternFill>
              </fill>
            </x14:dxf>
          </x14:cfRule>
          <x14:cfRule type="containsText" priority="18" operator="containsText" id="{A3A22348-554A-42F6-A6AC-9E6C76C9CEF8}">
            <xm:f>NOT(ISERROR(SEARCH("Fail",V10)))</xm:f>
            <xm:f>"Fail"</xm:f>
            <x14:dxf>
              <font>
                <color rgb="FF9C0006"/>
              </font>
              <fill>
                <patternFill>
                  <bgColor rgb="FFFFC7CE"/>
                </patternFill>
              </fill>
            </x14:dxf>
          </x14:cfRule>
          <xm:sqref>V10:V59</xm:sqref>
        </x14:conditionalFormatting>
        <x14:conditionalFormatting xmlns:xm="http://schemas.microsoft.com/office/excel/2006/main">
          <x14:cfRule type="containsText" priority="15" operator="containsText" id="{A1963A18-D1DA-48E8-9952-E064877668FB}">
            <xm:f>NOT(ISERROR(SEARCH("Pass",Y10)))</xm:f>
            <xm:f>"Pass"</xm:f>
            <x14:dxf>
              <font>
                <color rgb="FF006100"/>
              </font>
              <fill>
                <patternFill>
                  <bgColor rgb="FFC6EFCE"/>
                </patternFill>
              </fill>
            </x14:dxf>
          </x14:cfRule>
          <x14:cfRule type="containsText" priority="16" operator="containsText" id="{FBE88FA9-D8D6-4150-9B4A-535E9ADE4064}">
            <xm:f>NOT(ISERROR(SEARCH("Fail",Y10)))</xm:f>
            <xm:f>"Fail"</xm:f>
            <x14:dxf>
              <font>
                <color rgb="FF9C0006"/>
              </font>
              <fill>
                <patternFill>
                  <bgColor rgb="FFFFC7CE"/>
                </patternFill>
              </fill>
            </x14:dxf>
          </x14:cfRule>
          <xm:sqref>Y10:AA59</xm:sqref>
        </x14:conditionalFormatting>
        <x14:conditionalFormatting xmlns:xm="http://schemas.microsoft.com/office/excel/2006/main">
          <x14:cfRule type="containsText" priority="9" operator="containsText" id="{CC6F54A2-A4C9-4A2A-9F00-FACE98DAAE07}">
            <xm:f>NOT(ISERROR(SEARCH("Pass",AD10)))</xm:f>
            <xm:f>"Pass"</xm:f>
            <x14:dxf>
              <font>
                <color rgb="FF006100"/>
              </font>
              <fill>
                <patternFill>
                  <bgColor rgb="FFC6EFCE"/>
                </patternFill>
              </fill>
            </x14:dxf>
          </x14:cfRule>
          <x14:cfRule type="containsText" priority="10" operator="containsText" id="{01EA542D-C550-4B95-8BCF-0C469BF48831}">
            <xm:f>NOT(ISERROR(SEARCH("Fail",AD10)))</xm:f>
            <xm:f>"Fail"</xm:f>
            <x14:dxf>
              <font>
                <color rgb="FF9C0006"/>
              </font>
              <fill>
                <patternFill>
                  <bgColor rgb="FFFFC7CE"/>
                </patternFill>
              </fill>
            </x14:dxf>
          </x14:cfRule>
          <xm:sqref>AD10:AG59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theme="5" tint="-0.249977111117893"/>
    <pageSetUpPr fitToPage="1"/>
  </sheetPr>
  <dimension ref="A1:BL104"/>
  <sheetViews>
    <sheetView showGridLines="0" showRowColHeaders="0" workbookViewId="0">
      <pane xSplit="6" ySplit="24" topLeftCell="G25" activePane="bottomRight" state="frozen"/>
      <selection pane="topRight" activeCell="G1" sqref="G1"/>
      <selection pane="bottomLeft" activeCell="A25" sqref="A25"/>
      <selection pane="bottomRight" activeCell="AF28" sqref="AF28:AF30"/>
    </sheetView>
  </sheetViews>
  <sheetFormatPr defaultColWidth="9.1796875" defaultRowHeight="12.5" x14ac:dyDescent="0.25"/>
  <cols>
    <col min="1" max="1" width="2.54296875" style="42" customWidth="1"/>
    <col min="2" max="5" width="10.54296875" style="42" customWidth="1"/>
    <col min="6" max="7" width="2.54296875" style="42" customWidth="1"/>
    <col min="8" max="8" width="26.54296875" style="42" hidden="1" customWidth="1"/>
    <col min="9" max="9" width="25.54296875" style="42" customWidth="1"/>
    <col min="10" max="12" width="10.54296875" style="42" customWidth="1"/>
    <col min="13" max="14" width="10.7265625" style="42" customWidth="1"/>
    <col min="15" max="15" width="10.7265625" style="42" hidden="1" customWidth="1"/>
    <col min="16" max="16" width="10.7265625" style="42" customWidth="1"/>
    <col min="17" max="18" width="10.7265625" style="42" hidden="1" customWidth="1"/>
    <col min="19" max="19" width="10.7265625" style="42" customWidth="1"/>
    <col min="20" max="20" width="0.81640625" style="42" customWidth="1"/>
    <col min="21" max="21" width="13.54296875" style="42" customWidth="1"/>
    <col min="22" max="22" width="0.81640625" style="42" customWidth="1"/>
    <col min="23" max="23" width="5.26953125" style="42" customWidth="1"/>
    <col min="24" max="24" width="6.54296875" style="42" customWidth="1"/>
    <col min="25" max="25" width="5.26953125" style="42" customWidth="1"/>
    <col min="26" max="26" width="6.54296875" style="42" customWidth="1"/>
    <col min="27" max="27" width="5.26953125" style="42" customWidth="1"/>
    <col min="28" max="28" width="6.54296875" style="42" customWidth="1"/>
    <col min="29" max="29" width="5.26953125" style="42" customWidth="1"/>
    <col min="30" max="30" width="6.54296875" style="42" customWidth="1"/>
    <col min="31" max="31" width="5.26953125" style="42" customWidth="1"/>
    <col min="32" max="32" width="6.54296875" style="42" customWidth="1"/>
    <col min="33" max="33" width="0.81640625" style="42" customWidth="1"/>
    <col min="34" max="35" width="11.54296875" style="42" customWidth="1"/>
    <col min="36" max="36" width="11.54296875" style="42" hidden="1" customWidth="1"/>
    <col min="37" max="40" width="5.54296875" style="42" hidden="1" customWidth="1"/>
    <col min="41" max="41" width="0.81640625" style="42" hidden="1" customWidth="1"/>
    <col min="42" max="46" width="5.54296875" style="42" hidden="1" customWidth="1"/>
    <col min="47" max="47" width="0.81640625" style="42" hidden="1" customWidth="1"/>
    <col min="48" max="48" width="5.54296875" style="42" hidden="1" customWidth="1"/>
    <col min="49" max="49" width="11.54296875" style="42" hidden="1" customWidth="1"/>
    <col min="50" max="50" width="13.26953125" style="42" hidden="1" customWidth="1"/>
    <col min="51" max="51" width="20.54296875" style="42" hidden="1" customWidth="1"/>
    <col min="52" max="52" width="55.26953125" style="42" hidden="1" customWidth="1"/>
    <col min="53" max="56" width="9.1796875" style="42" hidden="1" customWidth="1"/>
    <col min="57" max="16384" width="9.1796875" style="42"/>
  </cols>
  <sheetData>
    <row r="1" spans="2:64" ht="17.149999999999999" customHeight="1" x14ac:dyDescent="0.3">
      <c r="D1" s="1498" t="s">
        <v>0</v>
      </c>
      <c r="E1" s="1498"/>
      <c r="F1" s="1498"/>
      <c r="G1" s="843"/>
      <c r="H1" s="843"/>
      <c r="I1" s="1472" t="str">
        <f>'Main Compliance Page'!K1</f>
        <v>ASHRAE/IES 90.1-2019 Lighting Compliance Documentation (v4.0)</v>
      </c>
      <c r="J1" s="1472"/>
      <c r="K1" s="1472"/>
      <c r="L1" s="1472"/>
      <c r="M1" s="1472"/>
      <c r="N1" s="844"/>
      <c r="O1" s="844"/>
      <c r="P1" s="844"/>
      <c r="Q1" s="844"/>
      <c r="R1" s="844"/>
      <c r="S1" s="844"/>
      <c r="T1" s="844"/>
      <c r="U1" s="143"/>
      <c r="V1" s="143"/>
      <c r="W1" s="143"/>
      <c r="X1" s="143"/>
      <c r="Y1" s="143"/>
      <c r="Z1" s="117"/>
      <c r="AA1" s="94"/>
    </row>
    <row r="2" spans="2:64" ht="5.15" customHeight="1" x14ac:dyDescent="0.3">
      <c r="D2" s="843"/>
      <c r="E2" s="843"/>
      <c r="F2" s="843"/>
      <c r="G2" s="843"/>
      <c r="H2" s="843"/>
      <c r="I2" s="844"/>
      <c r="J2" s="844"/>
      <c r="K2" s="844"/>
      <c r="L2" s="844"/>
      <c r="M2" s="844"/>
      <c r="N2" s="844"/>
      <c r="O2" s="844"/>
      <c r="P2" s="844"/>
      <c r="Q2" s="844"/>
      <c r="R2" s="844"/>
      <c r="S2" s="844"/>
      <c r="T2" s="844"/>
      <c r="U2" s="143"/>
      <c r="V2" s="143"/>
      <c r="W2" s="143"/>
      <c r="X2" s="143"/>
      <c r="Y2" s="143"/>
      <c r="Z2" s="117"/>
      <c r="AA2" s="94"/>
    </row>
    <row r="3" spans="2:64" ht="15" customHeight="1" x14ac:dyDescent="0.3">
      <c r="G3" s="118"/>
      <c r="H3" s="118"/>
      <c r="I3" s="1472" t="s">
        <v>1108</v>
      </c>
      <c r="J3" s="1472"/>
      <c r="K3" s="1472"/>
      <c r="L3" s="1472"/>
      <c r="M3" s="1472"/>
      <c r="N3" s="844"/>
      <c r="O3" s="844"/>
      <c r="P3" s="844"/>
      <c r="Q3" s="844"/>
      <c r="R3" s="844"/>
      <c r="S3" s="844"/>
      <c r="T3" s="844"/>
      <c r="U3" s="73"/>
      <c r="V3" s="73"/>
      <c r="W3" s="360"/>
      <c r="X3" s="360"/>
      <c r="Y3" s="360"/>
      <c r="Z3" s="74"/>
      <c r="AF3" s="308" t="s">
        <v>189</v>
      </c>
      <c r="AG3" s="308"/>
      <c r="AH3" s="366" t="str">
        <f>'Ext Tradable'!AB3</f>
        <v>Not Used</v>
      </c>
      <c r="AN3" s="74"/>
      <c r="AO3" s="74"/>
      <c r="AP3" s="74"/>
    </row>
    <row r="4" spans="2:64" ht="5.15" customHeight="1" x14ac:dyDescent="0.3">
      <c r="G4" s="118"/>
      <c r="H4" s="118"/>
      <c r="I4" s="844"/>
      <c r="J4" s="844"/>
      <c r="K4" s="844"/>
      <c r="L4" s="844"/>
      <c r="M4" s="844"/>
      <c r="N4" s="844"/>
      <c r="O4" s="844"/>
      <c r="P4" s="844"/>
      <c r="Q4" s="844"/>
      <c r="R4" s="844"/>
      <c r="S4" s="844"/>
      <c r="T4" s="844"/>
      <c r="U4" s="73"/>
      <c r="V4" s="73"/>
      <c r="W4" s="360"/>
      <c r="X4" s="360"/>
      <c r="Y4" s="360"/>
      <c r="Z4" s="74"/>
      <c r="AN4" s="74"/>
      <c r="AO4" s="74"/>
      <c r="AP4" s="74"/>
    </row>
    <row r="5" spans="2:64" ht="15" customHeight="1" x14ac:dyDescent="0.25">
      <c r="G5" s="118"/>
      <c r="H5" s="118"/>
      <c r="I5" s="118"/>
      <c r="J5" s="118"/>
      <c r="K5" s="73"/>
      <c r="L5" s="73"/>
      <c r="M5" s="73"/>
      <c r="N5" s="73"/>
      <c r="O5" s="73"/>
      <c r="P5" s="73"/>
      <c r="Q5" s="73"/>
      <c r="R5" s="73"/>
      <c r="S5" s="73"/>
      <c r="T5" s="73"/>
      <c r="U5" s="90"/>
      <c r="V5" s="90"/>
      <c r="W5" s="365"/>
      <c r="X5" s="365"/>
      <c r="Y5" s="365"/>
      <c r="Z5" s="74"/>
      <c r="AF5" s="308" t="s">
        <v>190</v>
      </c>
      <c r="AG5" s="308"/>
      <c r="AH5" s="366" t="str">
        <f>IF(AN46=0,"Not Used",IF(AND(S7="Compliant",AH13="Compliant"),"Compliant","Not Compliant"))</f>
        <v>Not Used</v>
      </c>
      <c r="AN5" s="74"/>
      <c r="AO5" s="74"/>
      <c r="AP5" s="74"/>
    </row>
    <row r="6" spans="2:64" ht="5.15" customHeight="1" x14ac:dyDescent="0.25">
      <c r="G6" s="118"/>
      <c r="H6" s="118"/>
      <c r="I6" s="118"/>
      <c r="J6" s="118"/>
      <c r="K6" s="73"/>
      <c r="L6" s="73"/>
      <c r="M6" s="73"/>
      <c r="N6" s="73"/>
      <c r="O6" s="73"/>
      <c r="P6" s="73"/>
      <c r="Q6" s="73"/>
      <c r="R6" s="73"/>
      <c r="S6" s="73"/>
      <c r="T6" s="73"/>
      <c r="U6" s="90"/>
      <c r="V6" s="90"/>
      <c r="W6" s="365"/>
      <c r="X6" s="365"/>
      <c r="Y6" s="365"/>
      <c r="Z6" s="74"/>
      <c r="AN6" s="74"/>
      <c r="AO6" s="74"/>
      <c r="AP6" s="74"/>
    </row>
    <row r="7" spans="2:64" ht="15" customHeight="1" x14ac:dyDescent="0.25">
      <c r="G7" s="118"/>
      <c r="H7" s="118"/>
      <c r="N7" s="73"/>
      <c r="O7" s="73"/>
      <c r="P7" s="864" t="s">
        <v>1120</v>
      </c>
      <c r="Q7" s="73"/>
      <c r="R7" s="73"/>
      <c r="S7" s="366" t="str">
        <f>IF(OR(S13&lt;0,S13="OVER"),"Not Compliant","Compliant")</f>
        <v>Compliant</v>
      </c>
      <c r="T7" s="73"/>
      <c r="V7" s="73"/>
      <c r="W7" s="360"/>
      <c r="X7" s="360"/>
      <c r="Y7" s="360"/>
      <c r="Z7" s="74"/>
      <c r="AM7" s="74"/>
      <c r="AN7" s="74"/>
      <c r="AO7" s="74"/>
    </row>
    <row r="8" spans="2:64" ht="5.15" customHeight="1" x14ac:dyDescent="0.25">
      <c r="G8" s="118"/>
      <c r="H8" s="118"/>
      <c r="I8" s="118"/>
      <c r="J8" s="73"/>
      <c r="K8" s="73"/>
      <c r="N8" s="73"/>
      <c r="O8" s="73"/>
      <c r="P8" s="864"/>
      <c r="Q8" s="73"/>
      <c r="R8" s="73"/>
      <c r="S8" s="213"/>
      <c r="T8" s="73"/>
      <c r="U8" s="73"/>
      <c r="V8" s="73"/>
      <c r="W8" s="360"/>
      <c r="X8" s="360"/>
      <c r="Y8" s="360"/>
      <c r="Z8" s="74"/>
      <c r="AM8" s="74"/>
      <c r="AN8" s="74"/>
      <c r="AO8" s="74"/>
    </row>
    <row r="9" spans="2:64" ht="15" customHeight="1" x14ac:dyDescent="0.25">
      <c r="G9" s="118"/>
      <c r="H9" s="118"/>
      <c r="I9" s="118"/>
      <c r="J9" s="939"/>
      <c r="K9" s="940"/>
      <c r="N9" s="73"/>
      <c r="O9" s="73"/>
      <c r="P9" s="864" t="s">
        <v>1122</v>
      </c>
      <c r="Q9" s="73"/>
      <c r="R9" s="73"/>
      <c r="S9" s="893">
        <f>'Ext Tradable'!M13</f>
        <v>0</v>
      </c>
      <c r="T9" s="73"/>
      <c r="U9" s="90"/>
      <c r="V9" s="90"/>
      <c r="Y9" s="365"/>
      <c r="AD9" s="308"/>
      <c r="AM9" s="43"/>
      <c r="AN9" s="43"/>
      <c r="AO9" s="43"/>
    </row>
    <row r="10" spans="2:64" ht="5.15" customHeight="1" x14ac:dyDescent="0.25">
      <c r="G10" s="118"/>
      <c r="H10" s="118"/>
      <c r="I10" s="118"/>
      <c r="J10" s="73"/>
      <c r="K10" s="73"/>
      <c r="N10" s="73"/>
      <c r="O10" s="73"/>
      <c r="P10" s="865"/>
      <c r="Q10" s="73"/>
      <c r="R10" s="73"/>
      <c r="S10" s="73"/>
      <c r="T10" s="73"/>
      <c r="U10" s="90"/>
      <c r="V10" s="90"/>
      <c r="W10" s="308"/>
      <c r="Y10" s="365"/>
      <c r="AM10" s="43"/>
      <c r="AN10" s="43"/>
      <c r="AO10" s="43"/>
    </row>
    <row r="11" spans="2:64" ht="15" customHeight="1" x14ac:dyDescent="0.25">
      <c r="G11" s="118"/>
      <c r="H11" s="118"/>
      <c r="I11" s="118"/>
      <c r="J11" s="939"/>
      <c r="K11" s="940"/>
      <c r="N11" s="73"/>
      <c r="O11" s="73"/>
      <c r="P11" s="864" t="s">
        <v>1123</v>
      </c>
      <c r="Q11" s="73"/>
      <c r="R11" s="73"/>
      <c r="S11" s="893">
        <f>SUM(P26:P45)</f>
        <v>0</v>
      </c>
      <c r="T11" s="73"/>
      <c r="U11" s="73"/>
      <c r="V11" s="73"/>
      <c r="Y11" s="360"/>
      <c r="Z11" s="74"/>
      <c r="AD11" s="308"/>
      <c r="AN11" s="74"/>
      <c r="AO11" s="74"/>
      <c r="AP11" s="74"/>
    </row>
    <row r="12" spans="2:64" ht="5.15" customHeight="1" x14ac:dyDescent="0.25">
      <c r="G12" s="118"/>
      <c r="H12" s="118"/>
      <c r="I12" s="118"/>
      <c r="J12" s="73"/>
      <c r="K12" s="73"/>
      <c r="N12" s="73"/>
      <c r="O12" s="73"/>
      <c r="P12" s="73"/>
      <c r="Q12" s="73"/>
      <c r="R12" s="73"/>
      <c r="S12" s="73"/>
      <c r="T12" s="73"/>
      <c r="U12" s="73"/>
      <c r="V12" s="73"/>
      <c r="W12" s="308"/>
      <c r="X12" s="503"/>
      <c r="Y12" s="360"/>
      <c r="Z12" s="74"/>
      <c r="AN12" s="74"/>
      <c r="AO12" s="74"/>
      <c r="AP12" s="74"/>
    </row>
    <row r="13" spans="2:64" ht="15" customHeight="1" x14ac:dyDescent="0.25">
      <c r="B13" s="1561" t="str">
        <f>CONCATENATE("90.1-",Compliance_Version_Year)</f>
        <v>90.1-2019</v>
      </c>
      <c r="C13" s="1561"/>
      <c r="G13" s="118"/>
      <c r="H13" s="118"/>
      <c r="I13" s="118"/>
      <c r="J13" s="939"/>
      <c r="K13" s="940"/>
      <c r="N13" s="796"/>
      <c r="O13" s="796"/>
      <c r="P13" s="864" t="s">
        <v>1094</v>
      </c>
      <c r="Q13" s="796"/>
      <c r="R13" s="796"/>
      <c r="S13" s="893">
        <f>IF(S9="OVER","OVER",S9-S11)</f>
        <v>0</v>
      </c>
      <c r="T13" s="796"/>
      <c r="U13" s="121" t="b">
        <f>IF(_Step2_AlterationsYesNo="Yes",TRUE,FALSE)</f>
        <v>0</v>
      </c>
      <c r="V13" s="121"/>
      <c r="W13" s="1756" t="str">
        <f>IF(AN46=0,"",IF($AN46=AP46,"Complete","Incomplete"))</f>
        <v/>
      </c>
      <c r="X13" s="1756"/>
      <c r="Y13" s="1756" t="str">
        <f>IF(AN46=0,"",IF($AN46=AQ46,"Complete","Incomplete"))</f>
        <v/>
      </c>
      <c r="Z13" s="1756"/>
      <c r="AA13" s="1756" t="str">
        <f>IF(AN46=0,"",IF($AN46=AR46,"Complete","Incomplete"))</f>
        <v/>
      </c>
      <c r="AB13" s="1756"/>
      <c r="AC13" s="1756" t="str">
        <f>IF(AN46=0,"",IF($AN46=AS46,"Complete","Incomplete"))</f>
        <v/>
      </c>
      <c r="AD13" s="1756"/>
      <c r="AE13" s="1756" t="str">
        <f>IF(AN46=0,"",IF($AN46=AT46,"Complete","Incomplete"))</f>
        <v/>
      </c>
      <c r="AF13" s="1756"/>
      <c r="AG13" s="503"/>
      <c r="AH13" s="894" t="str">
        <f>IF(AN46=0,"",IF(SUM(AV26:AV45)/AN46=5,"Compliant","Not Compliant"))</f>
        <v/>
      </c>
      <c r="AU13" s="63"/>
      <c r="AX13" s="74"/>
      <c r="AY13" s="74"/>
      <c r="BD13" s="74"/>
      <c r="BE13" s="74"/>
    </row>
    <row r="14" spans="2:64" ht="5.15" customHeight="1" thickBot="1" x14ac:dyDescent="0.35">
      <c r="B14" s="1420"/>
      <c r="C14" s="1420"/>
      <c r="D14" s="121"/>
      <c r="E14" s="121"/>
      <c r="F14" s="121"/>
      <c r="G14" s="285"/>
      <c r="H14" s="285"/>
      <c r="I14" s="339"/>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U14" s="63"/>
      <c r="BJ14" s="74"/>
      <c r="BK14" s="74"/>
      <c r="BL14" s="74"/>
    </row>
    <row r="15" spans="2:64" ht="25.15" customHeight="1" x14ac:dyDescent="0.3">
      <c r="B15" s="1763" t="s">
        <v>1116</v>
      </c>
      <c r="C15" s="1764"/>
      <c r="D15" s="1764"/>
      <c r="E15" s="1764"/>
      <c r="F15" s="1764"/>
      <c r="G15" s="815"/>
      <c r="H15" s="846"/>
      <c r="I15" s="1757" t="s">
        <v>127</v>
      </c>
      <c r="J15" s="1759" t="s">
        <v>129</v>
      </c>
      <c r="K15" s="1759" t="s">
        <v>182</v>
      </c>
      <c r="L15" s="1759" t="s">
        <v>183</v>
      </c>
      <c r="M15" s="1605" t="s">
        <v>130</v>
      </c>
      <c r="N15" s="1607"/>
      <c r="O15" s="1607"/>
      <c r="P15" s="1607"/>
      <c r="Q15" s="1607"/>
      <c r="R15" s="1607"/>
      <c r="S15" s="1606"/>
      <c r="T15" s="502"/>
      <c r="U15" s="811" t="str">
        <f>IF(U13=TRUE,"Alterations Only.","Column not used.")</f>
        <v>Column not used.</v>
      </c>
      <c r="V15" s="502"/>
      <c r="W15" s="1776" t="str">
        <f>'9.4.3 Tables'!J11</f>
        <v>9.4.1.4.a
Daylight hours  OFF</v>
      </c>
      <c r="X15" s="1777"/>
      <c r="Y15" s="1770" t="str">
        <f>'9.4.3 Tables'!K11</f>
        <v>9.4.1.4.b
Façade automatic shutoff</v>
      </c>
      <c r="Z15" s="1777"/>
      <c r="AA15" s="1770" t="str">
        <f>'9.4.3 Tables'!L11</f>
        <v>9.4.1.4.c
50% reduction</v>
      </c>
      <c r="AB15" s="1777"/>
      <c r="AC15" s="1770" t="str">
        <f>'9.4.3 Tables'!M11</f>
        <v>9.4.1.4.d
Parking 50% reduction</v>
      </c>
      <c r="AD15" s="1777"/>
      <c r="AE15" s="1770" t="str">
        <f>'9.4.3 Tables'!N11</f>
        <v>9.4.2
Controlled separately</v>
      </c>
      <c r="AF15" s="1606"/>
      <c r="AG15" s="502"/>
      <c r="AH15" s="1773" t="s">
        <v>191</v>
      </c>
      <c r="AI15" s="89"/>
      <c r="AJ15" s="89"/>
      <c r="AK15" s="1767" t="s">
        <v>871</v>
      </c>
      <c r="AL15" s="1767" t="s">
        <v>1098</v>
      </c>
      <c r="AM15" s="89"/>
      <c r="AN15" s="1767" t="s">
        <v>1096</v>
      </c>
      <c r="AO15" s="797"/>
      <c r="AP15" s="1767" t="str">
        <f>W15</f>
        <v>9.4.1.4.a
Daylight hours  OFF</v>
      </c>
      <c r="AQ15" s="1767" t="str">
        <f>Y15</f>
        <v>9.4.1.4.b
Façade automatic shutoff</v>
      </c>
      <c r="AR15" s="1767" t="str">
        <f>AA15</f>
        <v>9.4.1.4.c
50% reduction</v>
      </c>
      <c r="AS15" s="1767" t="str">
        <f>AC15</f>
        <v>9.4.1.4.d
Parking 50% reduction</v>
      </c>
      <c r="AT15" s="1767" t="str">
        <f>AE15</f>
        <v>9.4.2
Controlled separately</v>
      </c>
      <c r="AU15" s="797"/>
      <c r="AV15" s="1767" t="s">
        <v>1097</v>
      </c>
    </row>
    <row r="16" spans="2:64" ht="5.15" customHeight="1" x14ac:dyDescent="0.3">
      <c r="B16" s="1765"/>
      <c r="C16" s="1766"/>
      <c r="D16" s="1766"/>
      <c r="E16" s="1766"/>
      <c r="F16" s="1766"/>
      <c r="G16" s="808"/>
      <c r="H16" s="846"/>
      <c r="I16" s="1758"/>
      <c r="J16" s="1760"/>
      <c r="K16" s="1760"/>
      <c r="L16" s="1760"/>
      <c r="M16" s="1793"/>
      <c r="N16" s="1794"/>
      <c r="O16" s="1794"/>
      <c r="P16" s="1794"/>
      <c r="Q16" s="1794"/>
      <c r="R16" s="1794"/>
      <c r="S16" s="1772"/>
      <c r="T16" s="502"/>
      <c r="U16" s="819"/>
      <c r="V16" s="502"/>
      <c r="W16" s="1778"/>
      <c r="X16" s="1779"/>
      <c r="Y16" s="1771"/>
      <c r="Z16" s="1779"/>
      <c r="AA16" s="1771"/>
      <c r="AB16" s="1779"/>
      <c r="AC16" s="1771"/>
      <c r="AD16" s="1779"/>
      <c r="AE16" s="1771"/>
      <c r="AF16" s="1772"/>
      <c r="AG16" s="502"/>
      <c r="AH16" s="1774"/>
      <c r="AI16" s="89"/>
      <c r="AJ16" s="89"/>
      <c r="AK16" s="1767"/>
      <c r="AL16" s="1767"/>
      <c r="AM16" s="89"/>
      <c r="AN16" s="1767"/>
      <c r="AO16" s="797"/>
      <c r="AP16" s="1767"/>
      <c r="AQ16" s="1767"/>
      <c r="AR16" s="1767"/>
      <c r="AS16" s="1767"/>
      <c r="AT16" s="1767"/>
      <c r="AU16" s="797"/>
      <c r="AV16" s="1767"/>
    </row>
    <row r="17" spans="1:55" ht="15" customHeight="1" x14ac:dyDescent="0.3">
      <c r="B17" s="1765"/>
      <c r="C17" s="1766"/>
      <c r="D17" s="1766"/>
      <c r="E17" s="1766"/>
      <c r="F17" s="1766"/>
      <c r="G17" s="808"/>
      <c r="H17" s="846"/>
      <c r="I17" s="1758"/>
      <c r="J17" s="1760"/>
      <c r="K17" s="1760"/>
      <c r="L17" s="1760"/>
      <c r="M17" s="1793"/>
      <c r="N17" s="1794"/>
      <c r="O17" s="1794"/>
      <c r="P17" s="1794"/>
      <c r="Q17" s="1794"/>
      <c r="R17" s="1794"/>
      <c r="S17" s="1772"/>
      <c r="T17" s="502"/>
      <c r="U17" s="1775" t="str">
        <f>IF(U13=TRUE," Select ""New"", ""Existing Remains"", or ""Existing Removed"""," Leave cells blank.")</f>
        <v xml:space="preserve"> Leave cells blank.</v>
      </c>
      <c r="V17" s="502"/>
      <c r="W17" s="1778"/>
      <c r="X17" s="1779"/>
      <c r="Y17" s="1771"/>
      <c r="Z17" s="1779"/>
      <c r="AA17" s="1771"/>
      <c r="AB17" s="1779"/>
      <c r="AC17" s="1771"/>
      <c r="AD17" s="1779"/>
      <c r="AE17" s="1771"/>
      <c r="AF17" s="1772"/>
      <c r="AG17" s="502"/>
      <c r="AH17" s="1774"/>
      <c r="AI17" s="89"/>
      <c r="AJ17" s="89"/>
      <c r="AK17" s="1767"/>
      <c r="AL17" s="1767"/>
      <c r="AM17" s="89"/>
      <c r="AN17" s="1767"/>
      <c r="AO17" s="797"/>
      <c r="AP17" s="1767"/>
      <c r="AQ17" s="1767"/>
      <c r="AR17" s="1767"/>
      <c r="AS17" s="1767"/>
      <c r="AT17" s="1767"/>
      <c r="AU17" s="797"/>
      <c r="AV17" s="1767"/>
    </row>
    <row r="18" spans="1:55" ht="5.15" customHeight="1" x14ac:dyDescent="0.3">
      <c r="B18" s="845"/>
      <c r="C18" s="846"/>
      <c r="D18" s="846"/>
      <c r="E18" s="846"/>
      <c r="F18" s="846"/>
      <c r="G18" s="805"/>
      <c r="H18" s="846"/>
      <c r="I18" s="1758"/>
      <c r="J18" s="1760"/>
      <c r="K18" s="1760"/>
      <c r="L18" s="1760"/>
      <c r="M18" s="1793"/>
      <c r="N18" s="1794"/>
      <c r="O18" s="1794"/>
      <c r="P18" s="1794"/>
      <c r="Q18" s="1794"/>
      <c r="R18" s="1794"/>
      <c r="S18" s="1772"/>
      <c r="T18" s="502"/>
      <c r="U18" s="1775"/>
      <c r="V18" s="502"/>
      <c r="W18" s="1778"/>
      <c r="X18" s="1779"/>
      <c r="Y18" s="1771"/>
      <c r="Z18" s="1779"/>
      <c r="AA18" s="1771"/>
      <c r="AB18" s="1779"/>
      <c r="AC18" s="1771"/>
      <c r="AD18" s="1779"/>
      <c r="AE18" s="1771"/>
      <c r="AF18" s="1772"/>
      <c r="AG18" s="502"/>
      <c r="AH18" s="1774"/>
      <c r="AI18" s="89"/>
      <c r="AJ18" s="89"/>
      <c r="AK18" s="1767"/>
      <c r="AL18" s="1767"/>
      <c r="AM18" s="89"/>
      <c r="AN18" s="1767"/>
      <c r="AO18" s="797"/>
      <c r="AP18" s="1767"/>
      <c r="AQ18" s="1767"/>
      <c r="AR18" s="1767"/>
      <c r="AS18" s="1767"/>
      <c r="AT18" s="1767"/>
      <c r="AU18" s="797"/>
      <c r="AV18" s="1767"/>
    </row>
    <row r="19" spans="1:55" ht="15" customHeight="1" x14ac:dyDescent="0.3">
      <c r="B19" s="806"/>
      <c r="C19" s="807"/>
      <c r="D19" s="807"/>
      <c r="E19" s="807"/>
      <c r="F19" s="807"/>
      <c r="G19" s="808"/>
      <c r="H19" s="846"/>
      <c r="I19" s="1758"/>
      <c r="J19" s="1760"/>
      <c r="K19" s="1760"/>
      <c r="L19" s="1760"/>
      <c r="M19" s="1793"/>
      <c r="N19" s="1794"/>
      <c r="O19" s="1794"/>
      <c r="P19" s="1794"/>
      <c r="Q19" s="1794"/>
      <c r="R19" s="1794"/>
      <c r="S19" s="1772"/>
      <c r="T19" s="502"/>
      <c r="U19" s="1775"/>
      <c r="V19" s="502"/>
      <c r="W19" s="1778"/>
      <c r="X19" s="1779"/>
      <c r="Y19" s="1771"/>
      <c r="Z19" s="1779"/>
      <c r="AA19" s="1771"/>
      <c r="AB19" s="1779"/>
      <c r="AC19" s="1771"/>
      <c r="AD19" s="1779"/>
      <c r="AE19" s="1771"/>
      <c r="AF19" s="1772"/>
      <c r="AG19" s="502"/>
      <c r="AH19" s="1774"/>
      <c r="AI19" s="89"/>
      <c r="AJ19" s="89"/>
      <c r="AK19" s="1767"/>
      <c r="AL19" s="1767"/>
      <c r="AM19" s="89"/>
      <c r="AN19" s="1767"/>
      <c r="AO19" s="797"/>
      <c r="AP19" s="1767"/>
      <c r="AQ19" s="1767"/>
      <c r="AR19" s="1767"/>
      <c r="AS19" s="1767"/>
      <c r="AT19" s="1767"/>
      <c r="AU19" s="797"/>
      <c r="AV19" s="1767"/>
    </row>
    <row r="20" spans="1:55" ht="5.15" customHeight="1" x14ac:dyDescent="0.3">
      <c r="B20" s="806"/>
      <c r="C20" s="807"/>
      <c r="D20" s="807"/>
      <c r="E20" s="807"/>
      <c r="F20" s="807"/>
      <c r="G20" s="808"/>
      <c r="H20" s="846"/>
      <c r="I20" s="851"/>
      <c r="J20" s="852"/>
      <c r="K20" s="852"/>
      <c r="L20" s="852"/>
      <c r="M20" s="1760" t="s">
        <v>1117</v>
      </c>
      <c r="N20" s="1760" t="s">
        <v>168</v>
      </c>
      <c r="O20" s="1789" t="s">
        <v>1118</v>
      </c>
      <c r="P20" s="1760" t="s">
        <v>1213</v>
      </c>
      <c r="Q20" s="1789" t="s">
        <v>1119</v>
      </c>
      <c r="R20" s="1789" t="s">
        <v>1119</v>
      </c>
      <c r="S20" s="1769" t="s">
        <v>1121</v>
      </c>
      <c r="T20" s="502"/>
      <c r="U20" s="1775"/>
      <c r="V20" s="502"/>
      <c r="W20" s="847"/>
      <c r="X20" s="802"/>
      <c r="Y20" s="848"/>
      <c r="Z20" s="802"/>
      <c r="AA20" s="848"/>
      <c r="AB20" s="802"/>
      <c r="AC20" s="848"/>
      <c r="AD20" s="802"/>
      <c r="AE20" s="848"/>
      <c r="AF20" s="849"/>
      <c r="AG20" s="502"/>
      <c r="AH20" s="850"/>
      <c r="AI20" s="89"/>
      <c r="AJ20" s="89"/>
      <c r="AK20" s="1767"/>
      <c r="AL20" s="1767"/>
      <c r="AM20" s="89"/>
      <c r="AN20" s="1767"/>
      <c r="AO20" s="797"/>
      <c r="AP20" s="1767"/>
      <c r="AQ20" s="1767"/>
      <c r="AR20" s="1767"/>
      <c r="AS20" s="1767"/>
      <c r="AT20" s="1767"/>
      <c r="AU20" s="797"/>
      <c r="AV20" s="1767"/>
    </row>
    <row r="21" spans="1:55" ht="15" customHeight="1" x14ac:dyDescent="0.3">
      <c r="B21" s="806"/>
      <c r="C21" s="807"/>
      <c r="D21" s="807"/>
      <c r="E21" s="807"/>
      <c r="F21" s="807"/>
      <c r="G21" s="808"/>
      <c r="H21" s="846"/>
      <c r="I21" s="851"/>
      <c r="J21" s="852"/>
      <c r="K21" s="852"/>
      <c r="L21" s="852"/>
      <c r="M21" s="1760"/>
      <c r="N21" s="1760"/>
      <c r="O21" s="1789"/>
      <c r="P21" s="1760"/>
      <c r="Q21" s="1760"/>
      <c r="R21" s="1760"/>
      <c r="S21" s="1769"/>
      <c r="T21" s="502"/>
      <c r="U21" s="1775"/>
      <c r="V21" s="502"/>
      <c r="W21" s="847"/>
      <c r="X21" s="802"/>
      <c r="Y21" s="848"/>
      <c r="Z21" s="802"/>
      <c r="AA21" s="848"/>
      <c r="AB21" s="802"/>
      <c r="AC21" s="848"/>
      <c r="AD21" s="802"/>
      <c r="AE21" s="848"/>
      <c r="AF21" s="849"/>
      <c r="AG21" s="502"/>
      <c r="AH21" s="850"/>
      <c r="AI21" s="89"/>
      <c r="AJ21" s="89"/>
      <c r="AK21" s="1767"/>
      <c r="AL21" s="1767"/>
      <c r="AM21" s="89"/>
      <c r="AN21" s="1767"/>
      <c r="AO21" s="797"/>
      <c r="AP21" s="1767"/>
      <c r="AQ21" s="1767"/>
      <c r="AR21" s="1767"/>
      <c r="AS21" s="1767"/>
      <c r="AT21" s="1767"/>
      <c r="AU21" s="797"/>
      <c r="AV21" s="1767"/>
    </row>
    <row r="22" spans="1:55" ht="5.15" customHeight="1" x14ac:dyDescent="0.3">
      <c r="B22" s="806"/>
      <c r="C22" s="807"/>
      <c r="D22" s="807"/>
      <c r="E22" s="807"/>
      <c r="F22" s="807"/>
      <c r="G22" s="808"/>
      <c r="H22" s="846"/>
      <c r="I22" s="851"/>
      <c r="J22" s="852"/>
      <c r="K22" s="852"/>
      <c r="L22" s="852"/>
      <c r="M22" s="1760"/>
      <c r="N22" s="1760"/>
      <c r="O22" s="1789"/>
      <c r="P22" s="1760"/>
      <c r="Q22" s="1760"/>
      <c r="R22" s="1760"/>
      <c r="S22" s="1769"/>
      <c r="T22" s="502"/>
      <c r="U22" s="1775"/>
      <c r="V22" s="502"/>
      <c r="W22" s="847"/>
      <c r="X22" s="802"/>
      <c r="Y22" s="848"/>
      <c r="Z22" s="802"/>
      <c r="AA22" s="848"/>
      <c r="AB22" s="802"/>
      <c r="AC22" s="848"/>
      <c r="AD22" s="802"/>
      <c r="AE22" s="848"/>
      <c r="AF22" s="849"/>
      <c r="AG22" s="502"/>
      <c r="AH22" s="850"/>
      <c r="AI22" s="89"/>
      <c r="AJ22" s="89"/>
      <c r="AK22" s="1767"/>
      <c r="AL22" s="1767"/>
      <c r="AM22" s="89"/>
      <c r="AN22" s="1767"/>
      <c r="AO22" s="797"/>
      <c r="AP22" s="1767"/>
      <c r="AQ22" s="1767"/>
      <c r="AR22" s="1767"/>
      <c r="AS22" s="1767"/>
      <c r="AT22" s="1767"/>
      <c r="AU22" s="797"/>
      <c r="AV22" s="1767"/>
    </row>
    <row r="23" spans="1:55" ht="15" customHeight="1" x14ac:dyDescent="0.3">
      <c r="B23" s="806"/>
      <c r="C23" s="807"/>
      <c r="D23" s="807"/>
      <c r="E23" s="807"/>
      <c r="F23" s="807"/>
      <c r="G23" s="808"/>
      <c r="H23" s="846"/>
      <c r="I23" s="824"/>
      <c r="J23" s="852"/>
      <c r="K23" s="852"/>
      <c r="L23" s="852"/>
      <c r="M23" s="1760"/>
      <c r="N23" s="1760"/>
      <c r="O23" s="1789"/>
      <c r="P23" s="1760"/>
      <c r="Q23" s="1760"/>
      <c r="R23" s="1760"/>
      <c r="S23" s="1769"/>
      <c r="T23" s="502"/>
      <c r="U23" s="1775"/>
      <c r="V23" s="502"/>
      <c r="W23" s="824"/>
      <c r="X23" s="832" t="str">
        <f>IF(W13="Incomplete","Select","")</f>
        <v/>
      </c>
      <c r="Y23" s="827"/>
      <c r="Z23" s="826" t="str">
        <f>IF(Y13="Incomplete","Select","")</f>
        <v/>
      </c>
      <c r="AA23" s="827"/>
      <c r="AB23" s="826" t="str">
        <f>IF(AA13="Incomplete","Select","")</f>
        <v/>
      </c>
      <c r="AC23" s="827"/>
      <c r="AD23" s="826" t="str">
        <f>IF(AC13="Incomplete","Select","")</f>
        <v/>
      </c>
      <c r="AE23" s="827"/>
      <c r="AF23" s="828" t="str">
        <f>IF(AE13="Incomplete","Select","")</f>
        <v/>
      </c>
      <c r="AG23" s="176"/>
      <c r="AH23" s="829"/>
      <c r="AI23" s="89"/>
      <c r="AJ23" s="89"/>
      <c r="AK23" s="1767"/>
      <c r="AL23" s="1767"/>
      <c r="AM23" s="89"/>
      <c r="AN23" s="1767"/>
      <c r="AO23" s="797"/>
      <c r="AP23" s="1767"/>
      <c r="AQ23" s="1767"/>
      <c r="AR23" s="1767"/>
      <c r="AS23" s="1767"/>
      <c r="AT23" s="1767"/>
      <c r="AU23" s="797"/>
      <c r="AV23" s="1767"/>
      <c r="AZ23" s="42" t="str">
        <f>VLOOKUP(COLUMN(),BB26:BC103,2,FALSE)</f>
        <v>AZ</v>
      </c>
      <c r="BB23" s="730" t="s">
        <v>1059</v>
      </c>
      <c r="BC23" s="730" t="s">
        <v>1060</v>
      </c>
    </row>
    <row r="24" spans="1:55" ht="5.15" customHeight="1" thickBot="1" x14ac:dyDescent="0.35">
      <c r="B24" s="816"/>
      <c r="C24" s="817"/>
      <c r="D24" s="817"/>
      <c r="E24" s="817"/>
      <c r="F24" s="817"/>
      <c r="G24" s="818"/>
      <c r="H24" s="846"/>
      <c r="I24" s="812"/>
      <c r="J24" s="810"/>
      <c r="K24" s="810"/>
      <c r="L24" s="810"/>
      <c r="M24" s="1788"/>
      <c r="N24" s="1788"/>
      <c r="O24" s="1790"/>
      <c r="P24" s="1788"/>
      <c r="Q24" s="1788"/>
      <c r="R24" s="1788"/>
      <c r="S24" s="1791"/>
      <c r="T24" s="502"/>
      <c r="U24" s="825"/>
      <c r="V24" s="502"/>
      <c r="W24" s="812"/>
      <c r="X24" s="833"/>
      <c r="Y24" s="813"/>
      <c r="Z24" s="830"/>
      <c r="AA24" s="813"/>
      <c r="AB24" s="830"/>
      <c r="AC24" s="813"/>
      <c r="AD24" s="830"/>
      <c r="AE24" s="813"/>
      <c r="AF24" s="831"/>
      <c r="AG24" s="176"/>
      <c r="AH24" s="814"/>
      <c r="AI24" s="89"/>
      <c r="AJ24" s="89"/>
      <c r="AK24" s="89"/>
      <c r="AL24" s="89"/>
      <c r="AM24" s="89"/>
      <c r="AN24" s="89"/>
      <c r="AO24" s="89"/>
      <c r="AP24" s="89"/>
      <c r="AQ24" s="89"/>
      <c r="AR24" s="89"/>
      <c r="AS24" s="89"/>
      <c r="AT24" s="89"/>
      <c r="AU24" s="89"/>
      <c r="AV24" s="73"/>
      <c r="BB24" s="48"/>
      <c r="BC24" s="48"/>
    </row>
    <row r="25" spans="1:55" ht="1" customHeight="1" thickBot="1" x14ac:dyDescent="0.35">
      <c r="B25" s="845"/>
      <c r="C25" s="846"/>
      <c r="D25" s="846"/>
      <c r="E25" s="846"/>
      <c r="F25" s="846"/>
      <c r="G25" s="1754"/>
      <c r="H25" s="1754"/>
      <c r="I25" s="1754"/>
      <c r="J25" s="1754"/>
      <c r="K25" s="1754"/>
      <c r="L25" s="1754"/>
      <c r="M25" s="1754"/>
      <c r="N25" s="502"/>
      <c r="O25" s="502"/>
      <c r="P25" s="927" t="str">
        <f>IF(B25="","",VLOOKUP($B25,ExteriorNontradableData!$B$10:$W$59,20,FALSE))</f>
        <v/>
      </c>
      <c r="Q25" s="502"/>
      <c r="R25" s="502"/>
      <c r="S25" s="502"/>
      <c r="T25" s="502"/>
      <c r="U25" s="886"/>
      <c r="V25" s="502"/>
      <c r="W25" s="1753"/>
      <c r="X25" s="1753"/>
      <c r="Y25" s="1753"/>
      <c r="Z25" s="1753"/>
      <c r="AA25" s="1753"/>
      <c r="AB25" s="1753"/>
      <c r="AC25" s="1753"/>
      <c r="AD25" s="1753"/>
      <c r="AE25" s="1753"/>
      <c r="AF25" s="1753"/>
      <c r="AG25" s="1753"/>
      <c r="AH25" s="1753"/>
      <c r="AI25" s="89"/>
      <c r="AJ25" s="89"/>
      <c r="AK25" s="89"/>
      <c r="AL25" s="89"/>
      <c r="AM25" s="89"/>
      <c r="AN25" s="89"/>
      <c r="AO25" s="89"/>
      <c r="AP25" s="89"/>
      <c r="AQ25" s="89"/>
      <c r="AR25" s="89"/>
      <c r="AS25" s="89"/>
      <c r="AT25" s="89"/>
      <c r="AU25" s="89"/>
      <c r="AV25" s="73"/>
      <c r="BB25" s="48"/>
      <c r="BC25" s="48"/>
    </row>
    <row r="26" spans="1:55" x14ac:dyDescent="0.25">
      <c r="A26" s="730">
        <v>1</v>
      </c>
      <c r="B26" s="1792"/>
      <c r="C26" s="1762"/>
      <c r="D26" s="1762"/>
      <c r="E26" s="1762"/>
      <c r="F26" s="858"/>
      <c r="G26" s="859"/>
      <c r="H26" s="942" t="str">
        <f>IFERROR(VLOOKUP(B26,'Ext Area Schedule'!AK$16:AM$65,3,FALSE),"")</f>
        <v/>
      </c>
      <c r="I26" s="866"/>
      <c r="J26" s="867" t="str">
        <f t="shared" ref="J26:J45" si="0">IF($B26="","",IF($I26&lt;&gt;"",VLOOKUP($I26,_Luminaire_Schedule,5,FALSE)," "))</f>
        <v/>
      </c>
      <c r="K26" s="868"/>
      <c r="L26" s="867" t="str">
        <f t="shared" ref="L26:L45" si="1">IF(I26&lt;&gt;"",VLOOKUP(I26,_Luminaire_Schedule,9,FALSE)," ")</f>
        <v xml:space="preserve"> </v>
      </c>
      <c r="M26" s="955" t="str">
        <f t="shared" ref="M26:M27" si="2">IFERROR(IF(B26="","",IF(K26&gt;0,K26*L26," ")),0)</f>
        <v/>
      </c>
      <c r="N26" s="943" t="str">
        <f>IF(B26="","",IF(AND($U$13=TRUE,U26="Existing Removed"),0,VLOOKUP(B26,'Ext Area Schedule'!AK$16:AO$65,5,FALSE)))</f>
        <v/>
      </c>
      <c r="O26" s="943" t="str">
        <f t="shared" ref="O26:O27" si="3">IFERROR(N26-M26,"")</f>
        <v/>
      </c>
      <c r="P26" s="943" t="str">
        <f>IF($B26="","",IF(AND(U$13=TRUE,U26="Existing Removed"),0,IF(M26-N26&lt;0,0,M26-N26)))</f>
        <v/>
      </c>
      <c r="Q26" s="943">
        <f>IFERROR(S9-P26,S9)</f>
        <v>0</v>
      </c>
      <c r="R26" s="943" t="str">
        <f>IF(Q26&lt;0,P26+Q26,P26)</f>
        <v/>
      </c>
      <c r="S26" s="956" t="str">
        <f>IF($B26="","",LEFT(VLOOKUP($B26,ExteriorNontradableData!$B$10:$AL$59,37,FALSE),4))</f>
        <v/>
      </c>
      <c r="T26" s="794"/>
      <c r="U26" s="887"/>
      <c r="V26" s="794"/>
      <c r="W26" s="874" t="str">
        <f>IF(OR($B26="",AND($M26="",$U26&lt;&gt;"Existing Removed")),"",IF(AND($U$13=TRUE,OR($U26="Existing Remains",$U26="Existing Removed")),"NA",VLOOKUP($H26,'9.4.3 Tables'!B$15:O$37,9,FALSE)))</f>
        <v/>
      </c>
      <c r="X26" s="875"/>
      <c r="Y26" s="876" t="str">
        <f>IF(OR($B26="",AND($M26="",$U26&lt;&gt;"Existing Removed")),"",IF(AND($U$13=TRUE,OR($U26="Existing Remains",$U26="Existing Removed")),"NA",VLOOKUP($H26,'9.4.3 Tables'!B$15:O$37,10,FALSE)))</f>
        <v/>
      </c>
      <c r="Z26" s="875"/>
      <c r="AA26" s="876" t="str">
        <f>IF(OR($B26="",AND($M26="",$U26&lt;&gt;"Existing Removed")),"",IF(AND($U$13=TRUE,OR($U26="Existing Remains",$U26="Existing Removed")),"NA",VLOOKUP($H26,'9.4.3 Tables'!B$15:O$37,11,FALSE)))</f>
        <v/>
      </c>
      <c r="AB26" s="875"/>
      <c r="AC26" s="876" t="str">
        <f>IF(OR($B26="",AND($M26="",$U26&lt;&gt;"Existing Removed")),"",IF(AND($U$13=TRUE,OR($U26="Existing Remains",$U26="Existing Removed")),"NA",VLOOKUP($H26,'9.4.3 Tables'!B$15:O$37,12,FALSE)))</f>
        <v/>
      </c>
      <c r="AD26" s="877"/>
      <c r="AE26" s="876" t="str">
        <f>IF(OR($B26="",AND($M26="",$U26&lt;&gt;"Existing Removed")),"",IF(AND($U$13=TRUE,OR($U26="Existing Remains",$U26="Existing Removed")),"NA",VLOOKUP($H26,'9.4.3 Tables'!B$15:O$37,13,FALSE)))</f>
        <v/>
      </c>
      <c r="AF26" s="878"/>
      <c r="AG26" s="236"/>
      <c r="AH26" s="890" t="str">
        <f t="shared" ref="AH26:AH45" si="4">IF(B26="","",IF(AV26=5,"Complete","Incomplete"))</f>
        <v/>
      </c>
      <c r="AI26" s="90"/>
      <c r="AJ26" s="505">
        <f>IF(S26="Fail",1,0)</f>
        <v>0</v>
      </c>
      <c r="AK26" s="795" t="str">
        <f>M26</f>
        <v/>
      </c>
      <c r="AL26" s="795" t="str">
        <f>IF(AND(U$13=TRUE,OR(U26="Existing Removed",U26="Existing Remains")),0,M26)</f>
        <v/>
      </c>
      <c r="AM26" s="236"/>
      <c r="AN26" s="795">
        <f t="shared" ref="AN26:AN45" si="5">IF(B26&lt;&gt;"",1,0)</f>
        <v>0</v>
      </c>
      <c r="AO26" s="926"/>
      <c r="AP26" s="795">
        <f>IF(B26="",0,IF(OR(W26="NA",X26&lt;&gt;""),1,0))</f>
        <v>0</v>
      </c>
      <c r="AQ26" s="795">
        <f>IF(B26="",0,IF(OR(Y26="NA",Z26&lt;&gt;""),1,0))</f>
        <v>0</v>
      </c>
      <c r="AR26" s="795">
        <f>IF(B26="",0,IF(OR(AA26="NA",AB26&lt;&gt;""),1,0))</f>
        <v>0</v>
      </c>
      <c r="AS26" s="795">
        <f>IF(B26="",0,IF(OR(AC26="NA",AD26&lt;&gt;""),1,0))</f>
        <v>0</v>
      </c>
      <c r="AT26" s="795">
        <f>IF(B26="",0,IF(OR(AE26="NA",AF26&lt;&gt;""),1,0))</f>
        <v>0</v>
      </c>
      <c r="AU26" s="926"/>
      <c r="AV26" s="795">
        <f>SUM(AP26:AT26)</f>
        <v>0</v>
      </c>
      <c r="AX26" s="43" t="str">
        <f>IF(B26="","",IF(U26="","New",U26))</f>
        <v/>
      </c>
      <c r="AY26" s="43" t="str">
        <f>IF(B26="","",IFERROR(I26,""))</f>
        <v/>
      </c>
      <c r="AZ26" s="43" t="str">
        <f>IF(B26="","",CONCATENATE("(",K26,") ",AY26," @ ",L26," watts each (",AX26,")",CHAR(10)))</f>
        <v/>
      </c>
      <c r="BB26" s="737">
        <v>1</v>
      </c>
      <c r="BC26" s="737" t="s">
        <v>1039</v>
      </c>
    </row>
    <row r="27" spans="1:55" x14ac:dyDescent="0.25">
      <c r="A27" s="730">
        <v>2</v>
      </c>
      <c r="B27" s="1670"/>
      <c r="C27" s="1671"/>
      <c r="D27" s="1671"/>
      <c r="E27" s="1671"/>
      <c r="F27" s="809"/>
      <c r="G27" s="860"/>
      <c r="H27" s="798" t="str">
        <f>IFERROR(VLOOKUP(B27,'Ext Area Schedule'!AK$16:AM$65,3,FALSE),"")</f>
        <v/>
      </c>
      <c r="I27" s="870"/>
      <c r="J27" s="799" t="str">
        <f t="shared" si="0"/>
        <v/>
      </c>
      <c r="K27" s="769"/>
      <c r="L27" s="799" t="str">
        <f t="shared" si="1"/>
        <v xml:space="preserve"> </v>
      </c>
      <c r="M27" s="941" t="str">
        <f t="shared" si="2"/>
        <v/>
      </c>
      <c r="N27" s="795" t="str">
        <f>IF(B27="","",IF(AND($U$13=TRUE,U27="Existing Removed"),0,VLOOKUP(B27,'Ext Area Schedule'!AK$16:AO$65,5,FALSE)))</f>
        <v/>
      </c>
      <c r="O27" s="795" t="str">
        <f t="shared" si="3"/>
        <v/>
      </c>
      <c r="P27" s="1111" t="str">
        <f t="shared" ref="P27:P45" si="6">IF($B27="","",IF(AND(U$13=TRUE,U27="Existing Removed"),0,IF(M27-N27&lt;0,0,M27-N27)))</f>
        <v/>
      </c>
      <c r="Q27" s="795">
        <f>IFERROR(Q26-P27,Q26)</f>
        <v>0</v>
      </c>
      <c r="R27" s="795" t="str">
        <f>IF(Q27&lt;0,P27+Q27,P27)</f>
        <v/>
      </c>
      <c r="S27" s="957" t="str">
        <f>IF($B27="","",LEFT(VLOOKUP($B27,ExteriorNontradableData!$B$10:$AL$59,37,FALSE),4))</f>
        <v/>
      </c>
      <c r="T27" s="794"/>
      <c r="U27" s="888"/>
      <c r="V27" s="794"/>
      <c r="W27" s="879" t="str">
        <f>IF(OR($B27="",AND($M27="",$U27&lt;&gt;"Existing Removed")),"",IF(AND($U$13=TRUE,OR($U27="Existing Remains",$U27="Existing Removed")),"NA",VLOOKUP($H27,'9.4.3 Tables'!B$15:O$37,9,FALSE)))</f>
        <v/>
      </c>
      <c r="X27" s="793"/>
      <c r="Y27" s="766" t="str">
        <f>IF(OR($B27="",AND($M27="",$U27&lt;&gt;"Existing Removed")),"",IF(AND($U$13=TRUE,OR($U27="Existing Remains",$U27="Existing Removed")),"NA",VLOOKUP($H27,'9.4.3 Tables'!B$15:O$37,10,FALSE)))</f>
        <v/>
      </c>
      <c r="Z27" s="793"/>
      <c r="AA27" s="766" t="str">
        <f>IF(OR($B27="",AND($M27="",$U27&lt;&gt;"Existing Removed")),"",IF(AND($U$13=TRUE,OR($U27="Existing Remains",$U27="Existing Removed")),"NA",VLOOKUP($H27,'9.4.3 Tables'!B$15:O$37,11,FALSE)))</f>
        <v/>
      </c>
      <c r="AB27" s="793"/>
      <c r="AC27" s="766" t="str">
        <f>IF(OR($B27="",AND($M27="",$U27&lt;&gt;"Existing Removed")),"",IF(AND($U$13=TRUE,OR($U27="Existing Remains",$U27="Existing Removed")),"NA",VLOOKUP($H27,'9.4.3 Tables'!B$15:O$37,12,FALSE)))</f>
        <v/>
      </c>
      <c r="AD27" s="801"/>
      <c r="AE27" s="766" t="str">
        <f>IF(OR($B27="",AND($M27="",$U27&lt;&gt;"Existing Removed")),"",IF(AND($U$13=TRUE,OR($U27="Existing Remains",$U27="Existing Removed")),"NA",VLOOKUP($H27,'9.4.3 Tables'!B$15:O$37,13,FALSE)))</f>
        <v/>
      </c>
      <c r="AF27" s="880"/>
      <c r="AG27" s="236"/>
      <c r="AH27" s="891" t="str">
        <f t="shared" si="4"/>
        <v/>
      </c>
      <c r="AI27" s="90"/>
      <c r="AJ27" s="505">
        <f t="shared" ref="AJ27:AJ45" si="7">IF(S27="Fail",1,0)</f>
        <v>0</v>
      </c>
      <c r="AK27" s="795" t="str">
        <f t="shared" ref="AK27:AK45" si="8">M27</f>
        <v/>
      </c>
      <c r="AL27" s="795" t="str">
        <f t="shared" ref="AL27:AL45" si="9">IF(AND(U$13=TRUE,OR(U27="Existing Removed",U27="Existing Remains")),0,M27)</f>
        <v/>
      </c>
      <c r="AM27" s="236"/>
      <c r="AN27" s="795">
        <f t="shared" si="5"/>
        <v>0</v>
      </c>
      <c r="AO27" s="926"/>
      <c r="AP27" s="795">
        <f>IF(B27="",0,IF(OR(W27="NA",X27&lt;&gt;""),1,0))</f>
        <v>0</v>
      </c>
      <c r="AQ27" s="795">
        <f t="shared" ref="AQ27:AQ45" si="10">IF(B27="",0,IF(OR(Y27="NA",Z27&lt;&gt;""),1,0))</f>
        <v>0</v>
      </c>
      <c r="AR27" s="795">
        <f t="shared" ref="AR27:AR45" si="11">IF(B27="",0,IF(OR(AA27="NA",AB27&lt;&gt;""),1,0))</f>
        <v>0</v>
      </c>
      <c r="AS27" s="795">
        <f t="shared" ref="AS27:AS45" si="12">IF(B27="",0,IF(OR(AC27="NA",AD27&lt;&gt;""),1,0))</f>
        <v>0</v>
      </c>
      <c r="AT27" s="795">
        <f t="shared" ref="AT27:AT45" si="13">IF(B27="",0,IF(OR(AE27="NA",AF27&lt;&gt;""),1,0))</f>
        <v>0</v>
      </c>
      <c r="AU27" s="926"/>
      <c r="AV27" s="795">
        <f>SUM(AP27:AT27)</f>
        <v>0</v>
      </c>
      <c r="AX27" s="43" t="str">
        <f t="shared" ref="AX27:AX45" si="14">IF(B27="","",IF(U27="","New",U27))</f>
        <v/>
      </c>
      <c r="AY27" s="43" t="str">
        <f t="shared" ref="AY27:AY45" si="15">IF(B27="","",IFERROR(I27,""))</f>
        <v/>
      </c>
      <c r="AZ27" s="43" t="str">
        <f t="shared" ref="AZ27:AZ45" si="16">IF(B27="","",CONCATENATE("(",K27,") ",AY27," @ ",L27," watts each (",AX27,")",CHAR(10)))</f>
        <v/>
      </c>
      <c r="BB27" s="737">
        <v>2</v>
      </c>
      <c r="BC27" s="737" t="s">
        <v>1040</v>
      </c>
    </row>
    <row r="28" spans="1:55" x14ac:dyDescent="0.25">
      <c r="A28" s="730">
        <v>3</v>
      </c>
      <c r="B28" s="1670"/>
      <c r="C28" s="1671"/>
      <c r="D28" s="1671"/>
      <c r="E28" s="1671"/>
      <c r="F28" s="809"/>
      <c r="G28" s="860"/>
      <c r="H28" s="798" t="str">
        <f>IFERROR(VLOOKUP(B28,'Ext Area Schedule'!AK$16:AM$65,3,FALSE),"")</f>
        <v/>
      </c>
      <c r="I28" s="870"/>
      <c r="J28" s="799" t="str">
        <f t="shared" si="0"/>
        <v/>
      </c>
      <c r="K28" s="769"/>
      <c r="L28" s="799" t="str">
        <f t="shared" si="1"/>
        <v xml:space="preserve"> </v>
      </c>
      <c r="M28" s="941" t="str">
        <f>IFERROR(IF(B28="","",IF(K28&gt;0,K28*L28," ")),0)</f>
        <v/>
      </c>
      <c r="N28" s="795" t="str">
        <f>IF(B28="","",IF(AND($U$13=TRUE,U28="Existing Removed"),0,VLOOKUP(B28,'Ext Area Schedule'!AK$16:AO$65,5,FALSE)))</f>
        <v/>
      </c>
      <c r="O28" s="795" t="str">
        <f>IFERROR(N28-M28,"")</f>
        <v/>
      </c>
      <c r="P28" s="1111" t="str">
        <f t="shared" si="6"/>
        <v/>
      </c>
      <c r="Q28" s="795">
        <f t="shared" ref="Q28:Q45" si="17">IFERROR(Q27-P28,Q27)</f>
        <v>0</v>
      </c>
      <c r="R28" s="795" t="str">
        <f t="shared" ref="R28:R45" si="18">IF(Q28&lt;0,P28+Q28,P28)</f>
        <v/>
      </c>
      <c r="S28" s="957" t="str">
        <f>IF($B28="","",LEFT(VLOOKUP($B28,ExteriorNontradableData!$B$10:$AL$59,37,FALSE),4))</f>
        <v/>
      </c>
      <c r="T28" s="794"/>
      <c r="U28" s="888"/>
      <c r="V28" s="794"/>
      <c r="W28" s="879" t="str">
        <f>IF(OR($B28="",AND($M28="",$U28&lt;&gt;"Existing Removed")),"",IF(AND($U$13=TRUE,OR($U28="Existing Remains",$U28="Existing Removed")),"NA",VLOOKUP($H28,'9.4.3 Tables'!B$15:O$37,9,FALSE)))</f>
        <v/>
      </c>
      <c r="X28" s="793"/>
      <c r="Y28" s="766" t="str">
        <f>IF(OR($B28="",AND($M28="",$U28&lt;&gt;"Existing Removed")),"",IF(AND($U$13=TRUE,OR($U28="Existing Remains",$U28="Existing Removed")),"NA",VLOOKUP($H28,'9.4.3 Tables'!B$15:O$37,10,FALSE)))</f>
        <v/>
      </c>
      <c r="Z28" s="793"/>
      <c r="AA28" s="766" t="str">
        <f>IF(OR($B28="",AND($M28="",$U28&lt;&gt;"Existing Removed")),"",IF(AND($U$13=TRUE,OR($U28="Existing Remains",$U28="Existing Removed")),"NA",VLOOKUP($H28,'9.4.3 Tables'!B$15:O$37,11,FALSE)))</f>
        <v/>
      </c>
      <c r="AB28" s="793"/>
      <c r="AC28" s="766" t="str">
        <f>IF(OR($B28="",AND($M28="",$U28&lt;&gt;"Existing Removed")),"",IF(AND($U$13=TRUE,OR($U28="Existing Remains",$U28="Existing Removed")),"NA",VLOOKUP($H28,'9.4.3 Tables'!B$15:O$37,12,FALSE)))</f>
        <v/>
      </c>
      <c r="AD28" s="801"/>
      <c r="AE28" s="766" t="str">
        <f>IF(OR($B28="",AND($M28="",$U28&lt;&gt;"Existing Removed")),"",IF(AND($U$13=TRUE,OR($U28="Existing Remains",$U28="Existing Removed")),"NA",VLOOKUP($H28,'9.4.3 Tables'!B$15:O$37,13,FALSE)))</f>
        <v/>
      </c>
      <c r="AF28" s="880"/>
      <c r="AG28" s="236"/>
      <c r="AH28" s="891" t="str">
        <f t="shared" si="4"/>
        <v/>
      </c>
      <c r="AI28" s="90"/>
      <c r="AJ28" s="505">
        <f t="shared" si="7"/>
        <v>0</v>
      </c>
      <c r="AK28" s="795" t="str">
        <f t="shared" si="8"/>
        <v/>
      </c>
      <c r="AL28" s="795" t="str">
        <f t="shared" si="9"/>
        <v/>
      </c>
      <c r="AM28" s="236"/>
      <c r="AN28" s="795">
        <f t="shared" si="5"/>
        <v>0</v>
      </c>
      <c r="AO28" s="926"/>
      <c r="AP28" s="795">
        <f t="shared" ref="AP28:AP45" si="19">IF(B28="",0,IF(OR(W28="NA",X28&lt;&gt;""),1,0))</f>
        <v>0</v>
      </c>
      <c r="AQ28" s="795">
        <f t="shared" si="10"/>
        <v>0</v>
      </c>
      <c r="AR28" s="795">
        <f t="shared" si="11"/>
        <v>0</v>
      </c>
      <c r="AS28" s="795">
        <f t="shared" si="12"/>
        <v>0</v>
      </c>
      <c r="AT28" s="795">
        <f t="shared" si="13"/>
        <v>0</v>
      </c>
      <c r="AU28" s="926"/>
      <c r="AV28" s="795">
        <f t="shared" ref="AV28:AV45" si="20">SUM(AP28:AT28)</f>
        <v>0</v>
      </c>
      <c r="AX28" s="43" t="str">
        <f t="shared" si="14"/>
        <v/>
      </c>
      <c r="AY28" s="43" t="str">
        <f t="shared" si="15"/>
        <v/>
      </c>
      <c r="AZ28" s="43" t="str">
        <f t="shared" si="16"/>
        <v/>
      </c>
      <c r="BB28" s="737">
        <v>3</v>
      </c>
      <c r="BC28" s="737" t="s">
        <v>1041</v>
      </c>
    </row>
    <row r="29" spans="1:55" x14ac:dyDescent="0.25">
      <c r="A29" s="730">
        <v>4</v>
      </c>
      <c r="B29" s="1670"/>
      <c r="C29" s="1671"/>
      <c r="D29" s="1671"/>
      <c r="E29" s="1671"/>
      <c r="F29" s="809"/>
      <c r="G29" s="860"/>
      <c r="H29" s="798" t="str">
        <f>IFERROR(VLOOKUP(B29,'Ext Area Schedule'!AK$16:AM$65,3,FALSE),"")</f>
        <v/>
      </c>
      <c r="I29" s="870"/>
      <c r="J29" s="799" t="str">
        <f t="shared" si="0"/>
        <v/>
      </c>
      <c r="K29" s="769"/>
      <c r="L29" s="799" t="str">
        <f t="shared" si="1"/>
        <v xml:space="preserve"> </v>
      </c>
      <c r="M29" s="941" t="str">
        <f t="shared" ref="M29:M45" si="21">IFERROR(IF(B29="","",IF(K29&gt;0,K29*L29," ")),0)</f>
        <v/>
      </c>
      <c r="N29" s="795" t="str">
        <f>IF(B29="","",IF(AND($U$13=TRUE,U29="Existing Removed"),0,VLOOKUP(B29,'Ext Area Schedule'!AK$16:AO$65,5,FALSE)))</f>
        <v/>
      </c>
      <c r="O29" s="795" t="str">
        <f t="shared" ref="O29:O45" si="22">IFERROR(N29-M29,"")</f>
        <v/>
      </c>
      <c r="P29" s="1111" t="str">
        <f t="shared" si="6"/>
        <v/>
      </c>
      <c r="Q29" s="795">
        <f t="shared" si="17"/>
        <v>0</v>
      </c>
      <c r="R29" s="795" t="str">
        <f t="shared" si="18"/>
        <v/>
      </c>
      <c r="S29" s="957" t="str">
        <f>IF($B29="","",LEFT(VLOOKUP($B29,ExteriorNontradableData!$B$10:$AL$59,37,FALSE),4))</f>
        <v/>
      </c>
      <c r="T29" s="794"/>
      <c r="U29" s="888"/>
      <c r="V29" s="794"/>
      <c r="W29" s="879" t="str">
        <f>IF(OR($B29="",AND($M29="",$U29&lt;&gt;"Existing Removed")),"",IF(AND($U$13=TRUE,OR($U29="Existing Remains",$U29="Existing Removed")),"NA",VLOOKUP($H29,'9.4.3 Tables'!B$15:O$37,9,FALSE)))</f>
        <v/>
      </c>
      <c r="X29" s="793"/>
      <c r="Y29" s="766" t="str">
        <f>IF(OR($B29="",AND($M29="",$U29&lt;&gt;"Existing Removed")),"",IF(AND($U$13=TRUE,OR($U29="Existing Remains",$U29="Existing Removed")),"NA",VLOOKUP($H29,'9.4.3 Tables'!B$15:O$37,10,FALSE)))</f>
        <v/>
      </c>
      <c r="Z29" s="793"/>
      <c r="AA29" s="766" t="str">
        <f>IF(OR($B29="",AND($M29="",$U29&lt;&gt;"Existing Removed")),"",IF(AND($U$13=TRUE,OR($U29="Existing Remains",$U29="Existing Removed")),"NA",VLOOKUP($H29,'9.4.3 Tables'!B$15:O$37,11,FALSE)))</f>
        <v/>
      </c>
      <c r="AB29" s="793"/>
      <c r="AC29" s="766" t="str">
        <f>IF(OR($B29="",AND($M29="",$U29&lt;&gt;"Existing Removed")),"",IF(AND($U$13=TRUE,OR($U29="Existing Remains",$U29="Existing Removed")),"NA",VLOOKUP($H29,'9.4.3 Tables'!B$15:O$37,12,FALSE)))</f>
        <v/>
      </c>
      <c r="AD29" s="801"/>
      <c r="AE29" s="766" t="str">
        <f>IF(OR($B29="",AND($M29="",$U29&lt;&gt;"Existing Removed")),"",IF(AND($U$13=TRUE,OR($U29="Existing Remains",$U29="Existing Removed")),"NA",VLOOKUP($H29,'9.4.3 Tables'!B$15:O$37,13,FALSE)))</f>
        <v/>
      </c>
      <c r="AF29" s="880"/>
      <c r="AG29" s="236"/>
      <c r="AH29" s="891" t="str">
        <f t="shared" si="4"/>
        <v/>
      </c>
      <c r="AI29" s="90"/>
      <c r="AJ29" s="505">
        <f t="shared" si="7"/>
        <v>0</v>
      </c>
      <c r="AK29" s="795" t="str">
        <f t="shared" si="8"/>
        <v/>
      </c>
      <c r="AL29" s="795" t="str">
        <f t="shared" si="9"/>
        <v/>
      </c>
      <c r="AM29" s="236"/>
      <c r="AN29" s="795">
        <f t="shared" si="5"/>
        <v>0</v>
      </c>
      <c r="AO29" s="926"/>
      <c r="AP29" s="795">
        <f t="shared" si="19"/>
        <v>0</v>
      </c>
      <c r="AQ29" s="795">
        <f t="shared" si="10"/>
        <v>0</v>
      </c>
      <c r="AR29" s="795">
        <f t="shared" si="11"/>
        <v>0</v>
      </c>
      <c r="AS29" s="795">
        <f t="shared" si="12"/>
        <v>0</v>
      </c>
      <c r="AT29" s="795">
        <f t="shared" si="13"/>
        <v>0</v>
      </c>
      <c r="AU29" s="926"/>
      <c r="AV29" s="795">
        <f t="shared" si="20"/>
        <v>0</v>
      </c>
      <c r="AX29" s="43" t="str">
        <f t="shared" si="14"/>
        <v/>
      </c>
      <c r="AY29" s="43" t="str">
        <f t="shared" si="15"/>
        <v/>
      </c>
      <c r="AZ29" s="43" t="str">
        <f t="shared" si="16"/>
        <v/>
      </c>
      <c r="BB29" s="737">
        <v>4</v>
      </c>
      <c r="BC29" s="737" t="s">
        <v>1042</v>
      </c>
    </row>
    <row r="30" spans="1:55" x14ac:dyDescent="0.25">
      <c r="A30" s="730">
        <v>5</v>
      </c>
      <c r="B30" s="1670"/>
      <c r="C30" s="1671"/>
      <c r="D30" s="1671"/>
      <c r="E30" s="1671"/>
      <c r="F30" s="809"/>
      <c r="G30" s="860"/>
      <c r="H30" s="798" t="str">
        <f>IFERROR(VLOOKUP(B30,'Ext Area Schedule'!AK$16:AM$65,3,FALSE),"")</f>
        <v/>
      </c>
      <c r="I30" s="870"/>
      <c r="J30" s="799" t="str">
        <f t="shared" si="0"/>
        <v/>
      </c>
      <c r="K30" s="769"/>
      <c r="L30" s="799" t="str">
        <f t="shared" si="1"/>
        <v xml:space="preserve"> </v>
      </c>
      <c r="M30" s="941" t="str">
        <f t="shared" si="21"/>
        <v/>
      </c>
      <c r="N30" s="795" t="str">
        <f>IF(B30="","",IF(AND($U$13=TRUE,U30="Existing Removed"),0,VLOOKUP(B30,'Ext Area Schedule'!AK$16:AO$65,5,FALSE)))</f>
        <v/>
      </c>
      <c r="O30" s="795" t="str">
        <f t="shared" si="22"/>
        <v/>
      </c>
      <c r="P30" s="1111" t="str">
        <f t="shared" si="6"/>
        <v/>
      </c>
      <c r="Q30" s="795">
        <f t="shared" si="17"/>
        <v>0</v>
      </c>
      <c r="R30" s="795" t="str">
        <f t="shared" si="18"/>
        <v/>
      </c>
      <c r="S30" s="957" t="str">
        <f>IF($B30="","",LEFT(VLOOKUP($B30,ExteriorNontradableData!$B$10:$AL$59,37,FALSE),4))</f>
        <v/>
      </c>
      <c r="T30" s="794"/>
      <c r="U30" s="888"/>
      <c r="V30" s="794"/>
      <c r="W30" s="879" t="str">
        <f>IF(OR($B30="",AND($M30="",$U30&lt;&gt;"Existing Removed")),"",IF(AND($U$13=TRUE,OR($U30="Existing Remains",$U30="Existing Removed")),"NA",VLOOKUP($H30,'9.4.3 Tables'!B$15:O$37,9,FALSE)))</f>
        <v/>
      </c>
      <c r="X30" s="793"/>
      <c r="Y30" s="766" t="str">
        <f>IF(OR($B30="",AND($M30="",$U30&lt;&gt;"Existing Removed")),"",IF(AND($U$13=TRUE,OR($U30="Existing Remains",$U30="Existing Removed")),"NA",VLOOKUP($H30,'9.4.3 Tables'!B$15:O$37,10,FALSE)))</f>
        <v/>
      </c>
      <c r="Z30" s="793"/>
      <c r="AA30" s="766" t="str">
        <f>IF(OR($B30="",AND($M30="",$U30&lt;&gt;"Existing Removed")),"",IF(AND($U$13=TRUE,OR($U30="Existing Remains",$U30="Existing Removed")),"NA",VLOOKUP($H30,'9.4.3 Tables'!B$15:O$37,11,FALSE)))</f>
        <v/>
      </c>
      <c r="AB30" s="793"/>
      <c r="AC30" s="766" t="str">
        <f>IF(OR($B30="",AND($M30="",$U30&lt;&gt;"Existing Removed")),"",IF(AND($U$13=TRUE,OR($U30="Existing Remains",$U30="Existing Removed")),"NA",VLOOKUP($H30,'9.4.3 Tables'!B$15:O$37,12,FALSE)))</f>
        <v/>
      </c>
      <c r="AD30" s="801"/>
      <c r="AE30" s="766" t="str">
        <f>IF(OR($B30="",AND($M30="",$U30&lt;&gt;"Existing Removed")),"",IF(AND($U$13=TRUE,OR($U30="Existing Remains",$U30="Existing Removed")),"NA",VLOOKUP($H30,'9.4.3 Tables'!B$15:O$37,13,FALSE)))</f>
        <v/>
      </c>
      <c r="AF30" s="880"/>
      <c r="AG30" s="236"/>
      <c r="AH30" s="891" t="str">
        <f t="shared" si="4"/>
        <v/>
      </c>
      <c r="AI30" s="90"/>
      <c r="AJ30" s="505">
        <f t="shared" si="7"/>
        <v>0</v>
      </c>
      <c r="AK30" s="795" t="str">
        <f t="shared" si="8"/>
        <v/>
      </c>
      <c r="AL30" s="795" t="str">
        <f t="shared" si="9"/>
        <v/>
      </c>
      <c r="AM30" s="236"/>
      <c r="AN30" s="795">
        <f t="shared" si="5"/>
        <v>0</v>
      </c>
      <c r="AO30" s="926"/>
      <c r="AP30" s="795">
        <f t="shared" si="19"/>
        <v>0</v>
      </c>
      <c r="AQ30" s="795">
        <f t="shared" si="10"/>
        <v>0</v>
      </c>
      <c r="AR30" s="795">
        <f t="shared" si="11"/>
        <v>0</v>
      </c>
      <c r="AS30" s="795">
        <f t="shared" si="12"/>
        <v>0</v>
      </c>
      <c r="AT30" s="795">
        <f t="shared" si="13"/>
        <v>0</v>
      </c>
      <c r="AU30" s="926"/>
      <c r="AV30" s="795">
        <f t="shared" si="20"/>
        <v>0</v>
      </c>
      <c r="AX30" s="43" t="str">
        <f t="shared" si="14"/>
        <v/>
      </c>
      <c r="AY30" s="43" t="str">
        <f t="shared" si="15"/>
        <v/>
      </c>
      <c r="AZ30" s="43" t="str">
        <f t="shared" si="16"/>
        <v/>
      </c>
      <c r="BB30" s="737">
        <v>5</v>
      </c>
      <c r="BC30" s="737" t="s">
        <v>1043</v>
      </c>
    </row>
    <row r="31" spans="1:55" x14ac:dyDescent="0.25">
      <c r="A31" s="730">
        <v>6</v>
      </c>
      <c r="B31" s="1670"/>
      <c r="C31" s="1671"/>
      <c r="D31" s="1671"/>
      <c r="E31" s="1671"/>
      <c r="F31" s="809"/>
      <c r="G31" s="860"/>
      <c r="H31" s="798" t="str">
        <f>IFERROR(VLOOKUP(B31,'Ext Area Schedule'!AK$16:AM$65,3,FALSE),"")</f>
        <v/>
      </c>
      <c r="I31" s="870"/>
      <c r="J31" s="799" t="str">
        <f t="shared" si="0"/>
        <v/>
      </c>
      <c r="K31" s="769"/>
      <c r="L31" s="799" t="str">
        <f t="shared" si="1"/>
        <v xml:space="preserve"> </v>
      </c>
      <c r="M31" s="941" t="str">
        <f t="shared" si="21"/>
        <v/>
      </c>
      <c r="N31" s="795" t="str">
        <f>IF(B31="","",IF(AND($U$13=TRUE,U31="Existing Removed"),0,VLOOKUP(B31,'Ext Area Schedule'!AK$16:AO$65,5,FALSE)))</f>
        <v/>
      </c>
      <c r="O31" s="795" t="str">
        <f t="shared" si="22"/>
        <v/>
      </c>
      <c r="P31" s="1111" t="str">
        <f t="shared" si="6"/>
        <v/>
      </c>
      <c r="Q31" s="795">
        <f t="shared" si="17"/>
        <v>0</v>
      </c>
      <c r="R31" s="795" t="str">
        <f t="shared" si="18"/>
        <v/>
      </c>
      <c r="S31" s="957" t="str">
        <f>IF($B31="","",LEFT(VLOOKUP($B31,ExteriorNontradableData!$B$10:$AL$59,37,FALSE),4))</f>
        <v/>
      </c>
      <c r="T31" s="794"/>
      <c r="U31" s="888"/>
      <c r="V31" s="794"/>
      <c r="W31" s="879" t="str">
        <f>IF(OR($B31="",AND($M31="",$U31&lt;&gt;"Existing Removed")),"",IF(AND($U$13=TRUE,OR($U31="Existing Remains",$U31="Existing Removed")),"NA",VLOOKUP($H31,'9.4.3 Tables'!B$15:O$37,9,FALSE)))</f>
        <v/>
      </c>
      <c r="X31" s="793"/>
      <c r="Y31" s="766" t="str">
        <f>IF(OR($B31="",AND($M31="",$U31&lt;&gt;"Existing Removed")),"",IF(AND($U$13=TRUE,OR($U31="Existing Remains",$U31="Existing Removed")),"NA",VLOOKUP($H31,'9.4.3 Tables'!B$15:O$37,10,FALSE)))</f>
        <v/>
      </c>
      <c r="Z31" s="793"/>
      <c r="AA31" s="766" t="str">
        <f>IF(OR($B31="",AND($M31="",$U31&lt;&gt;"Existing Removed")),"",IF(AND($U$13=TRUE,OR($U31="Existing Remains",$U31="Existing Removed")),"NA",VLOOKUP($H31,'9.4.3 Tables'!B$15:O$37,11,FALSE)))</f>
        <v/>
      </c>
      <c r="AB31" s="793"/>
      <c r="AC31" s="766" t="str">
        <f>IF(OR($B31="",AND($M31="",$U31&lt;&gt;"Existing Removed")),"",IF(AND($U$13=TRUE,OR($U31="Existing Remains",$U31="Existing Removed")),"NA",VLOOKUP($H31,'9.4.3 Tables'!B$15:O$37,12,FALSE)))</f>
        <v/>
      </c>
      <c r="AD31" s="801"/>
      <c r="AE31" s="766" t="str">
        <f>IF(OR($B31="",AND($M31="",$U31&lt;&gt;"Existing Removed")),"",IF(AND($U$13=TRUE,OR($U31="Existing Remains",$U31="Existing Removed")),"NA",VLOOKUP($H31,'9.4.3 Tables'!B$15:O$37,13,FALSE)))</f>
        <v/>
      </c>
      <c r="AF31" s="880"/>
      <c r="AG31" s="236"/>
      <c r="AH31" s="891" t="str">
        <f t="shared" si="4"/>
        <v/>
      </c>
      <c r="AI31" s="90"/>
      <c r="AJ31" s="505">
        <f t="shared" si="7"/>
        <v>0</v>
      </c>
      <c r="AK31" s="795" t="str">
        <f t="shared" si="8"/>
        <v/>
      </c>
      <c r="AL31" s="795" t="str">
        <f t="shared" si="9"/>
        <v/>
      </c>
      <c r="AM31" s="236"/>
      <c r="AN31" s="795">
        <f t="shared" si="5"/>
        <v>0</v>
      </c>
      <c r="AO31" s="926"/>
      <c r="AP31" s="795">
        <f t="shared" si="19"/>
        <v>0</v>
      </c>
      <c r="AQ31" s="795">
        <f t="shared" si="10"/>
        <v>0</v>
      </c>
      <c r="AR31" s="795">
        <f t="shared" si="11"/>
        <v>0</v>
      </c>
      <c r="AS31" s="795">
        <f t="shared" si="12"/>
        <v>0</v>
      </c>
      <c r="AT31" s="795">
        <f t="shared" si="13"/>
        <v>0</v>
      </c>
      <c r="AU31" s="926"/>
      <c r="AV31" s="795">
        <f t="shared" si="20"/>
        <v>0</v>
      </c>
      <c r="AX31" s="43" t="str">
        <f t="shared" si="14"/>
        <v/>
      </c>
      <c r="AY31" s="43" t="str">
        <f t="shared" si="15"/>
        <v/>
      </c>
      <c r="AZ31" s="43" t="str">
        <f t="shared" si="16"/>
        <v/>
      </c>
      <c r="BB31" s="737">
        <v>6</v>
      </c>
      <c r="BC31" s="737" t="s">
        <v>1044</v>
      </c>
    </row>
    <row r="32" spans="1:55" x14ac:dyDescent="0.25">
      <c r="A32" s="730">
        <v>7</v>
      </c>
      <c r="B32" s="1670"/>
      <c r="C32" s="1671"/>
      <c r="D32" s="1671"/>
      <c r="E32" s="1671"/>
      <c r="F32" s="809"/>
      <c r="G32" s="860"/>
      <c r="H32" s="798" t="str">
        <f>IFERROR(VLOOKUP(B32,'Ext Area Schedule'!AK$16:AM$65,3,FALSE),"")</f>
        <v/>
      </c>
      <c r="I32" s="870"/>
      <c r="J32" s="799" t="str">
        <f t="shared" si="0"/>
        <v/>
      </c>
      <c r="K32" s="769"/>
      <c r="L32" s="799" t="str">
        <f t="shared" si="1"/>
        <v xml:space="preserve"> </v>
      </c>
      <c r="M32" s="941" t="str">
        <f t="shared" si="21"/>
        <v/>
      </c>
      <c r="N32" s="795" t="str">
        <f>IF(B32="","",IF(AND($U$13=TRUE,U32="Existing Removed"),0,VLOOKUP(B32,'Ext Area Schedule'!AK$16:AO$65,5,FALSE)))</f>
        <v/>
      </c>
      <c r="O32" s="795" t="str">
        <f t="shared" si="22"/>
        <v/>
      </c>
      <c r="P32" s="1111" t="str">
        <f t="shared" si="6"/>
        <v/>
      </c>
      <c r="Q32" s="795">
        <f t="shared" si="17"/>
        <v>0</v>
      </c>
      <c r="R32" s="795" t="str">
        <f t="shared" si="18"/>
        <v/>
      </c>
      <c r="S32" s="957" t="str">
        <f>IF($B32="","",LEFT(VLOOKUP($B32,ExteriorNontradableData!$B$10:$AL$59,37,FALSE),4))</f>
        <v/>
      </c>
      <c r="T32" s="794"/>
      <c r="U32" s="888"/>
      <c r="V32" s="794"/>
      <c r="W32" s="879" t="str">
        <f>IF(OR($B32="",AND($M32="",$U32&lt;&gt;"Existing Removed")),"",IF(AND($U$13=TRUE,OR($U32="Existing Remains",$U32="Existing Removed")),"NA",VLOOKUP($H32,'9.4.3 Tables'!B$15:O$37,9,FALSE)))</f>
        <v/>
      </c>
      <c r="X32" s="793"/>
      <c r="Y32" s="766" t="str">
        <f>IF(OR($B32="",AND($M32="",$U32&lt;&gt;"Existing Removed")),"",IF(AND($U$13=TRUE,OR($U32="Existing Remains",$U32="Existing Removed")),"NA",VLOOKUP($H32,'9.4.3 Tables'!B$15:O$37,10,FALSE)))</f>
        <v/>
      </c>
      <c r="Z32" s="793"/>
      <c r="AA32" s="766" t="str">
        <f>IF(OR($B32="",AND($M32="",$U32&lt;&gt;"Existing Removed")),"",IF(AND($U$13=TRUE,OR($U32="Existing Remains",$U32="Existing Removed")),"NA",VLOOKUP($H32,'9.4.3 Tables'!B$15:O$37,11,FALSE)))</f>
        <v/>
      </c>
      <c r="AB32" s="793"/>
      <c r="AC32" s="766" t="str">
        <f>IF(OR($B32="",AND($M32="",$U32&lt;&gt;"Existing Removed")),"",IF(AND($U$13=TRUE,OR($U32="Existing Remains",$U32="Existing Removed")),"NA",VLOOKUP($H32,'9.4.3 Tables'!B$15:O$37,12,FALSE)))</f>
        <v/>
      </c>
      <c r="AD32" s="801"/>
      <c r="AE32" s="766" t="str">
        <f>IF(OR($B32="",AND($M32="",$U32&lt;&gt;"Existing Removed")),"",IF(AND($U$13=TRUE,OR($U32="Existing Remains",$U32="Existing Removed")),"NA",VLOOKUP($H32,'9.4.3 Tables'!B$15:O$37,13,FALSE)))</f>
        <v/>
      </c>
      <c r="AF32" s="880"/>
      <c r="AG32" s="236"/>
      <c r="AH32" s="891" t="str">
        <f t="shared" si="4"/>
        <v/>
      </c>
      <c r="AI32" s="90"/>
      <c r="AJ32" s="505">
        <f t="shared" si="7"/>
        <v>0</v>
      </c>
      <c r="AK32" s="795" t="str">
        <f t="shared" si="8"/>
        <v/>
      </c>
      <c r="AL32" s="795" t="str">
        <f t="shared" si="9"/>
        <v/>
      </c>
      <c r="AM32" s="236"/>
      <c r="AN32" s="795">
        <f t="shared" si="5"/>
        <v>0</v>
      </c>
      <c r="AO32" s="926"/>
      <c r="AP32" s="795">
        <f t="shared" si="19"/>
        <v>0</v>
      </c>
      <c r="AQ32" s="795">
        <f t="shared" si="10"/>
        <v>0</v>
      </c>
      <c r="AR32" s="795">
        <f t="shared" si="11"/>
        <v>0</v>
      </c>
      <c r="AS32" s="795">
        <f t="shared" si="12"/>
        <v>0</v>
      </c>
      <c r="AT32" s="795">
        <f t="shared" si="13"/>
        <v>0</v>
      </c>
      <c r="AU32" s="926"/>
      <c r="AV32" s="795">
        <f t="shared" si="20"/>
        <v>0</v>
      </c>
      <c r="AX32" s="43" t="str">
        <f t="shared" si="14"/>
        <v/>
      </c>
      <c r="AY32" s="43" t="str">
        <f t="shared" si="15"/>
        <v/>
      </c>
      <c r="AZ32" s="43" t="str">
        <f t="shared" si="16"/>
        <v/>
      </c>
      <c r="BB32" s="737">
        <v>7</v>
      </c>
      <c r="BC32" s="737" t="s">
        <v>1045</v>
      </c>
    </row>
    <row r="33" spans="1:55" x14ac:dyDescent="0.25">
      <c r="A33" s="730">
        <v>8</v>
      </c>
      <c r="B33" s="1670"/>
      <c r="C33" s="1671"/>
      <c r="D33" s="1671"/>
      <c r="E33" s="1671"/>
      <c r="F33" s="809"/>
      <c r="G33" s="860"/>
      <c r="H33" s="798" t="str">
        <f>IFERROR(VLOOKUP(B33,'Ext Area Schedule'!AK$16:AM$65,3,FALSE),"")</f>
        <v/>
      </c>
      <c r="I33" s="870"/>
      <c r="J33" s="799" t="str">
        <f t="shared" si="0"/>
        <v/>
      </c>
      <c r="K33" s="769"/>
      <c r="L33" s="799" t="str">
        <f t="shared" si="1"/>
        <v xml:space="preserve"> </v>
      </c>
      <c r="M33" s="941" t="str">
        <f t="shared" si="21"/>
        <v/>
      </c>
      <c r="N33" s="795" t="str">
        <f>IF(B33="","",IF(AND($U$13=TRUE,U33="Existing Removed"),0,VLOOKUP(B33,'Ext Area Schedule'!AK$16:AO$65,5,FALSE)))</f>
        <v/>
      </c>
      <c r="O33" s="795" t="str">
        <f t="shared" si="22"/>
        <v/>
      </c>
      <c r="P33" s="1111" t="str">
        <f t="shared" si="6"/>
        <v/>
      </c>
      <c r="Q33" s="795">
        <f t="shared" si="17"/>
        <v>0</v>
      </c>
      <c r="R33" s="795" t="str">
        <f t="shared" si="18"/>
        <v/>
      </c>
      <c r="S33" s="957" t="str">
        <f>IF($B33="","",LEFT(VLOOKUP($B33,ExteriorNontradableData!$B$10:$AL$59,37,FALSE),4))</f>
        <v/>
      </c>
      <c r="T33" s="794"/>
      <c r="U33" s="888"/>
      <c r="V33" s="794"/>
      <c r="W33" s="879" t="str">
        <f>IF(OR($B33="",AND($M33="",$U33&lt;&gt;"Existing Removed")),"",IF(AND($U$13=TRUE,OR($U33="Existing Remains",$U33="Existing Removed")),"NA",VLOOKUP($H33,'9.4.3 Tables'!B$15:O$37,9,FALSE)))</f>
        <v/>
      </c>
      <c r="X33" s="793"/>
      <c r="Y33" s="766" t="str">
        <f>IF(OR($B33="",AND($M33="",$U33&lt;&gt;"Existing Removed")),"",IF(AND($U$13=TRUE,OR($U33="Existing Remains",$U33="Existing Removed")),"NA",VLOOKUP($H33,'9.4.3 Tables'!B$15:O$37,10,FALSE)))</f>
        <v/>
      </c>
      <c r="Z33" s="793"/>
      <c r="AA33" s="766" t="str">
        <f>IF(OR($B33="",AND($M33="",$U33&lt;&gt;"Existing Removed")),"",IF(AND($U$13=TRUE,OR($U33="Existing Remains",$U33="Existing Removed")),"NA",VLOOKUP($H33,'9.4.3 Tables'!B$15:O$37,11,FALSE)))</f>
        <v/>
      </c>
      <c r="AB33" s="793"/>
      <c r="AC33" s="766" t="str">
        <f>IF(OR($B33="",AND($M33="",$U33&lt;&gt;"Existing Removed")),"",IF(AND($U$13=TRUE,OR($U33="Existing Remains",$U33="Existing Removed")),"NA",VLOOKUP($H33,'9.4.3 Tables'!B$15:O$37,12,FALSE)))</f>
        <v/>
      </c>
      <c r="AD33" s="801"/>
      <c r="AE33" s="766" t="str">
        <f>IF(OR($B33="",AND($M33="",$U33&lt;&gt;"Existing Removed")),"",IF(AND($U$13=TRUE,OR($U33="Existing Remains",$U33="Existing Removed")),"NA",VLOOKUP($H33,'9.4.3 Tables'!B$15:O$37,13,FALSE)))</f>
        <v/>
      </c>
      <c r="AF33" s="880"/>
      <c r="AG33" s="236"/>
      <c r="AH33" s="891" t="str">
        <f t="shared" si="4"/>
        <v/>
      </c>
      <c r="AI33" s="90"/>
      <c r="AJ33" s="505">
        <f t="shared" si="7"/>
        <v>0</v>
      </c>
      <c r="AK33" s="795" t="str">
        <f t="shared" si="8"/>
        <v/>
      </c>
      <c r="AL33" s="795" t="str">
        <f t="shared" si="9"/>
        <v/>
      </c>
      <c r="AM33" s="236"/>
      <c r="AN33" s="795">
        <f t="shared" si="5"/>
        <v>0</v>
      </c>
      <c r="AO33" s="926"/>
      <c r="AP33" s="795">
        <f t="shared" si="19"/>
        <v>0</v>
      </c>
      <c r="AQ33" s="795">
        <f t="shared" si="10"/>
        <v>0</v>
      </c>
      <c r="AR33" s="795">
        <f t="shared" si="11"/>
        <v>0</v>
      </c>
      <c r="AS33" s="795">
        <f t="shared" si="12"/>
        <v>0</v>
      </c>
      <c r="AT33" s="795">
        <f t="shared" si="13"/>
        <v>0</v>
      </c>
      <c r="AU33" s="926"/>
      <c r="AV33" s="795">
        <f t="shared" si="20"/>
        <v>0</v>
      </c>
      <c r="AX33" s="43" t="str">
        <f t="shared" si="14"/>
        <v/>
      </c>
      <c r="AY33" s="43" t="str">
        <f t="shared" si="15"/>
        <v/>
      </c>
      <c r="AZ33" s="43" t="str">
        <f t="shared" si="16"/>
        <v/>
      </c>
      <c r="BB33" s="737">
        <v>8</v>
      </c>
      <c r="BC33" s="737" t="s">
        <v>1046</v>
      </c>
    </row>
    <row r="34" spans="1:55" x14ac:dyDescent="0.25">
      <c r="A34" s="730">
        <v>9</v>
      </c>
      <c r="B34" s="1670"/>
      <c r="C34" s="1671"/>
      <c r="D34" s="1671"/>
      <c r="E34" s="1671"/>
      <c r="F34" s="809"/>
      <c r="G34" s="860"/>
      <c r="H34" s="798" t="str">
        <f>IFERROR(VLOOKUP(B34,'Ext Area Schedule'!AK$16:AM$65,3,FALSE),"")</f>
        <v/>
      </c>
      <c r="I34" s="870"/>
      <c r="J34" s="799" t="str">
        <f t="shared" si="0"/>
        <v/>
      </c>
      <c r="K34" s="769"/>
      <c r="L34" s="799" t="str">
        <f t="shared" si="1"/>
        <v xml:space="preserve"> </v>
      </c>
      <c r="M34" s="941" t="str">
        <f t="shared" si="21"/>
        <v/>
      </c>
      <c r="N34" s="795" t="str">
        <f>IF(B34="","",IF(AND($U$13=TRUE,U34="Existing Removed"),0,VLOOKUP(B34,'Ext Area Schedule'!AK$16:AO$65,5,FALSE)))</f>
        <v/>
      </c>
      <c r="O34" s="795" t="str">
        <f t="shared" si="22"/>
        <v/>
      </c>
      <c r="P34" s="1111" t="str">
        <f t="shared" si="6"/>
        <v/>
      </c>
      <c r="Q34" s="795">
        <f t="shared" si="17"/>
        <v>0</v>
      </c>
      <c r="R34" s="795" t="str">
        <f t="shared" si="18"/>
        <v/>
      </c>
      <c r="S34" s="957" t="str">
        <f>IF($B34="","",LEFT(VLOOKUP($B34,ExteriorNontradableData!$B$10:$AL$59,37,FALSE),4))</f>
        <v/>
      </c>
      <c r="T34" s="794"/>
      <c r="U34" s="888"/>
      <c r="V34" s="794"/>
      <c r="W34" s="879" t="str">
        <f>IF(OR($B34="",AND($M34="",$U34&lt;&gt;"Existing Removed")),"",IF(AND($U$13=TRUE,OR($U34="Existing Remains",$U34="Existing Removed")),"NA",VLOOKUP($H34,'9.4.3 Tables'!B$15:O$37,9,FALSE)))</f>
        <v/>
      </c>
      <c r="X34" s="793"/>
      <c r="Y34" s="766" t="str">
        <f>IF(OR($B34="",AND($M34="",$U34&lt;&gt;"Existing Removed")),"",IF(AND($U$13=TRUE,OR($U34="Existing Remains",$U34="Existing Removed")),"NA",VLOOKUP($H34,'9.4.3 Tables'!B$15:O$37,10,FALSE)))</f>
        <v/>
      </c>
      <c r="Z34" s="793"/>
      <c r="AA34" s="766" t="str">
        <f>IF(OR($B34="",AND($M34="",$U34&lt;&gt;"Existing Removed")),"",IF(AND($U$13=TRUE,OR($U34="Existing Remains",$U34="Existing Removed")),"NA",VLOOKUP($H34,'9.4.3 Tables'!B$15:O$37,11,FALSE)))</f>
        <v/>
      </c>
      <c r="AB34" s="793"/>
      <c r="AC34" s="766" t="str">
        <f>IF(OR($B34="",AND($M34="",$U34&lt;&gt;"Existing Removed")),"",IF(AND($U$13=TRUE,OR($U34="Existing Remains",$U34="Existing Removed")),"NA",VLOOKUP($H34,'9.4.3 Tables'!B$15:O$37,12,FALSE)))</f>
        <v/>
      </c>
      <c r="AD34" s="801"/>
      <c r="AE34" s="766" t="str">
        <f>IF(OR($B34="",AND($M34="",$U34&lt;&gt;"Existing Removed")),"",IF(AND($U$13=TRUE,OR($U34="Existing Remains",$U34="Existing Removed")),"NA",VLOOKUP($H34,'9.4.3 Tables'!B$15:O$37,13,FALSE)))</f>
        <v/>
      </c>
      <c r="AF34" s="880"/>
      <c r="AG34" s="236"/>
      <c r="AH34" s="891" t="str">
        <f t="shared" si="4"/>
        <v/>
      </c>
      <c r="AI34" s="90"/>
      <c r="AJ34" s="505">
        <f t="shared" si="7"/>
        <v>0</v>
      </c>
      <c r="AK34" s="795" t="str">
        <f t="shared" si="8"/>
        <v/>
      </c>
      <c r="AL34" s="795" t="str">
        <f t="shared" si="9"/>
        <v/>
      </c>
      <c r="AM34" s="236"/>
      <c r="AN34" s="795">
        <f t="shared" si="5"/>
        <v>0</v>
      </c>
      <c r="AO34" s="926"/>
      <c r="AP34" s="795">
        <f t="shared" si="19"/>
        <v>0</v>
      </c>
      <c r="AQ34" s="795">
        <f t="shared" si="10"/>
        <v>0</v>
      </c>
      <c r="AR34" s="795">
        <f t="shared" si="11"/>
        <v>0</v>
      </c>
      <c r="AS34" s="795">
        <f t="shared" si="12"/>
        <v>0</v>
      </c>
      <c r="AT34" s="795">
        <f t="shared" si="13"/>
        <v>0</v>
      </c>
      <c r="AU34" s="926"/>
      <c r="AV34" s="795">
        <f t="shared" si="20"/>
        <v>0</v>
      </c>
      <c r="AX34" s="43" t="str">
        <f t="shared" si="14"/>
        <v/>
      </c>
      <c r="AY34" s="43" t="str">
        <f t="shared" si="15"/>
        <v/>
      </c>
      <c r="AZ34" s="43" t="str">
        <f t="shared" si="16"/>
        <v/>
      </c>
      <c r="BB34" s="737">
        <v>9</v>
      </c>
      <c r="BC34" s="737" t="s">
        <v>1047</v>
      </c>
    </row>
    <row r="35" spans="1:55" x14ac:dyDescent="0.25">
      <c r="A35" s="730">
        <v>10</v>
      </c>
      <c r="B35" s="1670"/>
      <c r="C35" s="1671"/>
      <c r="D35" s="1671"/>
      <c r="E35" s="1671"/>
      <c r="F35" s="809"/>
      <c r="G35" s="860"/>
      <c r="H35" s="798" t="str">
        <f>IFERROR(VLOOKUP(B35,'Ext Area Schedule'!AK$16:AM$65,3,FALSE),"")</f>
        <v/>
      </c>
      <c r="I35" s="870"/>
      <c r="J35" s="799" t="str">
        <f t="shared" si="0"/>
        <v/>
      </c>
      <c r="K35" s="769"/>
      <c r="L35" s="799" t="str">
        <f t="shared" si="1"/>
        <v xml:space="preserve"> </v>
      </c>
      <c r="M35" s="941" t="str">
        <f t="shared" si="21"/>
        <v/>
      </c>
      <c r="N35" s="795" t="str">
        <f>IF(B35="","",IF(AND($U$13=TRUE,U35="Existing Removed"),0,VLOOKUP(B35,'Ext Area Schedule'!AK$16:AO$65,5,FALSE)))</f>
        <v/>
      </c>
      <c r="O35" s="795" t="str">
        <f t="shared" si="22"/>
        <v/>
      </c>
      <c r="P35" s="1111" t="str">
        <f t="shared" si="6"/>
        <v/>
      </c>
      <c r="Q35" s="795">
        <f t="shared" si="17"/>
        <v>0</v>
      </c>
      <c r="R35" s="795" t="str">
        <f t="shared" si="18"/>
        <v/>
      </c>
      <c r="S35" s="957" t="str">
        <f>IF($B35="","",LEFT(VLOOKUP($B35,ExteriorNontradableData!$B$10:$AL$59,37,FALSE),4))</f>
        <v/>
      </c>
      <c r="T35" s="794"/>
      <c r="U35" s="888"/>
      <c r="V35" s="794"/>
      <c r="W35" s="879" t="str">
        <f>IF(OR($B35="",AND($M35="",$U35&lt;&gt;"Existing Removed")),"",IF(AND($U$13=TRUE,OR($U35="Existing Remains",$U35="Existing Removed")),"NA",VLOOKUP($H35,'9.4.3 Tables'!B$15:O$37,9,FALSE)))</f>
        <v/>
      </c>
      <c r="X35" s="793"/>
      <c r="Y35" s="766" t="str">
        <f>IF(OR($B35="",AND($M35="",$U35&lt;&gt;"Existing Removed")),"",IF(AND($U$13=TRUE,OR($U35="Existing Remains",$U35="Existing Removed")),"NA",VLOOKUP($H35,'9.4.3 Tables'!B$15:O$37,10,FALSE)))</f>
        <v/>
      </c>
      <c r="Z35" s="793"/>
      <c r="AA35" s="766" t="str">
        <f>IF(OR($B35="",AND($M35="",$U35&lt;&gt;"Existing Removed")),"",IF(AND($U$13=TRUE,OR($U35="Existing Remains",$U35="Existing Removed")),"NA",VLOOKUP($H35,'9.4.3 Tables'!B$15:O$37,11,FALSE)))</f>
        <v/>
      </c>
      <c r="AB35" s="793"/>
      <c r="AC35" s="766" t="str">
        <f>IF(OR($B35="",AND($M35="",$U35&lt;&gt;"Existing Removed")),"",IF(AND($U$13=TRUE,OR($U35="Existing Remains",$U35="Existing Removed")),"NA",VLOOKUP($H35,'9.4.3 Tables'!B$15:O$37,12,FALSE)))</f>
        <v/>
      </c>
      <c r="AD35" s="801"/>
      <c r="AE35" s="766" t="str">
        <f>IF(OR($B35="",AND($M35="",$U35&lt;&gt;"Existing Removed")),"",IF(AND($U$13=TRUE,OR($U35="Existing Remains",$U35="Existing Removed")),"NA",VLOOKUP($H35,'9.4.3 Tables'!B$15:O$37,13,FALSE)))</f>
        <v/>
      </c>
      <c r="AF35" s="880"/>
      <c r="AG35" s="236"/>
      <c r="AH35" s="891" t="str">
        <f t="shared" si="4"/>
        <v/>
      </c>
      <c r="AI35" s="90"/>
      <c r="AJ35" s="505">
        <f t="shared" si="7"/>
        <v>0</v>
      </c>
      <c r="AK35" s="795" t="str">
        <f t="shared" si="8"/>
        <v/>
      </c>
      <c r="AL35" s="795" t="str">
        <f t="shared" si="9"/>
        <v/>
      </c>
      <c r="AM35" s="236"/>
      <c r="AN35" s="795">
        <f t="shared" si="5"/>
        <v>0</v>
      </c>
      <c r="AO35" s="926"/>
      <c r="AP35" s="795">
        <f t="shared" si="19"/>
        <v>0</v>
      </c>
      <c r="AQ35" s="795">
        <f t="shared" si="10"/>
        <v>0</v>
      </c>
      <c r="AR35" s="795">
        <f t="shared" si="11"/>
        <v>0</v>
      </c>
      <c r="AS35" s="795">
        <f t="shared" si="12"/>
        <v>0</v>
      </c>
      <c r="AT35" s="795">
        <f t="shared" si="13"/>
        <v>0</v>
      </c>
      <c r="AU35" s="926"/>
      <c r="AV35" s="795">
        <f t="shared" si="20"/>
        <v>0</v>
      </c>
      <c r="AX35" s="43" t="str">
        <f t="shared" si="14"/>
        <v/>
      </c>
      <c r="AY35" s="43" t="str">
        <f t="shared" si="15"/>
        <v/>
      </c>
      <c r="AZ35" s="43" t="str">
        <f t="shared" si="16"/>
        <v/>
      </c>
      <c r="BB35" s="737">
        <v>10</v>
      </c>
      <c r="BC35" s="737" t="s">
        <v>1048</v>
      </c>
    </row>
    <row r="36" spans="1:55" x14ac:dyDescent="0.25">
      <c r="A36" s="730">
        <v>11</v>
      </c>
      <c r="B36" s="1670"/>
      <c r="C36" s="1671"/>
      <c r="D36" s="1671"/>
      <c r="E36" s="1671"/>
      <c r="F36" s="809"/>
      <c r="G36" s="860"/>
      <c r="H36" s="798" t="str">
        <f>IFERROR(VLOOKUP(B36,'Ext Area Schedule'!AK$16:AM$65,3,FALSE),"")</f>
        <v/>
      </c>
      <c r="I36" s="870"/>
      <c r="J36" s="799" t="str">
        <f t="shared" si="0"/>
        <v/>
      </c>
      <c r="K36" s="769"/>
      <c r="L36" s="799" t="str">
        <f t="shared" si="1"/>
        <v xml:space="preserve"> </v>
      </c>
      <c r="M36" s="941" t="str">
        <f t="shared" si="21"/>
        <v/>
      </c>
      <c r="N36" s="795" t="str">
        <f>IF(B36="","",IF(AND($U$13=TRUE,U36="Existing Removed"),0,VLOOKUP(B36,'Ext Area Schedule'!AK$16:AO$65,5,FALSE)))</f>
        <v/>
      </c>
      <c r="O36" s="795" t="str">
        <f t="shared" si="22"/>
        <v/>
      </c>
      <c r="P36" s="1111" t="str">
        <f t="shared" si="6"/>
        <v/>
      </c>
      <c r="Q36" s="795">
        <f t="shared" si="17"/>
        <v>0</v>
      </c>
      <c r="R36" s="795" t="str">
        <f t="shared" si="18"/>
        <v/>
      </c>
      <c r="S36" s="957" t="str">
        <f>IF($B36="","",LEFT(VLOOKUP($B36,ExteriorNontradableData!$B$10:$AL$59,37,FALSE),4))</f>
        <v/>
      </c>
      <c r="T36" s="794"/>
      <c r="U36" s="888"/>
      <c r="V36" s="794"/>
      <c r="W36" s="879" t="str">
        <f>IF(OR($B36="",AND($M36="",$U36&lt;&gt;"Existing Removed")),"",IF(AND($U$13=TRUE,OR($U36="Existing Remains",$U36="Existing Removed")),"NA",VLOOKUP($H36,'9.4.3 Tables'!B$15:O$37,9,FALSE)))</f>
        <v/>
      </c>
      <c r="X36" s="793"/>
      <c r="Y36" s="766" t="str">
        <f>IF(OR($B36="",AND($M36="",$U36&lt;&gt;"Existing Removed")),"",IF(AND($U$13=TRUE,OR($U36="Existing Remains",$U36="Existing Removed")),"NA",VLOOKUP($H36,'9.4.3 Tables'!B$15:O$37,10,FALSE)))</f>
        <v/>
      </c>
      <c r="Z36" s="793"/>
      <c r="AA36" s="766" t="str">
        <f>IF(OR($B36="",AND($M36="",$U36&lt;&gt;"Existing Removed")),"",IF(AND($U$13=TRUE,OR($U36="Existing Remains",$U36="Existing Removed")),"NA",VLOOKUP($H36,'9.4.3 Tables'!B$15:O$37,11,FALSE)))</f>
        <v/>
      </c>
      <c r="AB36" s="793"/>
      <c r="AC36" s="766" t="str">
        <f>IF(OR($B36="",AND($M36="",$U36&lt;&gt;"Existing Removed")),"",IF(AND($U$13=TRUE,OR($U36="Existing Remains",$U36="Existing Removed")),"NA",VLOOKUP($H36,'9.4.3 Tables'!B$15:O$37,12,FALSE)))</f>
        <v/>
      </c>
      <c r="AD36" s="801"/>
      <c r="AE36" s="766" t="str">
        <f>IF(OR($B36="",AND($M36="",$U36&lt;&gt;"Existing Removed")),"",IF(AND($U$13=TRUE,OR($U36="Existing Remains",$U36="Existing Removed")),"NA",VLOOKUP($H36,'9.4.3 Tables'!B$15:O$37,13,FALSE)))</f>
        <v/>
      </c>
      <c r="AF36" s="880"/>
      <c r="AG36" s="236"/>
      <c r="AH36" s="891" t="str">
        <f t="shared" si="4"/>
        <v/>
      </c>
      <c r="AI36" s="90"/>
      <c r="AJ36" s="505">
        <f t="shared" si="7"/>
        <v>0</v>
      </c>
      <c r="AK36" s="795" t="str">
        <f t="shared" si="8"/>
        <v/>
      </c>
      <c r="AL36" s="795" t="str">
        <f t="shared" si="9"/>
        <v/>
      </c>
      <c r="AM36" s="236"/>
      <c r="AN36" s="795">
        <f t="shared" si="5"/>
        <v>0</v>
      </c>
      <c r="AO36" s="926"/>
      <c r="AP36" s="795">
        <f t="shared" si="19"/>
        <v>0</v>
      </c>
      <c r="AQ36" s="795">
        <f t="shared" si="10"/>
        <v>0</v>
      </c>
      <c r="AR36" s="795">
        <f t="shared" si="11"/>
        <v>0</v>
      </c>
      <c r="AS36" s="795">
        <f t="shared" si="12"/>
        <v>0</v>
      </c>
      <c r="AT36" s="795">
        <f t="shared" si="13"/>
        <v>0</v>
      </c>
      <c r="AU36" s="926"/>
      <c r="AV36" s="795">
        <f t="shared" si="20"/>
        <v>0</v>
      </c>
      <c r="AX36" s="43" t="str">
        <f t="shared" si="14"/>
        <v/>
      </c>
      <c r="AY36" s="43" t="str">
        <f t="shared" si="15"/>
        <v/>
      </c>
      <c r="AZ36" s="43" t="str">
        <f t="shared" si="16"/>
        <v/>
      </c>
      <c r="BB36" s="737">
        <v>11</v>
      </c>
      <c r="BC36" s="737" t="s">
        <v>1049</v>
      </c>
    </row>
    <row r="37" spans="1:55" x14ac:dyDescent="0.25">
      <c r="A37" s="730">
        <v>12</v>
      </c>
      <c r="B37" s="1670"/>
      <c r="C37" s="1671"/>
      <c r="D37" s="1671"/>
      <c r="E37" s="1671"/>
      <c r="F37" s="809"/>
      <c r="G37" s="860"/>
      <c r="H37" s="798" t="str">
        <f>IFERROR(VLOOKUP(B37,'Ext Area Schedule'!AK$16:AM$65,3,FALSE),"")</f>
        <v/>
      </c>
      <c r="I37" s="870"/>
      <c r="J37" s="799" t="str">
        <f t="shared" si="0"/>
        <v/>
      </c>
      <c r="K37" s="769"/>
      <c r="L37" s="799" t="str">
        <f t="shared" si="1"/>
        <v xml:space="preserve"> </v>
      </c>
      <c r="M37" s="941" t="str">
        <f t="shared" si="21"/>
        <v/>
      </c>
      <c r="N37" s="795" t="str">
        <f>IF(B37="","",IF(AND($U$13=TRUE,U37="Existing Removed"),0,VLOOKUP(B37,'Ext Area Schedule'!AK$16:AO$65,5,FALSE)))</f>
        <v/>
      </c>
      <c r="O37" s="795" t="str">
        <f t="shared" si="22"/>
        <v/>
      </c>
      <c r="P37" s="1111" t="str">
        <f t="shared" si="6"/>
        <v/>
      </c>
      <c r="Q37" s="795">
        <f t="shared" si="17"/>
        <v>0</v>
      </c>
      <c r="R37" s="795" t="str">
        <f t="shared" si="18"/>
        <v/>
      </c>
      <c r="S37" s="957" t="str">
        <f>IF($B37="","",LEFT(VLOOKUP($B37,ExteriorNontradableData!$B$10:$AL$59,37,FALSE),4))</f>
        <v/>
      </c>
      <c r="T37" s="794"/>
      <c r="U37" s="888"/>
      <c r="V37" s="794"/>
      <c r="W37" s="879" t="str">
        <f>IF(OR($B37="",AND($M37="",$U37&lt;&gt;"Existing Removed")),"",IF(AND($U$13=TRUE,OR($U37="Existing Remains",$U37="Existing Removed")),"NA",VLOOKUP($H37,'9.4.3 Tables'!B$15:O$37,9,FALSE)))</f>
        <v/>
      </c>
      <c r="X37" s="793"/>
      <c r="Y37" s="766" t="str">
        <f>IF(OR($B37="",AND($M37="",$U37&lt;&gt;"Existing Removed")),"",IF(AND($U$13=TRUE,OR($U37="Existing Remains",$U37="Existing Removed")),"NA",VLOOKUP($H37,'9.4.3 Tables'!B$15:O$37,10,FALSE)))</f>
        <v/>
      </c>
      <c r="Z37" s="793"/>
      <c r="AA37" s="766" t="str">
        <f>IF(OR($B37="",AND($M37="",$U37&lt;&gt;"Existing Removed")),"",IF(AND($U$13=TRUE,OR($U37="Existing Remains",$U37="Existing Removed")),"NA",VLOOKUP($H37,'9.4.3 Tables'!B$15:O$37,11,FALSE)))</f>
        <v/>
      </c>
      <c r="AB37" s="793"/>
      <c r="AC37" s="766" t="str">
        <f>IF(OR($B37="",AND($M37="",$U37&lt;&gt;"Existing Removed")),"",IF(AND($U$13=TRUE,OR($U37="Existing Remains",$U37="Existing Removed")),"NA",VLOOKUP($H37,'9.4.3 Tables'!B$15:O$37,12,FALSE)))</f>
        <v/>
      </c>
      <c r="AD37" s="801"/>
      <c r="AE37" s="766" t="str">
        <f>IF(OR($B37="",AND($M37="",$U37&lt;&gt;"Existing Removed")),"",IF(AND($U$13=TRUE,OR($U37="Existing Remains",$U37="Existing Removed")),"NA",VLOOKUP($H37,'9.4.3 Tables'!B$15:O$37,13,FALSE)))</f>
        <v/>
      </c>
      <c r="AF37" s="880"/>
      <c r="AG37" s="236"/>
      <c r="AH37" s="891" t="str">
        <f t="shared" si="4"/>
        <v/>
      </c>
      <c r="AI37" s="90"/>
      <c r="AJ37" s="505">
        <f t="shared" si="7"/>
        <v>0</v>
      </c>
      <c r="AK37" s="795" t="str">
        <f t="shared" si="8"/>
        <v/>
      </c>
      <c r="AL37" s="795" t="str">
        <f t="shared" si="9"/>
        <v/>
      </c>
      <c r="AM37" s="236"/>
      <c r="AN37" s="795">
        <f t="shared" si="5"/>
        <v>0</v>
      </c>
      <c r="AO37" s="926"/>
      <c r="AP37" s="795">
        <f t="shared" si="19"/>
        <v>0</v>
      </c>
      <c r="AQ37" s="795">
        <f t="shared" si="10"/>
        <v>0</v>
      </c>
      <c r="AR37" s="795">
        <f t="shared" si="11"/>
        <v>0</v>
      </c>
      <c r="AS37" s="795">
        <f t="shared" si="12"/>
        <v>0</v>
      </c>
      <c r="AT37" s="795">
        <f t="shared" si="13"/>
        <v>0</v>
      </c>
      <c r="AU37" s="926"/>
      <c r="AV37" s="795">
        <f t="shared" si="20"/>
        <v>0</v>
      </c>
      <c r="AX37" s="43" t="str">
        <f t="shared" si="14"/>
        <v/>
      </c>
      <c r="AY37" s="43" t="str">
        <f t="shared" si="15"/>
        <v/>
      </c>
      <c r="AZ37" s="43" t="str">
        <f t="shared" si="16"/>
        <v/>
      </c>
      <c r="BB37" s="737">
        <v>12</v>
      </c>
      <c r="BC37" s="737" t="s">
        <v>1050</v>
      </c>
    </row>
    <row r="38" spans="1:55" x14ac:dyDescent="0.25">
      <c r="A38" s="730">
        <v>13</v>
      </c>
      <c r="B38" s="1670"/>
      <c r="C38" s="1671"/>
      <c r="D38" s="1671"/>
      <c r="E38" s="1671"/>
      <c r="F38" s="809"/>
      <c r="G38" s="860"/>
      <c r="H38" s="798" t="str">
        <f>IFERROR(VLOOKUP(B38,'Ext Area Schedule'!AK$16:AM$65,3,FALSE),"")</f>
        <v/>
      </c>
      <c r="I38" s="870"/>
      <c r="J38" s="799" t="str">
        <f t="shared" si="0"/>
        <v/>
      </c>
      <c r="K38" s="769"/>
      <c r="L38" s="799" t="str">
        <f t="shared" si="1"/>
        <v xml:space="preserve"> </v>
      </c>
      <c r="M38" s="941" t="str">
        <f t="shared" si="21"/>
        <v/>
      </c>
      <c r="N38" s="795" t="str">
        <f>IF(B38="","",IF(AND($U$13=TRUE,U38="Existing Removed"),0,VLOOKUP(B38,'Ext Area Schedule'!AK$16:AO$65,5,FALSE)))</f>
        <v/>
      </c>
      <c r="O38" s="795" t="str">
        <f t="shared" si="22"/>
        <v/>
      </c>
      <c r="P38" s="1111" t="str">
        <f t="shared" si="6"/>
        <v/>
      </c>
      <c r="Q38" s="795">
        <f t="shared" si="17"/>
        <v>0</v>
      </c>
      <c r="R38" s="795" t="str">
        <f t="shared" si="18"/>
        <v/>
      </c>
      <c r="S38" s="957" t="str">
        <f>IF($B38="","",LEFT(VLOOKUP($B38,ExteriorNontradableData!$B$10:$AL$59,37,FALSE),4))</f>
        <v/>
      </c>
      <c r="T38" s="794"/>
      <c r="U38" s="888"/>
      <c r="V38" s="794"/>
      <c r="W38" s="879" t="str">
        <f>IF(OR($B38="",AND($M38="",$U38&lt;&gt;"Existing Removed")),"",IF(AND($U$13=TRUE,OR($U38="Existing Remains",$U38="Existing Removed")),"NA",VLOOKUP($H38,'9.4.3 Tables'!B$15:O$37,9,FALSE)))</f>
        <v/>
      </c>
      <c r="X38" s="793"/>
      <c r="Y38" s="766" t="str">
        <f>IF(OR($B38="",AND($M38="",$U38&lt;&gt;"Existing Removed")),"",IF(AND($U$13=TRUE,OR($U38="Existing Remains",$U38="Existing Removed")),"NA",VLOOKUP($H38,'9.4.3 Tables'!B$15:O$37,10,FALSE)))</f>
        <v/>
      </c>
      <c r="Z38" s="793"/>
      <c r="AA38" s="766" t="str">
        <f>IF(OR($B38="",AND($M38="",$U38&lt;&gt;"Existing Removed")),"",IF(AND($U$13=TRUE,OR($U38="Existing Remains",$U38="Existing Removed")),"NA",VLOOKUP($H38,'9.4.3 Tables'!B$15:O$37,11,FALSE)))</f>
        <v/>
      </c>
      <c r="AB38" s="793"/>
      <c r="AC38" s="766" t="str">
        <f>IF(OR($B38="",AND($M38="",$U38&lt;&gt;"Existing Removed")),"",IF(AND($U$13=TRUE,OR($U38="Existing Remains",$U38="Existing Removed")),"NA",VLOOKUP($H38,'9.4.3 Tables'!B$15:O$37,12,FALSE)))</f>
        <v/>
      </c>
      <c r="AD38" s="801"/>
      <c r="AE38" s="766" t="str">
        <f>IF(OR($B38="",AND($M38="",$U38&lt;&gt;"Existing Removed")),"",IF(AND($U$13=TRUE,OR($U38="Existing Remains",$U38="Existing Removed")),"NA",VLOOKUP($H38,'9.4.3 Tables'!B$15:O$37,13,FALSE)))</f>
        <v/>
      </c>
      <c r="AF38" s="880"/>
      <c r="AG38" s="236"/>
      <c r="AH38" s="891" t="str">
        <f t="shared" si="4"/>
        <v/>
      </c>
      <c r="AI38" s="90"/>
      <c r="AJ38" s="505">
        <f t="shared" si="7"/>
        <v>0</v>
      </c>
      <c r="AK38" s="795" t="str">
        <f t="shared" si="8"/>
        <v/>
      </c>
      <c r="AL38" s="795" t="str">
        <f t="shared" si="9"/>
        <v/>
      </c>
      <c r="AM38" s="236"/>
      <c r="AN38" s="795">
        <f t="shared" si="5"/>
        <v>0</v>
      </c>
      <c r="AO38" s="926"/>
      <c r="AP38" s="795">
        <f t="shared" si="19"/>
        <v>0</v>
      </c>
      <c r="AQ38" s="795">
        <f t="shared" si="10"/>
        <v>0</v>
      </c>
      <c r="AR38" s="795">
        <f t="shared" si="11"/>
        <v>0</v>
      </c>
      <c r="AS38" s="795">
        <f t="shared" si="12"/>
        <v>0</v>
      </c>
      <c r="AT38" s="795">
        <f t="shared" si="13"/>
        <v>0</v>
      </c>
      <c r="AU38" s="926"/>
      <c r="AV38" s="795">
        <f t="shared" si="20"/>
        <v>0</v>
      </c>
      <c r="AX38" s="43" t="str">
        <f t="shared" si="14"/>
        <v/>
      </c>
      <c r="AY38" s="43" t="str">
        <f t="shared" si="15"/>
        <v/>
      </c>
      <c r="AZ38" s="43" t="str">
        <f t="shared" si="16"/>
        <v/>
      </c>
      <c r="BB38" s="737">
        <v>13</v>
      </c>
      <c r="BC38" s="737" t="s">
        <v>1051</v>
      </c>
    </row>
    <row r="39" spans="1:55" x14ac:dyDescent="0.25">
      <c r="A39" s="730">
        <v>14</v>
      </c>
      <c r="B39" s="1670"/>
      <c r="C39" s="1671"/>
      <c r="D39" s="1671"/>
      <c r="E39" s="1671"/>
      <c r="F39" s="809"/>
      <c r="G39" s="860"/>
      <c r="H39" s="798" t="str">
        <f>IFERROR(VLOOKUP(B39,'Ext Area Schedule'!AK$16:AM$65,3,FALSE),"")</f>
        <v/>
      </c>
      <c r="I39" s="870"/>
      <c r="J39" s="799" t="str">
        <f t="shared" si="0"/>
        <v/>
      </c>
      <c r="K39" s="769"/>
      <c r="L39" s="799" t="str">
        <f t="shared" si="1"/>
        <v xml:space="preserve"> </v>
      </c>
      <c r="M39" s="941" t="str">
        <f t="shared" si="21"/>
        <v/>
      </c>
      <c r="N39" s="795" t="str">
        <f>IF(B39="","",IF(AND($U$13=TRUE,U39="Existing Removed"),0,VLOOKUP(B39,'Ext Area Schedule'!AK$16:AO$65,5,FALSE)))</f>
        <v/>
      </c>
      <c r="O39" s="795" t="str">
        <f t="shared" si="22"/>
        <v/>
      </c>
      <c r="P39" s="1111" t="str">
        <f t="shared" si="6"/>
        <v/>
      </c>
      <c r="Q39" s="795">
        <f t="shared" si="17"/>
        <v>0</v>
      </c>
      <c r="R39" s="795" t="str">
        <f t="shared" si="18"/>
        <v/>
      </c>
      <c r="S39" s="957" t="str">
        <f>IF($B39="","",LEFT(VLOOKUP($B39,ExteriorNontradableData!$B$10:$AL$59,37,FALSE),4))</f>
        <v/>
      </c>
      <c r="T39" s="794"/>
      <c r="U39" s="888"/>
      <c r="V39" s="794"/>
      <c r="W39" s="879" t="str">
        <f>IF(OR($B39="",AND($M39="",$U39&lt;&gt;"Existing Removed")),"",IF(AND($U$13=TRUE,OR($U39="Existing Remains",$U39="Existing Removed")),"NA",VLOOKUP($H39,'9.4.3 Tables'!B$15:O$37,9,FALSE)))</f>
        <v/>
      </c>
      <c r="X39" s="793"/>
      <c r="Y39" s="766" t="str">
        <f>IF(OR($B39="",AND($M39="",$U39&lt;&gt;"Existing Removed")),"",IF(AND($U$13=TRUE,OR($U39="Existing Remains",$U39="Existing Removed")),"NA",VLOOKUP($H39,'9.4.3 Tables'!B$15:O$37,10,FALSE)))</f>
        <v/>
      </c>
      <c r="Z39" s="793"/>
      <c r="AA39" s="766" t="str">
        <f>IF(OR($B39="",AND($M39="",$U39&lt;&gt;"Existing Removed")),"",IF(AND($U$13=TRUE,OR($U39="Existing Remains",$U39="Existing Removed")),"NA",VLOOKUP($H39,'9.4.3 Tables'!B$15:O$37,11,FALSE)))</f>
        <v/>
      </c>
      <c r="AB39" s="793"/>
      <c r="AC39" s="766" t="str">
        <f>IF(OR($B39="",AND($M39="",$U39&lt;&gt;"Existing Removed")),"",IF(AND($U$13=TRUE,OR($U39="Existing Remains",$U39="Existing Removed")),"NA",VLOOKUP($H39,'9.4.3 Tables'!B$15:O$37,12,FALSE)))</f>
        <v/>
      </c>
      <c r="AD39" s="801"/>
      <c r="AE39" s="766" t="str">
        <f>IF(OR($B39="",AND($M39="",$U39&lt;&gt;"Existing Removed")),"",IF(AND($U$13=TRUE,OR($U39="Existing Remains",$U39="Existing Removed")),"NA",VLOOKUP($H39,'9.4.3 Tables'!B$15:O$37,13,FALSE)))</f>
        <v/>
      </c>
      <c r="AF39" s="880"/>
      <c r="AG39" s="236"/>
      <c r="AH39" s="891" t="str">
        <f t="shared" si="4"/>
        <v/>
      </c>
      <c r="AI39" s="90"/>
      <c r="AJ39" s="505">
        <f t="shared" si="7"/>
        <v>0</v>
      </c>
      <c r="AK39" s="795" t="str">
        <f t="shared" si="8"/>
        <v/>
      </c>
      <c r="AL39" s="795" t="str">
        <f t="shared" si="9"/>
        <v/>
      </c>
      <c r="AM39" s="236"/>
      <c r="AN39" s="795">
        <f t="shared" si="5"/>
        <v>0</v>
      </c>
      <c r="AO39" s="926"/>
      <c r="AP39" s="795">
        <f t="shared" si="19"/>
        <v>0</v>
      </c>
      <c r="AQ39" s="795">
        <f t="shared" si="10"/>
        <v>0</v>
      </c>
      <c r="AR39" s="795">
        <f t="shared" si="11"/>
        <v>0</v>
      </c>
      <c r="AS39" s="795">
        <f t="shared" si="12"/>
        <v>0</v>
      </c>
      <c r="AT39" s="795">
        <f t="shared" si="13"/>
        <v>0</v>
      </c>
      <c r="AU39" s="926"/>
      <c r="AV39" s="795">
        <f t="shared" si="20"/>
        <v>0</v>
      </c>
      <c r="AX39" s="43" t="str">
        <f t="shared" si="14"/>
        <v/>
      </c>
      <c r="AY39" s="43" t="str">
        <f t="shared" si="15"/>
        <v/>
      </c>
      <c r="AZ39" s="43" t="str">
        <f t="shared" si="16"/>
        <v/>
      </c>
      <c r="BB39" s="737">
        <v>14</v>
      </c>
      <c r="BC39" s="737" t="s">
        <v>1052</v>
      </c>
    </row>
    <row r="40" spans="1:55" x14ac:dyDescent="0.25">
      <c r="A40" s="730">
        <v>15</v>
      </c>
      <c r="B40" s="1670"/>
      <c r="C40" s="1671"/>
      <c r="D40" s="1671"/>
      <c r="E40" s="1671"/>
      <c r="F40" s="809"/>
      <c r="G40" s="860"/>
      <c r="H40" s="798" t="str">
        <f>IFERROR(VLOOKUP(B40,'Ext Area Schedule'!AK$16:AM$65,3,FALSE),"")</f>
        <v/>
      </c>
      <c r="I40" s="870"/>
      <c r="J40" s="799" t="str">
        <f t="shared" si="0"/>
        <v/>
      </c>
      <c r="K40" s="769"/>
      <c r="L40" s="799" t="str">
        <f t="shared" si="1"/>
        <v xml:space="preserve"> </v>
      </c>
      <c r="M40" s="941" t="str">
        <f t="shared" si="21"/>
        <v/>
      </c>
      <c r="N40" s="795" t="str">
        <f>IF(B40="","",IF(AND($U$13=TRUE,U40="Existing Removed"),0,VLOOKUP(B40,'Ext Area Schedule'!AK$16:AO$65,5,FALSE)))</f>
        <v/>
      </c>
      <c r="O40" s="795" t="str">
        <f t="shared" si="22"/>
        <v/>
      </c>
      <c r="P40" s="1111" t="str">
        <f t="shared" si="6"/>
        <v/>
      </c>
      <c r="Q40" s="795">
        <f t="shared" si="17"/>
        <v>0</v>
      </c>
      <c r="R40" s="795" t="str">
        <f t="shared" si="18"/>
        <v/>
      </c>
      <c r="S40" s="957" t="str">
        <f>IF($B40="","",LEFT(VLOOKUP($B40,ExteriorNontradableData!$B$10:$AL$59,37,FALSE),4))</f>
        <v/>
      </c>
      <c r="T40" s="794"/>
      <c r="U40" s="888"/>
      <c r="V40" s="794"/>
      <c r="W40" s="879" t="str">
        <f>IF(OR($B40="",AND($M40="",$U40&lt;&gt;"Existing Removed")),"",IF(AND($U$13=TRUE,OR($U40="Existing Remains",$U40="Existing Removed")),"NA",VLOOKUP($H40,'9.4.3 Tables'!B$15:O$37,9,FALSE)))</f>
        <v/>
      </c>
      <c r="X40" s="793"/>
      <c r="Y40" s="766" t="str">
        <f>IF(OR($B40="",AND($M40="",$U40&lt;&gt;"Existing Removed")),"",IF(AND($U$13=TRUE,OR($U40="Existing Remains",$U40="Existing Removed")),"NA",VLOOKUP($H40,'9.4.3 Tables'!B$15:O$37,10,FALSE)))</f>
        <v/>
      </c>
      <c r="Z40" s="793"/>
      <c r="AA40" s="766" t="str">
        <f>IF(OR($B40="",AND($M40="",$U40&lt;&gt;"Existing Removed")),"",IF(AND($U$13=TRUE,OR($U40="Existing Remains",$U40="Existing Removed")),"NA",VLOOKUP($H40,'9.4.3 Tables'!B$15:O$37,11,FALSE)))</f>
        <v/>
      </c>
      <c r="AB40" s="793"/>
      <c r="AC40" s="766" t="str">
        <f>IF(OR($B40="",AND($M40="",$U40&lt;&gt;"Existing Removed")),"",IF(AND($U$13=TRUE,OR($U40="Existing Remains",$U40="Existing Removed")),"NA",VLOOKUP($H40,'9.4.3 Tables'!B$15:O$37,12,FALSE)))</f>
        <v/>
      </c>
      <c r="AD40" s="801"/>
      <c r="AE40" s="766" t="str">
        <f>IF(OR($B40="",AND($M40="",$U40&lt;&gt;"Existing Removed")),"",IF(AND($U$13=TRUE,OR($U40="Existing Remains",$U40="Existing Removed")),"NA",VLOOKUP($H40,'9.4.3 Tables'!B$15:O$37,13,FALSE)))</f>
        <v/>
      </c>
      <c r="AF40" s="880"/>
      <c r="AG40" s="236"/>
      <c r="AH40" s="891" t="str">
        <f t="shared" si="4"/>
        <v/>
      </c>
      <c r="AI40" s="90"/>
      <c r="AJ40" s="505">
        <f t="shared" si="7"/>
        <v>0</v>
      </c>
      <c r="AK40" s="795" t="str">
        <f t="shared" si="8"/>
        <v/>
      </c>
      <c r="AL40" s="795" t="str">
        <f t="shared" si="9"/>
        <v/>
      </c>
      <c r="AM40" s="236"/>
      <c r="AN40" s="795">
        <f t="shared" si="5"/>
        <v>0</v>
      </c>
      <c r="AO40" s="926"/>
      <c r="AP40" s="795">
        <f t="shared" si="19"/>
        <v>0</v>
      </c>
      <c r="AQ40" s="795">
        <f t="shared" si="10"/>
        <v>0</v>
      </c>
      <c r="AR40" s="795">
        <f t="shared" si="11"/>
        <v>0</v>
      </c>
      <c r="AS40" s="795">
        <f t="shared" si="12"/>
        <v>0</v>
      </c>
      <c r="AT40" s="795">
        <f t="shared" si="13"/>
        <v>0</v>
      </c>
      <c r="AU40" s="926"/>
      <c r="AV40" s="795">
        <f t="shared" si="20"/>
        <v>0</v>
      </c>
      <c r="AX40" s="43" t="str">
        <f t="shared" si="14"/>
        <v/>
      </c>
      <c r="AY40" s="43" t="str">
        <f t="shared" si="15"/>
        <v/>
      </c>
      <c r="AZ40" s="43" t="str">
        <f t="shared" si="16"/>
        <v/>
      </c>
      <c r="BB40" s="737">
        <v>15</v>
      </c>
      <c r="BC40" s="737" t="s">
        <v>908</v>
      </c>
    </row>
    <row r="41" spans="1:55" x14ac:dyDescent="0.25">
      <c r="A41" s="730">
        <v>16</v>
      </c>
      <c r="B41" s="1670"/>
      <c r="C41" s="1671"/>
      <c r="D41" s="1671"/>
      <c r="E41" s="1671"/>
      <c r="F41" s="809"/>
      <c r="G41" s="860"/>
      <c r="H41" s="798" t="str">
        <f>IFERROR(VLOOKUP(B41,'Ext Area Schedule'!AK$16:AM$65,3,FALSE),"")</f>
        <v/>
      </c>
      <c r="I41" s="870"/>
      <c r="J41" s="799" t="str">
        <f t="shared" si="0"/>
        <v/>
      </c>
      <c r="K41" s="769"/>
      <c r="L41" s="799" t="str">
        <f t="shared" si="1"/>
        <v xml:space="preserve"> </v>
      </c>
      <c r="M41" s="941" t="str">
        <f t="shared" si="21"/>
        <v/>
      </c>
      <c r="N41" s="795" t="str">
        <f>IF(B41="","",IF(AND($U$13=TRUE,U41="Existing Removed"),0,VLOOKUP(B41,'Ext Area Schedule'!AK$16:AO$65,5,FALSE)))</f>
        <v/>
      </c>
      <c r="O41" s="795" t="str">
        <f t="shared" si="22"/>
        <v/>
      </c>
      <c r="P41" s="1111" t="str">
        <f t="shared" si="6"/>
        <v/>
      </c>
      <c r="Q41" s="795">
        <f t="shared" si="17"/>
        <v>0</v>
      </c>
      <c r="R41" s="795" t="str">
        <f t="shared" si="18"/>
        <v/>
      </c>
      <c r="S41" s="957" t="str">
        <f>IF($B41="","",LEFT(VLOOKUP($B41,ExteriorNontradableData!$B$10:$AL$59,37,FALSE),4))</f>
        <v/>
      </c>
      <c r="T41" s="794"/>
      <c r="U41" s="888"/>
      <c r="V41" s="794"/>
      <c r="W41" s="879" t="str">
        <f>IF(OR($B41="",AND($M41="",$U41&lt;&gt;"Existing Removed")),"",IF(AND($U$13=TRUE,OR($U41="Existing Remains",$U41="Existing Removed")),"NA",VLOOKUP($H41,'9.4.3 Tables'!B$15:O$37,9,FALSE)))</f>
        <v/>
      </c>
      <c r="X41" s="793"/>
      <c r="Y41" s="766" t="str">
        <f>IF(OR($B41="",AND($M41="",$U41&lt;&gt;"Existing Removed")),"",IF(AND($U$13=TRUE,OR($U41="Existing Remains",$U41="Existing Removed")),"NA",VLOOKUP($H41,'9.4.3 Tables'!B$15:O$37,10,FALSE)))</f>
        <v/>
      </c>
      <c r="Z41" s="793"/>
      <c r="AA41" s="766" t="str">
        <f>IF(OR($B41="",AND($M41="",$U41&lt;&gt;"Existing Removed")),"",IF(AND($U$13=TRUE,OR($U41="Existing Remains",$U41="Existing Removed")),"NA",VLOOKUP($H41,'9.4.3 Tables'!B$15:O$37,11,FALSE)))</f>
        <v/>
      </c>
      <c r="AB41" s="793"/>
      <c r="AC41" s="766" t="str">
        <f>IF(OR($B41="",AND($M41="",$U41&lt;&gt;"Existing Removed")),"",IF(AND($U$13=TRUE,OR($U41="Existing Remains",$U41="Existing Removed")),"NA",VLOOKUP($H41,'9.4.3 Tables'!B$15:O$37,12,FALSE)))</f>
        <v/>
      </c>
      <c r="AD41" s="801"/>
      <c r="AE41" s="766" t="str">
        <f>IF(OR($B41="",AND($M41="",$U41&lt;&gt;"Existing Removed")),"",IF(AND($U$13=TRUE,OR($U41="Existing Remains",$U41="Existing Removed")),"NA",VLOOKUP($H41,'9.4.3 Tables'!B$15:O$37,13,FALSE)))</f>
        <v/>
      </c>
      <c r="AF41" s="880"/>
      <c r="AG41" s="236"/>
      <c r="AH41" s="891" t="str">
        <f t="shared" si="4"/>
        <v/>
      </c>
      <c r="AI41" s="90"/>
      <c r="AJ41" s="505">
        <f t="shared" si="7"/>
        <v>0</v>
      </c>
      <c r="AK41" s="795" t="str">
        <f t="shared" si="8"/>
        <v/>
      </c>
      <c r="AL41" s="795" t="str">
        <f t="shared" si="9"/>
        <v/>
      </c>
      <c r="AM41" s="236"/>
      <c r="AN41" s="795">
        <f t="shared" si="5"/>
        <v>0</v>
      </c>
      <c r="AO41" s="926"/>
      <c r="AP41" s="795">
        <f t="shared" si="19"/>
        <v>0</v>
      </c>
      <c r="AQ41" s="795">
        <f t="shared" si="10"/>
        <v>0</v>
      </c>
      <c r="AR41" s="795">
        <f t="shared" si="11"/>
        <v>0</v>
      </c>
      <c r="AS41" s="795">
        <f t="shared" si="12"/>
        <v>0</v>
      </c>
      <c r="AT41" s="795">
        <f t="shared" si="13"/>
        <v>0</v>
      </c>
      <c r="AU41" s="926"/>
      <c r="AV41" s="795">
        <f t="shared" si="20"/>
        <v>0</v>
      </c>
      <c r="AX41" s="43" t="str">
        <f t="shared" si="14"/>
        <v/>
      </c>
      <c r="AY41" s="43" t="str">
        <f t="shared" si="15"/>
        <v/>
      </c>
      <c r="AZ41" s="43" t="str">
        <f t="shared" si="16"/>
        <v/>
      </c>
      <c r="BB41" s="737">
        <v>16</v>
      </c>
      <c r="BC41" s="737" t="s">
        <v>1053</v>
      </c>
    </row>
    <row r="42" spans="1:55" x14ac:dyDescent="0.25">
      <c r="A42" s="730">
        <v>17</v>
      </c>
      <c r="B42" s="1670"/>
      <c r="C42" s="1671"/>
      <c r="D42" s="1671"/>
      <c r="E42" s="1671"/>
      <c r="F42" s="809"/>
      <c r="G42" s="860"/>
      <c r="H42" s="798" t="str">
        <f>IFERROR(VLOOKUP(B42,'Ext Area Schedule'!AK$16:AM$65,3,FALSE),"")</f>
        <v/>
      </c>
      <c r="I42" s="870"/>
      <c r="J42" s="799" t="str">
        <f t="shared" si="0"/>
        <v/>
      </c>
      <c r="K42" s="769"/>
      <c r="L42" s="799" t="str">
        <f t="shared" si="1"/>
        <v xml:space="preserve"> </v>
      </c>
      <c r="M42" s="941" t="str">
        <f t="shared" si="21"/>
        <v/>
      </c>
      <c r="N42" s="795" t="str">
        <f>IF(B42="","",IF(AND($U$13=TRUE,U42="Existing Removed"),0,VLOOKUP(B42,'Ext Area Schedule'!AK$16:AO$65,5,FALSE)))</f>
        <v/>
      </c>
      <c r="O42" s="795" t="str">
        <f t="shared" si="22"/>
        <v/>
      </c>
      <c r="P42" s="795" t="str">
        <f t="shared" si="6"/>
        <v/>
      </c>
      <c r="Q42" s="795">
        <f t="shared" si="17"/>
        <v>0</v>
      </c>
      <c r="R42" s="795" t="str">
        <f t="shared" si="18"/>
        <v/>
      </c>
      <c r="S42" s="957" t="str">
        <f>IF($B42="","",LEFT(VLOOKUP($B42,ExteriorNontradableData!$B$10:$AL$59,37,FALSE),4))</f>
        <v/>
      </c>
      <c r="T42" s="794"/>
      <c r="U42" s="888"/>
      <c r="V42" s="794"/>
      <c r="W42" s="879" t="str">
        <f>IF(OR($B42="",AND($M42="",$U42&lt;&gt;"Existing Removed")),"",IF(AND($U$13=TRUE,OR($U42="Existing Remains",$U42="Existing Removed")),"NA",VLOOKUP($H42,'9.4.3 Tables'!B$15:O$37,9,FALSE)))</f>
        <v/>
      </c>
      <c r="X42" s="793"/>
      <c r="Y42" s="766" t="str">
        <f>IF(OR($B42="",AND($M42="",$U42&lt;&gt;"Existing Removed")),"",IF(AND($U$13=TRUE,OR($U42="Existing Remains",$U42="Existing Removed")),"NA",VLOOKUP($H42,'9.4.3 Tables'!B$15:O$37,10,FALSE)))</f>
        <v/>
      </c>
      <c r="Z42" s="793"/>
      <c r="AA42" s="766" t="str">
        <f>IF(OR($B42="",AND($M42="",$U42&lt;&gt;"Existing Removed")),"",IF(AND($U$13=TRUE,OR($U42="Existing Remains",$U42="Existing Removed")),"NA",VLOOKUP($H42,'9.4.3 Tables'!B$15:O$37,11,FALSE)))</f>
        <v/>
      </c>
      <c r="AB42" s="793"/>
      <c r="AC42" s="766" t="str">
        <f>IF(OR($B42="",AND($M42="",$U42&lt;&gt;"Existing Removed")),"",IF(AND($U$13=TRUE,OR($U42="Existing Remains",$U42="Existing Removed")),"NA",VLOOKUP($H42,'9.4.3 Tables'!B$15:O$37,12,FALSE)))</f>
        <v/>
      </c>
      <c r="AD42" s="801"/>
      <c r="AE42" s="766" t="str">
        <f>IF(OR($B42="",AND($M42="",$U42&lt;&gt;"Existing Removed")),"",IF(AND($U$13=TRUE,OR($U42="Existing Remains",$U42="Existing Removed")),"NA",VLOOKUP($H42,'9.4.3 Tables'!B$15:O$37,13,FALSE)))</f>
        <v/>
      </c>
      <c r="AF42" s="880"/>
      <c r="AG42" s="236"/>
      <c r="AH42" s="891" t="str">
        <f t="shared" si="4"/>
        <v/>
      </c>
      <c r="AI42" s="90"/>
      <c r="AJ42" s="505">
        <f t="shared" si="7"/>
        <v>0</v>
      </c>
      <c r="AK42" s="795" t="str">
        <f t="shared" si="8"/>
        <v/>
      </c>
      <c r="AL42" s="795" t="str">
        <f t="shared" si="9"/>
        <v/>
      </c>
      <c r="AM42" s="236"/>
      <c r="AN42" s="795">
        <f t="shared" si="5"/>
        <v>0</v>
      </c>
      <c r="AO42" s="926"/>
      <c r="AP42" s="795">
        <f t="shared" si="19"/>
        <v>0</v>
      </c>
      <c r="AQ42" s="795">
        <f t="shared" si="10"/>
        <v>0</v>
      </c>
      <c r="AR42" s="795">
        <f t="shared" si="11"/>
        <v>0</v>
      </c>
      <c r="AS42" s="795">
        <f t="shared" si="12"/>
        <v>0</v>
      </c>
      <c r="AT42" s="795">
        <f t="shared" si="13"/>
        <v>0</v>
      </c>
      <c r="AU42" s="926"/>
      <c r="AV42" s="795">
        <f t="shared" si="20"/>
        <v>0</v>
      </c>
      <c r="AX42" s="43" t="str">
        <f t="shared" si="14"/>
        <v/>
      </c>
      <c r="AY42" s="43" t="str">
        <f t="shared" si="15"/>
        <v/>
      </c>
      <c r="AZ42" s="43" t="str">
        <f t="shared" si="16"/>
        <v/>
      </c>
      <c r="BB42" s="737">
        <v>17</v>
      </c>
      <c r="BC42" s="737" t="s">
        <v>909</v>
      </c>
    </row>
    <row r="43" spans="1:55" x14ac:dyDescent="0.25">
      <c r="A43" s="730">
        <v>18</v>
      </c>
      <c r="B43" s="1670"/>
      <c r="C43" s="1671"/>
      <c r="D43" s="1671"/>
      <c r="E43" s="1671"/>
      <c r="F43" s="809"/>
      <c r="G43" s="860"/>
      <c r="H43" s="798" t="str">
        <f>IFERROR(VLOOKUP(B43,'Ext Area Schedule'!AK$16:AM$65,3,FALSE),"")</f>
        <v/>
      </c>
      <c r="I43" s="870"/>
      <c r="J43" s="799" t="str">
        <f t="shared" si="0"/>
        <v/>
      </c>
      <c r="K43" s="769"/>
      <c r="L43" s="799" t="str">
        <f t="shared" si="1"/>
        <v xml:space="preserve"> </v>
      </c>
      <c r="M43" s="941" t="str">
        <f t="shared" si="21"/>
        <v/>
      </c>
      <c r="N43" s="795" t="str">
        <f>IF(B43="","",IF(AND($U$13=TRUE,U43="Existing Removed"),0,VLOOKUP(B43,'Ext Area Schedule'!AK$16:AO$65,5,FALSE)))</f>
        <v/>
      </c>
      <c r="O43" s="795" t="str">
        <f t="shared" si="22"/>
        <v/>
      </c>
      <c r="P43" s="795" t="str">
        <f t="shared" si="6"/>
        <v/>
      </c>
      <c r="Q43" s="795">
        <f t="shared" si="17"/>
        <v>0</v>
      </c>
      <c r="R43" s="795" t="str">
        <f t="shared" si="18"/>
        <v/>
      </c>
      <c r="S43" s="957" t="str">
        <f>IF($B43="","",LEFT(VLOOKUP($B43,ExteriorNontradableData!$B$10:$AL$59,37,FALSE),4))</f>
        <v/>
      </c>
      <c r="T43" s="794"/>
      <c r="U43" s="888"/>
      <c r="V43" s="794"/>
      <c r="W43" s="879" t="str">
        <f>IF(OR($B43="",AND($M43="",$U43&lt;&gt;"Existing Removed")),"",IF(AND($U$13=TRUE,OR($U43="Existing Remains",$U43="Existing Removed")),"NA",VLOOKUP($H43,'9.4.3 Tables'!B$15:O$37,9,FALSE)))</f>
        <v/>
      </c>
      <c r="X43" s="793"/>
      <c r="Y43" s="766" t="str">
        <f>IF(OR($B43="",AND($M43="",$U43&lt;&gt;"Existing Removed")),"",IF(AND($U$13=TRUE,OR($U43="Existing Remains",$U43="Existing Removed")),"NA",VLOOKUP($H43,'9.4.3 Tables'!B$15:O$37,10,FALSE)))</f>
        <v/>
      </c>
      <c r="Z43" s="793"/>
      <c r="AA43" s="766" t="str">
        <f>IF(OR($B43="",AND($M43="",$U43&lt;&gt;"Existing Removed")),"",IF(AND($U$13=TRUE,OR($U43="Existing Remains",$U43="Existing Removed")),"NA",VLOOKUP($H43,'9.4.3 Tables'!B$15:O$37,11,FALSE)))</f>
        <v/>
      </c>
      <c r="AB43" s="793"/>
      <c r="AC43" s="766" t="str">
        <f>IF(OR($B43="",AND($M43="",$U43&lt;&gt;"Existing Removed")),"",IF(AND($U$13=TRUE,OR($U43="Existing Remains",$U43="Existing Removed")),"NA",VLOOKUP($H43,'9.4.3 Tables'!B$15:O$37,12,FALSE)))</f>
        <v/>
      </c>
      <c r="AD43" s="801"/>
      <c r="AE43" s="766" t="str">
        <f>IF(OR($B43="",AND($M43="",$U43&lt;&gt;"Existing Removed")),"",IF(AND($U$13=TRUE,OR($U43="Existing Remains",$U43="Existing Removed")),"NA",VLOOKUP($H43,'9.4.3 Tables'!B$15:O$37,13,FALSE)))</f>
        <v/>
      </c>
      <c r="AF43" s="880"/>
      <c r="AG43" s="236"/>
      <c r="AH43" s="891" t="str">
        <f t="shared" si="4"/>
        <v/>
      </c>
      <c r="AI43" s="90"/>
      <c r="AJ43" s="505">
        <f t="shared" si="7"/>
        <v>0</v>
      </c>
      <c r="AK43" s="795" t="str">
        <f t="shared" si="8"/>
        <v/>
      </c>
      <c r="AL43" s="795" t="str">
        <f t="shared" si="9"/>
        <v/>
      </c>
      <c r="AM43" s="236"/>
      <c r="AN43" s="795">
        <f t="shared" si="5"/>
        <v>0</v>
      </c>
      <c r="AO43" s="926"/>
      <c r="AP43" s="795">
        <f t="shared" si="19"/>
        <v>0</v>
      </c>
      <c r="AQ43" s="795">
        <f t="shared" si="10"/>
        <v>0</v>
      </c>
      <c r="AR43" s="795">
        <f t="shared" si="11"/>
        <v>0</v>
      </c>
      <c r="AS43" s="795">
        <f t="shared" si="12"/>
        <v>0</v>
      </c>
      <c r="AT43" s="795">
        <f t="shared" si="13"/>
        <v>0</v>
      </c>
      <c r="AU43" s="926"/>
      <c r="AV43" s="795">
        <f t="shared" si="20"/>
        <v>0</v>
      </c>
      <c r="AX43" s="43" t="str">
        <f t="shared" si="14"/>
        <v/>
      </c>
      <c r="AY43" s="43" t="str">
        <f t="shared" si="15"/>
        <v/>
      </c>
      <c r="AZ43" s="43" t="str">
        <f t="shared" si="16"/>
        <v/>
      </c>
      <c r="BB43" s="737">
        <v>18</v>
      </c>
      <c r="BC43" s="737" t="s">
        <v>1054</v>
      </c>
    </row>
    <row r="44" spans="1:55" x14ac:dyDescent="0.25">
      <c r="A44" s="730">
        <v>19</v>
      </c>
      <c r="B44" s="1670"/>
      <c r="C44" s="1671"/>
      <c r="D44" s="1671"/>
      <c r="E44" s="1671"/>
      <c r="F44" s="809"/>
      <c r="G44" s="860"/>
      <c r="H44" s="798" t="str">
        <f>IFERROR(VLOOKUP(B44,'Ext Area Schedule'!AK$16:AM$65,3,FALSE),"")</f>
        <v/>
      </c>
      <c r="I44" s="870"/>
      <c r="J44" s="799" t="str">
        <f t="shared" si="0"/>
        <v/>
      </c>
      <c r="K44" s="769"/>
      <c r="L44" s="799" t="str">
        <f t="shared" si="1"/>
        <v xml:space="preserve"> </v>
      </c>
      <c r="M44" s="941" t="str">
        <f t="shared" si="21"/>
        <v/>
      </c>
      <c r="N44" s="795" t="str">
        <f>IF(B44="","",IF(AND($U$13=TRUE,U44="Existing Removed"),0,VLOOKUP(B44,'Ext Area Schedule'!AK$16:AO$65,5,FALSE)))</f>
        <v/>
      </c>
      <c r="O44" s="795" t="str">
        <f t="shared" si="22"/>
        <v/>
      </c>
      <c r="P44" s="795" t="str">
        <f t="shared" si="6"/>
        <v/>
      </c>
      <c r="Q44" s="795">
        <f t="shared" si="17"/>
        <v>0</v>
      </c>
      <c r="R44" s="795" t="str">
        <f t="shared" si="18"/>
        <v/>
      </c>
      <c r="S44" s="957" t="str">
        <f>IF($B44="","",LEFT(VLOOKUP($B44,ExteriorNontradableData!$B$10:$AL$59,37,FALSE),4))</f>
        <v/>
      </c>
      <c r="T44" s="794"/>
      <c r="U44" s="888"/>
      <c r="V44" s="794"/>
      <c r="W44" s="879" t="str">
        <f>IF(OR($B44="",AND($M44="",$U44&lt;&gt;"Existing Removed")),"",IF(AND($U$13=TRUE,OR($U44="Existing Remains",$U44="Existing Removed")),"NA",VLOOKUP($H44,'9.4.3 Tables'!B$15:O$37,9,FALSE)))</f>
        <v/>
      </c>
      <c r="X44" s="793"/>
      <c r="Y44" s="766" t="str">
        <f>IF(OR($B44="",AND($M44="",$U44&lt;&gt;"Existing Removed")),"",IF(AND($U$13=TRUE,OR($U44="Existing Remains",$U44="Existing Removed")),"NA",VLOOKUP($H44,'9.4.3 Tables'!B$15:O$37,10,FALSE)))</f>
        <v/>
      </c>
      <c r="Z44" s="793"/>
      <c r="AA44" s="766" t="str">
        <f>IF(OR($B44="",AND($M44="",$U44&lt;&gt;"Existing Removed")),"",IF(AND($U$13=TRUE,OR($U44="Existing Remains",$U44="Existing Removed")),"NA",VLOOKUP($H44,'9.4.3 Tables'!B$15:O$37,11,FALSE)))</f>
        <v/>
      </c>
      <c r="AB44" s="793"/>
      <c r="AC44" s="766" t="str">
        <f>IF(OR($B44="",AND($M44="",$U44&lt;&gt;"Existing Removed")),"",IF(AND($U$13=TRUE,OR($U44="Existing Remains",$U44="Existing Removed")),"NA",VLOOKUP($H44,'9.4.3 Tables'!B$15:O$37,12,FALSE)))</f>
        <v/>
      </c>
      <c r="AD44" s="801"/>
      <c r="AE44" s="766" t="str">
        <f>IF(OR($B44="",AND($M44="",$U44&lt;&gt;"Existing Removed")),"",IF(AND($U$13=TRUE,OR($U44="Existing Remains",$U44="Existing Removed")),"NA",VLOOKUP($H44,'9.4.3 Tables'!B$15:O$37,13,FALSE)))</f>
        <v/>
      </c>
      <c r="AF44" s="880"/>
      <c r="AG44" s="236"/>
      <c r="AH44" s="891" t="str">
        <f t="shared" si="4"/>
        <v/>
      </c>
      <c r="AI44" s="90"/>
      <c r="AJ44" s="505">
        <f t="shared" si="7"/>
        <v>0</v>
      </c>
      <c r="AK44" s="795" t="str">
        <f t="shared" si="8"/>
        <v/>
      </c>
      <c r="AL44" s="795" t="str">
        <f t="shared" si="9"/>
        <v/>
      </c>
      <c r="AM44" s="236"/>
      <c r="AN44" s="795">
        <f t="shared" si="5"/>
        <v>0</v>
      </c>
      <c r="AO44" s="926"/>
      <c r="AP44" s="795">
        <f t="shared" si="19"/>
        <v>0</v>
      </c>
      <c r="AQ44" s="795">
        <f t="shared" si="10"/>
        <v>0</v>
      </c>
      <c r="AR44" s="795">
        <f t="shared" si="11"/>
        <v>0</v>
      </c>
      <c r="AS44" s="795">
        <f t="shared" si="12"/>
        <v>0</v>
      </c>
      <c r="AT44" s="795">
        <f t="shared" si="13"/>
        <v>0</v>
      </c>
      <c r="AU44" s="926"/>
      <c r="AV44" s="795">
        <f t="shared" si="20"/>
        <v>0</v>
      </c>
      <c r="AX44" s="43" t="str">
        <f t="shared" si="14"/>
        <v/>
      </c>
      <c r="AY44" s="43" t="str">
        <f t="shared" si="15"/>
        <v/>
      </c>
      <c r="AZ44" s="43" t="str">
        <f t="shared" si="16"/>
        <v/>
      </c>
      <c r="BB44" s="737">
        <v>19</v>
      </c>
      <c r="BC44" s="737" t="s">
        <v>910</v>
      </c>
    </row>
    <row r="45" spans="1:55" ht="13" thickBot="1" x14ac:dyDescent="0.3">
      <c r="A45" s="730">
        <v>20</v>
      </c>
      <c r="B45" s="1668"/>
      <c r="C45" s="1669"/>
      <c r="D45" s="1669"/>
      <c r="E45" s="1669"/>
      <c r="F45" s="747"/>
      <c r="G45" s="861"/>
      <c r="H45" s="944" t="str">
        <f>IFERROR(VLOOKUP(B45,'Ext Area Schedule'!AK$16:AM$65,3,FALSE),"")</f>
        <v/>
      </c>
      <c r="I45" s="872"/>
      <c r="J45" s="854" t="str">
        <f t="shared" si="0"/>
        <v/>
      </c>
      <c r="K45" s="489"/>
      <c r="L45" s="854" t="str">
        <f t="shared" si="1"/>
        <v xml:space="preserve"> </v>
      </c>
      <c r="M45" s="227" t="str">
        <f t="shared" si="21"/>
        <v/>
      </c>
      <c r="N45" s="945" t="str">
        <f>IF(B45="","",IF(AND($U$13=TRUE,U45="Existing Removed"),0,VLOOKUP(B45,'Ext Area Schedule'!AK$16:AO$65,5,FALSE)))</f>
        <v/>
      </c>
      <c r="O45" s="945" t="str">
        <f t="shared" si="22"/>
        <v/>
      </c>
      <c r="P45" s="945" t="str">
        <f t="shared" si="6"/>
        <v/>
      </c>
      <c r="Q45" s="945">
        <f t="shared" si="17"/>
        <v>0</v>
      </c>
      <c r="R45" s="945" t="str">
        <f t="shared" si="18"/>
        <v/>
      </c>
      <c r="S45" s="908" t="str">
        <f>IF($B45="","",LEFT(VLOOKUP($B45,ExteriorNontradableData!$B$10:$AL$59,37,FALSE),4))</f>
        <v/>
      </c>
      <c r="T45" s="794"/>
      <c r="U45" s="889"/>
      <c r="V45" s="794"/>
      <c r="W45" s="881" t="str">
        <f>IF(OR($B45="",AND($M45="",$U45&lt;&gt;"Existing Removed")),"",IF(AND($U$13=TRUE,OR($U45="Existing Remains",$U45="Existing Removed")),"NA",VLOOKUP($H45,'9.4.3 Tables'!B$15:O$37,9,FALSE)))</f>
        <v/>
      </c>
      <c r="X45" s="882"/>
      <c r="Y45" s="883" t="str">
        <f>IF(OR($B45="",AND($M45="",$U45&lt;&gt;"Existing Removed")),"",IF(AND($U$13=TRUE,OR($U45="Existing Remains",$U45="Existing Removed")),"NA",VLOOKUP($H45,'9.4.3 Tables'!B$15:O$37,10,FALSE)))</f>
        <v/>
      </c>
      <c r="Z45" s="882"/>
      <c r="AA45" s="883" t="str">
        <f>IF(OR($B45="",AND($M45="",$U45&lt;&gt;"Existing Removed")),"",IF(AND($U$13=TRUE,OR($U45="Existing Remains",$U45="Existing Removed")),"NA",VLOOKUP($H45,'9.4.3 Tables'!B$15:O$37,11,FALSE)))</f>
        <v/>
      </c>
      <c r="AB45" s="882"/>
      <c r="AC45" s="883" t="str">
        <f>IF(OR($B45="",AND($M45="",$U45&lt;&gt;"Existing Removed")),"",IF(AND($U$13=TRUE,OR($U45="Existing Remains",$U45="Existing Removed")),"NA",VLOOKUP($H45,'9.4.3 Tables'!B$15:O$37,12,FALSE)))</f>
        <v/>
      </c>
      <c r="AD45" s="884"/>
      <c r="AE45" s="883" t="str">
        <f>IF(OR($B45="",AND($M45="",$U45&lt;&gt;"Existing Removed")),"",IF(AND($U$13=TRUE,OR($U45="Existing Remains",$U45="Existing Removed")),"NA",VLOOKUP($H45,'9.4.3 Tables'!B$15:O$37,13,FALSE)))</f>
        <v/>
      </c>
      <c r="AF45" s="885"/>
      <c r="AG45" s="236"/>
      <c r="AH45" s="892" t="str">
        <f t="shared" si="4"/>
        <v/>
      </c>
      <c r="AI45" s="90"/>
      <c r="AJ45" s="505">
        <f t="shared" si="7"/>
        <v>0</v>
      </c>
      <c r="AK45" s="927" t="str">
        <f t="shared" si="8"/>
        <v/>
      </c>
      <c r="AL45" s="795" t="str">
        <f t="shared" si="9"/>
        <v/>
      </c>
      <c r="AM45" s="236"/>
      <c r="AN45" s="795">
        <f t="shared" si="5"/>
        <v>0</v>
      </c>
      <c r="AO45" s="926"/>
      <c r="AP45" s="795">
        <f t="shared" si="19"/>
        <v>0</v>
      </c>
      <c r="AQ45" s="795">
        <f t="shared" si="10"/>
        <v>0</v>
      </c>
      <c r="AR45" s="795">
        <f t="shared" si="11"/>
        <v>0</v>
      </c>
      <c r="AS45" s="795">
        <f t="shared" si="12"/>
        <v>0</v>
      </c>
      <c r="AT45" s="795">
        <f t="shared" si="13"/>
        <v>0</v>
      </c>
      <c r="AU45" s="926"/>
      <c r="AV45" s="795">
        <f t="shared" si="20"/>
        <v>0</v>
      </c>
      <c r="AX45" s="43" t="str">
        <f t="shared" si="14"/>
        <v/>
      </c>
      <c r="AY45" s="43" t="str">
        <f t="shared" si="15"/>
        <v/>
      </c>
      <c r="AZ45" s="43" t="str">
        <f t="shared" si="16"/>
        <v/>
      </c>
      <c r="BB45" s="737">
        <v>20</v>
      </c>
      <c r="BC45" s="737" t="s">
        <v>1055</v>
      </c>
    </row>
    <row r="46" spans="1:55" ht="13.5" thickBot="1" x14ac:dyDescent="0.35">
      <c r="V46" s="73"/>
      <c r="W46" s="91"/>
      <c r="X46" s="91"/>
      <c r="Y46" s="91"/>
      <c r="Z46" s="91"/>
      <c r="AA46" s="91"/>
      <c r="AB46" s="91"/>
      <c r="AC46" s="91"/>
      <c r="AD46" s="47"/>
      <c r="AE46" s="91"/>
      <c r="AF46" s="47"/>
      <c r="AG46" s="800"/>
      <c r="AI46" s="73"/>
      <c r="AJ46" s="505">
        <f>SUM(AJ26:AJ45)</f>
        <v>0</v>
      </c>
      <c r="AK46" s="928">
        <f>SUM(AK26:AK45)</f>
        <v>0</v>
      </c>
      <c r="AL46" s="928">
        <f>SUM(AL26:AL45)</f>
        <v>0</v>
      </c>
      <c r="AM46" s="95"/>
      <c r="AN46" s="795">
        <f>SUM(AN26:AN45)</f>
        <v>0</v>
      </c>
      <c r="AO46" s="926"/>
      <c r="AP46" s="795">
        <f t="shared" ref="AP46:AT46" si="23">SUM(AP26:AP45)</f>
        <v>0</v>
      </c>
      <c r="AQ46" s="795">
        <f t="shared" si="23"/>
        <v>0</v>
      </c>
      <c r="AR46" s="795">
        <f t="shared" si="23"/>
        <v>0</v>
      </c>
      <c r="AS46" s="795">
        <f t="shared" si="23"/>
        <v>0</v>
      </c>
      <c r="AT46" s="795">
        <f t="shared" si="23"/>
        <v>0</v>
      </c>
      <c r="AU46" s="794"/>
      <c r="AV46" s="95"/>
      <c r="BB46" s="737">
        <v>21</v>
      </c>
      <c r="BC46" s="737" t="s">
        <v>911</v>
      </c>
    </row>
    <row r="47" spans="1:55" x14ac:dyDescent="0.25">
      <c r="AG47" s="73"/>
      <c r="AO47" s="63"/>
      <c r="AU47" s="63"/>
      <c r="BB47" s="737">
        <v>22</v>
      </c>
      <c r="BC47" s="737" t="s">
        <v>1056</v>
      </c>
    </row>
    <row r="48" spans="1:55" x14ac:dyDescent="0.25">
      <c r="J48" s="43"/>
      <c r="K48" s="132"/>
      <c r="L48" s="43"/>
      <c r="M48" s="43"/>
      <c r="N48" s="43"/>
      <c r="O48" s="43"/>
      <c r="P48" s="43"/>
      <c r="Q48" s="43"/>
      <c r="R48" s="43"/>
      <c r="S48" s="43"/>
      <c r="T48" s="43"/>
      <c r="U48" s="43"/>
      <c r="V48" s="43"/>
      <c r="W48" s="43"/>
      <c r="X48" s="43"/>
      <c r="Y48" s="43"/>
      <c r="Z48" s="43"/>
      <c r="AA48" s="43"/>
      <c r="AB48" s="43"/>
      <c r="AC48" s="43"/>
      <c r="AE48" s="43"/>
      <c r="BB48" s="737">
        <v>23</v>
      </c>
      <c r="BC48" s="737" t="s">
        <v>912</v>
      </c>
    </row>
    <row r="49" spans="10:55" x14ac:dyDescent="0.25">
      <c r="J49" s="43"/>
      <c r="K49" s="1787"/>
      <c r="L49" s="1787"/>
      <c r="M49" s="1787"/>
      <c r="N49" s="853"/>
      <c r="O49" s="853"/>
      <c r="P49" s="853"/>
      <c r="Q49" s="853"/>
      <c r="R49" s="853"/>
      <c r="S49" s="853"/>
      <c r="T49" s="853"/>
      <c r="U49" s="43"/>
      <c r="V49" s="43"/>
      <c r="W49" s="43"/>
      <c r="X49" s="43"/>
      <c r="Y49" s="43"/>
      <c r="Z49" s="43"/>
      <c r="AA49" s="43"/>
      <c r="AB49" s="43"/>
      <c r="AC49" s="43"/>
      <c r="AE49" s="43"/>
      <c r="BB49" s="737">
        <v>24</v>
      </c>
      <c r="BC49" s="737" t="s">
        <v>1057</v>
      </c>
    </row>
    <row r="50" spans="10:55" x14ac:dyDescent="0.25">
      <c r="J50" s="43"/>
      <c r="K50" s="1787"/>
      <c r="L50" s="1787"/>
      <c r="M50" s="1787"/>
      <c r="N50" s="1787"/>
      <c r="O50" s="1787"/>
      <c r="P50" s="1787"/>
      <c r="Q50" s="1787"/>
      <c r="R50" s="1787"/>
      <c r="S50" s="1787"/>
      <c r="T50" s="1787"/>
      <c r="U50" s="1787"/>
      <c r="V50" s="43"/>
      <c r="W50" s="43"/>
      <c r="X50" s="43"/>
      <c r="Y50" s="43"/>
      <c r="Z50" s="43"/>
      <c r="AA50" s="43"/>
      <c r="AB50" s="43"/>
      <c r="AC50" s="43"/>
      <c r="AE50" s="43"/>
      <c r="BB50" s="737">
        <v>25</v>
      </c>
      <c r="BC50" s="737" t="s">
        <v>913</v>
      </c>
    </row>
    <row r="51" spans="10:55" x14ac:dyDescent="0.25">
      <c r="J51" s="43"/>
      <c r="K51" s="1787"/>
      <c r="L51" s="1787"/>
      <c r="M51" s="1787"/>
      <c r="N51" s="1787"/>
      <c r="O51" s="1787"/>
      <c r="P51" s="1787"/>
      <c r="Q51" s="1787"/>
      <c r="R51" s="1787"/>
      <c r="S51" s="1787"/>
      <c r="T51" s="1787"/>
      <c r="U51" s="1787"/>
      <c r="V51" s="43"/>
      <c r="W51" s="43"/>
      <c r="X51" s="43"/>
      <c r="Y51" s="43"/>
      <c r="Z51" s="43"/>
      <c r="AA51" s="43"/>
      <c r="AB51" s="43"/>
      <c r="AC51" s="43"/>
      <c r="AE51" s="43"/>
      <c r="BB51" s="737">
        <v>26</v>
      </c>
      <c r="BC51" s="737" t="s">
        <v>1058</v>
      </c>
    </row>
    <row r="52" spans="10:55" x14ac:dyDescent="0.25">
      <c r="J52" s="43"/>
      <c r="K52" s="853"/>
      <c r="L52" s="853"/>
      <c r="M52" s="853"/>
      <c r="N52" s="853"/>
      <c r="O52" s="853"/>
      <c r="P52" s="853"/>
      <c r="Q52" s="853"/>
      <c r="R52" s="853"/>
      <c r="S52" s="853"/>
      <c r="T52" s="853"/>
      <c r="U52" s="853"/>
      <c r="V52" s="43"/>
      <c r="W52" s="43"/>
      <c r="X52" s="43"/>
      <c r="Y52" s="43"/>
      <c r="Z52" s="43"/>
      <c r="AA52" s="43"/>
      <c r="AB52" s="43"/>
      <c r="AC52" s="43"/>
      <c r="AE52" s="43"/>
      <c r="BB52" s="737">
        <v>27</v>
      </c>
      <c r="BC52" s="737" t="str">
        <f>CONCATENATE("A",BC26)</f>
        <v>AA</v>
      </c>
    </row>
    <row r="53" spans="10:55" x14ac:dyDescent="0.25">
      <c r="J53" s="43"/>
      <c r="K53" s="1787"/>
      <c r="L53" s="1787"/>
      <c r="M53" s="1787"/>
      <c r="N53" s="1787"/>
      <c r="O53" s="1787"/>
      <c r="P53" s="1787"/>
      <c r="Q53" s="1787"/>
      <c r="R53" s="1787"/>
      <c r="S53" s="1787"/>
      <c r="T53" s="1787"/>
      <c r="U53" s="1787"/>
      <c r="W53" s="43"/>
      <c r="X53" s="43"/>
      <c r="Y53" s="43"/>
      <c r="Z53" s="43"/>
      <c r="AA53" s="43"/>
      <c r="AB53" s="43"/>
      <c r="AC53" s="43"/>
      <c r="AE53" s="43"/>
      <c r="BB53" s="737">
        <v>28</v>
      </c>
      <c r="BC53" s="737" t="str">
        <f t="shared" ref="BC53:BC77" si="24">CONCATENATE("A",BC27)</f>
        <v>AB</v>
      </c>
    </row>
    <row r="54" spans="10:55" x14ac:dyDescent="0.25">
      <c r="J54" s="43"/>
      <c r="K54" s="853"/>
      <c r="L54" s="853"/>
      <c r="M54" s="853"/>
      <c r="N54" s="853"/>
      <c r="O54" s="853"/>
      <c r="P54" s="853"/>
      <c r="Q54" s="853"/>
      <c r="R54" s="853"/>
      <c r="S54" s="853"/>
      <c r="T54" s="853"/>
      <c r="U54" s="853"/>
      <c r="W54" s="43"/>
      <c r="X54" s="43"/>
      <c r="Y54" s="43"/>
      <c r="Z54" s="43"/>
      <c r="AA54" s="43"/>
      <c r="AB54" s="43"/>
      <c r="AC54" s="43"/>
      <c r="AE54" s="43"/>
      <c r="BB54" s="737">
        <v>29</v>
      </c>
      <c r="BC54" s="737" t="str">
        <f t="shared" si="24"/>
        <v>AC</v>
      </c>
    </row>
    <row r="55" spans="10:55" x14ac:dyDescent="0.25">
      <c r="J55" s="43"/>
      <c r="K55" s="43"/>
      <c r="L55" s="43"/>
      <c r="M55" s="43"/>
      <c r="N55" s="43"/>
      <c r="O55" s="43"/>
      <c r="P55" s="43"/>
      <c r="Q55" s="43"/>
      <c r="R55" s="43"/>
      <c r="S55" s="43"/>
      <c r="T55" s="43"/>
      <c r="U55" s="43"/>
      <c r="W55" s="43"/>
      <c r="BB55" s="737">
        <v>30</v>
      </c>
      <c r="BC55" s="737" t="str">
        <f t="shared" si="24"/>
        <v>AD</v>
      </c>
    </row>
    <row r="56" spans="10:55" x14ac:dyDescent="0.25">
      <c r="J56" s="43"/>
      <c r="K56" s="43"/>
      <c r="L56" s="43"/>
      <c r="M56" s="43"/>
      <c r="N56" s="43"/>
      <c r="O56" s="43"/>
      <c r="P56" s="43"/>
      <c r="Q56" s="43"/>
      <c r="R56" s="43"/>
      <c r="S56" s="43"/>
      <c r="T56" s="43"/>
      <c r="U56" s="43"/>
      <c r="W56" s="43"/>
      <c r="BB56" s="737">
        <v>31</v>
      </c>
      <c r="BC56" s="737" t="str">
        <f t="shared" si="24"/>
        <v>AE</v>
      </c>
    </row>
    <row r="57" spans="10:55" x14ac:dyDescent="0.25">
      <c r="J57" s="43"/>
      <c r="K57" s="43"/>
      <c r="L57" s="43"/>
      <c r="M57" s="43"/>
      <c r="N57" s="43"/>
      <c r="O57" s="43"/>
      <c r="P57" s="43"/>
      <c r="Q57" s="43"/>
      <c r="R57" s="43"/>
      <c r="S57" s="43"/>
      <c r="T57" s="43"/>
      <c r="U57" s="43"/>
      <c r="W57" s="43"/>
      <c r="BB57" s="737">
        <v>32</v>
      </c>
      <c r="BC57" s="737" t="str">
        <f t="shared" si="24"/>
        <v>AF</v>
      </c>
    </row>
    <row r="58" spans="10:55" x14ac:dyDescent="0.25">
      <c r="J58" s="43"/>
      <c r="K58" s="43"/>
      <c r="L58" s="43"/>
      <c r="M58" s="43"/>
      <c r="N58" s="43"/>
      <c r="O58" s="43"/>
      <c r="P58" s="43"/>
      <c r="Q58" s="43"/>
      <c r="R58" s="43"/>
      <c r="S58" s="43"/>
      <c r="T58" s="43"/>
      <c r="U58" s="43"/>
      <c r="W58" s="43"/>
      <c r="BB58" s="737">
        <v>33</v>
      </c>
      <c r="BC58" s="737" t="str">
        <f t="shared" si="24"/>
        <v>AG</v>
      </c>
    </row>
    <row r="59" spans="10:55" x14ac:dyDescent="0.25">
      <c r="J59" s="43"/>
      <c r="K59" s="43"/>
      <c r="L59" s="43"/>
      <c r="M59" s="43"/>
      <c r="N59" s="43"/>
      <c r="O59" s="43"/>
      <c r="P59" s="43"/>
      <c r="Q59" s="43"/>
      <c r="R59" s="43"/>
      <c r="S59" s="43"/>
      <c r="T59" s="43"/>
      <c r="U59" s="43"/>
      <c r="W59" s="853"/>
      <c r="BB59" s="737">
        <v>34</v>
      </c>
      <c r="BC59" s="737" t="str">
        <f t="shared" si="24"/>
        <v>AH</v>
      </c>
    </row>
    <row r="60" spans="10:55" x14ac:dyDescent="0.25">
      <c r="J60" s="43"/>
      <c r="W60" s="43"/>
      <c r="BB60" s="737">
        <v>35</v>
      </c>
      <c r="BC60" s="737" t="str">
        <f t="shared" si="24"/>
        <v>AI</v>
      </c>
    </row>
    <row r="61" spans="10:55" x14ac:dyDescent="0.25">
      <c r="J61" s="43"/>
      <c r="W61" s="43"/>
      <c r="BB61" s="737">
        <v>36</v>
      </c>
      <c r="BC61" s="737" t="str">
        <f t="shared" si="24"/>
        <v>AJ</v>
      </c>
    </row>
    <row r="62" spans="10:55" x14ac:dyDescent="0.25">
      <c r="W62" s="43"/>
      <c r="BB62" s="737">
        <v>37</v>
      </c>
      <c r="BC62" s="737" t="str">
        <f t="shared" si="24"/>
        <v>AK</v>
      </c>
    </row>
    <row r="63" spans="10:55" x14ac:dyDescent="0.25">
      <c r="W63" s="43"/>
      <c r="BB63" s="737">
        <v>38</v>
      </c>
      <c r="BC63" s="737" t="str">
        <f t="shared" si="24"/>
        <v>Al</v>
      </c>
    </row>
    <row r="64" spans="10:55" x14ac:dyDescent="0.25">
      <c r="W64" s="43"/>
      <c r="BB64" s="737">
        <v>39</v>
      </c>
      <c r="BC64" s="737" t="str">
        <f t="shared" si="24"/>
        <v>AM</v>
      </c>
    </row>
    <row r="65" spans="23:55" x14ac:dyDescent="0.25">
      <c r="W65" s="43"/>
      <c r="BB65" s="737">
        <v>40</v>
      </c>
      <c r="BC65" s="737" t="str">
        <f t="shared" si="24"/>
        <v>AN</v>
      </c>
    </row>
    <row r="66" spans="23:55" x14ac:dyDescent="0.25">
      <c r="W66" s="43"/>
      <c r="BB66" s="737">
        <v>41</v>
      </c>
      <c r="BC66" s="737" t="str">
        <f t="shared" si="24"/>
        <v>AO</v>
      </c>
    </row>
    <row r="67" spans="23:55" x14ac:dyDescent="0.25">
      <c r="BB67" s="737">
        <v>42</v>
      </c>
      <c r="BC67" s="737" t="str">
        <f t="shared" si="24"/>
        <v>AP</v>
      </c>
    </row>
    <row r="68" spans="23:55" x14ac:dyDescent="0.25">
      <c r="BB68" s="737">
        <v>43</v>
      </c>
      <c r="BC68" s="737" t="str">
        <f t="shared" si="24"/>
        <v>AQ</v>
      </c>
    </row>
    <row r="69" spans="23:55" x14ac:dyDescent="0.25">
      <c r="BB69" s="737">
        <v>44</v>
      </c>
      <c r="BC69" s="737" t="str">
        <f t="shared" si="24"/>
        <v>AR</v>
      </c>
    </row>
    <row r="70" spans="23:55" x14ac:dyDescent="0.25">
      <c r="BB70" s="737">
        <v>45</v>
      </c>
      <c r="BC70" s="737" t="str">
        <f t="shared" si="24"/>
        <v>AS</v>
      </c>
    </row>
    <row r="71" spans="23:55" x14ac:dyDescent="0.25">
      <c r="BB71" s="737">
        <v>46</v>
      </c>
      <c r="BC71" s="737" t="str">
        <f t="shared" si="24"/>
        <v>AT</v>
      </c>
    </row>
    <row r="72" spans="23:55" x14ac:dyDescent="0.25">
      <c r="BB72" s="737">
        <v>47</v>
      </c>
      <c r="BC72" s="737" t="str">
        <f t="shared" si="24"/>
        <v>AU</v>
      </c>
    </row>
    <row r="73" spans="23:55" x14ac:dyDescent="0.25">
      <c r="BB73" s="737">
        <v>48</v>
      </c>
      <c r="BC73" s="737" t="str">
        <f t="shared" si="24"/>
        <v>AV</v>
      </c>
    </row>
    <row r="74" spans="23:55" x14ac:dyDescent="0.25">
      <c r="BB74" s="737">
        <v>49</v>
      </c>
      <c r="BC74" s="737" t="str">
        <f t="shared" si="24"/>
        <v>AW</v>
      </c>
    </row>
    <row r="75" spans="23:55" x14ac:dyDescent="0.25">
      <c r="BB75" s="737">
        <v>50</v>
      </c>
      <c r="BC75" s="737" t="str">
        <f t="shared" si="24"/>
        <v>AX</v>
      </c>
    </row>
    <row r="76" spans="23:55" x14ac:dyDescent="0.25">
      <c r="BB76" s="737">
        <v>51</v>
      </c>
      <c r="BC76" s="737" t="str">
        <f t="shared" si="24"/>
        <v>AY</v>
      </c>
    </row>
    <row r="77" spans="23:55" x14ac:dyDescent="0.25">
      <c r="BB77" s="737">
        <v>52</v>
      </c>
      <c r="BC77" s="737" t="str">
        <f t="shared" si="24"/>
        <v>AZ</v>
      </c>
    </row>
    <row r="78" spans="23:55" x14ac:dyDescent="0.25">
      <c r="BB78" s="737">
        <v>53</v>
      </c>
      <c r="BC78" s="737" t="str">
        <f>CONCATENATE("B",BC26)</f>
        <v>BA</v>
      </c>
    </row>
    <row r="79" spans="23:55" x14ac:dyDescent="0.25">
      <c r="BB79" s="737">
        <v>54</v>
      </c>
      <c r="BC79" s="737" t="str">
        <f t="shared" ref="BC79:BC103" si="25">CONCATENATE("B",BC27)</f>
        <v>BB</v>
      </c>
    </row>
    <row r="80" spans="23:55" x14ac:dyDescent="0.25">
      <c r="BB80" s="737">
        <v>55</v>
      </c>
      <c r="BC80" s="737" t="str">
        <f t="shared" si="25"/>
        <v>BC</v>
      </c>
    </row>
    <row r="81" spans="1:55" x14ac:dyDescent="0.25">
      <c r="BB81" s="737">
        <v>56</v>
      </c>
      <c r="BC81" s="737" t="str">
        <f t="shared" si="25"/>
        <v>BD</v>
      </c>
    </row>
    <row r="82" spans="1:55" x14ac:dyDescent="0.25">
      <c r="BB82" s="737">
        <v>57</v>
      </c>
      <c r="BC82" s="737" t="str">
        <f t="shared" si="25"/>
        <v>BE</v>
      </c>
    </row>
    <row r="83" spans="1:55" x14ac:dyDescent="0.25">
      <c r="BB83" s="737">
        <v>58</v>
      </c>
      <c r="BC83" s="737" t="str">
        <f t="shared" si="25"/>
        <v>BF</v>
      </c>
    </row>
    <row r="84" spans="1:55" x14ac:dyDescent="0.25">
      <c r="BB84" s="737">
        <v>59</v>
      </c>
      <c r="BC84" s="737" t="str">
        <f t="shared" si="25"/>
        <v>BG</v>
      </c>
    </row>
    <row r="85" spans="1:55" x14ac:dyDescent="0.25">
      <c r="BB85" s="737">
        <v>60</v>
      </c>
      <c r="BC85" s="737" t="str">
        <f t="shared" si="25"/>
        <v>BH</v>
      </c>
    </row>
    <row r="86" spans="1:55" x14ac:dyDescent="0.25">
      <c r="BB86" s="737">
        <v>61</v>
      </c>
      <c r="BC86" s="737" t="str">
        <f t="shared" si="25"/>
        <v>BI</v>
      </c>
    </row>
    <row r="87" spans="1:55" x14ac:dyDescent="0.25">
      <c r="A87" s="65">
        <v>1</v>
      </c>
      <c r="BB87" s="737">
        <v>62</v>
      </c>
      <c r="BC87" s="737" t="str">
        <f t="shared" si="25"/>
        <v>BJ</v>
      </c>
    </row>
    <row r="88" spans="1:55" x14ac:dyDescent="0.25">
      <c r="BB88" s="737">
        <v>63</v>
      </c>
      <c r="BC88" s="737" t="str">
        <f t="shared" si="25"/>
        <v>BK</v>
      </c>
    </row>
    <row r="89" spans="1:55" x14ac:dyDescent="0.25">
      <c r="BB89" s="737">
        <v>64</v>
      </c>
      <c r="BC89" s="737" t="str">
        <f t="shared" si="25"/>
        <v>Bl</v>
      </c>
    </row>
    <row r="90" spans="1:55" x14ac:dyDescent="0.25">
      <c r="BB90" s="737">
        <v>65</v>
      </c>
      <c r="BC90" s="737" t="str">
        <f t="shared" si="25"/>
        <v>BM</v>
      </c>
    </row>
    <row r="91" spans="1:55" x14ac:dyDescent="0.25">
      <c r="BB91" s="737">
        <v>66</v>
      </c>
      <c r="BC91" s="737" t="str">
        <f t="shared" si="25"/>
        <v>BN</v>
      </c>
    </row>
    <row r="92" spans="1:55" x14ac:dyDescent="0.25">
      <c r="BB92" s="737">
        <v>67</v>
      </c>
      <c r="BC92" s="737" t="str">
        <f t="shared" si="25"/>
        <v>BO</v>
      </c>
    </row>
    <row r="93" spans="1:55" x14ac:dyDescent="0.25">
      <c r="BB93" s="737">
        <v>68</v>
      </c>
      <c r="BC93" s="737" t="str">
        <f t="shared" si="25"/>
        <v>BP</v>
      </c>
    </row>
    <row r="94" spans="1:55" x14ac:dyDescent="0.25">
      <c r="BB94" s="737">
        <v>69</v>
      </c>
      <c r="BC94" s="737" t="str">
        <f t="shared" si="25"/>
        <v>BQ</v>
      </c>
    </row>
    <row r="95" spans="1:55" x14ac:dyDescent="0.25">
      <c r="BB95" s="737">
        <v>70</v>
      </c>
      <c r="BC95" s="737" t="str">
        <f t="shared" si="25"/>
        <v>BR</v>
      </c>
    </row>
    <row r="96" spans="1:55" x14ac:dyDescent="0.25">
      <c r="BB96" s="737">
        <v>71</v>
      </c>
      <c r="BC96" s="737" t="str">
        <f t="shared" si="25"/>
        <v>BS</v>
      </c>
    </row>
    <row r="97" spans="54:55" x14ac:dyDescent="0.25">
      <c r="BB97" s="737">
        <v>72</v>
      </c>
      <c r="BC97" s="737" t="str">
        <f t="shared" si="25"/>
        <v>BT</v>
      </c>
    </row>
    <row r="98" spans="54:55" x14ac:dyDescent="0.25">
      <c r="BB98" s="737">
        <v>73</v>
      </c>
      <c r="BC98" s="737" t="str">
        <f t="shared" si="25"/>
        <v>BU</v>
      </c>
    </row>
    <row r="99" spans="54:55" x14ac:dyDescent="0.25">
      <c r="BB99" s="737">
        <v>74</v>
      </c>
      <c r="BC99" s="737" t="str">
        <f t="shared" si="25"/>
        <v>BV</v>
      </c>
    </row>
    <row r="100" spans="54:55" x14ac:dyDescent="0.25">
      <c r="BB100" s="737">
        <v>75</v>
      </c>
      <c r="BC100" s="737" t="str">
        <f t="shared" si="25"/>
        <v>BW</v>
      </c>
    </row>
    <row r="101" spans="54:55" x14ac:dyDescent="0.25">
      <c r="BB101" s="737">
        <v>76</v>
      </c>
      <c r="BC101" s="737" t="str">
        <f t="shared" si="25"/>
        <v>BX</v>
      </c>
    </row>
    <row r="102" spans="54:55" x14ac:dyDescent="0.25">
      <c r="BB102" s="737">
        <v>77</v>
      </c>
      <c r="BC102" s="737" t="str">
        <f t="shared" si="25"/>
        <v>BY</v>
      </c>
    </row>
    <row r="103" spans="54:55" x14ac:dyDescent="0.25">
      <c r="BB103" s="737">
        <v>78</v>
      </c>
      <c r="BC103" s="737" t="str">
        <f t="shared" si="25"/>
        <v>BZ</v>
      </c>
    </row>
    <row r="104" spans="54:55" x14ac:dyDescent="0.25">
      <c r="BB104"/>
      <c r="BC104"/>
    </row>
  </sheetData>
  <sheetProtection sheet="1" objects="1" scenarios="1" selectLockedCells="1"/>
  <mergeCells count="65">
    <mergeCell ref="W13:X13"/>
    <mergeCell ref="Y13:Z13"/>
    <mergeCell ref="L15:L19"/>
    <mergeCell ref="D1:F1"/>
    <mergeCell ref="I1:M1"/>
    <mergeCell ref="I3:M3"/>
    <mergeCell ref="K15:K19"/>
    <mergeCell ref="U17:U23"/>
    <mergeCell ref="B13:C13"/>
    <mergeCell ref="B14:C14"/>
    <mergeCell ref="B15:F17"/>
    <mergeCell ref="I15:I19"/>
    <mergeCell ref="J15:J19"/>
    <mergeCell ref="AE15:AF19"/>
    <mergeCell ref="AH15:AH19"/>
    <mergeCell ref="AA13:AB13"/>
    <mergeCell ref="AC13:AD13"/>
    <mergeCell ref="AE13:AF13"/>
    <mergeCell ref="AS15:AS23"/>
    <mergeCell ref="AT15:AT23"/>
    <mergeCell ref="AV15:AV23"/>
    <mergeCell ref="G25:M25"/>
    <mergeCell ref="W25:AH25"/>
    <mergeCell ref="M15:S19"/>
    <mergeCell ref="AK15:AK23"/>
    <mergeCell ref="AL15:AL23"/>
    <mergeCell ref="AN15:AN23"/>
    <mergeCell ref="AP15:AP23"/>
    <mergeCell ref="AQ15:AQ23"/>
    <mergeCell ref="AR15:AR23"/>
    <mergeCell ref="W15:X19"/>
    <mergeCell ref="Y15:Z19"/>
    <mergeCell ref="AA15:AB19"/>
    <mergeCell ref="AC15:AD19"/>
    <mergeCell ref="B37:E37"/>
    <mergeCell ref="B26:E26"/>
    <mergeCell ref="B27:E27"/>
    <mergeCell ref="B28:E28"/>
    <mergeCell ref="B29:E29"/>
    <mergeCell ref="B30:E30"/>
    <mergeCell ref="B31:E31"/>
    <mergeCell ref="B32:E32"/>
    <mergeCell ref="B33:E33"/>
    <mergeCell ref="B34:E34"/>
    <mergeCell ref="B35:E35"/>
    <mergeCell ref="B36:E36"/>
    <mergeCell ref="B44:E44"/>
    <mergeCell ref="B45:E45"/>
    <mergeCell ref="B38:E38"/>
    <mergeCell ref="B39:E39"/>
    <mergeCell ref="B40:E40"/>
    <mergeCell ref="B41:E41"/>
    <mergeCell ref="B42:E42"/>
    <mergeCell ref="B43:E43"/>
    <mergeCell ref="K51:U51"/>
    <mergeCell ref="K53:U53"/>
    <mergeCell ref="M20:M24"/>
    <mergeCell ref="N20:N24"/>
    <mergeCell ref="P20:P24"/>
    <mergeCell ref="O20:O24"/>
    <mergeCell ref="Q20:Q24"/>
    <mergeCell ref="S20:S24"/>
    <mergeCell ref="R20:R24"/>
    <mergeCell ref="K49:M49"/>
    <mergeCell ref="K50:U50"/>
  </mergeCells>
  <conditionalFormatting sqref="I26:I45">
    <cfRule type="expression" dxfId="141" priority="22">
      <formula>AND($B26&lt;&gt;"",$I26="")</formula>
    </cfRule>
    <cfRule type="expression" dxfId="140" priority="23">
      <formula>AND($B26&lt;&gt;"",$I26&lt;&gt;"")</formula>
    </cfRule>
  </conditionalFormatting>
  <conditionalFormatting sqref="I26:AF45">
    <cfRule type="expression" dxfId="139" priority="1">
      <formula>$B26=""</formula>
    </cfRule>
  </conditionalFormatting>
  <conditionalFormatting sqref="K26:K45">
    <cfRule type="expression" dxfId="138" priority="10">
      <formula>AND($B26&lt;&gt;"",$K26="")</formula>
    </cfRule>
    <cfRule type="expression" dxfId="137" priority="11">
      <formula>AND($B26&lt;&gt;"",$K26&lt;&gt;"")</formula>
    </cfRule>
  </conditionalFormatting>
  <conditionalFormatting sqref="P25:P26 M26:O26 Q26:R26 V26:V45 M27:R45 N13:O13 Q13:R13 T13">
    <cfRule type="cellIs" dxfId="136" priority="82" operator="equal">
      <formula>"Error"</formula>
    </cfRule>
  </conditionalFormatting>
  <conditionalFormatting sqref="S7">
    <cfRule type="cellIs" dxfId="135" priority="19" operator="equal">
      <formula>"Compliant"</formula>
    </cfRule>
    <cfRule type="cellIs" dxfId="134" priority="20" operator="equal">
      <formula>"Not compliant"</formula>
    </cfRule>
  </conditionalFormatting>
  <conditionalFormatting sqref="S9">
    <cfRule type="cellIs" dxfId="133" priority="26" operator="equal">
      <formula>"Error"</formula>
    </cfRule>
  </conditionalFormatting>
  <conditionalFormatting sqref="S11">
    <cfRule type="cellIs" dxfId="132" priority="14" operator="equal">
      <formula>"OVER"</formula>
    </cfRule>
    <cfRule type="cellIs" dxfId="131" priority="21" operator="equal">
      <formula>"Error"</formula>
    </cfRule>
  </conditionalFormatting>
  <conditionalFormatting sqref="S13">
    <cfRule type="cellIs" dxfId="130" priority="15" operator="equal">
      <formula>"OVER"</formula>
    </cfRule>
    <cfRule type="cellIs" dxfId="129" priority="17" operator="greaterThanOrEqual">
      <formula>0</formula>
    </cfRule>
    <cfRule type="cellIs" dxfId="128" priority="18" operator="lessThan">
      <formula>0</formula>
    </cfRule>
  </conditionalFormatting>
  <conditionalFormatting sqref="S26:T45">
    <cfRule type="cellIs" dxfId="127" priority="2" operator="equal">
      <formula>"Error"</formula>
    </cfRule>
  </conditionalFormatting>
  <conditionalFormatting sqref="U26:U45">
    <cfRule type="expression" dxfId="126" priority="86">
      <formula>$U$13=FALSE</formula>
    </cfRule>
  </conditionalFormatting>
  <conditionalFormatting sqref="W13:AF13">
    <cfRule type="cellIs" dxfId="125" priority="27" operator="equal">
      <formula>"Complete"</formula>
    </cfRule>
    <cfRule type="cellIs" dxfId="124" priority="28" operator="equal">
      <formula>"Incomplete"</formula>
    </cfRule>
  </conditionalFormatting>
  <conditionalFormatting sqref="W26:AF45">
    <cfRule type="expression" dxfId="123" priority="3">
      <formula>$B26=""</formula>
    </cfRule>
    <cfRule type="expression" dxfId="122" priority="29" stopIfTrue="1">
      <formula>AND(OR($U26="Existing Removed",$U26="Existing Remains"),$U$13=TRUE)</formula>
    </cfRule>
  </conditionalFormatting>
  <conditionalFormatting sqref="X12">
    <cfRule type="cellIs" dxfId="121" priority="44" operator="equal">
      <formula>"Compliant"</formula>
    </cfRule>
    <cfRule type="cellIs" dxfId="120" priority="43" operator="equal">
      <formula>"Non-Compliant"</formula>
    </cfRule>
  </conditionalFormatting>
  <conditionalFormatting sqref="X26:X45 Z26:Z45 AB26:AB45 AD26:AD45 AF26:AF45">
    <cfRule type="expression" dxfId="119" priority="30" stopIfTrue="1">
      <formula>AND($H26&lt;&gt;"",W26="NA")</formula>
    </cfRule>
  </conditionalFormatting>
  <conditionalFormatting sqref="X26:X45">
    <cfRule type="expression" dxfId="118" priority="38" stopIfTrue="1">
      <formula>AND($H26&lt;&gt;"",X26&lt;&gt;"")</formula>
    </cfRule>
    <cfRule type="expression" dxfId="117" priority="40">
      <formula>$B26&lt;&gt;""</formula>
    </cfRule>
  </conditionalFormatting>
  <conditionalFormatting sqref="Z26:Z45">
    <cfRule type="expression" dxfId="116" priority="41" stopIfTrue="1">
      <formula>AND($H26&lt;&gt;"",Z26&lt;&gt;"")</formula>
    </cfRule>
    <cfRule type="expression" dxfId="115" priority="87">
      <formula>$B26&lt;&gt;""</formula>
    </cfRule>
  </conditionalFormatting>
  <conditionalFormatting sqref="AB26:AB45">
    <cfRule type="expression" dxfId="114" priority="36" stopIfTrue="1">
      <formula>AND($H26&lt;&gt;"",AB26&lt;&gt;"")</formula>
    </cfRule>
    <cfRule type="expression" dxfId="113" priority="37">
      <formula>$B26&lt;&gt;""</formula>
    </cfRule>
  </conditionalFormatting>
  <conditionalFormatting sqref="AD26:AD45">
    <cfRule type="expression" dxfId="112" priority="35">
      <formula>$B26&lt;&gt;""</formula>
    </cfRule>
    <cfRule type="expression" dxfId="111" priority="33" stopIfTrue="1">
      <formula>AND($H26&lt;&gt;"",AD26&lt;&gt;"")</formula>
    </cfRule>
  </conditionalFormatting>
  <conditionalFormatting sqref="AF26:AF45">
    <cfRule type="expression" dxfId="110" priority="39">
      <formula>$B26&lt;&gt;""</formula>
    </cfRule>
    <cfRule type="expression" dxfId="109" priority="34" stopIfTrue="1">
      <formula>AND($H26&lt;&gt;"",AF26&lt;&gt;"")</formula>
    </cfRule>
  </conditionalFormatting>
  <conditionalFormatting sqref="AH3">
    <cfRule type="cellIs" dxfId="108" priority="79" operator="equal">
      <formula>"Compliant"</formula>
    </cfRule>
    <cfRule type="cellIs" dxfId="107" priority="80" operator="equal">
      <formula>"Not compliant"</formula>
    </cfRule>
  </conditionalFormatting>
  <conditionalFormatting sqref="AH5">
    <cfRule type="cellIs" dxfId="106" priority="9" operator="equal">
      <formula>"Not compliant"</formula>
    </cfRule>
    <cfRule type="cellIs" dxfId="105" priority="8" operator="equal">
      <formula>"Compliant"</formula>
    </cfRule>
  </conditionalFormatting>
  <conditionalFormatting sqref="AH13">
    <cfRule type="cellIs" dxfId="104" priority="73" operator="equal">
      <formula>"Compliant"</formula>
    </cfRule>
    <cfRule type="cellIs" dxfId="103" priority="74" operator="equal">
      <formula>"Not Compliant"</formula>
    </cfRule>
  </conditionalFormatting>
  <conditionalFormatting sqref="AH26:AH45">
    <cfRule type="cellIs" dxfId="102" priority="83" operator="equal">
      <formula>"Complete"</formula>
    </cfRule>
    <cfRule type="cellIs" dxfId="101" priority="84" operator="equal">
      <formula>"Incomplete"</formula>
    </cfRule>
  </conditionalFormatting>
  <dataValidations count="4">
    <dataValidation type="list" allowBlank="1" showInputMessage="1" showErrorMessage="1" sqref="U26:U45" xr:uid="{00000000-0002-0000-0E00-000000000000}">
      <formula1>"New, Existing Remains, Existing Removed,"</formula1>
    </dataValidation>
    <dataValidation type="list" allowBlank="1" showInputMessage="1" showErrorMessage="1" sqref="X26:X45 AD26:AD45 Z26:Z45 AB26:AB45 AF26:AG45" xr:uid="{00000000-0002-0000-0E00-000001000000}">
      <formula1>"Yes, N/A"</formula1>
    </dataValidation>
    <dataValidation type="list" allowBlank="1" showInputMessage="1" showErrorMessage="1" sqref="B26:E45" xr:uid="{00000000-0002-0000-0E00-000002000000}">
      <formula1>_Exterior_NonTradable_Areas</formula1>
    </dataValidation>
    <dataValidation type="list" allowBlank="1" showInputMessage="1" showErrorMessage="1" sqref="I26:I45" xr:uid="{00000000-0002-0000-0E00-000003000000}">
      <formula1>_FixtureList</formula1>
    </dataValidation>
  </dataValidations>
  <hyperlinks>
    <hyperlink ref="BE14:BL14" location="STEP3" display="c. Step 3 - Determine the exterior lighting power allowances." xr:uid="{00000000-0004-0000-0E00-000000000000}"/>
    <hyperlink ref="AY14:BC14" location="STEP3" display="c. Step 3 - Determine the exterior lighting power allowances." xr:uid="{00000000-0004-0000-0E00-000001000000}"/>
  </hyperlinks>
  <pageMargins left="0.5" right="0.5" top="1" bottom="1" header="0.5" footer="0.5"/>
  <pageSetup scale="31" orientation="portrait" r:id="rId1"/>
  <headerFooter alignWithMargins="0">
    <oddHeader>&amp;LLighting Compliance Documentation&amp;R&amp;D</oddHeader>
    <oddFooter>&amp;RPage &amp;P of &amp;N</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dimension ref="A1:CR62"/>
  <sheetViews>
    <sheetView topLeftCell="Z52" workbookViewId="0">
      <selection activeCell="AN10" sqref="AN10:AN59"/>
    </sheetView>
  </sheetViews>
  <sheetFormatPr defaultRowHeight="12.5" x14ac:dyDescent="0.25"/>
  <cols>
    <col min="1" max="1" width="3" bestFit="1" customWidth="1"/>
    <col min="2" max="2" width="46" bestFit="1" customWidth="1"/>
    <col min="3" max="3" width="34.81640625" bestFit="1" customWidth="1"/>
    <col min="4" max="4" width="11.7265625" customWidth="1"/>
    <col min="5" max="5" width="2.7265625" customWidth="1"/>
    <col min="6" max="7" width="11.7265625" customWidth="1"/>
    <col min="8" max="8" width="2.7265625" customWidth="1"/>
    <col min="9" max="9" width="11.7265625" customWidth="1"/>
    <col min="10" max="10" width="2.7265625" customWidth="1"/>
    <col min="11" max="19" width="11.7265625" customWidth="1"/>
    <col min="20" max="20" width="13.1796875" customWidth="1"/>
    <col min="21" max="21" width="11.7265625" style="7" customWidth="1"/>
    <col min="22" max="23" width="11.7265625" customWidth="1"/>
    <col min="24" max="24" width="2.7265625" style="7" customWidth="1"/>
    <col min="25" max="28" width="11.7265625" customWidth="1"/>
    <col min="29" max="29" width="2.7265625" style="7" hidden="1" customWidth="1"/>
    <col min="30" max="32" width="11.7265625" hidden="1" customWidth="1"/>
    <col min="33" max="33" width="2.7265625" customWidth="1"/>
    <col min="34" max="36" width="11.7265625" customWidth="1"/>
    <col min="37" max="37" width="2.7265625" customWidth="1"/>
    <col min="38" max="39" width="15.26953125" customWidth="1"/>
    <col min="40" max="40" width="27.54296875" customWidth="1"/>
    <col min="41" max="41" width="13.81640625" customWidth="1"/>
    <col min="45" max="45" width="64.26953125" customWidth="1"/>
  </cols>
  <sheetData>
    <row r="1" spans="1:96" x14ac:dyDescent="0.25">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row>
    <row r="2" spans="1:96" x14ac:dyDescent="0.25">
      <c r="AG2" s="14"/>
      <c r="AH2" s="14"/>
      <c r="AT2" t="b">
        <f>IF(_Step2_AlterationsYesNo="Yes",TRUE,FALSE)</f>
        <v>0</v>
      </c>
    </row>
    <row r="3" spans="1:96" ht="13" x14ac:dyDescent="0.3">
      <c r="T3" s="453"/>
      <c r="U3" s="960" t="s">
        <v>636</v>
      </c>
      <c r="AG3" s="14"/>
      <c r="AH3" s="14"/>
      <c r="AI3" s="1780" t="s">
        <v>1030</v>
      </c>
      <c r="AJ3" s="1780"/>
    </row>
    <row r="4" spans="1:96" ht="13" x14ac:dyDescent="0.3">
      <c r="T4" s="961" t="s">
        <v>1132</v>
      </c>
      <c r="U4" s="953">
        <f>ExteriorTradableData!S6</f>
        <v>0</v>
      </c>
      <c r="AG4" s="14"/>
      <c r="AH4" s="14"/>
      <c r="AJ4" s="722" t="b">
        <f>IF(AI6&gt;AJ6,FALSE,TRUE)</f>
        <v>1</v>
      </c>
    </row>
    <row r="5" spans="1:96" ht="13" x14ac:dyDescent="0.3">
      <c r="T5" s="961" t="s">
        <v>1133</v>
      </c>
      <c r="U5" s="953">
        <f>SUM(U10:U59)</f>
        <v>0</v>
      </c>
      <c r="Y5" s="453" t="s">
        <v>1029</v>
      </c>
      <c r="AA5" s="453" t="s">
        <v>1035</v>
      </c>
      <c r="AG5" s="14"/>
      <c r="AH5" s="14"/>
    </row>
    <row r="6" spans="1:96" ht="13" x14ac:dyDescent="0.3">
      <c r="I6" s="734">
        <f>SUM(I10:I59)</f>
        <v>0</v>
      </c>
      <c r="J6" s="453"/>
      <c r="K6" s="734">
        <f>SUM(K10:K59)</f>
        <v>0</v>
      </c>
      <c r="L6" s="734">
        <f>SUM(L10:L59)</f>
        <v>0</v>
      </c>
      <c r="M6" s="453"/>
      <c r="N6" s="734">
        <f>SUM(N10:N59)</f>
        <v>0</v>
      </c>
      <c r="O6" s="734">
        <f>SUM(O10:O59)</f>
        <v>0</v>
      </c>
      <c r="P6" s="453"/>
      <c r="Q6" s="734">
        <f>SUM(Q10:Q59)</f>
        <v>0</v>
      </c>
      <c r="R6" s="734">
        <f>SUM(R10:R59)</f>
        <v>0</v>
      </c>
      <c r="S6" s="958"/>
      <c r="T6" s="959" t="s">
        <v>1134</v>
      </c>
      <c r="U6" s="953">
        <f>MIN(T10:T59)</f>
        <v>0</v>
      </c>
      <c r="V6" s="1780" t="s">
        <v>1107</v>
      </c>
      <c r="W6" s="1780"/>
      <c r="Y6" s="722" t="b">
        <f>'SpxSp (step-b)'!N13</f>
        <v>0</v>
      </c>
      <c r="AA6" s="722" t="b">
        <f>IF(AND(_Step2_AlterationsYesNo="Yes",'Main Compliance Page'!J25="Yes"),TRUE,FALSE)</f>
        <v>0</v>
      </c>
      <c r="AD6" s="1786" t="s">
        <v>1102</v>
      </c>
      <c r="AE6" s="1786"/>
      <c r="AF6" s="1786"/>
      <c r="AG6" s="14"/>
      <c r="AH6" s="14"/>
      <c r="AI6" s="701">
        <f>SUM(AI10:AI59)</f>
        <v>0</v>
      </c>
      <c r="AJ6" s="1119">
        <f>SUM(AJ10:AJ59)+U4</f>
        <v>0</v>
      </c>
      <c r="AO6" s="937" t="str">
        <f>IF(AO9=0,"Compliant","Not Compliant")</f>
        <v>Compliant</v>
      </c>
    </row>
    <row r="7" spans="1:96" ht="13" thickBot="1" x14ac:dyDescent="0.3">
      <c r="AG7" s="14"/>
      <c r="AH7" s="14"/>
    </row>
    <row r="8" spans="1:96" ht="13" x14ac:dyDescent="0.3">
      <c r="D8" s="856">
        <v>7</v>
      </c>
      <c r="F8" s="856">
        <v>12</v>
      </c>
      <c r="G8" s="856">
        <v>8</v>
      </c>
      <c r="V8" s="1781" t="s">
        <v>843</v>
      </c>
      <c r="W8" s="1782"/>
      <c r="Y8" s="1783" t="s">
        <v>1025</v>
      </c>
      <c r="Z8" s="1784"/>
      <c r="AA8" s="1784"/>
      <c r="AB8" s="1785"/>
      <c r="AC8" s="708"/>
      <c r="AD8" s="1783" t="s">
        <v>1026</v>
      </c>
      <c r="AE8" s="1784"/>
      <c r="AF8" s="1785"/>
      <c r="AG8" s="724"/>
      <c r="AH8" s="724"/>
      <c r="AI8" s="1780" t="s">
        <v>1032</v>
      </c>
      <c r="AJ8" s="1780"/>
      <c r="AO8" s="936" t="s">
        <v>1129</v>
      </c>
      <c r="AT8" s="856">
        <v>1</v>
      </c>
      <c r="AU8" s="856">
        <v>2</v>
      </c>
      <c r="AV8" s="856">
        <v>3</v>
      </c>
      <c r="AW8" s="856">
        <v>4</v>
      </c>
      <c r="AX8" s="856">
        <v>5</v>
      </c>
      <c r="AY8" s="856">
        <v>6</v>
      </c>
      <c r="AZ8" s="856">
        <v>7</v>
      </c>
      <c r="BA8" s="856">
        <v>8</v>
      </c>
      <c r="BB8" s="856">
        <v>9</v>
      </c>
      <c r="BC8" s="856">
        <v>10</v>
      </c>
      <c r="BD8" s="856">
        <v>11</v>
      </c>
      <c r="BE8" s="856">
        <v>12</v>
      </c>
      <c r="BF8" s="856">
        <v>13</v>
      </c>
      <c r="BG8" s="856">
        <v>14</v>
      </c>
      <c r="BH8" s="856">
        <v>15</v>
      </c>
      <c r="BI8" s="856">
        <v>16</v>
      </c>
      <c r="BJ8" s="856">
        <v>17</v>
      </c>
      <c r="BK8" s="856">
        <v>18</v>
      </c>
      <c r="BL8" s="856">
        <v>19</v>
      </c>
      <c r="BM8" s="856">
        <v>20</v>
      </c>
      <c r="BN8" s="856">
        <v>21</v>
      </c>
      <c r="BO8" s="856">
        <v>22</v>
      </c>
      <c r="BP8" s="856">
        <v>23</v>
      </c>
      <c r="BQ8" s="856">
        <v>24</v>
      </c>
      <c r="BR8" s="856">
        <v>25</v>
      </c>
      <c r="BS8" s="856">
        <v>26</v>
      </c>
      <c r="BT8" s="856">
        <v>27</v>
      </c>
      <c r="BU8" s="856">
        <v>28</v>
      </c>
      <c r="BV8" s="856">
        <v>29</v>
      </c>
      <c r="BW8" s="856">
        <v>30</v>
      </c>
      <c r="BX8" s="856">
        <v>31</v>
      </c>
      <c r="BY8" s="856">
        <v>32</v>
      </c>
      <c r="BZ8" s="856">
        <v>33</v>
      </c>
      <c r="CA8" s="856">
        <v>34</v>
      </c>
      <c r="CB8" s="856">
        <v>35</v>
      </c>
      <c r="CC8" s="856">
        <v>36</v>
      </c>
      <c r="CD8" s="856">
        <v>37</v>
      </c>
      <c r="CE8" s="856">
        <v>38</v>
      </c>
      <c r="CF8" s="856">
        <v>39</v>
      </c>
      <c r="CG8" s="856">
        <v>40</v>
      </c>
      <c r="CH8" s="856">
        <v>41</v>
      </c>
      <c r="CI8" s="856">
        <v>42</v>
      </c>
      <c r="CJ8" s="856">
        <v>43</v>
      </c>
      <c r="CK8" s="856">
        <v>44</v>
      </c>
      <c r="CL8" s="856">
        <v>45</v>
      </c>
      <c r="CM8" s="856">
        <v>46</v>
      </c>
      <c r="CN8" s="856">
        <v>47</v>
      </c>
      <c r="CO8" s="856">
        <v>48</v>
      </c>
      <c r="CP8" s="856">
        <v>49</v>
      </c>
      <c r="CQ8" s="856">
        <v>50</v>
      </c>
    </row>
    <row r="9" spans="1:96" ht="39" x14ac:dyDescent="0.3">
      <c r="B9" s="453" t="s">
        <v>1013</v>
      </c>
      <c r="C9" s="453" t="s">
        <v>1012</v>
      </c>
      <c r="D9" s="704" t="s">
        <v>1014</v>
      </c>
      <c r="F9" s="704" t="s">
        <v>857</v>
      </c>
      <c r="G9" s="704" t="s">
        <v>853</v>
      </c>
      <c r="I9" s="704" t="s">
        <v>1015</v>
      </c>
      <c r="K9" s="704" t="s">
        <v>1017</v>
      </c>
      <c r="L9" s="704" t="s">
        <v>1016</v>
      </c>
      <c r="M9" s="704" t="s">
        <v>1023</v>
      </c>
      <c r="N9" s="704" t="s">
        <v>1019</v>
      </c>
      <c r="O9" s="704" t="s">
        <v>1020</v>
      </c>
      <c r="P9" s="704" t="s">
        <v>1022</v>
      </c>
      <c r="Q9" s="704" t="s">
        <v>1021</v>
      </c>
      <c r="R9" s="704" t="s">
        <v>1018</v>
      </c>
      <c r="S9" s="704" t="s">
        <v>1130</v>
      </c>
      <c r="T9" s="704" t="s">
        <v>188</v>
      </c>
      <c r="U9" s="706" t="s">
        <v>1124</v>
      </c>
      <c r="V9" s="709" t="s">
        <v>1125</v>
      </c>
      <c r="W9" s="710" t="s">
        <v>1126</v>
      </c>
      <c r="X9" s="706"/>
      <c r="Y9" s="713">
        <f>IF(Compliance_Version_Year=2010,0.1,0.2)</f>
        <v>0.2</v>
      </c>
      <c r="Z9" s="714" t="str">
        <f>CONCATENATE(Y9*100,"% Pass/ Fail")</f>
        <v>20% Pass/ Fail</v>
      </c>
      <c r="AA9" s="714" t="s">
        <v>1027</v>
      </c>
      <c r="AB9" s="715" t="s">
        <v>1028</v>
      </c>
      <c r="AC9" s="706"/>
      <c r="AD9" s="716" t="s">
        <v>872</v>
      </c>
      <c r="AE9" s="714" t="s">
        <v>843</v>
      </c>
      <c r="AF9" s="715" t="s">
        <v>1028</v>
      </c>
      <c r="AG9" s="725"/>
      <c r="AH9" s="725" t="s">
        <v>1034</v>
      </c>
      <c r="AI9" s="704" t="s">
        <v>1031</v>
      </c>
      <c r="AJ9" s="704" t="s">
        <v>1015</v>
      </c>
      <c r="AO9" s="703">
        <f>SUM(AO10:AO59)</f>
        <v>0</v>
      </c>
      <c r="AT9" s="701">
        <f>'SpxSp (step-b)'!CB26</f>
        <v>26</v>
      </c>
      <c r="AU9" s="701">
        <f>AT9+1</f>
        <v>27</v>
      </c>
      <c r="AV9" s="701">
        <f t="shared" ref="AV9:CQ9" si="0">AU9+1</f>
        <v>28</v>
      </c>
      <c r="AW9" s="701">
        <f t="shared" si="0"/>
        <v>29</v>
      </c>
      <c r="AX9" s="701">
        <f t="shared" si="0"/>
        <v>30</v>
      </c>
      <c r="AY9" s="701">
        <f t="shared" si="0"/>
        <v>31</v>
      </c>
      <c r="AZ9" s="701">
        <f t="shared" si="0"/>
        <v>32</v>
      </c>
      <c r="BA9" s="701">
        <f t="shared" si="0"/>
        <v>33</v>
      </c>
      <c r="BB9" s="701">
        <f t="shared" si="0"/>
        <v>34</v>
      </c>
      <c r="BC9" s="701">
        <f t="shared" si="0"/>
        <v>35</v>
      </c>
      <c r="BD9" s="701">
        <f t="shared" si="0"/>
        <v>36</v>
      </c>
      <c r="BE9" s="701">
        <f t="shared" si="0"/>
        <v>37</v>
      </c>
      <c r="BF9" s="701">
        <f t="shared" si="0"/>
        <v>38</v>
      </c>
      <c r="BG9" s="701">
        <f t="shared" si="0"/>
        <v>39</v>
      </c>
      <c r="BH9" s="701">
        <f t="shared" si="0"/>
        <v>40</v>
      </c>
      <c r="BI9" s="701">
        <f t="shared" si="0"/>
        <v>41</v>
      </c>
      <c r="BJ9" s="701">
        <f t="shared" si="0"/>
        <v>42</v>
      </c>
      <c r="BK9" s="701">
        <f t="shared" si="0"/>
        <v>43</v>
      </c>
      <c r="BL9" s="701">
        <f t="shared" si="0"/>
        <v>44</v>
      </c>
      <c r="BM9" s="701">
        <f t="shared" si="0"/>
        <v>45</v>
      </c>
      <c r="BN9" s="701">
        <f t="shared" si="0"/>
        <v>46</v>
      </c>
      <c r="BO9" s="701">
        <f t="shared" si="0"/>
        <v>47</v>
      </c>
      <c r="BP9" s="701">
        <f t="shared" si="0"/>
        <v>48</v>
      </c>
      <c r="BQ9" s="701">
        <f t="shared" si="0"/>
        <v>49</v>
      </c>
      <c r="BR9" s="701">
        <f t="shared" si="0"/>
        <v>50</v>
      </c>
      <c r="BS9" s="701">
        <f t="shared" si="0"/>
        <v>51</v>
      </c>
      <c r="BT9" s="701">
        <f t="shared" si="0"/>
        <v>52</v>
      </c>
      <c r="BU9" s="701">
        <f t="shared" si="0"/>
        <v>53</v>
      </c>
      <c r="BV9" s="701">
        <f t="shared" si="0"/>
        <v>54</v>
      </c>
      <c r="BW9" s="701">
        <f t="shared" si="0"/>
        <v>55</v>
      </c>
      <c r="BX9" s="701">
        <f t="shared" si="0"/>
        <v>56</v>
      </c>
      <c r="BY9" s="701">
        <f t="shared" si="0"/>
        <v>57</v>
      </c>
      <c r="BZ9" s="701">
        <f t="shared" si="0"/>
        <v>58</v>
      </c>
      <c r="CA9" s="701">
        <f t="shared" si="0"/>
        <v>59</v>
      </c>
      <c r="CB9" s="701">
        <f t="shared" si="0"/>
        <v>60</v>
      </c>
      <c r="CC9" s="701">
        <f t="shared" si="0"/>
        <v>61</v>
      </c>
      <c r="CD9" s="701">
        <f t="shared" si="0"/>
        <v>62</v>
      </c>
      <c r="CE9" s="701">
        <f t="shared" si="0"/>
        <v>63</v>
      </c>
      <c r="CF9" s="701">
        <f t="shared" si="0"/>
        <v>64</v>
      </c>
      <c r="CG9" s="701">
        <f t="shared" si="0"/>
        <v>65</v>
      </c>
      <c r="CH9" s="701">
        <f t="shared" si="0"/>
        <v>66</v>
      </c>
      <c r="CI9" s="701">
        <f t="shared" si="0"/>
        <v>67</v>
      </c>
      <c r="CJ9" s="701">
        <f t="shared" si="0"/>
        <v>68</v>
      </c>
      <c r="CK9" s="701">
        <f t="shared" si="0"/>
        <v>69</v>
      </c>
      <c r="CL9" s="701">
        <f t="shared" si="0"/>
        <v>70</v>
      </c>
      <c r="CM9" s="701">
        <f t="shared" si="0"/>
        <v>71</v>
      </c>
      <c r="CN9" s="701">
        <f t="shared" si="0"/>
        <v>72</v>
      </c>
      <c r="CO9" s="701">
        <f t="shared" si="0"/>
        <v>73</v>
      </c>
      <c r="CP9" s="701">
        <f t="shared" si="0"/>
        <v>74</v>
      </c>
      <c r="CQ9" s="701">
        <f t="shared" si="0"/>
        <v>75</v>
      </c>
    </row>
    <row r="10" spans="1:96" ht="60" customHeight="1" x14ac:dyDescent="0.25">
      <c r="A10" s="705">
        <v>1</v>
      </c>
      <c r="B10" s="707" t="str">
        <f>'Ext Area Schedule'!AK16</f>
        <v/>
      </c>
      <c r="C10" s="707" t="str">
        <f>VLOOKUP($B10,'Ext Area Schedule'!$AK$16:$AO$65,3,FALSE)</f>
        <v/>
      </c>
      <c r="D10" s="792" t="str">
        <f>VLOOKUP($B10,'Ext Area Schedule'!$AK$16:$AO$65,4,FALSE)</f>
        <v/>
      </c>
      <c r="F10" s="792" t="str">
        <f>VLOOKUP($B10,'Ext Area Schedule'!$AK$16:$AO$65,5,FALSE)</f>
        <v/>
      </c>
      <c r="G10" s="792" t="str">
        <f>VLOOKUP($B10,'Ext Area Schedule'!$AK$16:$AO$65,5,FALSE)</f>
        <v/>
      </c>
      <c r="I10" s="703" t="str">
        <f t="shared" ref="I10:I59" si="1">IF(OR($R10=0,$B10=0),0,F10)</f>
        <v/>
      </c>
      <c r="K10" s="703" t="str">
        <f>IF($B10="","",SUMIFS('Ext Nontradable'!$M$26:$M$45,'Ext Nontradable'!$B$26:$B$45,$B10,'Ext Nontradable'!$U$26:$U$45,"New"))</f>
        <v/>
      </c>
      <c r="L10" s="703" t="str">
        <f>IF($B10="","",SUMIFS('Ext Nontradable'!$M$26:$M$45,'Ext Nontradable'!$B$26:$B$45,$B10,'Ext Nontradable'!$U$26:$U$45,""))</f>
        <v/>
      </c>
      <c r="M10" s="703" t="str">
        <f>IF($B10="","",SUMIFS('Ext Nontradable'!$K$26:$K$45,'Ext Nontradable'!$B$26:$B$45,$B10,'Ext Nontradable'!$U$26:$U$45,"New")+SUMIFS('Ext Nontradable'!$K$26:$K$45,'Ext Nontradable'!$B$26:$B$45,$B10,'Ext Nontradable'!$U$26:$U$45,""))</f>
        <v/>
      </c>
      <c r="N10" s="703" t="str">
        <f>IF($B10="","",SUMIFS('Ext Nontradable'!$M$26:$M$45,'Ext Nontradable'!$B$26:$B$45,$B10,'Ext Nontradable'!$U$26:$U$45,"Existing Remains"))</f>
        <v/>
      </c>
      <c r="O10" s="703" t="str">
        <f>IF($B10="","",SUMIFS('Ext Nontradable'!$M$26:$M$45,'Ext Nontradable'!$B$26:$B$45,$B10,'Ext Nontradable'!$U$26:$U$45,"Existing Removed"))</f>
        <v/>
      </c>
      <c r="P10" s="703" t="str">
        <f>IF($B10="","",SUMIFS('Ext Nontradable'!$K$26:$K$45,'Ext Nontradable'!$B$26:$B$45,$B10,'Ext Nontradable'!$U$26:$U$45,"Existing Removed"))</f>
        <v/>
      </c>
      <c r="Q10" s="703" t="str">
        <f t="shared" ref="Q10:Q59" si="2">IF($B10="","",N10+O10)</f>
        <v/>
      </c>
      <c r="R10" s="703" t="str">
        <f>IF(B10="","",IF($Y$6=TRUE,K10+L10+N10,K10+L10+Q10))</f>
        <v/>
      </c>
      <c r="S10" s="703">
        <f>IFERROR(R10-I10,0)</f>
        <v>0</v>
      </c>
      <c r="T10" s="954">
        <f>U4-U10</f>
        <v>0</v>
      </c>
      <c r="U10" s="954">
        <f>IF(S10&lt;0,0,S10)</f>
        <v>0</v>
      </c>
      <c r="V10" s="711" t="str">
        <f>IFERROR(IF(T10&gt;0,U10+I10,I10),"")</f>
        <v/>
      </c>
      <c r="W10" s="712" t="str">
        <f>IF(OR($B10="",R10=0),"",IF(V10&gt;=R10,"Pass","Fail"))</f>
        <v/>
      </c>
      <c r="X10" s="857"/>
      <c r="Y10" s="720" t="str">
        <f t="shared" ref="Y10:Y11" si="3">IF(B10="","",IFERROR(O10/Q10,1))</f>
        <v/>
      </c>
      <c r="Z10" s="721" t="str">
        <f>IF(OR($Y$6=FALSE,$B10="",$Y10="",AA$6=FALSE),"",IF(Y10&gt;Y$9,"Fail","Pass"))</f>
        <v/>
      </c>
      <c r="AA10" s="721" t="str">
        <f>IF(OR($Y$6=FALSE,$B10="",R10=0,AA$6=FALSE),"",IF(R10&gt;Q10,"Fail","Pass"))</f>
        <v/>
      </c>
      <c r="AB10" s="719" t="str">
        <f t="shared" ref="AB10:AB59" si="4">IF(AND(Z10="Pass",AA10="Pass"),"Pass",IF(OR(Z10="",AA10=""),"","Fail"))</f>
        <v/>
      </c>
      <c r="AC10" s="857"/>
      <c r="AD10" s="717" t="str">
        <f>IF(OR($Y$6=FALSE,$B10="",R10=0,AA$6=FALSE),"",IF(M10=P10,"Pass","Fail"))</f>
        <v/>
      </c>
      <c r="AE10" s="718" t="str">
        <f>IF(OR($Y$6=FALSE,AA$6=FALSE),"",W10)</f>
        <v/>
      </c>
      <c r="AF10" s="719" t="str">
        <f t="shared" ref="AF10:AF59" si="5">IF(AND(AD10="Pass",AE10="Pass"),"Pass",IF(OR(AD10="",AE10=""),"","Fail"))</f>
        <v/>
      </c>
      <c r="AG10" s="726"/>
      <c r="AH10" s="727" t="str">
        <f>IF(OR(R10=0,B10=""),"",IF(AA$6=FALSE,"",IF(AB10="Pass","Pass Exception #1","Fail")))</f>
        <v/>
      </c>
      <c r="AI10" s="703" t="str">
        <f>IF(OR(AB10="Pass",AF10="Pass"),0,R10)</f>
        <v/>
      </c>
      <c r="AJ10" s="703" t="str">
        <f>IF(AI10&gt;0,I10,0)</f>
        <v/>
      </c>
      <c r="AK10" s="723" t="s">
        <v>1103</v>
      </c>
      <c r="AL10" s="1075" t="str">
        <f>IF(OR(W10="",B10=""),"",IF(OR(AND($Y$6=FALSE,$AA$6=FALSE),AND($Y$6=TRUE,$AA$6=FALSE)),W10,IF(AND(Y$6=TRUE,AA$6=TRUE),IF(AB10="Pass",AH10,IF(W10="Pass","Pass LPA","Fail")))))</f>
        <v/>
      </c>
      <c r="AM10" s="855" t="str">
        <f>IF(OR(W10="",B10=""),"",
IF(AND($Y$6=TRUE,$AA$6=TRUE),IF(AB10="Pass","#1",IF(OR(W10="Pass",$AJ$4=TRUE),"ALT","")),IF($Y$6=TRUE,"ALT","")))</f>
        <v/>
      </c>
      <c r="AN10" s="707" t="str">
        <f>IF(OR(AL10="Fail",AL10="Fail LPA",AL10=""),"",IF(AM10&lt;&gt;"#1",VLOOKUP(C10,'9.4.3 Tables'!B$156:O$164,14,FALSE),"No NEW controls required"))</f>
        <v/>
      </c>
      <c r="AO10" s="703">
        <f>IF(ISNUMBER(SEARCH("Fail",AL10))=TRUE,1,0)</f>
        <v>0</v>
      </c>
      <c r="AR10">
        <v>1</v>
      </c>
      <c r="AS10" s="15" t="str">
        <f>IF(B10="","",CR10)</f>
        <v/>
      </c>
      <c r="AT10" s="700" t="str">
        <f ca="1">IF(INDIRECT("'Ext Nontradable'!$B" &amp; AT$9)=$B10,INDIRECT("'Ext Nontradable'!$" &amp; 'Ext Nontradable'!$AZ$23 &amp; AT$9),"")</f>
        <v/>
      </c>
      <c r="AU10" s="700" t="str">
        <f ca="1">IF(INDIRECT("'Ext Nontradable'!$B" &amp; AU$9)=$B10,INDIRECT("'Ext Nontradable'!$" &amp; 'Ext Nontradable'!$AZ$23 &amp; AU$9),"")</f>
        <v/>
      </c>
      <c r="AV10" s="700" t="str">
        <f ca="1">IF(INDIRECT("'Ext Nontradable'!$B" &amp; AV$9)=$B10,INDIRECT("'Ext Nontradable'!$" &amp; 'Ext Nontradable'!$AZ$23 &amp; AV$9),"")</f>
        <v/>
      </c>
      <c r="AW10" s="700" t="str">
        <f ca="1">IF(INDIRECT("'Ext Nontradable'!$B" &amp; AW$9)=$B10,INDIRECT("'Ext Nontradable'!$" &amp; 'Ext Nontradable'!$AZ$23 &amp; AW$9),"")</f>
        <v/>
      </c>
      <c r="AX10" s="700" t="str">
        <f ca="1">IF(INDIRECT("'Ext Nontradable'!$B" &amp; AX$9)=$B10,INDIRECT("'Ext Nontradable'!$" &amp; 'Ext Nontradable'!$AZ$23 &amp; AX$9),"")</f>
        <v/>
      </c>
      <c r="AY10" s="700" t="str">
        <f ca="1">IF(INDIRECT("'Ext Nontradable'!$B" &amp; AY$9)=$B10,INDIRECT("'Ext Nontradable'!$" &amp; 'Ext Nontradable'!$AZ$23 &amp; AY$9),"")</f>
        <v/>
      </c>
      <c r="AZ10" s="700" t="str">
        <f ca="1">IF(INDIRECT("'Ext Nontradable'!$B" &amp; AZ$9)=$B10,INDIRECT("'Ext Nontradable'!$" &amp; 'Ext Nontradable'!$AZ$23 &amp; AZ$9),"")</f>
        <v/>
      </c>
      <c r="BA10" s="700" t="str">
        <f ca="1">IF(INDIRECT("'Ext Nontradable'!$B" &amp; BA$9)=$B10,INDIRECT("'Ext Nontradable'!$" &amp; 'Ext Nontradable'!$AZ$23 &amp; BA$9),"")</f>
        <v/>
      </c>
      <c r="BB10" s="700" t="str">
        <f ca="1">IF(INDIRECT("'Ext Nontradable'!$B" &amp; BB$9)=$B10,INDIRECT("'Ext Nontradable'!$" &amp; 'Ext Nontradable'!$AZ$23 &amp; BB$9),"")</f>
        <v/>
      </c>
      <c r="BC10" s="700" t="str">
        <f ca="1">IF(INDIRECT("'Ext Nontradable'!$B" &amp; BC$9)=$B10,INDIRECT("'Ext Nontradable'!$" &amp; 'Ext Nontradable'!$AZ$23 &amp; BC$9),"")</f>
        <v/>
      </c>
      <c r="BD10" s="700" t="str">
        <f ca="1">IF(INDIRECT("'Ext Nontradable'!$B" &amp; BD$9)=$B10,INDIRECT("'Ext Nontradable'!$" &amp; 'Ext Nontradable'!$AZ$23 &amp; BD$9),"")</f>
        <v/>
      </c>
      <c r="BE10" s="700" t="str">
        <f ca="1">IF(INDIRECT("'Ext Nontradable'!$B" &amp; BE$9)=$B10,INDIRECT("'Ext Nontradable'!$" &amp; 'Ext Nontradable'!$AZ$23 &amp; BE$9),"")</f>
        <v/>
      </c>
      <c r="BF10" s="700" t="str">
        <f ca="1">IF(INDIRECT("'Ext Nontradable'!$B" &amp; BF$9)=$B10,INDIRECT("'Ext Nontradable'!$" &amp; 'Ext Nontradable'!$AZ$23 &amp; BF$9),"")</f>
        <v/>
      </c>
      <c r="BG10" s="700" t="str">
        <f ca="1">IF(INDIRECT("'Ext Nontradable'!$B" &amp; BG$9)=$B10,INDIRECT("'Ext Nontradable'!$" &amp; 'Ext Nontradable'!$AZ$23 &amp; BG$9),"")</f>
        <v/>
      </c>
      <c r="BH10" s="700" t="str">
        <f ca="1">IF(INDIRECT("'Ext Nontradable'!$B" &amp; BH$9)=$B10,INDIRECT("'Ext Nontradable'!$" &amp; 'Ext Nontradable'!$AZ$23 &amp; BH$9),"")</f>
        <v/>
      </c>
      <c r="BI10" s="700" t="str">
        <f ca="1">IF(INDIRECT("'Ext Nontradable'!$B" &amp; BI$9)=$B10,INDIRECT("'Ext Nontradable'!$" &amp; 'Ext Nontradable'!$AZ$23 &amp; BI$9),"")</f>
        <v/>
      </c>
      <c r="BJ10" s="700" t="str">
        <f ca="1">IF(INDIRECT("'Ext Nontradable'!$B" &amp; BJ$9)=$B10,INDIRECT("'Ext Nontradable'!$" &amp; 'Ext Nontradable'!$AZ$23 &amp; BJ$9),"")</f>
        <v/>
      </c>
      <c r="BK10" s="700" t="str">
        <f ca="1">IF(INDIRECT("'Ext Nontradable'!$B" &amp; BK$9)=$B10,INDIRECT("'Ext Nontradable'!$" &amp; 'Ext Nontradable'!$AZ$23 &amp; BK$9),"")</f>
        <v/>
      </c>
      <c r="BL10" s="700" t="str">
        <f ca="1">IF(INDIRECT("'Ext Nontradable'!$B" &amp; BL$9)=$B10,INDIRECT("'Ext Nontradable'!$" &amp; 'Ext Nontradable'!$AZ$23 &amp; BL$9),"")</f>
        <v/>
      </c>
      <c r="BM10" s="700" t="str">
        <f ca="1">IF(INDIRECT("'Ext Nontradable'!$B" &amp; BM$9)=$B10,INDIRECT("'Ext Nontradable'!$" &amp; 'Ext Nontradable'!$AZ$23 &amp; BM$9),"")</f>
        <v/>
      </c>
      <c r="BN10" s="700">
        <f ca="1">IF(INDIRECT("'Ext Nontradable'!$B" &amp; BN$9)=$B10,INDIRECT("'Ext Nontradable'!$" &amp; 'Ext Nontradable'!$AZ$23 &amp; BN$9),"")</f>
        <v>0</v>
      </c>
      <c r="BO10" s="700">
        <f ca="1">IF(INDIRECT("'Ext Nontradable'!$B" &amp; BO$9)=$B10,INDIRECT("'Ext Nontradable'!$" &amp; 'Ext Nontradable'!$AZ$23 &amp; BO$9),"")</f>
        <v>0</v>
      </c>
      <c r="BP10" s="700">
        <f ca="1">IF(INDIRECT("'Ext Nontradable'!$B" &amp; BP$9)=$B10,INDIRECT("'Ext Nontradable'!$" &amp; 'Ext Nontradable'!$AZ$23 &amp; BP$9),"")</f>
        <v>0</v>
      </c>
      <c r="BQ10" s="700">
        <f ca="1">IF(INDIRECT("'Ext Nontradable'!$B" &amp; BQ$9)=$B10,INDIRECT("'Ext Nontradable'!$" &amp; 'Ext Nontradable'!$AZ$23 &amp; BQ$9),"")</f>
        <v>0</v>
      </c>
      <c r="BR10" s="700">
        <f ca="1">IF(INDIRECT("'Ext Nontradable'!$B" &amp; BR$9)=$B10,INDIRECT("'Ext Nontradable'!$" &amp; 'Ext Nontradable'!$AZ$23 &amp; BR$9),"")</f>
        <v>0</v>
      </c>
      <c r="BS10" s="700">
        <f ca="1">IF(INDIRECT("'Ext Nontradable'!$B" &amp; BS$9)=$B10,INDIRECT("'Ext Nontradable'!$" &amp; 'Ext Nontradable'!$AZ$23 &amp; BS$9),"")</f>
        <v>0</v>
      </c>
      <c r="BT10" s="700">
        <f ca="1">IF(INDIRECT("'Ext Nontradable'!$B" &amp; BT$9)=$B10,INDIRECT("'Ext Nontradable'!$" &amp; 'Ext Nontradable'!$AZ$23 &amp; BT$9),"")</f>
        <v>0</v>
      </c>
      <c r="BU10" s="700">
        <f ca="1">IF(INDIRECT("'Ext Nontradable'!$B" &amp; BU$9)=$B10,INDIRECT("'Ext Nontradable'!$" &amp; 'Ext Nontradable'!$AZ$23 &amp; BU$9),"")</f>
        <v>0</v>
      </c>
      <c r="BV10" s="700">
        <f ca="1">IF(INDIRECT("'Ext Nontradable'!$B" &amp; BV$9)=$B10,INDIRECT("'Ext Nontradable'!$" &amp; 'Ext Nontradable'!$AZ$23 &amp; BV$9),"")</f>
        <v>0</v>
      </c>
      <c r="BW10" s="700">
        <f ca="1">IF(INDIRECT("'Ext Nontradable'!$B" &amp; BW$9)=$B10,INDIRECT("'Ext Nontradable'!$" &amp; 'Ext Nontradable'!$AZ$23 &amp; BW$9),"")</f>
        <v>0</v>
      </c>
      <c r="BX10" s="700">
        <f ca="1">IF(INDIRECT("'Ext Nontradable'!$B" &amp; BX$9)=$B10,INDIRECT("'Ext Nontradable'!$" &amp; 'Ext Nontradable'!$AZ$23 &amp; BX$9),"")</f>
        <v>0</v>
      </c>
      <c r="BY10" s="700">
        <f ca="1">IF(INDIRECT("'Ext Nontradable'!$B" &amp; BY$9)=$B10,INDIRECT("'Ext Nontradable'!$" &amp; 'Ext Nontradable'!$AZ$23 &amp; BY$9),"")</f>
        <v>0</v>
      </c>
      <c r="BZ10" s="700">
        <f ca="1">IF(INDIRECT("'Ext Nontradable'!$B" &amp; BZ$9)=$B10,INDIRECT("'Ext Nontradable'!$" &amp; 'Ext Nontradable'!$AZ$23 &amp; BZ$9),"")</f>
        <v>0</v>
      </c>
      <c r="CA10" s="700">
        <f ca="1">IF(INDIRECT("'Ext Nontradable'!$B" &amp; CA$9)=$B10,INDIRECT("'Ext Nontradable'!$" &amp; 'Ext Nontradable'!$AZ$23 &amp; CA$9),"")</f>
        <v>0</v>
      </c>
      <c r="CB10" s="700">
        <f ca="1">IF(INDIRECT("'Ext Nontradable'!$B" &amp; CB$9)=$B10,INDIRECT("'Ext Nontradable'!$" &amp; 'Ext Nontradable'!$AZ$23 &amp; CB$9),"")</f>
        <v>0</v>
      </c>
      <c r="CC10" s="700">
        <f ca="1">IF(INDIRECT("'Ext Nontradable'!$B" &amp; CC$9)=$B10,INDIRECT("'Ext Nontradable'!$" &amp; 'Ext Nontradable'!$AZ$23 &amp; CC$9),"")</f>
        <v>0</v>
      </c>
      <c r="CD10" s="700">
        <f ca="1">IF(INDIRECT("'Ext Nontradable'!$B" &amp; CD$9)=$B10,INDIRECT("'Ext Nontradable'!$" &amp; 'Ext Nontradable'!$AZ$23 &amp; CD$9),"")</f>
        <v>0</v>
      </c>
      <c r="CE10" s="700">
        <f ca="1">IF(INDIRECT("'Ext Nontradable'!$B" &amp; CE$9)=$B10,INDIRECT("'Ext Nontradable'!$" &amp; 'Ext Nontradable'!$AZ$23 &amp; CE$9),"")</f>
        <v>0</v>
      </c>
      <c r="CF10" s="700">
        <f ca="1">IF(INDIRECT("'Ext Nontradable'!$B" &amp; CF$9)=$B10,INDIRECT("'Ext Nontradable'!$" &amp; 'Ext Nontradable'!$AZ$23 &amp; CF$9),"")</f>
        <v>0</v>
      </c>
      <c r="CG10" s="700">
        <f ca="1">IF(INDIRECT("'Ext Nontradable'!$B" &amp; CG$9)=$B10,INDIRECT("'Ext Nontradable'!$" &amp; 'Ext Nontradable'!$AZ$23 &amp; CG$9),"")</f>
        <v>0</v>
      </c>
      <c r="CH10" s="700">
        <f ca="1">IF(INDIRECT("'Ext Nontradable'!$B" &amp; CH$9)=$B10,INDIRECT("'Ext Nontradable'!$" &amp; 'Ext Nontradable'!$AZ$23 &amp; CH$9),"")</f>
        <v>0</v>
      </c>
      <c r="CI10" s="700">
        <f ca="1">IF(INDIRECT("'Ext Nontradable'!$B" &amp; CI$9)=$B10,INDIRECT("'Ext Nontradable'!$" &amp; 'Ext Nontradable'!$AZ$23 &amp; CI$9),"")</f>
        <v>0</v>
      </c>
      <c r="CJ10" s="700">
        <f ca="1">IF(INDIRECT("'Ext Nontradable'!$B" &amp; CJ$9)=$B10,INDIRECT("'Ext Nontradable'!$" &amp; 'Ext Nontradable'!$AZ$23 &amp; CJ$9),"")</f>
        <v>0</v>
      </c>
      <c r="CK10" s="700">
        <f ca="1">IF(INDIRECT("'Ext Nontradable'!$B" &amp; CK$9)=$B10,INDIRECT("'Ext Nontradable'!$" &amp; 'Ext Nontradable'!$AZ$23 &amp; CK$9),"")</f>
        <v>0</v>
      </c>
      <c r="CL10" s="700">
        <f ca="1">IF(INDIRECT("'Ext Nontradable'!$B" &amp; CL$9)=$B10,INDIRECT("'Ext Nontradable'!$" &amp; 'Ext Nontradable'!$AZ$23 &amp; CL$9),"")</f>
        <v>0</v>
      </c>
      <c r="CM10" s="700">
        <f ca="1">IF(INDIRECT("'Ext Nontradable'!$B" &amp; CM$9)=$B10,INDIRECT("'Ext Nontradable'!$" &amp; 'Ext Nontradable'!$AZ$23 &amp; CM$9),"")</f>
        <v>0</v>
      </c>
      <c r="CN10" s="700">
        <f ca="1">IF(INDIRECT("'Ext Nontradable'!$B" &amp; CN$9)=$B10,INDIRECT("'Ext Nontradable'!$" &amp; 'Ext Nontradable'!$AZ$23 &amp; CN$9),"")</f>
        <v>0</v>
      </c>
      <c r="CO10" s="700">
        <f ca="1">IF(INDIRECT("'Ext Nontradable'!$B" &amp; CO$9)=$B10,INDIRECT("'Ext Nontradable'!$" &amp; 'Ext Nontradable'!$AZ$23 &amp; CO$9),"")</f>
        <v>0</v>
      </c>
      <c r="CP10" s="700">
        <f ca="1">IF(INDIRECT("'Ext Nontradable'!$B" &amp; CP$9)=$B10,INDIRECT("'Ext Nontradable'!$" &amp; 'Ext Nontradable'!$AZ$23 &amp; CP$9),"")</f>
        <v>0</v>
      </c>
      <c r="CQ10" s="700">
        <f ca="1">IF(INDIRECT("'Ext Nontradable'!$B" &amp; CQ$9)=$B10,INDIRECT("'Ext Nontradable'!$" &amp; 'Ext Nontradable'!$AZ$23 &amp; CQ$9),"")</f>
        <v>0</v>
      </c>
      <c r="CR10" s="702" t="str">
        <f t="shared" ref="CR10:CR12" ca="1" si="6">CONCATENATE(AT10,AU10,AV10,AW10,AX10,AY10,AZ10,BA10,BB10,BC10,BD10,BE10,BF10,BG10,BH10,BI10,BJ10,BK10,BL10,BM10,BN10,BO10,BP10,BQ10,BR10,BS10,BT10,BU10,BV10,BW10,BX10,BY10,BZ10,CA10,CB10,CC10,CD10,CE10,CF10,CG10,CH10,CI10,CJ10,CK10,CL10,CM10,CN10,CO10,CP10,CQ10)</f>
        <v>000000000000000000000000000000</v>
      </c>
    </row>
    <row r="11" spans="1:96" ht="60" customHeight="1" x14ac:dyDescent="0.25">
      <c r="A11" s="705">
        <v>2</v>
      </c>
      <c r="B11" s="707" t="str">
        <f>'Ext Area Schedule'!AK17</f>
        <v/>
      </c>
      <c r="C11" s="707" t="str">
        <f>VLOOKUP($B11,'Ext Area Schedule'!$AK$16:$AO$65,3,FALSE)</f>
        <v/>
      </c>
      <c r="D11" s="792" t="str">
        <f>VLOOKUP($B11,'Ext Area Schedule'!$AK$16:$AO$65,4,FALSE)</f>
        <v/>
      </c>
      <c r="F11" s="792" t="str">
        <f>VLOOKUP($B11,'Ext Area Schedule'!$AK$16:$AO$65,5,FALSE)</f>
        <v/>
      </c>
      <c r="G11" s="792" t="str">
        <f>VLOOKUP($B11,'Ext Area Schedule'!$AK$16:$AO$65,5,FALSE)</f>
        <v/>
      </c>
      <c r="I11" s="703" t="str">
        <f t="shared" si="1"/>
        <v/>
      </c>
      <c r="K11" s="703" t="str">
        <f>IF($B11="","",SUMIFS('Ext Nontradable'!$M$26:$M$45,'Ext Nontradable'!$B$26:$B$45,$B11,'Ext Nontradable'!$U$26:$U$45,"New"))</f>
        <v/>
      </c>
      <c r="L11" s="703" t="str">
        <f>IF($B11="","",SUMIFS('Ext Nontradable'!$M$26:$M$45,'Ext Nontradable'!$B$26:$B$45,$B11,'Ext Nontradable'!$U$26:$U$45,""))</f>
        <v/>
      </c>
      <c r="M11" s="703" t="str">
        <f>IF($B11="","",SUMIFS('Ext Nontradable'!$K$26:$K$45,'Ext Nontradable'!$B$26:$B$45,$B11,'Ext Nontradable'!$U$26:$U$45,"New")+SUMIFS('Ext Nontradable'!$K$26:$K$45,'Ext Nontradable'!$B$26:$B$45,$B11,'Ext Nontradable'!$U$26:$U$45,""))</f>
        <v/>
      </c>
      <c r="N11" s="703" t="str">
        <f>IF($B11="","",SUMIFS('Ext Nontradable'!$M$26:$M$45,'Ext Nontradable'!$B$26:$B$45,$B11,'Ext Nontradable'!$U$26:$U$45,"Existing Remains"))</f>
        <v/>
      </c>
      <c r="O11" s="703" t="str">
        <f>IF($B11="","",SUMIFS('Ext Nontradable'!$M$26:$M$45,'Ext Nontradable'!$B$26:$B$45,$B11,'Ext Nontradable'!$U$26:$U$45,"Existing Removed"))</f>
        <v/>
      </c>
      <c r="P11" s="703" t="str">
        <f>IF($B11="","",SUMIFS('Ext Nontradable'!$K$26:$K$45,'Ext Nontradable'!$B$26:$B$45,$B11,'Ext Nontradable'!$U$26:$U$45,"Existing Removed"))</f>
        <v/>
      </c>
      <c r="Q11" s="703" t="str">
        <f t="shared" si="2"/>
        <v/>
      </c>
      <c r="R11" s="703" t="str">
        <f t="shared" ref="R11:R59" si="7">IF(B11="","",IF($Y$6=TRUE,K11+L11+N11,K11+L11+Q11))</f>
        <v/>
      </c>
      <c r="S11" s="703">
        <f t="shared" ref="S11:S59" si="8">IFERROR(R11-I11,0)</f>
        <v>0</v>
      </c>
      <c r="T11" s="954">
        <f>T10-U11</f>
        <v>0</v>
      </c>
      <c r="U11" s="954">
        <f>IF(S11&lt;0,0,S11)</f>
        <v>0</v>
      </c>
      <c r="V11" s="711" t="str">
        <f>IFERROR(IF(T11&gt;0,U11+I11,I11),"")</f>
        <v/>
      </c>
      <c r="W11" s="712" t="str">
        <f>IF(OR($B11="",R11=0),"",IF(V11&gt;=R11,"Pass","Fail"))</f>
        <v/>
      </c>
      <c r="X11" s="857"/>
      <c r="Y11" s="720" t="str">
        <f t="shared" si="3"/>
        <v/>
      </c>
      <c r="Z11" s="721" t="str">
        <f t="shared" ref="Z11:Z59" si="9">IF(OR($Y$6=FALSE,$B11="",$Y11="",AA$6=FALSE),"",IF(Y11&gt;Y$9,"Fail","Pass"))</f>
        <v/>
      </c>
      <c r="AA11" s="721" t="str">
        <f t="shared" ref="AA11:AA59" si="10">IF(OR($Y$6=FALSE,$B11="",R11=0,AA$6=FALSE),"",IF(R11&gt;Q11,"Fail","Pass"))</f>
        <v/>
      </c>
      <c r="AB11" s="719" t="str">
        <f t="shared" si="4"/>
        <v/>
      </c>
      <c r="AC11" s="857"/>
      <c r="AD11" s="717" t="str">
        <f t="shared" ref="AD11:AD59" si="11">IF(OR($Y$6=FALSE,$B11="",R11=0,AA$6=FALSE),"",IF(M11=P11,"Pass","Fail"))</f>
        <v/>
      </c>
      <c r="AE11" s="718" t="str">
        <f t="shared" ref="AE11:AE59" si="12">IF(OR($Y$6=FALSE,AA$6=FALSE),"",W11)</f>
        <v/>
      </c>
      <c r="AF11" s="719" t="str">
        <f t="shared" si="5"/>
        <v/>
      </c>
      <c r="AG11" s="726"/>
      <c r="AH11" s="727" t="str">
        <f t="shared" ref="AH11:AH59" si="13">IF(OR(R11=0,B11=""),"",IF(AA$6=FALSE,"",IF(AB11="Pass","Pass Exception #1","Fail")))</f>
        <v/>
      </c>
      <c r="AI11" s="703" t="str">
        <f t="shared" ref="AI11:AI59" si="14">IF(OR(AB11="Pass",AF11="Pass"),0,R11)</f>
        <v/>
      </c>
      <c r="AJ11" s="703" t="str">
        <f t="shared" ref="AJ11:AJ59" si="15">IF(AI11&gt;0,I11,0)</f>
        <v/>
      </c>
      <c r="AL11" s="1075" t="str">
        <f t="shared" ref="AL11:AL59" si="16">IF(OR(W11="",B11=""),"",IF(OR(AND($Y$6=FALSE,$AA$6=FALSE),AND($Y$6=TRUE,$AA$6=FALSE)),W11,IF(AND(Y$6=TRUE,AA$6=TRUE),IF(AB11="Pass",AH11,IF(W11="Pass","Pass LPA","Fail")))))</f>
        <v/>
      </c>
      <c r="AM11" s="855" t="str">
        <f>IF(OR(W11="",B11=""),"",
IF(AND($Y$6=TRUE,$AA$6=TRUE),IF(AB11="Pass","#1",IF(OR(W11="Pass",$AJ$4=TRUE),"ALT","")),IF($Y$6=TRUE,"ALT","")))</f>
        <v/>
      </c>
      <c r="AN11" s="707" t="str">
        <f>IF(OR(AL11="Fail",AL11="Fail LPA",AL11=""),"",IF(AM11&lt;&gt;"#1",VLOOKUP(C11,'9.4.3 Tables'!B$156:O$164,14,FALSE),"No NEW controls required"))</f>
        <v/>
      </c>
      <c r="AO11" s="703">
        <f>IF(ISNUMBER(SEARCH("Fail",AL11))=TRUE,1,0)</f>
        <v>0</v>
      </c>
      <c r="AR11">
        <v>2</v>
      </c>
      <c r="AS11" s="15" t="str">
        <f t="shared" ref="AS11:AS59" si="17">IF(B11="","",CR11)</f>
        <v/>
      </c>
      <c r="AT11" s="700" t="str">
        <f ca="1">IF(INDIRECT("'Ext Nontradable'!$B" &amp; AT$9)=$B11,INDIRECT("'Ext Nontradable'!$" &amp; 'Ext Nontradable'!$AZ$23 &amp; AT$9),"")</f>
        <v/>
      </c>
      <c r="AU11" s="700" t="str">
        <f ca="1">IF(INDIRECT("'Ext Nontradable'!$B" &amp; AU$9)=$B11,INDIRECT("'Ext Nontradable'!$" &amp; 'Ext Nontradable'!$AZ$23 &amp; AU$9),"")</f>
        <v/>
      </c>
      <c r="AV11" s="700" t="str">
        <f ca="1">IF(INDIRECT("'Ext Nontradable'!$B" &amp; AV$9)=$B11,INDIRECT("'Ext Nontradable'!$" &amp; 'Ext Nontradable'!$AZ$23 &amp; AV$9),"")</f>
        <v/>
      </c>
      <c r="AW11" s="700" t="str">
        <f ca="1">IF(INDIRECT("'Ext Nontradable'!$B" &amp; AW$9)=$B11,INDIRECT("'Ext Nontradable'!$" &amp; 'Ext Nontradable'!$AZ$23 &amp; AW$9),"")</f>
        <v/>
      </c>
      <c r="AX11" s="700" t="str">
        <f ca="1">IF(INDIRECT("'Ext Nontradable'!$B" &amp; AX$9)=$B11,INDIRECT("'Ext Nontradable'!$" &amp; 'Ext Nontradable'!$AZ$23 &amp; AX$9),"")</f>
        <v/>
      </c>
      <c r="AY11" s="700" t="str">
        <f ca="1">IF(INDIRECT("'Ext Nontradable'!$B" &amp; AY$9)=$B11,INDIRECT("'Ext Nontradable'!$" &amp; 'Ext Nontradable'!$AZ$23 &amp; AY$9),"")</f>
        <v/>
      </c>
      <c r="AZ11" s="700" t="str">
        <f ca="1">IF(INDIRECT("'Ext Nontradable'!$B" &amp; AZ$9)=$B11,INDIRECT("'Ext Nontradable'!$" &amp; 'Ext Nontradable'!$AZ$23 &amp; AZ$9),"")</f>
        <v/>
      </c>
      <c r="BA11" s="700" t="str">
        <f ca="1">IF(INDIRECT("'Ext Nontradable'!$B" &amp; BA$9)=$B11,INDIRECT("'Ext Nontradable'!$" &amp; 'Ext Nontradable'!$AZ$23 &amp; BA$9),"")</f>
        <v/>
      </c>
      <c r="BB11" s="700" t="str">
        <f ca="1">IF(INDIRECT("'Ext Nontradable'!$B" &amp; BB$9)=$B11,INDIRECT("'Ext Nontradable'!$" &amp; 'Ext Nontradable'!$AZ$23 &amp; BB$9),"")</f>
        <v/>
      </c>
      <c r="BC11" s="700" t="str">
        <f ca="1">IF(INDIRECT("'Ext Nontradable'!$B" &amp; BC$9)=$B11,INDIRECT("'Ext Nontradable'!$" &amp; 'Ext Nontradable'!$AZ$23 &amp; BC$9),"")</f>
        <v/>
      </c>
      <c r="BD11" s="700" t="str">
        <f ca="1">IF(INDIRECT("'Ext Nontradable'!$B" &amp; BD$9)=$B11,INDIRECT("'Ext Nontradable'!$" &amp; 'Ext Nontradable'!$AZ$23 &amp; BD$9),"")</f>
        <v/>
      </c>
      <c r="BE11" s="700" t="str">
        <f ca="1">IF(INDIRECT("'Ext Nontradable'!$B" &amp; BE$9)=$B11,INDIRECT("'Ext Nontradable'!$" &amp; 'Ext Nontradable'!$AZ$23 &amp; BE$9),"")</f>
        <v/>
      </c>
      <c r="BF11" s="700" t="str">
        <f ca="1">IF(INDIRECT("'Ext Nontradable'!$B" &amp; BF$9)=$B11,INDIRECT("'Ext Nontradable'!$" &amp; 'Ext Nontradable'!$AZ$23 &amp; BF$9),"")</f>
        <v/>
      </c>
      <c r="BG11" s="700" t="str">
        <f ca="1">IF(INDIRECT("'Ext Nontradable'!$B" &amp; BG$9)=$B11,INDIRECT("'Ext Nontradable'!$" &amp; 'Ext Nontradable'!$AZ$23 &amp; BG$9),"")</f>
        <v/>
      </c>
      <c r="BH11" s="700" t="str">
        <f ca="1">IF(INDIRECT("'Ext Nontradable'!$B" &amp; BH$9)=$B11,INDIRECT("'Ext Nontradable'!$" &amp; 'Ext Nontradable'!$AZ$23 &amp; BH$9),"")</f>
        <v/>
      </c>
      <c r="BI11" s="700" t="str">
        <f ca="1">IF(INDIRECT("'Ext Nontradable'!$B" &amp; BI$9)=$B11,INDIRECT("'Ext Nontradable'!$" &amp; 'Ext Nontradable'!$AZ$23 &amp; BI$9),"")</f>
        <v/>
      </c>
      <c r="BJ11" s="700" t="str">
        <f ca="1">IF(INDIRECT("'Ext Nontradable'!$B" &amp; BJ$9)=$B11,INDIRECT("'Ext Nontradable'!$" &amp; 'Ext Nontradable'!$AZ$23 &amp; BJ$9),"")</f>
        <v/>
      </c>
      <c r="BK11" s="700" t="str">
        <f ca="1">IF(INDIRECT("'Ext Nontradable'!$B" &amp; BK$9)=$B11,INDIRECT("'Ext Nontradable'!$" &amp; 'Ext Nontradable'!$AZ$23 &amp; BK$9),"")</f>
        <v/>
      </c>
      <c r="BL11" s="700" t="str">
        <f ca="1">IF(INDIRECT("'Ext Nontradable'!$B" &amp; BL$9)=$B11,INDIRECT("'Ext Nontradable'!$" &amp; 'Ext Nontradable'!$AZ$23 &amp; BL$9),"")</f>
        <v/>
      </c>
      <c r="BM11" s="700" t="str">
        <f ca="1">IF(INDIRECT("'Ext Nontradable'!$B" &amp; BM$9)=$B11,INDIRECT("'Ext Nontradable'!$" &amp; 'Ext Nontradable'!$AZ$23 &amp; BM$9),"")</f>
        <v/>
      </c>
      <c r="BN11" s="700">
        <f ca="1">IF(INDIRECT("'Ext Nontradable'!$B" &amp; BN$9)=$B11,INDIRECT("'Ext Nontradable'!$" &amp; 'Ext Nontradable'!$AZ$23 &amp; BN$9),"")</f>
        <v>0</v>
      </c>
      <c r="BO11" s="700">
        <f ca="1">IF(INDIRECT("'Ext Nontradable'!$B" &amp; BO$9)=$B11,INDIRECT("'Ext Nontradable'!$" &amp; 'Ext Nontradable'!$AZ$23 &amp; BO$9),"")</f>
        <v>0</v>
      </c>
      <c r="BP11" s="700">
        <f ca="1">IF(INDIRECT("'Ext Nontradable'!$B" &amp; BP$9)=$B11,INDIRECT("'Ext Nontradable'!$" &amp; 'Ext Nontradable'!$AZ$23 &amp; BP$9),"")</f>
        <v>0</v>
      </c>
      <c r="BQ11" s="700">
        <f ca="1">IF(INDIRECT("'Ext Nontradable'!$B" &amp; BQ$9)=$B11,INDIRECT("'Ext Nontradable'!$" &amp; 'Ext Nontradable'!$AZ$23 &amp; BQ$9),"")</f>
        <v>0</v>
      </c>
      <c r="BR11" s="700">
        <f ca="1">IF(INDIRECT("'Ext Nontradable'!$B" &amp; BR$9)=$B11,INDIRECT("'Ext Nontradable'!$" &amp; 'Ext Nontradable'!$AZ$23 &amp; BR$9),"")</f>
        <v>0</v>
      </c>
      <c r="BS11" s="700">
        <f ca="1">IF(INDIRECT("'Ext Nontradable'!$B" &amp; BS$9)=$B11,INDIRECT("'Ext Nontradable'!$" &amp; 'Ext Nontradable'!$AZ$23 &amp; BS$9),"")</f>
        <v>0</v>
      </c>
      <c r="BT11" s="700">
        <f ca="1">IF(INDIRECT("'Ext Nontradable'!$B" &amp; BT$9)=$B11,INDIRECT("'Ext Nontradable'!$" &amp; 'Ext Nontradable'!$AZ$23 &amp; BT$9),"")</f>
        <v>0</v>
      </c>
      <c r="BU11" s="700">
        <f ca="1">IF(INDIRECT("'Ext Nontradable'!$B" &amp; BU$9)=$B11,INDIRECT("'Ext Nontradable'!$" &amp; 'Ext Nontradable'!$AZ$23 &amp; BU$9),"")</f>
        <v>0</v>
      </c>
      <c r="BV11" s="700">
        <f ca="1">IF(INDIRECT("'Ext Nontradable'!$B" &amp; BV$9)=$B11,INDIRECT("'Ext Nontradable'!$" &amp; 'Ext Nontradable'!$AZ$23 &amp; BV$9),"")</f>
        <v>0</v>
      </c>
      <c r="BW11" s="700">
        <f ca="1">IF(INDIRECT("'Ext Nontradable'!$B" &amp; BW$9)=$B11,INDIRECT("'Ext Nontradable'!$" &amp; 'Ext Nontradable'!$AZ$23 &amp; BW$9),"")</f>
        <v>0</v>
      </c>
      <c r="BX11" s="700">
        <f ca="1">IF(INDIRECT("'Ext Nontradable'!$B" &amp; BX$9)=$B11,INDIRECT("'Ext Nontradable'!$" &amp; 'Ext Nontradable'!$AZ$23 &amp; BX$9),"")</f>
        <v>0</v>
      </c>
      <c r="BY11" s="700">
        <f ca="1">IF(INDIRECT("'Ext Nontradable'!$B" &amp; BY$9)=$B11,INDIRECT("'Ext Nontradable'!$" &amp; 'Ext Nontradable'!$AZ$23 &amp; BY$9),"")</f>
        <v>0</v>
      </c>
      <c r="BZ11" s="700">
        <f ca="1">IF(INDIRECT("'Ext Nontradable'!$B" &amp; BZ$9)=$B11,INDIRECT("'Ext Nontradable'!$" &amp; 'Ext Nontradable'!$AZ$23 &amp; BZ$9),"")</f>
        <v>0</v>
      </c>
      <c r="CA11" s="700">
        <f ca="1">IF(INDIRECT("'Ext Nontradable'!$B" &amp; CA$9)=$B11,INDIRECT("'Ext Nontradable'!$" &amp; 'Ext Nontradable'!$AZ$23 &amp; CA$9),"")</f>
        <v>0</v>
      </c>
      <c r="CB11" s="700">
        <f ca="1">IF(INDIRECT("'Ext Nontradable'!$B" &amp; CB$9)=$B11,INDIRECT("'Ext Nontradable'!$" &amp; 'Ext Nontradable'!$AZ$23 &amp; CB$9),"")</f>
        <v>0</v>
      </c>
      <c r="CC11" s="700">
        <f ca="1">IF(INDIRECT("'Ext Nontradable'!$B" &amp; CC$9)=$B11,INDIRECT("'Ext Nontradable'!$" &amp; 'Ext Nontradable'!$AZ$23 &amp; CC$9),"")</f>
        <v>0</v>
      </c>
      <c r="CD11" s="700">
        <f ca="1">IF(INDIRECT("'Ext Nontradable'!$B" &amp; CD$9)=$B11,INDIRECT("'Ext Nontradable'!$" &amp; 'Ext Nontradable'!$AZ$23 &amp; CD$9),"")</f>
        <v>0</v>
      </c>
      <c r="CE11" s="700">
        <f ca="1">IF(INDIRECT("'Ext Nontradable'!$B" &amp; CE$9)=$B11,INDIRECT("'Ext Nontradable'!$" &amp; 'Ext Nontradable'!$AZ$23 &amp; CE$9),"")</f>
        <v>0</v>
      </c>
      <c r="CF11" s="700">
        <f ca="1">IF(INDIRECT("'Ext Nontradable'!$B" &amp; CF$9)=$B11,INDIRECT("'Ext Nontradable'!$" &amp; 'Ext Nontradable'!$AZ$23 &amp; CF$9),"")</f>
        <v>0</v>
      </c>
      <c r="CG11" s="700">
        <f ca="1">IF(INDIRECT("'Ext Nontradable'!$B" &amp; CG$9)=$B11,INDIRECT("'Ext Nontradable'!$" &amp; 'Ext Nontradable'!$AZ$23 &amp; CG$9),"")</f>
        <v>0</v>
      </c>
      <c r="CH11" s="700">
        <f ca="1">IF(INDIRECT("'Ext Nontradable'!$B" &amp; CH$9)=$B11,INDIRECT("'Ext Nontradable'!$" &amp; 'Ext Nontradable'!$AZ$23 &amp; CH$9),"")</f>
        <v>0</v>
      </c>
      <c r="CI11" s="700">
        <f ca="1">IF(INDIRECT("'Ext Nontradable'!$B" &amp; CI$9)=$B11,INDIRECT("'Ext Nontradable'!$" &amp; 'Ext Nontradable'!$AZ$23 &amp; CI$9),"")</f>
        <v>0</v>
      </c>
      <c r="CJ11" s="700">
        <f ca="1">IF(INDIRECT("'Ext Nontradable'!$B" &amp; CJ$9)=$B11,INDIRECT("'Ext Nontradable'!$" &amp; 'Ext Nontradable'!$AZ$23 &amp; CJ$9),"")</f>
        <v>0</v>
      </c>
      <c r="CK11" s="700">
        <f ca="1">IF(INDIRECT("'Ext Nontradable'!$B" &amp; CK$9)=$B11,INDIRECT("'Ext Nontradable'!$" &amp; 'Ext Nontradable'!$AZ$23 &amp; CK$9),"")</f>
        <v>0</v>
      </c>
      <c r="CL11" s="700">
        <f ca="1">IF(INDIRECT("'Ext Nontradable'!$B" &amp; CL$9)=$B11,INDIRECT("'Ext Nontradable'!$" &amp; 'Ext Nontradable'!$AZ$23 &amp; CL$9),"")</f>
        <v>0</v>
      </c>
      <c r="CM11" s="700">
        <f ca="1">IF(INDIRECT("'Ext Nontradable'!$B" &amp; CM$9)=$B11,INDIRECT("'Ext Nontradable'!$" &amp; 'Ext Nontradable'!$AZ$23 &amp; CM$9),"")</f>
        <v>0</v>
      </c>
      <c r="CN11" s="700">
        <f ca="1">IF(INDIRECT("'Ext Nontradable'!$B" &amp; CN$9)=$B11,INDIRECT("'Ext Nontradable'!$" &amp; 'Ext Nontradable'!$AZ$23 &amp; CN$9),"")</f>
        <v>0</v>
      </c>
      <c r="CO11" s="700">
        <f ca="1">IF(INDIRECT("'Ext Nontradable'!$B" &amp; CO$9)=$B11,INDIRECT("'Ext Nontradable'!$" &amp; 'Ext Nontradable'!$AZ$23 &amp; CO$9),"")</f>
        <v>0</v>
      </c>
      <c r="CP11" s="700">
        <f ca="1">IF(INDIRECT("'Ext Nontradable'!$B" &amp; CP$9)=$B11,INDIRECT("'Ext Nontradable'!$" &amp; 'Ext Nontradable'!$AZ$23 &amp; CP$9),"")</f>
        <v>0</v>
      </c>
      <c r="CQ11" s="700">
        <f ca="1">IF(INDIRECT("'Ext Nontradable'!$B" &amp; CQ$9)=$B11,INDIRECT("'Ext Nontradable'!$" &amp; 'Ext Nontradable'!$AZ$23 &amp; CQ$9),"")</f>
        <v>0</v>
      </c>
      <c r="CR11" s="702" t="str">
        <f t="shared" ca="1" si="6"/>
        <v>000000000000000000000000000000</v>
      </c>
    </row>
    <row r="12" spans="1:96" ht="60" customHeight="1" x14ac:dyDescent="0.25">
      <c r="A12" s="705">
        <v>3</v>
      </c>
      <c r="B12" s="707" t="str">
        <f>'Ext Area Schedule'!AK18</f>
        <v/>
      </c>
      <c r="C12" s="707" t="str">
        <f>VLOOKUP($B12,'Ext Area Schedule'!$AK$16:$AO$65,3,FALSE)</f>
        <v/>
      </c>
      <c r="D12" s="792" t="str">
        <f>VLOOKUP($B12,'Ext Area Schedule'!$AK$16:$AO$65,4,FALSE)</f>
        <v/>
      </c>
      <c r="F12" s="792" t="str">
        <f>VLOOKUP($B12,'Ext Area Schedule'!$AK$16:$AO$65,5,FALSE)</f>
        <v/>
      </c>
      <c r="G12" s="792" t="str">
        <f>VLOOKUP($B12,'Ext Area Schedule'!$AK$16:$AO$65,5,FALSE)</f>
        <v/>
      </c>
      <c r="I12" s="703" t="str">
        <f t="shared" si="1"/>
        <v/>
      </c>
      <c r="K12" s="703" t="str">
        <f>IF($B12="","",SUMIFS('Ext Nontradable'!$M$26:$M$45,'Ext Nontradable'!$B$26:$B$45,$B12,'Ext Nontradable'!$U$26:$U$45,"New"))</f>
        <v/>
      </c>
      <c r="L12" s="703" t="str">
        <f>IF($B12="","",SUMIFS('Ext Nontradable'!$M$26:$M$45,'Ext Nontradable'!$B$26:$B$45,$B12,'Ext Nontradable'!$U$26:$U$45,""))</f>
        <v/>
      </c>
      <c r="M12" s="703" t="str">
        <f>IF($B12="","",SUMIFS('Ext Nontradable'!$K$26:$K$45,'Ext Nontradable'!$B$26:$B$45,$B12,'Ext Nontradable'!$U$26:$U$45,"New")+SUMIFS('Ext Nontradable'!$K$26:$K$45,'Ext Nontradable'!$B$26:$B$45,$B12,'Ext Nontradable'!$U$26:$U$45,""))</f>
        <v/>
      </c>
      <c r="N12" s="703" t="str">
        <f>IF($B12="","",SUMIFS('Ext Nontradable'!$M$26:$M$45,'Ext Nontradable'!$B$26:$B$45,$B12,'Ext Nontradable'!$U$26:$U$45,"Existing Remains"))</f>
        <v/>
      </c>
      <c r="O12" s="703" t="str">
        <f>IF($B12="","",SUMIFS('Ext Nontradable'!$M$26:$M$45,'Ext Nontradable'!$B$26:$B$45,$B12,'Ext Nontradable'!$U$26:$U$45,"Existing Removed"))</f>
        <v/>
      </c>
      <c r="P12" s="703" t="str">
        <f>IF($B12="","",SUMIFS('Ext Nontradable'!$K$26:$K$45,'Ext Nontradable'!$B$26:$B$45,$B12,'Ext Nontradable'!$U$26:$U$45,"Existing Removed"))</f>
        <v/>
      </c>
      <c r="Q12" s="703" t="str">
        <f t="shared" si="2"/>
        <v/>
      </c>
      <c r="R12" s="703" t="str">
        <f t="shared" si="7"/>
        <v/>
      </c>
      <c r="S12" s="703">
        <f t="shared" si="8"/>
        <v>0</v>
      </c>
      <c r="T12" s="954">
        <f>T11-U12</f>
        <v>0</v>
      </c>
      <c r="U12" s="954">
        <f>IF(S12&lt;0,0,S12)</f>
        <v>0</v>
      </c>
      <c r="V12" s="1115" t="str">
        <f>IFERROR(IF(T12&gt;0,U12+I12,I12),"")</f>
        <v/>
      </c>
      <c r="W12" s="712" t="str">
        <f>IF(OR($B12="",R12=0),"",IF(V12&gt;=R12,"Pass","Fail"))</f>
        <v/>
      </c>
      <c r="X12" s="857"/>
      <c r="Y12" s="720" t="str">
        <f>IF(B12="","",IFERROR(O12/Q12,1))</f>
        <v/>
      </c>
      <c r="Z12" s="721" t="str">
        <f t="shared" si="9"/>
        <v/>
      </c>
      <c r="AA12" s="721" t="str">
        <f t="shared" si="10"/>
        <v/>
      </c>
      <c r="AB12" s="719" t="str">
        <f t="shared" si="4"/>
        <v/>
      </c>
      <c r="AC12" s="857"/>
      <c r="AD12" s="717" t="str">
        <f t="shared" si="11"/>
        <v/>
      </c>
      <c r="AE12" s="718" t="str">
        <f t="shared" si="12"/>
        <v/>
      </c>
      <c r="AF12" s="719" t="str">
        <f t="shared" si="5"/>
        <v/>
      </c>
      <c r="AG12" s="726"/>
      <c r="AH12" s="727" t="str">
        <f t="shared" si="13"/>
        <v/>
      </c>
      <c r="AI12" s="703" t="str">
        <f t="shared" si="14"/>
        <v/>
      </c>
      <c r="AJ12" s="703" t="str">
        <f t="shared" si="15"/>
        <v/>
      </c>
      <c r="AL12" s="1075" t="str">
        <f t="shared" si="16"/>
        <v/>
      </c>
      <c r="AM12" s="855" t="str">
        <f t="shared" ref="AM12:AM59" si="18">IF(OR(W12="",B12=""),"",
IF(AND($Y$6=TRUE,$AA$6=TRUE),IF(AB12="Pass","#1",IF(OR(W12="Pass",$AJ$4=TRUE),"ALT","")),IF($Y$6=TRUE,"ALT","")))</f>
        <v/>
      </c>
      <c r="AN12" s="707" t="str">
        <f>IF(OR(AL12="Fail",AL12="Fail LPA",AL12=""),"",IF(AM12&lt;&gt;"#1",VLOOKUP(C12,'9.4.3 Tables'!B$156:O$164,14,FALSE),"No NEW controls required"))</f>
        <v/>
      </c>
      <c r="AO12" s="703">
        <f t="shared" ref="AO12:AO59" si="19">IF(ISNUMBER(SEARCH("Fail",AL12))=TRUE,1,0)</f>
        <v>0</v>
      </c>
      <c r="AR12">
        <v>3</v>
      </c>
      <c r="AS12" s="15" t="str">
        <f t="shared" si="17"/>
        <v/>
      </c>
      <c r="AT12" s="700" t="str">
        <f ca="1">IF(INDIRECT("'Ext Nontradable'!$B" &amp; AT$9)=$B12,INDIRECT("'Ext Nontradable'!$" &amp; 'Ext Nontradable'!$AZ$23 &amp; AT$9),"")</f>
        <v/>
      </c>
      <c r="AU12" s="700" t="str">
        <f ca="1">IF(INDIRECT("'Ext Nontradable'!$B" &amp; AU$9)=$B12,INDIRECT("'Ext Nontradable'!$" &amp; 'Ext Nontradable'!$AZ$23 &amp; AU$9),"")</f>
        <v/>
      </c>
      <c r="AV12" s="700" t="str">
        <f ca="1">IF(INDIRECT("'Ext Nontradable'!$B" &amp; AV$9)=$B12,INDIRECT("'Ext Nontradable'!$" &amp; 'Ext Nontradable'!$AZ$23 &amp; AV$9),"")</f>
        <v/>
      </c>
      <c r="AW12" s="700" t="str">
        <f ca="1">IF(INDIRECT("'Ext Nontradable'!$B" &amp; AW$9)=$B12,INDIRECT("'Ext Nontradable'!$" &amp; 'Ext Nontradable'!$AZ$23 &amp; AW$9),"")</f>
        <v/>
      </c>
      <c r="AX12" s="700" t="str">
        <f ca="1">IF(INDIRECT("'Ext Nontradable'!$B" &amp; AX$9)=$B12,INDIRECT("'Ext Nontradable'!$" &amp; 'Ext Nontradable'!$AZ$23 &amp; AX$9),"")</f>
        <v/>
      </c>
      <c r="AY12" s="700" t="str">
        <f ca="1">IF(INDIRECT("'Ext Nontradable'!$B" &amp; AY$9)=$B12,INDIRECT("'Ext Nontradable'!$" &amp; 'Ext Nontradable'!$AZ$23 &amp; AY$9),"")</f>
        <v/>
      </c>
      <c r="AZ12" s="700" t="str">
        <f ca="1">IF(INDIRECT("'Ext Nontradable'!$B" &amp; AZ$9)=$B12,INDIRECT("'Ext Nontradable'!$" &amp; 'Ext Nontradable'!$AZ$23 &amp; AZ$9),"")</f>
        <v/>
      </c>
      <c r="BA12" s="700" t="str">
        <f ca="1">IF(INDIRECT("'Ext Nontradable'!$B" &amp; BA$9)=$B12,INDIRECT("'Ext Nontradable'!$" &amp; 'Ext Nontradable'!$AZ$23 &amp; BA$9),"")</f>
        <v/>
      </c>
      <c r="BB12" s="700" t="str">
        <f ca="1">IF(INDIRECT("'Ext Nontradable'!$B" &amp; BB$9)=$B12,INDIRECT("'Ext Nontradable'!$" &amp; 'Ext Nontradable'!$AZ$23 &amp; BB$9),"")</f>
        <v/>
      </c>
      <c r="BC12" s="700" t="str">
        <f ca="1">IF(INDIRECT("'Ext Nontradable'!$B" &amp; BC$9)=$B12,INDIRECT("'Ext Nontradable'!$" &amp; 'Ext Nontradable'!$AZ$23 &amp; BC$9),"")</f>
        <v/>
      </c>
      <c r="BD12" s="700" t="str">
        <f ca="1">IF(INDIRECT("'Ext Nontradable'!$B" &amp; BD$9)=$B12,INDIRECT("'Ext Nontradable'!$" &amp; 'Ext Nontradable'!$AZ$23 &amp; BD$9),"")</f>
        <v/>
      </c>
      <c r="BE12" s="700" t="str">
        <f ca="1">IF(INDIRECT("'Ext Nontradable'!$B" &amp; BE$9)=$B12,INDIRECT("'Ext Nontradable'!$" &amp; 'Ext Nontradable'!$AZ$23 &amp; BE$9),"")</f>
        <v/>
      </c>
      <c r="BF12" s="700" t="str">
        <f ca="1">IF(INDIRECT("'Ext Nontradable'!$B" &amp; BF$9)=$B12,INDIRECT("'Ext Nontradable'!$" &amp; 'Ext Nontradable'!$AZ$23 &amp; BF$9),"")</f>
        <v/>
      </c>
      <c r="BG12" s="700" t="str">
        <f ca="1">IF(INDIRECT("'Ext Nontradable'!$B" &amp; BG$9)=$B12,INDIRECT("'Ext Nontradable'!$" &amp; 'Ext Nontradable'!$AZ$23 &amp; BG$9),"")</f>
        <v/>
      </c>
      <c r="BH12" s="700" t="str">
        <f ca="1">IF(INDIRECT("'Ext Nontradable'!$B" &amp; BH$9)=$B12,INDIRECT("'Ext Nontradable'!$" &amp; 'Ext Nontradable'!$AZ$23 &amp; BH$9),"")</f>
        <v/>
      </c>
      <c r="BI12" s="700" t="str">
        <f ca="1">IF(INDIRECT("'Ext Nontradable'!$B" &amp; BI$9)=$B12,INDIRECT("'Ext Nontradable'!$" &amp; 'Ext Nontradable'!$AZ$23 &amp; BI$9),"")</f>
        <v/>
      </c>
      <c r="BJ12" s="700" t="str">
        <f ca="1">IF(INDIRECT("'Ext Nontradable'!$B" &amp; BJ$9)=$B12,INDIRECT("'Ext Nontradable'!$" &amp; 'Ext Nontradable'!$AZ$23 &amp; BJ$9),"")</f>
        <v/>
      </c>
      <c r="BK12" s="700" t="str">
        <f ca="1">IF(INDIRECT("'Ext Nontradable'!$B" &amp; BK$9)=$B12,INDIRECT("'Ext Nontradable'!$" &amp; 'Ext Nontradable'!$AZ$23 &amp; BK$9),"")</f>
        <v/>
      </c>
      <c r="BL12" s="700" t="str">
        <f ca="1">IF(INDIRECT("'Ext Nontradable'!$B" &amp; BL$9)=$B12,INDIRECT("'Ext Nontradable'!$" &amp; 'Ext Nontradable'!$AZ$23 &amp; BL$9),"")</f>
        <v/>
      </c>
      <c r="BM12" s="700" t="str">
        <f ca="1">IF(INDIRECT("'Ext Nontradable'!$B" &amp; BM$9)=$B12,INDIRECT("'Ext Nontradable'!$" &amp; 'Ext Nontradable'!$AZ$23 &amp; BM$9),"")</f>
        <v/>
      </c>
      <c r="BN12" s="700">
        <f ca="1">IF(INDIRECT("'Ext Nontradable'!$B" &amp; BN$9)=$B12,INDIRECT("'Ext Nontradable'!$" &amp; 'Ext Nontradable'!$AZ$23 &amp; BN$9),"")</f>
        <v>0</v>
      </c>
      <c r="BO12" s="700">
        <f ca="1">IF(INDIRECT("'Ext Nontradable'!$B" &amp; BO$9)=$B12,INDIRECT("'Ext Nontradable'!$" &amp; 'Ext Nontradable'!$AZ$23 &amp; BO$9),"")</f>
        <v>0</v>
      </c>
      <c r="BP12" s="700">
        <f ca="1">IF(INDIRECT("'Ext Nontradable'!$B" &amp; BP$9)=$B12,INDIRECT("'Ext Nontradable'!$" &amp; 'Ext Nontradable'!$AZ$23 &amp; BP$9),"")</f>
        <v>0</v>
      </c>
      <c r="BQ12" s="700">
        <f ca="1">IF(INDIRECT("'Ext Nontradable'!$B" &amp; BQ$9)=$B12,INDIRECT("'Ext Nontradable'!$" &amp; 'Ext Nontradable'!$AZ$23 &amp; BQ$9),"")</f>
        <v>0</v>
      </c>
      <c r="BR12" s="700">
        <f ca="1">IF(INDIRECT("'Ext Nontradable'!$B" &amp; BR$9)=$B12,INDIRECT("'Ext Nontradable'!$" &amp; 'Ext Nontradable'!$AZ$23 &amp; BR$9),"")</f>
        <v>0</v>
      </c>
      <c r="BS12" s="700">
        <f ca="1">IF(INDIRECT("'Ext Nontradable'!$B" &amp; BS$9)=$B12,INDIRECT("'Ext Nontradable'!$" &amp; 'Ext Nontradable'!$AZ$23 &amp; BS$9),"")</f>
        <v>0</v>
      </c>
      <c r="BT12" s="700">
        <f ca="1">IF(INDIRECT("'Ext Nontradable'!$B" &amp; BT$9)=$B12,INDIRECT("'Ext Nontradable'!$" &amp; 'Ext Nontradable'!$AZ$23 &amp; BT$9),"")</f>
        <v>0</v>
      </c>
      <c r="BU12" s="700">
        <f ca="1">IF(INDIRECT("'Ext Nontradable'!$B" &amp; BU$9)=$B12,INDIRECT("'Ext Nontradable'!$" &amp; 'Ext Nontradable'!$AZ$23 &amp; BU$9),"")</f>
        <v>0</v>
      </c>
      <c r="BV12" s="700">
        <f ca="1">IF(INDIRECT("'Ext Nontradable'!$B" &amp; BV$9)=$B12,INDIRECT("'Ext Nontradable'!$" &amp; 'Ext Nontradable'!$AZ$23 &amp; BV$9),"")</f>
        <v>0</v>
      </c>
      <c r="BW12" s="700">
        <f ca="1">IF(INDIRECT("'Ext Nontradable'!$B" &amp; BW$9)=$B12,INDIRECT("'Ext Nontradable'!$" &amp; 'Ext Nontradable'!$AZ$23 &amp; BW$9),"")</f>
        <v>0</v>
      </c>
      <c r="BX12" s="700">
        <f ca="1">IF(INDIRECT("'Ext Nontradable'!$B" &amp; BX$9)=$B12,INDIRECT("'Ext Nontradable'!$" &amp; 'Ext Nontradable'!$AZ$23 &amp; BX$9),"")</f>
        <v>0</v>
      </c>
      <c r="BY12" s="700">
        <f ca="1">IF(INDIRECT("'Ext Nontradable'!$B" &amp; BY$9)=$B12,INDIRECT("'Ext Nontradable'!$" &amp; 'Ext Nontradable'!$AZ$23 &amp; BY$9),"")</f>
        <v>0</v>
      </c>
      <c r="BZ12" s="700">
        <f ca="1">IF(INDIRECT("'Ext Nontradable'!$B" &amp; BZ$9)=$B12,INDIRECT("'Ext Nontradable'!$" &amp; 'Ext Nontradable'!$AZ$23 &amp; BZ$9),"")</f>
        <v>0</v>
      </c>
      <c r="CA12" s="700">
        <f ca="1">IF(INDIRECT("'Ext Nontradable'!$B" &amp; CA$9)=$B12,INDIRECT("'Ext Nontradable'!$" &amp; 'Ext Nontradable'!$AZ$23 &amp; CA$9),"")</f>
        <v>0</v>
      </c>
      <c r="CB12" s="700">
        <f ca="1">IF(INDIRECT("'Ext Nontradable'!$B" &amp; CB$9)=$B12,INDIRECT("'Ext Nontradable'!$" &amp; 'Ext Nontradable'!$AZ$23 &amp; CB$9),"")</f>
        <v>0</v>
      </c>
      <c r="CC12" s="700">
        <f ca="1">IF(INDIRECT("'Ext Nontradable'!$B" &amp; CC$9)=$B12,INDIRECT("'Ext Nontradable'!$" &amp; 'Ext Nontradable'!$AZ$23 &amp; CC$9),"")</f>
        <v>0</v>
      </c>
      <c r="CD12" s="700">
        <f ca="1">IF(INDIRECT("'Ext Nontradable'!$B" &amp; CD$9)=$B12,INDIRECT("'Ext Nontradable'!$" &amp; 'Ext Nontradable'!$AZ$23 &amp; CD$9),"")</f>
        <v>0</v>
      </c>
      <c r="CE12" s="700">
        <f ca="1">IF(INDIRECT("'Ext Nontradable'!$B" &amp; CE$9)=$B12,INDIRECT("'Ext Nontradable'!$" &amp; 'Ext Nontradable'!$AZ$23 &amp; CE$9),"")</f>
        <v>0</v>
      </c>
      <c r="CF12" s="700">
        <f ca="1">IF(INDIRECT("'Ext Nontradable'!$B" &amp; CF$9)=$B12,INDIRECT("'Ext Nontradable'!$" &amp; 'Ext Nontradable'!$AZ$23 &amp; CF$9),"")</f>
        <v>0</v>
      </c>
      <c r="CG12" s="700">
        <f ca="1">IF(INDIRECT("'Ext Nontradable'!$B" &amp; CG$9)=$B12,INDIRECT("'Ext Nontradable'!$" &amp; 'Ext Nontradable'!$AZ$23 &amp; CG$9),"")</f>
        <v>0</v>
      </c>
      <c r="CH12" s="700">
        <f ca="1">IF(INDIRECT("'Ext Nontradable'!$B" &amp; CH$9)=$B12,INDIRECT("'Ext Nontradable'!$" &amp; 'Ext Nontradable'!$AZ$23 &amp; CH$9),"")</f>
        <v>0</v>
      </c>
      <c r="CI12" s="700">
        <f ca="1">IF(INDIRECT("'Ext Nontradable'!$B" &amp; CI$9)=$B12,INDIRECT("'Ext Nontradable'!$" &amp; 'Ext Nontradable'!$AZ$23 &amp; CI$9),"")</f>
        <v>0</v>
      </c>
      <c r="CJ12" s="700">
        <f ca="1">IF(INDIRECT("'Ext Nontradable'!$B" &amp; CJ$9)=$B12,INDIRECT("'Ext Nontradable'!$" &amp; 'Ext Nontradable'!$AZ$23 &amp; CJ$9),"")</f>
        <v>0</v>
      </c>
      <c r="CK12" s="700">
        <f ca="1">IF(INDIRECT("'Ext Nontradable'!$B" &amp; CK$9)=$B12,INDIRECT("'Ext Nontradable'!$" &amp; 'Ext Nontradable'!$AZ$23 &amp; CK$9),"")</f>
        <v>0</v>
      </c>
      <c r="CL12" s="700">
        <f ca="1">IF(INDIRECT("'Ext Nontradable'!$B" &amp; CL$9)=$B12,INDIRECT("'Ext Nontradable'!$" &amp; 'Ext Nontradable'!$AZ$23 &amp; CL$9),"")</f>
        <v>0</v>
      </c>
      <c r="CM12" s="700">
        <f ca="1">IF(INDIRECT("'Ext Nontradable'!$B" &amp; CM$9)=$B12,INDIRECT("'Ext Nontradable'!$" &amp; 'Ext Nontradable'!$AZ$23 &amp; CM$9),"")</f>
        <v>0</v>
      </c>
      <c r="CN12" s="700">
        <f ca="1">IF(INDIRECT("'Ext Nontradable'!$B" &amp; CN$9)=$B12,INDIRECT("'Ext Nontradable'!$" &amp; 'Ext Nontradable'!$AZ$23 &amp; CN$9),"")</f>
        <v>0</v>
      </c>
      <c r="CO12" s="700">
        <f ca="1">IF(INDIRECT("'Ext Nontradable'!$B" &amp; CO$9)=$B12,INDIRECT("'Ext Nontradable'!$" &amp; 'Ext Nontradable'!$AZ$23 &amp; CO$9),"")</f>
        <v>0</v>
      </c>
      <c r="CP12" s="700">
        <f ca="1">IF(INDIRECT("'Ext Nontradable'!$B" &amp; CP$9)=$B12,INDIRECT("'Ext Nontradable'!$" &amp; 'Ext Nontradable'!$AZ$23 &amp; CP$9),"")</f>
        <v>0</v>
      </c>
      <c r="CQ12" s="700">
        <f ca="1">IF(INDIRECT("'Ext Nontradable'!$B" &amp; CQ$9)=$B12,INDIRECT("'Ext Nontradable'!$" &amp; 'Ext Nontradable'!$AZ$23 &amp; CQ$9),"")</f>
        <v>0</v>
      </c>
      <c r="CR12" s="702" t="str">
        <f t="shared" ca="1" si="6"/>
        <v>000000000000000000000000000000</v>
      </c>
    </row>
    <row r="13" spans="1:96" ht="60" customHeight="1" x14ac:dyDescent="0.25">
      <c r="A13" s="705">
        <v>4</v>
      </c>
      <c r="B13" s="707" t="str">
        <f>'Ext Area Schedule'!AK19</f>
        <v/>
      </c>
      <c r="C13" s="707" t="str">
        <f>VLOOKUP($B13,'Ext Area Schedule'!$AK$16:$AO$65,3,FALSE)</f>
        <v/>
      </c>
      <c r="D13" s="792" t="str">
        <f>VLOOKUP($B13,'Ext Area Schedule'!$AK$16:$AO$65,4,FALSE)</f>
        <v/>
      </c>
      <c r="F13" s="792" t="str">
        <f>VLOOKUP($B13,'Ext Area Schedule'!$AK$16:$AO$65,5,FALSE)</f>
        <v/>
      </c>
      <c r="G13" s="792" t="str">
        <f>VLOOKUP($B13,'Ext Area Schedule'!$AK$16:$AO$65,5,FALSE)</f>
        <v/>
      </c>
      <c r="I13" s="703" t="str">
        <f t="shared" si="1"/>
        <v/>
      </c>
      <c r="K13" s="703" t="str">
        <f>IF($B13="","",SUMIFS('Ext Nontradable'!$M$26:$M$45,'Ext Nontradable'!$B$26:$B$45,$B13,'Ext Nontradable'!$U$26:$U$45,"New"))</f>
        <v/>
      </c>
      <c r="L13" s="703" t="str">
        <f>IF($B13="","",SUMIFS('Ext Nontradable'!$M$26:$M$45,'Ext Nontradable'!$B$26:$B$45,$B13,'Ext Nontradable'!$U$26:$U$45,""))</f>
        <v/>
      </c>
      <c r="M13" s="703" t="str">
        <f>IF($B13="","",SUMIFS('Ext Nontradable'!$K$26:$K$45,'Ext Nontradable'!$B$26:$B$45,$B13,'Ext Nontradable'!$U$26:$U$45,"New")+SUMIFS('Ext Nontradable'!$K$26:$K$45,'Ext Nontradable'!$B$26:$B$45,$B13,'Ext Nontradable'!$U$26:$U$45,""))</f>
        <v/>
      </c>
      <c r="N13" s="703" t="str">
        <f>IF($B13="","",SUMIFS('Ext Nontradable'!$M$26:$M$45,'Ext Nontradable'!$B$26:$B$45,$B13,'Ext Nontradable'!$U$26:$U$45,"Existing Remains"))</f>
        <v/>
      </c>
      <c r="O13" s="703" t="str">
        <f>IF($B13="","",SUMIFS('Ext Nontradable'!$M$26:$M$45,'Ext Nontradable'!$B$26:$B$45,$B13,'Ext Nontradable'!$U$26:$U$45,"Existing Removed"))</f>
        <v/>
      </c>
      <c r="P13" s="703" t="str">
        <f>IF($B13="","",SUMIFS('Ext Nontradable'!$K$26:$K$45,'Ext Nontradable'!$B$26:$B$45,$B13,'Ext Nontradable'!$U$26:$U$45,"Existing Removed"))</f>
        <v/>
      </c>
      <c r="Q13" s="703" t="str">
        <f t="shared" si="2"/>
        <v/>
      </c>
      <c r="R13" s="703" t="str">
        <f t="shared" si="7"/>
        <v/>
      </c>
      <c r="S13" s="703">
        <f t="shared" si="8"/>
        <v>0</v>
      </c>
      <c r="T13" s="954">
        <f t="shared" ref="T13:T59" si="20">T12-U13</f>
        <v>0</v>
      </c>
      <c r="U13" s="954">
        <f t="shared" ref="U13:U59" si="21">IF(S13&lt;0,0,S13)</f>
        <v>0</v>
      </c>
      <c r="V13" s="1115" t="str">
        <f t="shared" ref="V13:V59" si="22">IFERROR(IF(T13&gt;0,U13+I13,I13),"")</f>
        <v/>
      </c>
      <c r="W13" s="712" t="str">
        <f t="shared" ref="W13:W59" si="23">IF(OR($B13="",R13=0),"",IF(V13&gt;=R13,"Pass","Fail"))</f>
        <v/>
      </c>
      <c r="X13" s="857"/>
      <c r="Y13" s="720" t="str">
        <f t="shared" ref="Y13:Y59" si="24">IF(B13="","",IFERROR(O13/Q13,1))</f>
        <v/>
      </c>
      <c r="Z13" s="721" t="str">
        <f t="shared" si="9"/>
        <v/>
      </c>
      <c r="AA13" s="721" t="str">
        <f t="shared" si="10"/>
        <v/>
      </c>
      <c r="AB13" s="719" t="str">
        <f t="shared" si="4"/>
        <v/>
      </c>
      <c r="AC13" s="857"/>
      <c r="AD13" s="717" t="str">
        <f t="shared" si="11"/>
        <v/>
      </c>
      <c r="AE13" s="718" t="str">
        <f t="shared" si="12"/>
        <v/>
      </c>
      <c r="AF13" s="719" t="str">
        <f t="shared" si="5"/>
        <v/>
      </c>
      <c r="AG13" s="726"/>
      <c r="AH13" s="727" t="str">
        <f t="shared" si="13"/>
        <v/>
      </c>
      <c r="AI13" s="703" t="str">
        <f t="shared" si="14"/>
        <v/>
      </c>
      <c r="AJ13" s="703" t="str">
        <f t="shared" si="15"/>
        <v/>
      </c>
      <c r="AL13" s="1075" t="str">
        <f t="shared" si="16"/>
        <v/>
      </c>
      <c r="AM13" s="855" t="str">
        <f t="shared" si="18"/>
        <v/>
      </c>
      <c r="AN13" s="707" t="str">
        <f>IF(OR(AL13="Fail",AL13="Fail LPA",AL13=""),"",IF(AM13&lt;&gt;"#1",VLOOKUP(C13,'9.4.3 Tables'!B$156:O$164,14,FALSE),"No NEW controls required"))</f>
        <v/>
      </c>
      <c r="AO13" s="703">
        <f t="shared" si="19"/>
        <v>0</v>
      </c>
      <c r="AR13">
        <v>4</v>
      </c>
      <c r="AS13" s="15" t="str">
        <f t="shared" si="17"/>
        <v/>
      </c>
      <c r="AT13" s="700" t="str">
        <f ca="1">IF(INDIRECT("'Ext Nontradable'!$B" &amp; AT$9)=$B13,INDIRECT("'Ext Nontradable'!$" &amp; 'Ext Nontradable'!$AZ$23 &amp; AT$9),"")</f>
        <v/>
      </c>
      <c r="AU13" s="700" t="str">
        <f ca="1">IF(INDIRECT("'Ext Nontradable'!$B" &amp; AU$9)=$B13,INDIRECT("'Ext Nontradable'!$" &amp; 'Ext Nontradable'!$AZ$23 &amp; AU$9),"")</f>
        <v/>
      </c>
      <c r="AV13" s="700" t="str">
        <f ca="1">IF(INDIRECT("'Ext Nontradable'!$B" &amp; AV$9)=$B13,INDIRECT("'Ext Nontradable'!$" &amp; 'Ext Nontradable'!$AZ$23 &amp; AV$9),"")</f>
        <v/>
      </c>
      <c r="AW13" s="700" t="str">
        <f ca="1">IF(INDIRECT("'Ext Nontradable'!$B" &amp; AW$9)=$B13,INDIRECT("'Ext Nontradable'!$" &amp; 'Ext Nontradable'!$AZ$23 &amp; AW$9),"")</f>
        <v/>
      </c>
      <c r="AX13" s="700" t="str">
        <f ca="1">IF(INDIRECT("'Ext Nontradable'!$B" &amp; AX$9)=$B13,INDIRECT("'Ext Nontradable'!$" &amp; 'Ext Nontradable'!$AZ$23 &amp; AX$9),"")</f>
        <v/>
      </c>
      <c r="AY13" s="700" t="str">
        <f ca="1">IF(INDIRECT("'Ext Nontradable'!$B" &amp; AY$9)=$B13,INDIRECT("'Ext Nontradable'!$" &amp; 'Ext Nontradable'!$AZ$23 &amp; AY$9),"")</f>
        <v/>
      </c>
      <c r="AZ13" s="700" t="str">
        <f ca="1">IF(INDIRECT("'Ext Nontradable'!$B" &amp; AZ$9)=$B13,INDIRECT("'Ext Nontradable'!$" &amp; 'Ext Nontradable'!$AZ$23 &amp; AZ$9),"")</f>
        <v/>
      </c>
      <c r="BA13" s="700" t="str">
        <f ca="1">IF(INDIRECT("'Ext Nontradable'!$B" &amp; BA$9)=$B13,INDIRECT("'Ext Nontradable'!$" &amp; 'Ext Nontradable'!$AZ$23 &amp; BA$9),"")</f>
        <v/>
      </c>
      <c r="BB13" s="700" t="str">
        <f ca="1">IF(INDIRECT("'Ext Nontradable'!$B" &amp; BB$9)=$B13,INDIRECT("'Ext Nontradable'!$" &amp; 'Ext Nontradable'!$AZ$23 &amp; BB$9),"")</f>
        <v/>
      </c>
      <c r="BC13" s="700" t="str">
        <f ca="1">IF(INDIRECT("'Ext Nontradable'!$B" &amp; BC$9)=$B13,INDIRECT("'Ext Nontradable'!$" &amp; 'Ext Nontradable'!$AZ$23 &amp; BC$9),"")</f>
        <v/>
      </c>
      <c r="BD13" s="700" t="str">
        <f ca="1">IF(INDIRECT("'Ext Nontradable'!$B" &amp; BD$9)=$B13,INDIRECT("'Ext Nontradable'!$" &amp; 'Ext Nontradable'!$AZ$23 &amp; BD$9),"")</f>
        <v/>
      </c>
      <c r="BE13" s="700" t="str">
        <f ca="1">IF(INDIRECT("'Ext Nontradable'!$B" &amp; BE$9)=$B13,INDIRECT("'Ext Nontradable'!$" &amp; 'Ext Nontradable'!$AZ$23 &amp; BE$9),"")</f>
        <v/>
      </c>
      <c r="BF13" s="700" t="str">
        <f ca="1">IF(INDIRECT("'Ext Nontradable'!$B" &amp; BF$9)=$B13,INDIRECT("'Ext Nontradable'!$" &amp; 'Ext Nontradable'!$AZ$23 &amp; BF$9),"")</f>
        <v/>
      </c>
      <c r="BG13" s="700" t="str">
        <f ca="1">IF(INDIRECT("'Ext Nontradable'!$B" &amp; BG$9)=$B13,INDIRECT("'Ext Nontradable'!$" &amp; 'Ext Nontradable'!$AZ$23 &amp; BG$9),"")</f>
        <v/>
      </c>
      <c r="BH13" s="700" t="str">
        <f ca="1">IF(INDIRECT("'Ext Nontradable'!$B" &amp; BH$9)=$B13,INDIRECT("'Ext Nontradable'!$" &amp; 'Ext Nontradable'!$AZ$23 &amp; BH$9),"")</f>
        <v/>
      </c>
      <c r="BI13" s="700" t="str">
        <f ca="1">IF(INDIRECT("'Ext Nontradable'!$B" &amp; BI$9)=$B13,INDIRECT("'Ext Nontradable'!$" &amp; 'Ext Nontradable'!$AZ$23 &amp; BI$9),"")</f>
        <v/>
      </c>
      <c r="BJ13" s="700" t="str">
        <f ca="1">IF(INDIRECT("'Ext Nontradable'!$B" &amp; BJ$9)=$B13,INDIRECT("'Ext Nontradable'!$" &amp; 'Ext Nontradable'!$AZ$23 &amp; BJ$9),"")</f>
        <v/>
      </c>
      <c r="BK13" s="700" t="str">
        <f ca="1">IF(INDIRECT("'Ext Nontradable'!$B" &amp; BK$9)=$B13,INDIRECT("'Ext Nontradable'!$" &amp; 'Ext Nontradable'!$AZ$23 &amp; BK$9),"")</f>
        <v/>
      </c>
      <c r="BL13" s="700" t="str">
        <f ca="1">IF(INDIRECT("'Ext Nontradable'!$B" &amp; BL$9)=$B13,INDIRECT("'Ext Nontradable'!$" &amp; 'Ext Nontradable'!$AZ$23 &amp; BL$9),"")</f>
        <v/>
      </c>
      <c r="BM13" s="700" t="str">
        <f ca="1">IF(INDIRECT("'Ext Nontradable'!$B" &amp; BM$9)=$B13,INDIRECT("'Ext Nontradable'!$" &amp; 'Ext Nontradable'!$AZ$23 &amp; BM$9),"")</f>
        <v/>
      </c>
      <c r="BN13" s="700">
        <f ca="1">IF(INDIRECT("'Ext Nontradable'!$B" &amp; BN$9)=$B13,INDIRECT("'Ext Nontradable'!$" &amp; 'Ext Nontradable'!$AZ$23 &amp; BN$9),"")</f>
        <v>0</v>
      </c>
      <c r="BO13" s="700">
        <f ca="1">IF(INDIRECT("'Ext Nontradable'!$B" &amp; BO$9)=$B13,INDIRECT("'Ext Nontradable'!$" &amp; 'Ext Nontradable'!$AZ$23 &amp; BO$9),"")</f>
        <v>0</v>
      </c>
      <c r="BP13" s="700">
        <f ca="1">IF(INDIRECT("'Ext Nontradable'!$B" &amp; BP$9)=$B13,INDIRECT("'Ext Nontradable'!$" &amp; 'Ext Nontradable'!$AZ$23 &amp; BP$9),"")</f>
        <v>0</v>
      </c>
      <c r="BQ13" s="700">
        <f ca="1">IF(INDIRECT("'Ext Nontradable'!$B" &amp; BQ$9)=$B13,INDIRECT("'Ext Nontradable'!$" &amp; 'Ext Nontradable'!$AZ$23 &amp; BQ$9),"")</f>
        <v>0</v>
      </c>
      <c r="BR13" s="700">
        <f ca="1">IF(INDIRECT("'Ext Nontradable'!$B" &amp; BR$9)=$B13,INDIRECT("'Ext Nontradable'!$" &amp; 'Ext Nontradable'!$AZ$23 &amp; BR$9),"")</f>
        <v>0</v>
      </c>
      <c r="BS13" s="700">
        <f ca="1">IF(INDIRECT("'Ext Nontradable'!$B" &amp; BS$9)=$B13,INDIRECT("'Ext Nontradable'!$" &amp; 'Ext Nontradable'!$AZ$23 &amp; BS$9),"")</f>
        <v>0</v>
      </c>
      <c r="BT13" s="700">
        <f ca="1">IF(INDIRECT("'Ext Nontradable'!$B" &amp; BT$9)=$B13,INDIRECT("'Ext Nontradable'!$" &amp; 'Ext Nontradable'!$AZ$23 &amp; BT$9),"")</f>
        <v>0</v>
      </c>
      <c r="BU13" s="700">
        <f ca="1">IF(INDIRECT("'Ext Nontradable'!$B" &amp; BU$9)=$B13,INDIRECT("'Ext Nontradable'!$" &amp; 'Ext Nontradable'!$AZ$23 &amp; BU$9),"")</f>
        <v>0</v>
      </c>
      <c r="BV13" s="700">
        <f ca="1">IF(INDIRECT("'Ext Nontradable'!$B" &amp; BV$9)=$B13,INDIRECT("'Ext Nontradable'!$" &amp; 'Ext Nontradable'!$AZ$23 &amp; BV$9),"")</f>
        <v>0</v>
      </c>
      <c r="BW13" s="700">
        <f ca="1">IF(INDIRECT("'Ext Nontradable'!$B" &amp; BW$9)=$B13,INDIRECT("'Ext Nontradable'!$" &amp; 'Ext Nontradable'!$AZ$23 &amp; BW$9),"")</f>
        <v>0</v>
      </c>
      <c r="BX13" s="700">
        <f ca="1">IF(INDIRECT("'Ext Nontradable'!$B" &amp; BX$9)=$B13,INDIRECT("'Ext Nontradable'!$" &amp; 'Ext Nontradable'!$AZ$23 &amp; BX$9),"")</f>
        <v>0</v>
      </c>
      <c r="BY13" s="700">
        <f ca="1">IF(INDIRECT("'Ext Nontradable'!$B" &amp; BY$9)=$B13,INDIRECT("'Ext Nontradable'!$" &amp; 'Ext Nontradable'!$AZ$23 &amp; BY$9),"")</f>
        <v>0</v>
      </c>
      <c r="BZ13" s="700">
        <f ca="1">IF(INDIRECT("'Ext Nontradable'!$B" &amp; BZ$9)=$B13,INDIRECT("'Ext Nontradable'!$" &amp; 'Ext Nontradable'!$AZ$23 &amp; BZ$9),"")</f>
        <v>0</v>
      </c>
      <c r="CA13" s="700">
        <f ca="1">IF(INDIRECT("'Ext Nontradable'!$B" &amp; CA$9)=$B13,INDIRECT("'Ext Nontradable'!$" &amp; 'Ext Nontradable'!$AZ$23 &amp; CA$9),"")</f>
        <v>0</v>
      </c>
      <c r="CB13" s="700">
        <f ca="1">IF(INDIRECT("'Ext Nontradable'!$B" &amp; CB$9)=$B13,INDIRECT("'Ext Nontradable'!$" &amp; 'Ext Nontradable'!$AZ$23 &amp; CB$9),"")</f>
        <v>0</v>
      </c>
      <c r="CC13" s="700">
        <f ca="1">IF(INDIRECT("'Ext Nontradable'!$B" &amp; CC$9)=$B13,INDIRECT("'Ext Nontradable'!$" &amp; 'Ext Nontradable'!$AZ$23 &amp; CC$9),"")</f>
        <v>0</v>
      </c>
      <c r="CD13" s="700">
        <f ca="1">IF(INDIRECT("'Ext Nontradable'!$B" &amp; CD$9)=$B13,INDIRECT("'Ext Nontradable'!$" &amp; 'Ext Nontradable'!$AZ$23 &amp; CD$9),"")</f>
        <v>0</v>
      </c>
      <c r="CE13" s="700">
        <f ca="1">IF(INDIRECT("'Ext Nontradable'!$B" &amp; CE$9)=$B13,INDIRECT("'Ext Nontradable'!$" &amp; 'Ext Nontradable'!$AZ$23 &amp; CE$9),"")</f>
        <v>0</v>
      </c>
      <c r="CF13" s="700">
        <f ca="1">IF(INDIRECT("'Ext Nontradable'!$B" &amp; CF$9)=$B13,INDIRECT("'Ext Nontradable'!$" &amp; 'Ext Nontradable'!$AZ$23 &amp; CF$9),"")</f>
        <v>0</v>
      </c>
      <c r="CG13" s="700">
        <f ca="1">IF(INDIRECT("'Ext Nontradable'!$B" &amp; CG$9)=$B13,INDIRECT("'Ext Nontradable'!$" &amp; 'Ext Nontradable'!$AZ$23 &amp; CG$9),"")</f>
        <v>0</v>
      </c>
      <c r="CH13" s="700">
        <f ca="1">IF(INDIRECT("'Ext Nontradable'!$B" &amp; CH$9)=$B13,INDIRECT("'Ext Nontradable'!$" &amp; 'Ext Nontradable'!$AZ$23 &amp; CH$9),"")</f>
        <v>0</v>
      </c>
      <c r="CI13" s="700">
        <f ca="1">IF(INDIRECT("'Ext Nontradable'!$B" &amp; CI$9)=$B13,INDIRECT("'Ext Nontradable'!$" &amp; 'Ext Nontradable'!$AZ$23 &amp; CI$9),"")</f>
        <v>0</v>
      </c>
      <c r="CJ13" s="700">
        <f ca="1">IF(INDIRECT("'Ext Nontradable'!$B" &amp; CJ$9)=$B13,INDIRECT("'Ext Nontradable'!$" &amp; 'Ext Nontradable'!$AZ$23 &amp; CJ$9),"")</f>
        <v>0</v>
      </c>
      <c r="CK13" s="700">
        <f ca="1">IF(INDIRECT("'Ext Nontradable'!$B" &amp; CK$9)=$B13,INDIRECT("'Ext Nontradable'!$" &amp; 'Ext Nontradable'!$AZ$23 &amp; CK$9),"")</f>
        <v>0</v>
      </c>
      <c r="CL13" s="700">
        <f ca="1">IF(INDIRECT("'Ext Nontradable'!$B" &amp; CL$9)=$B13,INDIRECT("'Ext Nontradable'!$" &amp; 'Ext Nontradable'!$AZ$23 &amp; CL$9),"")</f>
        <v>0</v>
      </c>
      <c r="CM13" s="700">
        <f ca="1">IF(INDIRECT("'Ext Nontradable'!$B" &amp; CM$9)=$B13,INDIRECT("'Ext Nontradable'!$" &amp; 'Ext Nontradable'!$AZ$23 &amp; CM$9),"")</f>
        <v>0</v>
      </c>
      <c r="CN13" s="700">
        <f ca="1">IF(INDIRECT("'Ext Nontradable'!$B" &amp; CN$9)=$B13,INDIRECT("'Ext Nontradable'!$" &amp; 'Ext Nontradable'!$AZ$23 &amp; CN$9),"")</f>
        <v>0</v>
      </c>
      <c r="CO13" s="700">
        <f ca="1">IF(INDIRECT("'Ext Nontradable'!$B" &amp; CO$9)=$B13,INDIRECT("'Ext Nontradable'!$" &amp; 'Ext Nontradable'!$AZ$23 &amp; CO$9),"")</f>
        <v>0</v>
      </c>
      <c r="CP13" s="700">
        <f ca="1">IF(INDIRECT("'Ext Nontradable'!$B" &amp; CP$9)=$B13,INDIRECT("'Ext Nontradable'!$" &amp; 'Ext Nontradable'!$AZ$23 &amp; CP$9),"")</f>
        <v>0</v>
      </c>
      <c r="CQ13" s="700">
        <f ca="1">IF(INDIRECT("'Ext Nontradable'!$B" &amp; CQ$9)=$B13,INDIRECT("'Ext Nontradable'!$" &amp; 'Ext Nontradable'!$AZ$23 &amp; CQ$9),"")</f>
        <v>0</v>
      </c>
      <c r="CR13" s="702" t="str">
        <f ca="1">CONCATENATE(AT13,AU13,AV13,AW13,AX13,AY13,AZ13,BA13,BB13,BC13,BD13,BE13,BF13,BG13,BH13,BI13,BJ13,BK13,BL13,BM13,BN13,BO13,BP13,BQ13,BR13,BS13,BT13,BU13,BV13,BW13,BX13,BY13,BZ13,CA13,CB13,CC13,CD13,CE13,CF13,CG13,CH13,CI13,CJ13,CK13,CL13,CM13,CN13,CO13,CP13,CQ13)</f>
        <v>000000000000000000000000000000</v>
      </c>
    </row>
    <row r="14" spans="1:96" ht="60" customHeight="1" x14ac:dyDescent="0.25">
      <c r="A14" s="705">
        <v>5</v>
      </c>
      <c r="B14" s="707" t="str">
        <f>'Ext Area Schedule'!AK20</f>
        <v/>
      </c>
      <c r="C14" s="707" t="str">
        <f>VLOOKUP($B14,'Ext Area Schedule'!$AK$16:$AO$65,3,FALSE)</f>
        <v/>
      </c>
      <c r="D14" s="792" t="str">
        <f>VLOOKUP($B14,'Ext Area Schedule'!$AK$16:$AO$65,4,FALSE)</f>
        <v/>
      </c>
      <c r="F14" s="792" t="str">
        <f>VLOOKUP($B14,'Ext Area Schedule'!$AK$16:$AO$65,5,FALSE)</f>
        <v/>
      </c>
      <c r="G14" s="792" t="str">
        <f>VLOOKUP($B14,'Ext Area Schedule'!$AK$16:$AO$65,5,FALSE)</f>
        <v/>
      </c>
      <c r="I14" s="703" t="str">
        <f t="shared" si="1"/>
        <v/>
      </c>
      <c r="K14" s="703" t="str">
        <f>IF($B14="","",SUMIFS('Ext Nontradable'!$M$26:$M$45,'Ext Nontradable'!$B$26:$B$45,$B14,'Ext Nontradable'!$U$26:$U$45,"New"))</f>
        <v/>
      </c>
      <c r="L14" s="703" t="str">
        <f>IF($B14="","",SUMIFS('Ext Nontradable'!$M$26:$M$45,'Ext Nontradable'!$B$26:$B$45,$B14,'Ext Nontradable'!$U$26:$U$45,""))</f>
        <v/>
      </c>
      <c r="M14" s="703" t="str">
        <f>IF($B14="","",SUMIFS('Ext Nontradable'!$K$26:$K$45,'Ext Nontradable'!$B$26:$B$45,$B14,'Ext Nontradable'!$U$26:$U$45,"New")+SUMIFS('Ext Nontradable'!$K$26:$K$45,'Ext Nontradable'!$B$26:$B$45,$B14,'Ext Nontradable'!$U$26:$U$45,""))</f>
        <v/>
      </c>
      <c r="N14" s="703" t="str">
        <f>IF($B14="","",SUMIFS('Ext Nontradable'!$M$26:$M$45,'Ext Nontradable'!$B$26:$B$45,$B14,'Ext Nontradable'!$U$26:$U$45,"Existing Remains"))</f>
        <v/>
      </c>
      <c r="O14" s="703" t="str">
        <f>IF($B14="","",SUMIFS('Ext Nontradable'!$M$26:$M$45,'Ext Nontradable'!$B$26:$B$45,$B14,'Ext Nontradable'!$U$26:$U$45,"Existing Removed"))</f>
        <v/>
      </c>
      <c r="P14" s="703" t="str">
        <f>IF($B14="","",SUMIFS('Ext Nontradable'!$K$26:$K$45,'Ext Nontradable'!$B$26:$B$45,$B14,'Ext Nontradable'!$U$26:$U$45,"Existing Removed"))</f>
        <v/>
      </c>
      <c r="Q14" s="703" t="str">
        <f t="shared" si="2"/>
        <v/>
      </c>
      <c r="R14" s="703" t="str">
        <f t="shared" si="7"/>
        <v/>
      </c>
      <c r="S14" s="703">
        <f t="shared" si="8"/>
        <v>0</v>
      </c>
      <c r="T14" s="954">
        <f t="shared" si="20"/>
        <v>0</v>
      </c>
      <c r="U14" s="954">
        <f t="shared" si="21"/>
        <v>0</v>
      </c>
      <c r="V14" s="1115" t="str">
        <f t="shared" si="22"/>
        <v/>
      </c>
      <c r="W14" s="712" t="str">
        <f t="shared" si="23"/>
        <v/>
      </c>
      <c r="X14" s="857"/>
      <c r="Y14" s="720" t="str">
        <f t="shared" si="24"/>
        <v/>
      </c>
      <c r="Z14" s="721" t="str">
        <f t="shared" si="9"/>
        <v/>
      </c>
      <c r="AA14" s="721" t="str">
        <f t="shared" si="10"/>
        <v/>
      </c>
      <c r="AB14" s="719" t="str">
        <f t="shared" si="4"/>
        <v/>
      </c>
      <c r="AC14" s="857"/>
      <c r="AD14" s="717" t="str">
        <f t="shared" si="11"/>
        <v/>
      </c>
      <c r="AE14" s="718" t="str">
        <f t="shared" si="12"/>
        <v/>
      </c>
      <c r="AF14" s="719" t="str">
        <f t="shared" si="5"/>
        <v/>
      </c>
      <c r="AG14" s="726"/>
      <c r="AH14" s="727" t="str">
        <f t="shared" si="13"/>
        <v/>
      </c>
      <c r="AI14" s="703" t="str">
        <f t="shared" si="14"/>
        <v/>
      </c>
      <c r="AJ14" s="703" t="str">
        <f t="shared" si="15"/>
        <v/>
      </c>
      <c r="AL14" s="1075" t="str">
        <f t="shared" si="16"/>
        <v/>
      </c>
      <c r="AM14" s="855" t="str">
        <f t="shared" si="18"/>
        <v/>
      </c>
      <c r="AN14" s="707" t="str">
        <f>IF(OR(AL14="Fail",AL14="Fail LPA",AL14=""),"",IF(AM14&lt;&gt;"#1",VLOOKUP(C14,'9.4.3 Tables'!B$156:O$164,14,FALSE),"No NEW controls required"))</f>
        <v/>
      </c>
      <c r="AO14" s="703">
        <f t="shared" si="19"/>
        <v>0</v>
      </c>
      <c r="AR14">
        <v>5</v>
      </c>
      <c r="AS14" s="15" t="str">
        <f t="shared" si="17"/>
        <v/>
      </c>
      <c r="AT14" s="700" t="str">
        <f ca="1">IF(INDIRECT("'Ext Nontradable'!$B" &amp; AT$9)=$B14,INDIRECT("'Ext Nontradable'!$" &amp; 'Ext Nontradable'!$AZ$23 &amp; AT$9),"")</f>
        <v/>
      </c>
      <c r="AU14" s="700" t="str">
        <f ca="1">IF(INDIRECT("'Ext Nontradable'!$B" &amp; AU$9)=$B14,INDIRECT("'Ext Nontradable'!$" &amp; 'Ext Nontradable'!$AZ$23 &amp; AU$9),"")</f>
        <v/>
      </c>
      <c r="AV14" s="700" t="str">
        <f ca="1">IF(INDIRECT("'Ext Nontradable'!$B" &amp; AV$9)=$B14,INDIRECT("'Ext Nontradable'!$" &amp; 'Ext Nontradable'!$AZ$23 &amp; AV$9),"")</f>
        <v/>
      </c>
      <c r="AW14" s="700" t="str">
        <f ca="1">IF(INDIRECT("'Ext Nontradable'!$B" &amp; AW$9)=$B14,INDIRECT("'Ext Nontradable'!$" &amp; 'Ext Nontradable'!$AZ$23 &amp; AW$9),"")</f>
        <v/>
      </c>
      <c r="AX14" s="700" t="str">
        <f ca="1">IF(INDIRECT("'Ext Nontradable'!$B" &amp; AX$9)=$B14,INDIRECT("'Ext Nontradable'!$" &amp; 'Ext Nontradable'!$AZ$23 &amp; AX$9),"")</f>
        <v/>
      </c>
      <c r="AY14" s="700" t="str">
        <f ca="1">IF(INDIRECT("'Ext Nontradable'!$B" &amp; AY$9)=$B14,INDIRECT("'Ext Nontradable'!$" &amp; 'Ext Nontradable'!$AZ$23 &amp; AY$9),"")</f>
        <v/>
      </c>
      <c r="AZ14" s="700" t="str">
        <f ca="1">IF(INDIRECT("'Ext Nontradable'!$B" &amp; AZ$9)=$B14,INDIRECT("'Ext Nontradable'!$" &amp; 'Ext Nontradable'!$AZ$23 &amp; AZ$9),"")</f>
        <v/>
      </c>
      <c r="BA14" s="700" t="str">
        <f ca="1">IF(INDIRECT("'Ext Nontradable'!$B" &amp; BA$9)=$B14,INDIRECT("'Ext Nontradable'!$" &amp; 'Ext Nontradable'!$AZ$23 &amp; BA$9),"")</f>
        <v/>
      </c>
      <c r="BB14" s="700" t="str">
        <f ca="1">IF(INDIRECT("'Ext Nontradable'!$B" &amp; BB$9)=$B14,INDIRECT("'Ext Nontradable'!$" &amp; 'Ext Nontradable'!$AZ$23 &amp; BB$9),"")</f>
        <v/>
      </c>
      <c r="BC14" s="700" t="str">
        <f ca="1">IF(INDIRECT("'Ext Nontradable'!$B" &amp; BC$9)=$B14,INDIRECT("'Ext Nontradable'!$" &amp; 'Ext Nontradable'!$AZ$23 &amp; BC$9),"")</f>
        <v/>
      </c>
      <c r="BD14" s="700" t="str">
        <f ca="1">IF(INDIRECT("'Ext Nontradable'!$B" &amp; BD$9)=$B14,INDIRECT("'Ext Nontradable'!$" &amp; 'Ext Nontradable'!$AZ$23 &amp; BD$9),"")</f>
        <v/>
      </c>
      <c r="BE14" s="700" t="str">
        <f ca="1">IF(INDIRECT("'Ext Nontradable'!$B" &amp; BE$9)=$B14,INDIRECT("'Ext Nontradable'!$" &amp; 'Ext Nontradable'!$AZ$23 &amp; BE$9),"")</f>
        <v/>
      </c>
      <c r="BF14" s="700" t="str">
        <f ca="1">IF(INDIRECT("'Ext Nontradable'!$B" &amp; BF$9)=$B14,INDIRECT("'Ext Nontradable'!$" &amp; 'Ext Nontradable'!$AZ$23 &amp; BF$9),"")</f>
        <v/>
      </c>
      <c r="BG14" s="700" t="str">
        <f ca="1">IF(INDIRECT("'Ext Nontradable'!$B" &amp; BG$9)=$B14,INDIRECT("'Ext Nontradable'!$" &amp; 'Ext Nontradable'!$AZ$23 &amp; BG$9),"")</f>
        <v/>
      </c>
      <c r="BH14" s="700" t="str">
        <f ca="1">IF(INDIRECT("'Ext Nontradable'!$B" &amp; BH$9)=$B14,INDIRECT("'Ext Nontradable'!$" &amp; 'Ext Nontradable'!$AZ$23 &amp; BH$9),"")</f>
        <v/>
      </c>
      <c r="BI14" s="700" t="str">
        <f ca="1">IF(INDIRECT("'Ext Nontradable'!$B" &amp; BI$9)=$B14,INDIRECT("'Ext Nontradable'!$" &amp; 'Ext Nontradable'!$AZ$23 &amp; BI$9),"")</f>
        <v/>
      </c>
      <c r="BJ14" s="700" t="str">
        <f ca="1">IF(INDIRECT("'Ext Nontradable'!$B" &amp; BJ$9)=$B14,INDIRECT("'Ext Nontradable'!$" &amp; 'Ext Nontradable'!$AZ$23 &amp; BJ$9),"")</f>
        <v/>
      </c>
      <c r="BK14" s="700" t="str">
        <f ca="1">IF(INDIRECT("'Ext Nontradable'!$B" &amp; BK$9)=$B14,INDIRECT("'Ext Nontradable'!$" &amp; 'Ext Nontradable'!$AZ$23 &amp; BK$9),"")</f>
        <v/>
      </c>
      <c r="BL14" s="700" t="str">
        <f ca="1">IF(INDIRECT("'Ext Nontradable'!$B" &amp; BL$9)=$B14,INDIRECT("'Ext Nontradable'!$" &amp; 'Ext Nontradable'!$AZ$23 &amp; BL$9),"")</f>
        <v/>
      </c>
      <c r="BM14" s="700" t="str">
        <f ca="1">IF(INDIRECT("'Ext Nontradable'!$B" &amp; BM$9)=$B14,INDIRECT("'Ext Nontradable'!$" &amp; 'Ext Nontradable'!$AZ$23 &amp; BM$9),"")</f>
        <v/>
      </c>
      <c r="BN14" s="700">
        <f ca="1">IF(INDIRECT("'Ext Nontradable'!$B" &amp; BN$9)=$B14,INDIRECT("'Ext Nontradable'!$" &amp; 'Ext Nontradable'!$AZ$23 &amp; BN$9),"")</f>
        <v>0</v>
      </c>
      <c r="BO14" s="700">
        <f ca="1">IF(INDIRECT("'Ext Nontradable'!$B" &amp; BO$9)=$B14,INDIRECT("'Ext Nontradable'!$" &amp; 'Ext Nontradable'!$AZ$23 &amp; BO$9),"")</f>
        <v>0</v>
      </c>
      <c r="BP14" s="700">
        <f ca="1">IF(INDIRECT("'Ext Nontradable'!$B" &amp; BP$9)=$B14,INDIRECT("'Ext Nontradable'!$" &amp; 'Ext Nontradable'!$AZ$23 &amp; BP$9),"")</f>
        <v>0</v>
      </c>
      <c r="BQ14" s="700">
        <f ca="1">IF(INDIRECT("'Ext Nontradable'!$B" &amp; BQ$9)=$B14,INDIRECT("'Ext Nontradable'!$" &amp; 'Ext Nontradable'!$AZ$23 &amp; BQ$9),"")</f>
        <v>0</v>
      </c>
      <c r="BR14" s="700">
        <f ca="1">IF(INDIRECT("'Ext Nontradable'!$B" &amp; BR$9)=$B14,INDIRECT("'Ext Nontradable'!$" &amp; 'Ext Nontradable'!$AZ$23 &amp; BR$9),"")</f>
        <v>0</v>
      </c>
      <c r="BS14" s="700">
        <f ca="1">IF(INDIRECT("'Ext Nontradable'!$B" &amp; BS$9)=$B14,INDIRECT("'Ext Nontradable'!$" &amp; 'Ext Nontradable'!$AZ$23 &amp; BS$9),"")</f>
        <v>0</v>
      </c>
      <c r="BT14" s="700">
        <f ca="1">IF(INDIRECT("'Ext Nontradable'!$B" &amp; BT$9)=$B14,INDIRECT("'Ext Nontradable'!$" &amp; 'Ext Nontradable'!$AZ$23 &amp; BT$9),"")</f>
        <v>0</v>
      </c>
      <c r="BU14" s="700">
        <f ca="1">IF(INDIRECT("'Ext Nontradable'!$B" &amp; BU$9)=$B14,INDIRECT("'Ext Nontradable'!$" &amp; 'Ext Nontradable'!$AZ$23 &amp; BU$9),"")</f>
        <v>0</v>
      </c>
      <c r="BV14" s="700">
        <f ca="1">IF(INDIRECT("'Ext Nontradable'!$B" &amp; BV$9)=$B14,INDIRECT("'Ext Nontradable'!$" &amp; 'Ext Nontradable'!$AZ$23 &amp; BV$9),"")</f>
        <v>0</v>
      </c>
      <c r="BW14" s="700">
        <f ca="1">IF(INDIRECT("'Ext Nontradable'!$B" &amp; BW$9)=$B14,INDIRECT("'Ext Nontradable'!$" &amp; 'Ext Nontradable'!$AZ$23 &amp; BW$9),"")</f>
        <v>0</v>
      </c>
      <c r="BX14" s="700">
        <f ca="1">IF(INDIRECT("'Ext Nontradable'!$B" &amp; BX$9)=$B14,INDIRECT("'Ext Nontradable'!$" &amp; 'Ext Nontradable'!$AZ$23 &amp; BX$9),"")</f>
        <v>0</v>
      </c>
      <c r="BY14" s="700">
        <f ca="1">IF(INDIRECT("'Ext Nontradable'!$B" &amp; BY$9)=$B14,INDIRECT("'Ext Nontradable'!$" &amp; 'Ext Nontradable'!$AZ$23 &amp; BY$9),"")</f>
        <v>0</v>
      </c>
      <c r="BZ14" s="700">
        <f ca="1">IF(INDIRECT("'Ext Nontradable'!$B" &amp; BZ$9)=$B14,INDIRECT("'Ext Nontradable'!$" &amp; 'Ext Nontradable'!$AZ$23 &amp; BZ$9),"")</f>
        <v>0</v>
      </c>
      <c r="CA14" s="700">
        <f ca="1">IF(INDIRECT("'Ext Nontradable'!$B" &amp; CA$9)=$B14,INDIRECT("'Ext Nontradable'!$" &amp; 'Ext Nontradable'!$AZ$23 &amp; CA$9),"")</f>
        <v>0</v>
      </c>
      <c r="CB14" s="700">
        <f ca="1">IF(INDIRECT("'Ext Nontradable'!$B" &amp; CB$9)=$B14,INDIRECT("'Ext Nontradable'!$" &amp; 'Ext Nontradable'!$AZ$23 &amp; CB$9),"")</f>
        <v>0</v>
      </c>
      <c r="CC14" s="700">
        <f ca="1">IF(INDIRECT("'Ext Nontradable'!$B" &amp; CC$9)=$B14,INDIRECT("'Ext Nontradable'!$" &amp; 'Ext Nontradable'!$AZ$23 &amp; CC$9),"")</f>
        <v>0</v>
      </c>
      <c r="CD14" s="700">
        <f ca="1">IF(INDIRECT("'Ext Nontradable'!$B" &amp; CD$9)=$B14,INDIRECT("'Ext Nontradable'!$" &amp; 'Ext Nontradable'!$AZ$23 &amp; CD$9),"")</f>
        <v>0</v>
      </c>
      <c r="CE14" s="700">
        <f ca="1">IF(INDIRECT("'Ext Nontradable'!$B" &amp; CE$9)=$B14,INDIRECT("'Ext Nontradable'!$" &amp; 'Ext Nontradable'!$AZ$23 &amp; CE$9),"")</f>
        <v>0</v>
      </c>
      <c r="CF14" s="700">
        <f ca="1">IF(INDIRECT("'Ext Nontradable'!$B" &amp; CF$9)=$B14,INDIRECT("'Ext Nontradable'!$" &amp; 'Ext Nontradable'!$AZ$23 &amp; CF$9),"")</f>
        <v>0</v>
      </c>
      <c r="CG14" s="700">
        <f ca="1">IF(INDIRECT("'Ext Nontradable'!$B" &amp; CG$9)=$B14,INDIRECT("'Ext Nontradable'!$" &amp; 'Ext Nontradable'!$AZ$23 &amp; CG$9),"")</f>
        <v>0</v>
      </c>
      <c r="CH14" s="700">
        <f ca="1">IF(INDIRECT("'Ext Nontradable'!$B" &amp; CH$9)=$B14,INDIRECT("'Ext Nontradable'!$" &amp; 'Ext Nontradable'!$AZ$23 &amp; CH$9),"")</f>
        <v>0</v>
      </c>
      <c r="CI14" s="700">
        <f ca="1">IF(INDIRECT("'Ext Nontradable'!$B" &amp; CI$9)=$B14,INDIRECT("'Ext Nontradable'!$" &amp; 'Ext Nontradable'!$AZ$23 &amp; CI$9),"")</f>
        <v>0</v>
      </c>
      <c r="CJ14" s="700">
        <f ca="1">IF(INDIRECT("'Ext Nontradable'!$B" &amp; CJ$9)=$B14,INDIRECT("'Ext Nontradable'!$" &amp; 'Ext Nontradable'!$AZ$23 &amp; CJ$9),"")</f>
        <v>0</v>
      </c>
      <c r="CK14" s="700">
        <f ca="1">IF(INDIRECT("'Ext Nontradable'!$B" &amp; CK$9)=$B14,INDIRECT("'Ext Nontradable'!$" &amp; 'Ext Nontradable'!$AZ$23 &amp; CK$9),"")</f>
        <v>0</v>
      </c>
      <c r="CL14" s="700">
        <f ca="1">IF(INDIRECT("'Ext Nontradable'!$B" &amp; CL$9)=$B14,INDIRECT("'Ext Nontradable'!$" &amp; 'Ext Nontradable'!$AZ$23 &amp; CL$9),"")</f>
        <v>0</v>
      </c>
      <c r="CM14" s="700">
        <f ca="1">IF(INDIRECT("'Ext Nontradable'!$B" &amp; CM$9)=$B14,INDIRECT("'Ext Nontradable'!$" &amp; 'Ext Nontradable'!$AZ$23 &amp; CM$9),"")</f>
        <v>0</v>
      </c>
      <c r="CN14" s="700">
        <f ca="1">IF(INDIRECT("'Ext Nontradable'!$B" &amp; CN$9)=$B14,INDIRECT("'Ext Nontradable'!$" &amp; 'Ext Nontradable'!$AZ$23 &amp; CN$9),"")</f>
        <v>0</v>
      </c>
      <c r="CO14" s="700">
        <f ca="1">IF(INDIRECT("'Ext Nontradable'!$B" &amp; CO$9)=$B14,INDIRECT("'Ext Nontradable'!$" &amp; 'Ext Nontradable'!$AZ$23 &amp; CO$9),"")</f>
        <v>0</v>
      </c>
      <c r="CP14" s="700">
        <f ca="1">IF(INDIRECT("'Ext Nontradable'!$B" &amp; CP$9)=$B14,INDIRECT("'Ext Nontradable'!$" &amp; 'Ext Nontradable'!$AZ$23 &amp; CP$9),"")</f>
        <v>0</v>
      </c>
      <c r="CQ14" s="700">
        <f ca="1">IF(INDIRECT("'Ext Nontradable'!$B" &amp; CQ$9)=$B14,INDIRECT("'Ext Nontradable'!$" &amp; 'Ext Nontradable'!$AZ$23 &amp; CQ$9),"")</f>
        <v>0</v>
      </c>
      <c r="CR14" s="702" t="str">
        <f t="shared" ref="CR14:CR59" ca="1" si="25">CONCATENATE(AT14,AU14,AV14,AW14,AX14,AY14,AZ14,BA14,BB14,BC14,BD14,BE14,BF14,BG14,BH14,BI14,BJ14,BK14,BL14,BM14,BN14,BO14,BP14,BQ14,BR14,BS14,BT14,BU14,BV14,BW14,BX14,BY14,BZ14,CA14,CB14,CC14,CD14,CE14,CF14,CG14,CH14,CI14,CJ14,CK14,CL14,CM14,CN14,CO14,CP14,CQ14)</f>
        <v>000000000000000000000000000000</v>
      </c>
    </row>
    <row r="15" spans="1:96" ht="60" customHeight="1" x14ac:dyDescent="0.25">
      <c r="A15" s="705">
        <v>6</v>
      </c>
      <c r="B15" s="707" t="str">
        <f>'Ext Area Schedule'!AK21</f>
        <v/>
      </c>
      <c r="C15" s="707" t="str">
        <f>VLOOKUP($B15,'Ext Area Schedule'!$AK$16:$AO$65,3,FALSE)</f>
        <v/>
      </c>
      <c r="D15" s="792" t="str">
        <f>VLOOKUP($B15,'Ext Area Schedule'!$AK$16:$AO$65,4,FALSE)</f>
        <v/>
      </c>
      <c r="F15" s="792" t="str">
        <f>VLOOKUP($B15,'Ext Area Schedule'!$AK$16:$AO$65,5,FALSE)</f>
        <v/>
      </c>
      <c r="G15" s="792" t="str">
        <f>VLOOKUP($B15,'Ext Area Schedule'!$AK$16:$AO$65,5,FALSE)</f>
        <v/>
      </c>
      <c r="I15" s="703" t="str">
        <f t="shared" si="1"/>
        <v/>
      </c>
      <c r="K15" s="703" t="str">
        <f>IF($B15="","",SUMIFS('Ext Nontradable'!$M$26:$M$45,'Ext Nontradable'!$B$26:$B$45,$B15,'Ext Nontradable'!$U$26:$U$45,"New"))</f>
        <v/>
      </c>
      <c r="L15" s="703" t="str">
        <f>IF($B15="","",SUMIFS('Ext Nontradable'!$M$26:$M$45,'Ext Nontradable'!$B$26:$B$45,$B15,'Ext Nontradable'!$U$26:$U$45,""))</f>
        <v/>
      </c>
      <c r="M15" s="703" t="str">
        <f>IF($B15="","",SUMIFS('Ext Nontradable'!$K$26:$K$45,'Ext Nontradable'!$B$26:$B$45,$B15,'Ext Nontradable'!$U$26:$U$45,"New")+SUMIFS('Ext Nontradable'!$K$26:$K$45,'Ext Nontradable'!$B$26:$B$45,$B15,'Ext Nontradable'!$U$26:$U$45,""))</f>
        <v/>
      </c>
      <c r="N15" s="703" t="str">
        <f>IF($B15="","",SUMIFS('Ext Nontradable'!$M$26:$M$45,'Ext Nontradable'!$B$26:$B$45,$B15,'Ext Nontradable'!$U$26:$U$45,"Existing Remains"))</f>
        <v/>
      </c>
      <c r="O15" s="703" t="str">
        <f>IF($B15="","",SUMIFS('Ext Nontradable'!$M$26:$M$45,'Ext Nontradable'!$B$26:$B$45,$B15,'Ext Nontradable'!$U$26:$U$45,"Existing Removed"))</f>
        <v/>
      </c>
      <c r="P15" s="703" t="str">
        <f>IF($B15="","",SUMIFS('Ext Nontradable'!$K$26:$K$45,'Ext Nontradable'!$B$26:$B$45,$B15,'Ext Nontradable'!$U$26:$U$45,"Existing Removed"))</f>
        <v/>
      </c>
      <c r="Q15" s="703" t="str">
        <f t="shared" si="2"/>
        <v/>
      </c>
      <c r="R15" s="703" t="str">
        <f t="shared" si="7"/>
        <v/>
      </c>
      <c r="S15" s="703">
        <f t="shared" si="8"/>
        <v>0</v>
      </c>
      <c r="T15" s="954">
        <f t="shared" si="20"/>
        <v>0</v>
      </c>
      <c r="U15" s="954">
        <f t="shared" si="21"/>
        <v>0</v>
      </c>
      <c r="V15" s="1115" t="str">
        <f t="shared" si="22"/>
        <v/>
      </c>
      <c r="W15" s="712" t="str">
        <f t="shared" si="23"/>
        <v/>
      </c>
      <c r="X15" s="857"/>
      <c r="Y15" s="720" t="str">
        <f t="shared" si="24"/>
        <v/>
      </c>
      <c r="Z15" s="721" t="str">
        <f t="shared" si="9"/>
        <v/>
      </c>
      <c r="AA15" s="721" t="str">
        <f t="shared" si="10"/>
        <v/>
      </c>
      <c r="AB15" s="719" t="str">
        <f t="shared" si="4"/>
        <v/>
      </c>
      <c r="AC15" s="857"/>
      <c r="AD15" s="717" t="str">
        <f t="shared" si="11"/>
        <v/>
      </c>
      <c r="AE15" s="718" t="str">
        <f t="shared" si="12"/>
        <v/>
      </c>
      <c r="AF15" s="719" t="str">
        <f t="shared" si="5"/>
        <v/>
      </c>
      <c r="AG15" s="726"/>
      <c r="AH15" s="727" t="str">
        <f t="shared" si="13"/>
        <v/>
      </c>
      <c r="AI15" s="703" t="str">
        <f t="shared" si="14"/>
        <v/>
      </c>
      <c r="AJ15" s="703" t="str">
        <f t="shared" si="15"/>
        <v/>
      </c>
      <c r="AL15" s="1075" t="str">
        <f t="shared" si="16"/>
        <v/>
      </c>
      <c r="AM15" s="855" t="str">
        <f t="shared" si="18"/>
        <v/>
      </c>
      <c r="AN15" s="707" t="str">
        <f>IF(OR(AL15="Fail",AL15="Fail LPA",AL15=""),"",IF(AM15&lt;&gt;"#1",VLOOKUP(C15,'9.4.3 Tables'!B$156:O$164,14,FALSE),"No NEW controls required"))</f>
        <v/>
      </c>
      <c r="AO15" s="703">
        <f t="shared" si="19"/>
        <v>0</v>
      </c>
      <c r="AR15">
        <v>6</v>
      </c>
      <c r="AS15" s="15" t="str">
        <f t="shared" si="17"/>
        <v/>
      </c>
      <c r="AT15" s="700" t="str">
        <f ca="1">IF(INDIRECT("'Ext Nontradable'!$B" &amp; AT$9)=$B15,INDIRECT("'Ext Nontradable'!$" &amp; 'Ext Nontradable'!$AZ$23 &amp; AT$9),"")</f>
        <v/>
      </c>
      <c r="AU15" s="700" t="str">
        <f ca="1">IF(INDIRECT("'Ext Nontradable'!$B" &amp; AU$9)=$B15,INDIRECT("'Ext Nontradable'!$" &amp; 'Ext Nontradable'!$AZ$23 &amp; AU$9),"")</f>
        <v/>
      </c>
      <c r="AV15" s="700" t="str">
        <f ca="1">IF(INDIRECT("'Ext Nontradable'!$B" &amp; AV$9)=$B15,INDIRECT("'Ext Nontradable'!$" &amp; 'Ext Nontradable'!$AZ$23 &amp; AV$9),"")</f>
        <v/>
      </c>
      <c r="AW15" s="700" t="str">
        <f ca="1">IF(INDIRECT("'Ext Nontradable'!$B" &amp; AW$9)=$B15,INDIRECT("'Ext Nontradable'!$" &amp; 'Ext Nontradable'!$AZ$23 &amp; AW$9),"")</f>
        <v/>
      </c>
      <c r="AX15" s="700" t="str">
        <f ca="1">IF(INDIRECT("'Ext Nontradable'!$B" &amp; AX$9)=$B15,INDIRECT("'Ext Nontradable'!$" &amp; 'Ext Nontradable'!$AZ$23 &amp; AX$9),"")</f>
        <v/>
      </c>
      <c r="AY15" s="700" t="str">
        <f ca="1">IF(INDIRECT("'Ext Nontradable'!$B" &amp; AY$9)=$B15,INDIRECT("'Ext Nontradable'!$" &amp; 'Ext Nontradable'!$AZ$23 &amp; AY$9),"")</f>
        <v/>
      </c>
      <c r="AZ15" s="700" t="str">
        <f ca="1">IF(INDIRECT("'Ext Nontradable'!$B" &amp; AZ$9)=$B15,INDIRECT("'Ext Nontradable'!$" &amp; 'Ext Nontradable'!$AZ$23 &amp; AZ$9),"")</f>
        <v/>
      </c>
      <c r="BA15" s="700" t="str">
        <f ca="1">IF(INDIRECT("'Ext Nontradable'!$B" &amp; BA$9)=$B15,INDIRECT("'Ext Nontradable'!$" &amp; 'Ext Nontradable'!$AZ$23 &amp; BA$9),"")</f>
        <v/>
      </c>
      <c r="BB15" s="700" t="str">
        <f ca="1">IF(INDIRECT("'Ext Nontradable'!$B" &amp; BB$9)=$B15,INDIRECT("'Ext Nontradable'!$" &amp; 'Ext Nontradable'!$AZ$23 &amp; BB$9),"")</f>
        <v/>
      </c>
      <c r="BC15" s="700" t="str">
        <f ca="1">IF(INDIRECT("'Ext Nontradable'!$B" &amp; BC$9)=$B15,INDIRECT("'Ext Nontradable'!$" &amp; 'Ext Nontradable'!$AZ$23 &amp; BC$9),"")</f>
        <v/>
      </c>
      <c r="BD15" s="700" t="str">
        <f ca="1">IF(INDIRECT("'Ext Nontradable'!$B" &amp; BD$9)=$B15,INDIRECT("'Ext Nontradable'!$" &amp; 'Ext Nontradable'!$AZ$23 &amp; BD$9),"")</f>
        <v/>
      </c>
      <c r="BE15" s="700" t="str">
        <f ca="1">IF(INDIRECT("'Ext Nontradable'!$B" &amp; BE$9)=$B15,INDIRECT("'Ext Nontradable'!$" &amp; 'Ext Nontradable'!$AZ$23 &amp; BE$9),"")</f>
        <v/>
      </c>
      <c r="BF15" s="700" t="str">
        <f ca="1">IF(INDIRECT("'Ext Nontradable'!$B" &amp; BF$9)=$B15,INDIRECT("'Ext Nontradable'!$" &amp; 'Ext Nontradable'!$AZ$23 &amp; BF$9),"")</f>
        <v/>
      </c>
      <c r="BG15" s="700" t="str">
        <f ca="1">IF(INDIRECT("'Ext Nontradable'!$B" &amp; BG$9)=$B15,INDIRECT("'Ext Nontradable'!$" &amp; 'Ext Nontradable'!$AZ$23 &amp; BG$9),"")</f>
        <v/>
      </c>
      <c r="BH15" s="700" t="str">
        <f ca="1">IF(INDIRECT("'Ext Nontradable'!$B" &amp; BH$9)=$B15,INDIRECT("'Ext Nontradable'!$" &amp; 'Ext Nontradable'!$AZ$23 &amp; BH$9),"")</f>
        <v/>
      </c>
      <c r="BI15" s="700" t="str">
        <f ca="1">IF(INDIRECT("'Ext Nontradable'!$B" &amp; BI$9)=$B15,INDIRECT("'Ext Nontradable'!$" &amp; 'Ext Nontradable'!$AZ$23 &amp; BI$9),"")</f>
        <v/>
      </c>
      <c r="BJ15" s="700" t="str">
        <f ca="1">IF(INDIRECT("'Ext Nontradable'!$B" &amp; BJ$9)=$B15,INDIRECT("'Ext Nontradable'!$" &amp; 'Ext Nontradable'!$AZ$23 &amp; BJ$9),"")</f>
        <v/>
      </c>
      <c r="BK15" s="700" t="str">
        <f ca="1">IF(INDIRECT("'Ext Nontradable'!$B" &amp; BK$9)=$B15,INDIRECT("'Ext Nontradable'!$" &amp; 'Ext Nontradable'!$AZ$23 &amp; BK$9),"")</f>
        <v/>
      </c>
      <c r="BL15" s="700" t="str">
        <f ca="1">IF(INDIRECT("'Ext Nontradable'!$B" &amp; BL$9)=$B15,INDIRECT("'Ext Nontradable'!$" &amp; 'Ext Nontradable'!$AZ$23 &amp; BL$9),"")</f>
        <v/>
      </c>
      <c r="BM15" s="700" t="str">
        <f ca="1">IF(INDIRECT("'Ext Nontradable'!$B" &amp; BM$9)=$B15,INDIRECT("'Ext Nontradable'!$" &amp; 'Ext Nontradable'!$AZ$23 &amp; BM$9),"")</f>
        <v/>
      </c>
      <c r="BN15" s="700">
        <f ca="1">IF(INDIRECT("'Ext Nontradable'!$B" &amp; BN$9)=$B15,INDIRECT("'Ext Nontradable'!$" &amp; 'Ext Nontradable'!$AZ$23 &amp; BN$9),"")</f>
        <v>0</v>
      </c>
      <c r="BO15" s="700">
        <f ca="1">IF(INDIRECT("'Ext Nontradable'!$B" &amp; BO$9)=$B15,INDIRECT("'Ext Nontradable'!$" &amp; 'Ext Nontradable'!$AZ$23 &amp; BO$9),"")</f>
        <v>0</v>
      </c>
      <c r="BP15" s="700">
        <f ca="1">IF(INDIRECT("'Ext Nontradable'!$B" &amp; BP$9)=$B15,INDIRECT("'Ext Nontradable'!$" &amp; 'Ext Nontradable'!$AZ$23 &amp; BP$9),"")</f>
        <v>0</v>
      </c>
      <c r="BQ15" s="700">
        <f ca="1">IF(INDIRECT("'Ext Nontradable'!$B" &amp; BQ$9)=$B15,INDIRECT("'Ext Nontradable'!$" &amp; 'Ext Nontradable'!$AZ$23 &amp; BQ$9),"")</f>
        <v>0</v>
      </c>
      <c r="BR15" s="700">
        <f ca="1">IF(INDIRECT("'Ext Nontradable'!$B" &amp; BR$9)=$B15,INDIRECT("'Ext Nontradable'!$" &amp; 'Ext Nontradable'!$AZ$23 &amp; BR$9),"")</f>
        <v>0</v>
      </c>
      <c r="BS15" s="700">
        <f ca="1">IF(INDIRECT("'Ext Nontradable'!$B" &amp; BS$9)=$B15,INDIRECT("'Ext Nontradable'!$" &amp; 'Ext Nontradable'!$AZ$23 &amp; BS$9),"")</f>
        <v>0</v>
      </c>
      <c r="BT15" s="700">
        <f ca="1">IF(INDIRECT("'Ext Nontradable'!$B" &amp; BT$9)=$B15,INDIRECT("'Ext Nontradable'!$" &amp; 'Ext Nontradable'!$AZ$23 &amp; BT$9),"")</f>
        <v>0</v>
      </c>
      <c r="BU15" s="700">
        <f ca="1">IF(INDIRECT("'Ext Nontradable'!$B" &amp; BU$9)=$B15,INDIRECT("'Ext Nontradable'!$" &amp; 'Ext Nontradable'!$AZ$23 &amp; BU$9),"")</f>
        <v>0</v>
      </c>
      <c r="BV15" s="700">
        <f ca="1">IF(INDIRECT("'Ext Nontradable'!$B" &amp; BV$9)=$B15,INDIRECT("'Ext Nontradable'!$" &amp; 'Ext Nontradable'!$AZ$23 &amp; BV$9),"")</f>
        <v>0</v>
      </c>
      <c r="BW15" s="700">
        <f ca="1">IF(INDIRECT("'Ext Nontradable'!$B" &amp; BW$9)=$B15,INDIRECT("'Ext Nontradable'!$" &amp; 'Ext Nontradable'!$AZ$23 &amp; BW$9),"")</f>
        <v>0</v>
      </c>
      <c r="BX15" s="700">
        <f ca="1">IF(INDIRECT("'Ext Nontradable'!$B" &amp; BX$9)=$B15,INDIRECT("'Ext Nontradable'!$" &amp; 'Ext Nontradable'!$AZ$23 &amp; BX$9),"")</f>
        <v>0</v>
      </c>
      <c r="BY15" s="700">
        <f ca="1">IF(INDIRECT("'Ext Nontradable'!$B" &amp; BY$9)=$B15,INDIRECT("'Ext Nontradable'!$" &amp; 'Ext Nontradable'!$AZ$23 &amp; BY$9),"")</f>
        <v>0</v>
      </c>
      <c r="BZ15" s="700">
        <f ca="1">IF(INDIRECT("'Ext Nontradable'!$B" &amp; BZ$9)=$B15,INDIRECT("'Ext Nontradable'!$" &amp; 'Ext Nontradable'!$AZ$23 &amp; BZ$9),"")</f>
        <v>0</v>
      </c>
      <c r="CA15" s="700">
        <f ca="1">IF(INDIRECT("'Ext Nontradable'!$B" &amp; CA$9)=$B15,INDIRECT("'Ext Nontradable'!$" &amp; 'Ext Nontradable'!$AZ$23 &amp; CA$9),"")</f>
        <v>0</v>
      </c>
      <c r="CB15" s="700">
        <f ca="1">IF(INDIRECT("'Ext Nontradable'!$B" &amp; CB$9)=$B15,INDIRECT("'Ext Nontradable'!$" &amp; 'Ext Nontradable'!$AZ$23 &amp; CB$9),"")</f>
        <v>0</v>
      </c>
      <c r="CC15" s="700">
        <f ca="1">IF(INDIRECT("'Ext Nontradable'!$B" &amp; CC$9)=$B15,INDIRECT("'Ext Nontradable'!$" &amp; 'Ext Nontradable'!$AZ$23 &amp; CC$9),"")</f>
        <v>0</v>
      </c>
      <c r="CD15" s="700">
        <f ca="1">IF(INDIRECT("'Ext Nontradable'!$B" &amp; CD$9)=$B15,INDIRECT("'Ext Nontradable'!$" &amp; 'Ext Nontradable'!$AZ$23 &amp; CD$9),"")</f>
        <v>0</v>
      </c>
      <c r="CE15" s="700">
        <f ca="1">IF(INDIRECT("'Ext Nontradable'!$B" &amp; CE$9)=$B15,INDIRECT("'Ext Nontradable'!$" &amp; 'Ext Nontradable'!$AZ$23 &amp; CE$9),"")</f>
        <v>0</v>
      </c>
      <c r="CF15" s="700">
        <f ca="1">IF(INDIRECT("'Ext Nontradable'!$B" &amp; CF$9)=$B15,INDIRECT("'Ext Nontradable'!$" &amp; 'Ext Nontradable'!$AZ$23 &amp; CF$9),"")</f>
        <v>0</v>
      </c>
      <c r="CG15" s="700">
        <f ca="1">IF(INDIRECT("'Ext Nontradable'!$B" &amp; CG$9)=$B15,INDIRECT("'Ext Nontradable'!$" &amp; 'Ext Nontradable'!$AZ$23 &amp; CG$9),"")</f>
        <v>0</v>
      </c>
      <c r="CH15" s="700">
        <f ca="1">IF(INDIRECT("'Ext Nontradable'!$B" &amp; CH$9)=$B15,INDIRECT("'Ext Nontradable'!$" &amp; 'Ext Nontradable'!$AZ$23 &amp; CH$9),"")</f>
        <v>0</v>
      </c>
      <c r="CI15" s="700">
        <f ca="1">IF(INDIRECT("'Ext Nontradable'!$B" &amp; CI$9)=$B15,INDIRECT("'Ext Nontradable'!$" &amp; 'Ext Nontradable'!$AZ$23 &amp; CI$9),"")</f>
        <v>0</v>
      </c>
      <c r="CJ15" s="700">
        <f ca="1">IF(INDIRECT("'Ext Nontradable'!$B" &amp; CJ$9)=$B15,INDIRECT("'Ext Nontradable'!$" &amp; 'Ext Nontradable'!$AZ$23 &amp; CJ$9),"")</f>
        <v>0</v>
      </c>
      <c r="CK15" s="700">
        <f ca="1">IF(INDIRECT("'Ext Nontradable'!$B" &amp; CK$9)=$B15,INDIRECT("'Ext Nontradable'!$" &amp; 'Ext Nontradable'!$AZ$23 &amp; CK$9),"")</f>
        <v>0</v>
      </c>
      <c r="CL15" s="700">
        <f ca="1">IF(INDIRECT("'Ext Nontradable'!$B" &amp; CL$9)=$B15,INDIRECT("'Ext Nontradable'!$" &amp; 'Ext Nontradable'!$AZ$23 &amp; CL$9),"")</f>
        <v>0</v>
      </c>
      <c r="CM15" s="700">
        <f ca="1">IF(INDIRECT("'Ext Nontradable'!$B" &amp; CM$9)=$B15,INDIRECT("'Ext Nontradable'!$" &amp; 'Ext Nontradable'!$AZ$23 &amp; CM$9),"")</f>
        <v>0</v>
      </c>
      <c r="CN15" s="700">
        <f ca="1">IF(INDIRECT("'Ext Nontradable'!$B" &amp; CN$9)=$B15,INDIRECT("'Ext Nontradable'!$" &amp; 'Ext Nontradable'!$AZ$23 &amp; CN$9),"")</f>
        <v>0</v>
      </c>
      <c r="CO15" s="700">
        <f ca="1">IF(INDIRECT("'Ext Nontradable'!$B" &amp; CO$9)=$B15,INDIRECT("'Ext Nontradable'!$" &amp; 'Ext Nontradable'!$AZ$23 &amp; CO$9),"")</f>
        <v>0</v>
      </c>
      <c r="CP15" s="700">
        <f ca="1">IF(INDIRECT("'Ext Nontradable'!$B" &amp; CP$9)=$B15,INDIRECT("'Ext Nontradable'!$" &amp; 'Ext Nontradable'!$AZ$23 &amp; CP$9),"")</f>
        <v>0</v>
      </c>
      <c r="CQ15" s="700">
        <f ca="1">IF(INDIRECT("'Ext Nontradable'!$B" &amp; CQ$9)=$B15,INDIRECT("'Ext Nontradable'!$" &amp; 'Ext Nontradable'!$AZ$23 &amp; CQ$9),"")</f>
        <v>0</v>
      </c>
      <c r="CR15" s="702" t="str">
        <f t="shared" ca="1" si="25"/>
        <v>000000000000000000000000000000</v>
      </c>
    </row>
    <row r="16" spans="1:96" ht="60" customHeight="1" x14ac:dyDescent="0.25">
      <c r="A16" s="705">
        <v>7</v>
      </c>
      <c r="B16" s="707" t="str">
        <f>'Ext Area Schedule'!AK22</f>
        <v/>
      </c>
      <c r="C16" s="707" t="str">
        <f>VLOOKUP($B16,'Ext Area Schedule'!$AK$16:$AO$65,3,FALSE)</f>
        <v/>
      </c>
      <c r="D16" s="792" t="str">
        <f>VLOOKUP($B16,'Ext Area Schedule'!$AK$16:$AO$65,4,FALSE)</f>
        <v/>
      </c>
      <c r="F16" s="792" t="str">
        <f>VLOOKUP($B16,'Ext Area Schedule'!$AK$16:$AO$65,5,FALSE)</f>
        <v/>
      </c>
      <c r="G16" s="792" t="str">
        <f>VLOOKUP($B16,'Ext Area Schedule'!$AK$16:$AO$65,5,FALSE)</f>
        <v/>
      </c>
      <c r="I16" s="703" t="str">
        <f t="shared" si="1"/>
        <v/>
      </c>
      <c r="K16" s="703" t="str">
        <f>IF($B16="","",SUMIFS('Ext Nontradable'!$M$26:$M$45,'Ext Nontradable'!$B$26:$B$45,$B16,'Ext Nontradable'!$U$26:$U$45,"New"))</f>
        <v/>
      </c>
      <c r="L16" s="703" t="str">
        <f>IF($B16="","",SUMIFS('Ext Nontradable'!$M$26:$M$45,'Ext Nontradable'!$B$26:$B$45,$B16,'Ext Nontradable'!$U$26:$U$45,""))</f>
        <v/>
      </c>
      <c r="M16" s="703" t="str">
        <f>IF($B16="","",SUMIFS('Ext Nontradable'!$K$26:$K$45,'Ext Nontradable'!$B$26:$B$45,$B16,'Ext Nontradable'!$U$26:$U$45,"New")+SUMIFS('Ext Nontradable'!$K$26:$K$45,'Ext Nontradable'!$B$26:$B$45,$B16,'Ext Nontradable'!$U$26:$U$45,""))</f>
        <v/>
      </c>
      <c r="N16" s="703" t="str">
        <f>IF($B16="","",SUMIFS('Ext Nontradable'!$M$26:$M$45,'Ext Nontradable'!$B$26:$B$45,$B16,'Ext Nontradable'!$U$26:$U$45,"Existing Remains"))</f>
        <v/>
      </c>
      <c r="O16" s="703" t="str">
        <f>IF($B16="","",SUMIFS('Ext Nontradable'!$M$26:$M$45,'Ext Nontradable'!$B$26:$B$45,$B16,'Ext Nontradable'!$U$26:$U$45,"Existing Removed"))</f>
        <v/>
      </c>
      <c r="P16" s="703" t="str">
        <f>IF($B16="","",SUMIFS('Ext Nontradable'!$K$26:$K$45,'Ext Nontradable'!$B$26:$B$45,$B16,'Ext Nontradable'!$U$26:$U$45,"Existing Removed"))</f>
        <v/>
      </c>
      <c r="Q16" s="703" t="str">
        <f t="shared" si="2"/>
        <v/>
      </c>
      <c r="R16" s="703" t="str">
        <f t="shared" si="7"/>
        <v/>
      </c>
      <c r="S16" s="703">
        <f t="shared" si="8"/>
        <v>0</v>
      </c>
      <c r="T16" s="954">
        <f t="shared" si="20"/>
        <v>0</v>
      </c>
      <c r="U16" s="954">
        <f t="shared" si="21"/>
        <v>0</v>
      </c>
      <c r="V16" s="1115" t="str">
        <f t="shared" si="22"/>
        <v/>
      </c>
      <c r="W16" s="712" t="str">
        <f t="shared" si="23"/>
        <v/>
      </c>
      <c r="X16" s="857"/>
      <c r="Y16" s="720" t="str">
        <f t="shared" si="24"/>
        <v/>
      </c>
      <c r="Z16" s="721" t="str">
        <f t="shared" si="9"/>
        <v/>
      </c>
      <c r="AA16" s="721" t="str">
        <f t="shared" si="10"/>
        <v/>
      </c>
      <c r="AB16" s="719" t="str">
        <f t="shared" si="4"/>
        <v/>
      </c>
      <c r="AC16" s="857"/>
      <c r="AD16" s="717" t="str">
        <f t="shared" si="11"/>
        <v/>
      </c>
      <c r="AE16" s="718" t="str">
        <f t="shared" si="12"/>
        <v/>
      </c>
      <c r="AF16" s="719" t="str">
        <f t="shared" si="5"/>
        <v/>
      </c>
      <c r="AG16" s="726"/>
      <c r="AH16" s="727" t="str">
        <f t="shared" si="13"/>
        <v/>
      </c>
      <c r="AI16" s="703" t="str">
        <f t="shared" si="14"/>
        <v/>
      </c>
      <c r="AJ16" s="703" t="str">
        <f t="shared" si="15"/>
        <v/>
      </c>
      <c r="AL16" s="1075" t="str">
        <f t="shared" si="16"/>
        <v/>
      </c>
      <c r="AM16" s="855" t="str">
        <f t="shared" si="18"/>
        <v/>
      </c>
      <c r="AN16" s="707" t="str">
        <f>IF(OR(AL16="Fail",AL16="Fail LPA",AL16=""),"",IF(AM16&lt;&gt;"#1",VLOOKUP(C16,'9.4.3 Tables'!B$156:O$164,14,FALSE),"No NEW controls required"))</f>
        <v/>
      </c>
      <c r="AO16" s="703">
        <f t="shared" si="19"/>
        <v>0</v>
      </c>
      <c r="AR16">
        <v>7</v>
      </c>
      <c r="AS16" s="15" t="str">
        <f t="shared" si="17"/>
        <v/>
      </c>
      <c r="AT16" s="700" t="str">
        <f ca="1">IF(INDIRECT("'Ext Nontradable'!$B" &amp; AT$9)=$B16,INDIRECT("'Ext Nontradable'!$" &amp; 'Ext Nontradable'!$AZ$23 &amp; AT$9),"")</f>
        <v/>
      </c>
      <c r="AU16" s="700" t="str">
        <f ca="1">IF(INDIRECT("'Ext Nontradable'!$B" &amp; AU$9)=$B16,INDIRECT("'Ext Nontradable'!$" &amp; 'Ext Nontradable'!$AZ$23 &amp; AU$9),"")</f>
        <v/>
      </c>
      <c r="AV16" s="700" t="str">
        <f ca="1">IF(INDIRECT("'Ext Nontradable'!$B" &amp; AV$9)=$B16,INDIRECT("'Ext Nontradable'!$" &amp; 'Ext Nontradable'!$AZ$23 &amp; AV$9),"")</f>
        <v/>
      </c>
      <c r="AW16" s="700" t="str">
        <f ca="1">IF(INDIRECT("'Ext Nontradable'!$B" &amp; AW$9)=$B16,INDIRECT("'Ext Nontradable'!$" &amp; 'Ext Nontradable'!$AZ$23 &amp; AW$9),"")</f>
        <v/>
      </c>
      <c r="AX16" s="700" t="str">
        <f ca="1">IF(INDIRECT("'Ext Nontradable'!$B" &amp; AX$9)=$B16,INDIRECT("'Ext Nontradable'!$" &amp; 'Ext Nontradable'!$AZ$23 &amp; AX$9),"")</f>
        <v/>
      </c>
      <c r="AY16" s="700" t="str">
        <f ca="1">IF(INDIRECT("'Ext Nontradable'!$B" &amp; AY$9)=$B16,INDIRECT("'Ext Nontradable'!$" &amp; 'Ext Nontradable'!$AZ$23 &amp; AY$9),"")</f>
        <v/>
      </c>
      <c r="AZ16" s="700" t="str">
        <f ca="1">IF(INDIRECT("'Ext Nontradable'!$B" &amp; AZ$9)=$B16,INDIRECT("'Ext Nontradable'!$" &amp; 'Ext Nontradable'!$AZ$23 &amp; AZ$9),"")</f>
        <v/>
      </c>
      <c r="BA16" s="700" t="str">
        <f ca="1">IF(INDIRECT("'Ext Nontradable'!$B" &amp; BA$9)=$B16,INDIRECT("'Ext Nontradable'!$" &amp; 'Ext Nontradable'!$AZ$23 &amp; BA$9),"")</f>
        <v/>
      </c>
      <c r="BB16" s="700" t="str">
        <f ca="1">IF(INDIRECT("'Ext Nontradable'!$B" &amp; BB$9)=$B16,INDIRECT("'Ext Nontradable'!$" &amp; 'Ext Nontradable'!$AZ$23 &amp; BB$9),"")</f>
        <v/>
      </c>
      <c r="BC16" s="700" t="str">
        <f ca="1">IF(INDIRECT("'Ext Nontradable'!$B" &amp; BC$9)=$B16,INDIRECT("'Ext Nontradable'!$" &amp; 'Ext Nontradable'!$AZ$23 &amp; BC$9),"")</f>
        <v/>
      </c>
      <c r="BD16" s="700" t="str">
        <f ca="1">IF(INDIRECT("'Ext Nontradable'!$B" &amp; BD$9)=$B16,INDIRECT("'Ext Nontradable'!$" &amp; 'Ext Nontradable'!$AZ$23 &amp; BD$9),"")</f>
        <v/>
      </c>
      <c r="BE16" s="700" t="str">
        <f ca="1">IF(INDIRECT("'Ext Nontradable'!$B" &amp; BE$9)=$B16,INDIRECT("'Ext Nontradable'!$" &amp; 'Ext Nontradable'!$AZ$23 &amp; BE$9),"")</f>
        <v/>
      </c>
      <c r="BF16" s="700" t="str">
        <f ca="1">IF(INDIRECT("'Ext Nontradable'!$B" &amp; BF$9)=$B16,INDIRECT("'Ext Nontradable'!$" &amp; 'Ext Nontradable'!$AZ$23 &amp; BF$9),"")</f>
        <v/>
      </c>
      <c r="BG16" s="700" t="str">
        <f ca="1">IF(INDIRECT("'Ext Nontradable'!$B" &amp; BG$9)=$B16,INDIRECT("'Ext Nontradable'!$" &amp; 'Ext Nontradable'!$AZ$23 &amp; BG$9),"")</f>
        <v/>
      </c>
      <c r="BH16" s="700" t="str">
        <f ca="1">IF(INDIRECT("'Ext Nontradable'!$B" &amp; BH$9)=$B16,INDIRECT("'Ext Nontradable'!$" &amp; 'Ext Nontradable'!$AZ$23 &amp; BH$9),"")</f>
        <v/>
      </c>
      <c r="BI16" s="700" t="str">
        <f ca="1">IF(INDIRECT("'Ext Nontradable'!$B" &amp; BI$9)=$B16,INDIRECT("'Ext Nontradable'!$" &amp; 'Ext Nontradable'!$AZ$23 &amp; BI$9),"")</f>
        <v/>
      </c>
      <c r="BJ16" s="700" t="str">
        <f ca="1">IF(INDIRECT("'Ext Nontradable'!$B" &amp; BJ$9)=$B16,INDIRECT("'Ext Nontradable'!$" &amp; 'Ext Nontradable'!$AZ$23 &amp; BJ$9),"")</f>
        <v/>
      </c>
      <c r="BK16" s="700" t="str">
        <f ca="1">IF(INDIRECT("'Ext Nontradable'!$B" &amp; BK$9)=$B16,INDIRECT("'Ext Nontradable'!$" &amp; 'Ext Nontradable'!$AZ$23 &amp; BK$9),"")</f>
        <v/>
      </c>
      <c r="BL16" s="700" t="str">
        <f ca="1">IF(INDIRECT("'Ext Nontradable'!$B" &amp; BL$9)=$B16,INDIRECT("'Ext Nontradable'!$" &amp; 'Ext Nontradable'!$AZ$23 &amp; BL$9),"")</f>
        <v/>
      </c>
      <c r="BM16" s="700" t="str">
        <f ca="1">IF(INDIRECT("'Ext Nontradable'!$B" &amp; BM$9)=$B16,INDIRECT("'Ext Nontradable'!$" &amp; 'Ext Nontradable'!$AZ$23 &amp; BM$9),"")</f>
        <v/>
      </c>
      <c r="BN16" s="700">
        <f ca="1">IF(INDIRECT("'Ext Nontradable'!$B" &amp; BN$9)=$B16,INDIRECT("'Ext Nontradable'!$" &amp; 'Ext Nontradable'!$AZ$23 &amp; BN$9),"")</f>
        <v>0</v>
      </c>
      <c r="BO16" s="700">
        <f ca="1">IF(INDIRECT("'Ext Nontradable'!$B" &amp; BO$9)=$B16,INDIRECT("'Ext Nontradable'!$" &amp; 'Ext Nontradable'!$AZ$23 &amp; BO$9),"")</f>
        <v>0</v>
      </c>
      <c r="BP16" s="700">
        <f ca="1">IF(INDIRECT("'Ext Nontradable'!$B" &amp; BP$9)=$B16,INDIRECT("'Ext Nontradable'!$" &amp; 'Ext Nontradable'!$AZ$23 &amp; BP$9),"")</f>
        <v>0</v>
      </c>
      <c r="BQ16" s="700">
        <f ca="1">IF(INDIRECT("'Ext Nontradable'!$B" &amp; BQ$9)=$B16,INDIRECT("'Ext Nontradable'!$" &amp; 'Ext Nontradable'!$AZ$23 &amp; BQ$9),"")</f>
        <v>0</v>
      </c>
      <c r="BR16" s="700">
        <f ca="1">IF(INDIRECT("'Ext Nontradable'!$B" &amp; BR$9)=$B16,INDIRECT("'Ext Nontradable'!$" &amp; 'Ext Nontradable'!$AZ$23 &amp; BR$9),"")</f>
        <v>0</v>
      </c>
      <c r="BS16" s="700">
        <f ca="1">IF(INDIRECT("'Ext Nontradable'!$B" &amp; BS$9)=$B16,INDIRECT("'Ext Nontradable'!$" &amp; 'Ext Nontradable'!$AZ$23 &amp; BS$9),"")</f>
        <v>0</v>
      </c>
      <c r="BT16" s="700">
        <f ca="1">IF(INDIRECT("'Ext Nontradable'!$B" &amp; BT$9)=$B16,INDIRECT("'Ext Nontradable'!$" &amp; 'Ext Nontradable'!$AZ$23 &amp; BT$9),"")</f>
        <v>0</v>
      </c>
      <c r="BU16" s="700">
        <f ca="1">IF(INDIRECT("'Ext Nontradable'!$B" &amp; BU$9)=$B16,INDIRECT("'Ext Nontradable'!$" &amp; 'Ext Nontradable'!$AZ$23 &amp; BU$9),"")</f>
        <v>0</v>
      </c>
      <c r="BV16" s="700">
        <f ca="1">IF(INDIRECT("'Ext Nontradable'!$B" &amp; BV$9)=$B16,INDIRECT("'Ext Nontradable'!$" &amp; 'Ext Nontradable'!$AZ$23 &amp; BV$9),"")</f>
        <v>0</v>
      </c>
      <c r="BW16" s="700">
        <f ca="1">IF(INDIRECT("'Ext Nontradable'!$B" &amp; BW$9)=$B16,INDIRECT("'Ext Nontradable'!$" &amp; 'Ext Nontradable'!$AZ$23 &amp; BW$9),"")</f>
        <v>0</v>
      </c>
      <c r="BX16" s="700">
        <f ca="1">IF(INDIRECT("'Ext Nontradable'!$B" &amp; BX$9)=$B16,INDIRECT("'Ext Nontradable'!$" &amp; 'Ext Nontradable'!$AZ$23 &amp; BX$9),"")</f>
        <v>0</v>
      </c>
      <c r="BY16" s="700">
        <f ca="1">IF(INDIRECT("'Ext Nontradable'!$B" &amp; BY$9)=$B16,INDIRECT("'Ext Nontradable'!$" &amp; 'Ext Nontradable'!$AZ$23 &amp; BY$9),"")</f>
        <v>0</v>
      </c>
      <c r="BZ16" s="700">
        <f ca="1">IF(INDIRECT("'Ext Nontradable'!$B" &amp; BZ$9)=$B16,INDIRECT("'Ext Nontradable'!$" &amp; 'Ext Nontradable'!$AZ$23 &amp; BZ$9),"")</f>
        <v>0</v>
      </c>
      <c r="CA16" s="700">
        <f ca="1">IF(INDIRECT("'Ext Nontradable'!$B" &amp; CA$9)=$B16,INDIRECT("'Ext Nontradable'!$" &amp; 'Ext Nontradable'!$AZ$23 &amp; CA$9),"")</f>
        <v>0</v>
      </c>
      <c r="CB16" s="700">
        <f ca="1">IF(INDIRECT("'Ext Nontradable'!$B" &amp; CB$9)=$B16,INDIRECT("'Ext Nontradable'!$" &amp; 'Ext Nontradable'!$AZ$23 &amp; CB$9),"")</f>
        <v>0</v>
      </c>
      <c r="CC16" s="700">
        <f ca="1">IF(INDIRECT("'Ext Nontradable'!$B" &amp; CC$9)=$B16,INDIRECT("'Ext Nontradable'!$" &amp; 'Ext Nontradable'!$AZ$23 &amp; CC$9),"")</f>
        <v>0</v>
      </c>
      <c r="CD16" s="700">
        <f ca="1">IF(INDIRECT("'Ext Nontradable'!$B" &amp; CD$9)=$B16,INDIRECT("'Ext Nontradable'!$" &amp; 'Ext Nontradable'!$AZ$23 &amp; CD$9),"")</f>
        <v>0</v>
      </c>
      <c r="CE16" s="700">
        <f ca="1">IF(INDIRECT("'Ext Nontradable'!$B" &amp; CE$9)=$B16,INDIRECT("'Ext Nontradable'!$" &amp; 'Ext Nontradable'!$AZ$23 &amp; CE$9),"")</f>
        <v>0</v>
      </c>
      <c r="CF16" s="700">
        <f ca="1">IF(INDIRECT("'Ext Nontradable'!$B" &amp; CF$9)=$B16,INDIRECT("'Ext Nontradable'!$" &amp; 'Ext Nontradable'!$AZ$23 &amp; CF$9),"")</f>
        <v>0</v>
      </c>
      <c r="CG16" s="700">
        <f ca="1">IF(INDIRECT("'Ext Nontradable'!$B" &amp; CG$9)=$B16,INDIRECT("'Ext Nontradable'!$" &amp; 'Ext Nontradable'!$AZ$23 &amp; CG$9),"")</f>
        <v>0</v>
      </c>
      <c r="CH16" s="700">
        <f ca="1">IF(INDIRECT("'Ext Nontradable'!$B" &amp; CH$9)=$B16,INDIRECT("'Ext Nontradable'!$" &amp; 'Ext Nontradable'!$AZ$23 &amp; CH$9),"")</f>
        <v>0</v>
      </c>
      <c r="CI16" s="700">
        <f ca="1">IF(INDIRECT("'Ext Nontradable'!$B" &amp; CI$9)=$B16,INDIRECT("'Ext Nontradable'!$" &amp; 'Ext Nontradable'!$AZ$23 &amp; CI$9),"")</f>
        <v>0</v>
      </c>
      <c r="CJ16" s="700">
        <f ca="1">IF(INDIRECT("'Ext Nontradable'!$B" &amp; CJ$9)=$B16,INDIRECT("'Ext Nontradable'!$" &amp; 'Ext Nontradable'!$AZ$23 &amp; CJ$9),"")</f>
        <v>0</v>
      </c>
      <c r="CK16" s="700">
        <f ca="1">IF(INDIRECT("'Ext Nontradable'!$B" &amp; CK$9)=$B16,INDIRECT("'Ext Nontradable'!$" &amp; 'Ext Nontradable'!$AZ$23 &amp; CK$9),"")</f>
        <v>0</v>
      </c>
      <c r="CL16" s="700">
        <f ca="1">IF(INDIRECT("'Ext Nontradable'!$B" &amp; CL$9)=$B16,INDIRECT("'Ext Nontradable'!$" &amp; 'Ext Nontradable'!$AZ$23 &amp; CL$9),"")</f>
        <v>0</v>
      </c>
      <c r="CM16" s="700">
        <f ca="1">IF(INDIRECT("'Ext Nontradable'!$B" &amp; CM$9)=$B16,INDIRECT("'Ext Nontradable'!$" &amp; 'Ext Nontradable'!$AZ$23 &amp; CM$9),"")</f>
        <v>0</v>
      </c>
      <c r="CN16" s="700">
        <f ca="1">IF(INDIRECT("'Ext Nontradable'!$B" &amp; CN$9)=$B16,INDIRECT("'Ext Nontradable'!$" &amp; 'Ext Nontradable'!$AZ$23 &amp; CN$9),"")</f>
        <v>0</v>
      </c>
      <c r="CO16" s="700">
        <f ca="1">IF(INDIRECT("'Ext Nontradable'!$B" &amp; CO$9)=$B16,INDIRECT("'Ext Nontradable'!$" &amp; 'Ext Nontradable'!$AZ$23 &amp; CO$9),"")</f>
        <v>0</v>
      </c>
      <c r="CP16" s="700">
        <f ca="1">IF(INDIRECT("'Ext Nontradable'!$B" &amp; CP$9)=$B16,INDIRECT("'Ext Nontradable'!$" &amp; 'Ext Nontradable'!$AZ$23 &amp; CP$9),"")</f>
        <v>0</v>
      </c>
      <c r="CQ16" s="700">
        <f ca="1">IF(INDIRECT("'Ext Nontradable'!$B" &amp; CQ$9)=$B16,INDIRECT("'Ext Nontradable'!$" &amp; 'Ext Nontradable'!$AZ$23 &amp; CQ$9),"")</f>
        <v>0</v>
      </c>
      <c r="CR16" s="702" t="str">
        <f t="shared" ca="1" si="25"/>
        <v>000000000000000000000000000000</v>
      </c>
    </row>
    <row r="17" spans="1:96" ht="60" customHeight="1" x14ac:dyDescent="0.25">
      <c r="A17" s="705">
        <v>8</v>
      </c>
      <c r="B17" s="707" t="str">
        <f>'Ext Area Schedule'!AK23</f>
        <v/>
      </c>
      <c r="C17" s="707" t="str">
        <f>VLOOKUP($B17,'Ext Area Schedule'!$AK$16:$AO$65,3,FALSE)</f>
        <v/>
      </c>
      <c r="D17" s="792" t="str">
        <f>VLOOKUP($B17,'Ext Area Schedule'!$AK$16:$AO$65,4,FALSE)</f>
        <v/>
      </c>
      <c r="F17" s="792" t="str">
        <f>VLOOKUP($B17,'Ext Area Schedule'!$AK$16:$AO$65,5,FALSE)</f>
        <v/>
      </c>
      <c r="G17" s="792" t="str">
        <f>VLOOKUP($B17,'Ext Area Schedule'!$AK$16:$AO$65,5,FALSE)</f>
        <v/>
      </c>
      <c r="I17" s="703" t="str">
        <f t="shared" si="1"/>
        <v/>
      </c>
      <c r="K17" s="703" t="str">
        <f>IF($B17="","",SUMIFS('Ext Nontradable'!$M$26:$M$45,'Ext Nontradable'!$B$26:$B$45,$B17,'Ext Nontradable'!$U$26:$U$45,"New"))</f>
        <v/>
      </c>
      <c r="L17" s="703" t="str">
        <f>IF($B17="","",SUMIFS('Ext Nontradable'!$M$26:$M$45,'Ext Nontradable'!$B$26:$B$45,$B17,'Ext Nontradable'!$U$26:$U$45,""))</f>
        <v/>
      </c>
      <c r="M17" s="703" t="str">
        <f>IF($B17="","",SUMIFS('Ext Nontradable'!$K$26:$K$45,'Ext Nontradable'!$B$26:$B$45,$B17,'Ext Nontradable'!$U$26:$U$45,"New")+SUMIFS('Ext Nontradable'!$K$26:$K$45,'Ext Nontradable'!$B$26:$B$45,$B17,'Ext Nontradable'!$U$26:$U$45,""))</f>
        <v/>
      </c>
      <c r="N17" s="703" t="str">
        <f>IF($B17="","",SUMIFS('Ext Nontradable'!$M$26:$M$45,'Ext Nontradable'!$B$26:$B$45,$B17,'Ext Nontradable'!$U$26:$U$45,"Existing Remains"))</f>
        <v/>
      </c>
      <c r="O17" s="703" t="str">
        <f>IF($B17="","",SUMIFS('Ext Nontradable'!$M$26:$M$45,'Ext Nontradable'!$B$26:$B$45,$B17,'Ext Nontradable'!$U$26:$U$45,"Existing Removed"))</f>
        <v/>
      </c>
      <c r="P17" s="703" t="str">
        <f>IF($B17="","",SUMIFS('Ext Nontradable'!$K$26:$K$45,'Ext Nontradable'!$B$26:$B$45,$B17,'Ext Nontradable'!$U$26:$U$45,"Existing Removed"))</f>
        <v/>
      </c>
      <c r="Q17" s="703" t="str">
        <f t="shared" si="2"/>
        <v/>
      </c>
      <c r="R17" s="703" t="str">
        <f t="shared" si="7"/>
        <v/>
      </c>
      <c r="S17" s="703">
        <f t="shared" si="8"/>
        <v>0</v>
      </c>
      <c r="T17" s="954">
        <f t="shared" si="20"/>
        <v>0</v>
      </c>
      <c r="U17" s="954">
        <f t="shared" si="21"/>
        <v>0</v>
      </c>
      <c r="V17" s="1115" t="str">
        <f t="shared" si="22"/>
        <v/>
      </c>
      <c r="W17" s="712" t="str">
        <f t="shared" si="23"/>
        <v/>
      </c>
      <c r="X17" s="857"/>
      <c r="Y17" s="720" t="str">
        <f t="shared" si="24"/>
        <v/>
      </c>
      <c r="Z17" s="721" t="str">
        <f t="shared" si="9"/>
        <v/>
      </c>
      <c r="AA17" s="721" t="str">
        <f t="shared" si="10"/>
        <v/>
      </c>
      <c r="AB17" s="719" t="str">
        <f t="shared" si="4"/>
        <v/>
      </c>
      <c r="AC17" s="857"/>
      <c r="AD17" s="717" t="str">
        <f t="shared" si="11"/>
        <v/>
      </c>
      <c r="AE17" s="718" t="str">
        <f t="shared" si="12"/>
        <v/>
      </c>
      <c r="AF17" s="719" t="str">
        <f t="shared" si="5"/>
        <v/>
      </c>
      <c r="AG17" s="726"/>
      <c r="AH17" s="727" t="str">
        <f t="shared" si="13"/>
        <v/>
      </c>
      <c r="AI17" s="703" t="str">
        <f t="shared" si="14"/>
        <v/>
      </c>
      <c r="AJ17" s="703" t="str">
        <f t="shared" si="15"/>
        <v/>
      </c>
      <c r="AL17" s="1075" t="str">
        <f t="shared" si="16"/>
        <v/>
      </c>
      <c r="AM17" s="855" t="str">
        <f t="shared" si="18"/>
        <v/>
      </c>
      <c r="AN17" s="707" t="str">
        <f>IF(OR(AL17="Fail",AL17="Fail LPA",AL17=""),"",IF(AM17&lt;&gt;"#1",VLOOKUP(C17,'9.4.3 Tables'!B$156:O$164,14,FALSE),"No NEW controls required"))</f>
        <v/>
      </c>
      <c r="AO17" s="703">
        <f t="shared" si="19"/>
        <v>0</v>
      </c>
      <c r="AR17">
        <v>8</v>
      </c>
      <c r="AS17" s="15" t="str">
        <f t="shared" si="17"/>
        <v/>
      </c>
      <c r="AT17" s="700" t="str">
        <f ca="1">IF(INDIRECT("'Ext Nontradable'!$B" &amp; AT$9)=$B17,INDIRECT("'Ext Nontradable'!$" &amp; 'Ext Nontradable'!$AZ$23 &amp; AT$9),"")</f>
        <v/>
      </c>
      <c r="AU17" s="700" t="str">
        <f ca="1">IF(INDIRECT("'Ext Nontradable'!$B" &amp; AU$9)=$B17,INDIRECT("'Ext Nontradable'!$" &amp; 'Ext Nontradable'!$AZ$23 &amp; AU$9),"")</f>
        <v/>
      </c>
      <c r="AV17" s="700" t="str">
        <f ca="1">IF(INDIRECT("'Ext Nontradable'!$B" &amp; AV$9)=$B17,INDIRECT("'Ext Nontradable'!$" &amp; 'Ext Nontradable'!$AZ$23 &amp; AV$9),"")</f>
        <v/>
      </c>
      <c r="AW17" s="700" t="str">
        <f ca="1">IF(INDIRECT("'Ext Nontradable'!$B" &amp; AW$9)=$B17,INDIRECT("'Ext Nontradable'!$" &amp; 'Ext Nontradable'!$AZ$23 &amp; AW$9),"")</f>
        <v/>
      </c>
      <c r="AX17" s="700" t="str">
        <f ca="1">IF(INDIRECT("'Ext Nontradable'!$B" &amp; AX$9)=$B17,INDIRECT("'Ext Nontradable'!$" &amp; 'Ext Nontradable'!$AZ$23 &amp; AX$9),"")</f>
        <v/>
      </c>
      <c r="AY17" s="700" t="str">
        <f ca="1">IF(INDIRECT("'Ext Nontradable'!$B" &amp; AY$9)=$B17,INDIRECT("'Ext Nontradable'!$" &amp; 'Ext Nontradable'!$AZ$23 &amp; AY$9),"")</f>
        <v/>
      </c>
      <c r="AZ17" s="700" t="str">
        <f ca="1">IF(INDIRECT("'Ext Nontradable'!$B" &amp; AZ$9)=$B17,INDIRECT("'Ext Nontradable'!$" &amp; 'Ext Nontradable'!$AZ$23 &amp; AZ$9),"")</f>
        <v/>
      </c>
      <c r="BA17" s="700" t="str">
        <f ca="1">IF(INDIRECT("'Ext Nontradable'!$B" &amp; BA$9)=$B17,INDIRECT("'Ext Nontradable'!$" &amp; 'Ext Nontradable'!$AZ$23 &amp; BA$9),"")</f>
        <v/>
      </c>
      <c r="BB17" s="700" t="str">
        <f ca="1">IF(INDIRECT("'Ext Nontradable'!$B" &amp; BB$9)=$B17,INDIRECT("'Ext Nontradable'!$" &amp; 'Ext Nontradable'!$AZ$23 &amp; BB$9),"")</f>
        <v/>
      </c>
      <c r="BC17" s="700" t="str">
        <f ca="1">IF(INDIRECT("'Ext Nontradable'!$B" &amp; BC$9)=$B17,INDIRECT("'Ext Nontradable'!$" &amp; 'Ext Nontradable'!$AZ$23 &amp; BC$9),"")</f>
        <v/>
      </c>
      <c r="BD17" s="700" t="str">
        <f ca="1">IF(INDIRECT("'Ext Nontradable'!$B" &amp; BD$9)=$B17,INDIRECT("'Ext Nontradable'!$" &amp; 'Ext Nontradable'!$AZ$23 &amp; BD$9),"")</f>
        <v/>
      </c>
      <c r="BE17" s="700" t="str">
        <f ca="1">IF(INDIRECT("'Ext Nontradable'!$B" &amp; BE$9)=$B17,INDIRECT("'Ext Nontradable'!$" &amp; 'Ext Nontradable'!$AZ$23 &amp; BE$9),"")</f>
        <v/>
      </c>
      <c r="BF17" s="700" t="str">
        <f ca="1">IF(INDIRECT("'Ext Nontradable'!$B" &amp; BF$9)=$B17,INDIRECT("'Ext Nontradable'!$" &amp; 'Ext Nontradable'!$AZ$23 &amp; BF$9),"")</f>
        <v/>
      </c>
      <c r="BG17" s="700" t="str">
        <f ca="1">IF(INDIRECT("'Ext Nontradable'!$B" &amp; BG$9)=$B17,INDIRECT("'Ext Nontradable'!$" &amp; 'Ext Nontradable'!$AZ$23 &amp; BG$9),"")</f>
        <v/>
      </c>
      <c r="BH17" s="700" t="str">
        <f ca="1">IF(INDIRECT("'Ext Nontradable'!$B" &amp; BH$9)=$B17,INDIRECT("'Ext Nontradable'!$" &amp; 'Ext Nontradable'!$AZ$23 &amp; BH$9),"")</f>
        <v/>
      </c>
      <c r="BI17" s="700" t="str">
        <f ca="1">IF(INDIRECT("'Ext Nontradable'!$B" &amp; BI$9)=$B17,INDIRECT("'Ext Nontradable'!$" &amp; 'Ext Nontradable'!$AZ$23 &amp; BI$9),"")</f>
        <v/>
      </c>
      <c r="BJ17" s="700" t="str">
        <f ca="1">IF(INDIRECT("'Ext Nontradable'!$B" &amp; BJ$9)=$B17,INDIRECT("'Ext Nontradable'!$" &amp; 'Ext Nontradable'!$AZ$23 &amp; BJ$9),"")</f>
        <v/>
      </c>
      <c r="BK17" s="700" t="str">
        <f ca="1">IF(INDIRECT("'Ext Nontradable'!$B" &amp; BK$9)=$B17,INDIRECT("'Ext Nontradable'!$" &amp; 'Ext Nontradable'!$AZ$23 &amp; BK$9),"")</f>
        <v/>
      </c>
      <c r="BL17" s="700" t="str">
        <f ca="1">IF(INDIRECT("'Ext Nontradable'!$B" &amp; BL$9)=$B17,INDIRECT("'Ext Nontradable'!$" &amp; 'Ext Nontradable'!$AZ$23 &amp; BL$9),"")</f>
        <v/>
      </c>
      <c r="BM17" s="700" t="str">
        <f ca="1">IF(INDIRECT("'Ext Nontradable'!$B" &amp; BM$9)=$B17,INDIRECT("'Ext Nontradable'!$" &amp; 'Ext Nontradable'!$AZ$23 &amp; BM$9),"")</f>
        <v/>
      </c>
      <c r="BN17" s="700">
        <f ca="1">IF(INDIRECT("'Ext Nontradable'!$B" &amp; BN$9)=$B17,INDIRECT("'Ext Nontradable'!$" &amp; 'Ext Nontradable'!$AZ$23 &amp; BN$9),"")</f>
        <v>0</v>
      </c>
      <c r="BO17" s="700">
        <f ca="1">IF(INDIRECT("'Ext Nontradable'!$B" &amp; BO$9)=$B17,INDIRECT("'Ext Nontradable'!$" &amp; 'Ext Nontradable'!$AZ$23 &amp; BO$9),"")</f>
        <v>0</v>
      </c>
      <c r="BP17" s="700">
        <f ca="1">IF(INDIRECT("'Ext Nontradable'!$B" &amp; BP$9)=$B17,INDIRECT("'Ext Nontradable'!$" &amp; 'Ext Nontradable'!$AZ$23 &amp; BP$9),"")</f>
        <v>0</v>
      </c>
      <c r="BQ17" s="700">
        <f ca="1">IF(INDIRECT("'Ext Nontradable'!$B" &amp; BQ$9)=$B17,INDIRECT("'Ext Nontradable'!$" &amp; 'Ext Nontradable'!$AZ$23 &amp; BQ$9),"")</f>
        <v>0</v>
      </c>
      <c r="BR17" s="700">
        <f ca="1">IF(INDIRECT("'Ext Nontradable'!$B" &amp; BR$9)=$B17,INDIRECT("'Ext Nontradable'!$" &amp; 'Ext Nontradable'!$AZ$23 &amp; BR$9),"")</f>
        <v>0</v>
      </c>
      <c r="BS17" s="700">
        <f ca="1">IF(INDIRECT("'Ext Nontradable'!$B" &amp; BS$9)=$B17,INDIRECT("'Ext Nontradable'!$" &amp; 'Ext Nontradable'!$AZ$23 &amp; BS$9),"")</f>
        <v>0</v>
      </c>
      <c r="BT17" s="700">
        <f ca="1">IF(INDIRECT("'Ext Nontradable'!$B" &amp; BT$9)=$B17,INDIRECT("'Ext Nontradable'!$" &amp; 'Ext Nontradable'!$AZ$23 &amp; BT$9),"")</f>
        <v>0</v>
      </c>
      <c r="BU17" s="700">
        <f ca="1">IF(INDIRECT("'Ext Nontradable'!$B" &amp; BU$9)=$B17,INDIRECT("'Ext Nontradable'!$" &amp; 'Ext Nontradable'!$AZ$23 &amp; BU$9),"")</f>
        <v>0</v>
      </c>
      <c r="BV17" s="700">
        <f ca="1">IF(INDIRECT("'Ext Nontradable'!$B" &amp; BV$9)=$B17,INDIRECT("'Ext Nontradable'!$" &amp; 'Ext Nontradable'!$AZ$23 &amp; BV$9),"")</f>
        <v>0</v>
      </c>
      <c r="BW17" s="700">
        <f ca="1">IF(INDIRECT("'Ext Nontradable'!$B" &amp; BW$9)=$B17,INDIRECT("'Ext Nontradable'!$" &amp; 'Ext Nontradable'!$AZ$23 &amp; BW$9),"")</f>
        <v>0</v>
      </c>
      <c r="BX17" s="700">
        <f ca="1">IF(INDIRECT("'Ext Nontradable'!$B" &amp; BX$9)=$B17,INDIRECT("'Ext Nontradable'!$" &amp; 'Ext Nontradable'!$AZ$23 &amp; BX$9),"")</f>
        <v>0</v>
      </c>
      <c r="BY17" s="700">
        <f ca="1">IF(INDIRECT("'Ext Nontradable'!$B" &amp; BY$9)=$B17,INDIRECT("'Ext Nontradable'!$" &amp; 'Ext Nontradable'!$AZ$23 &amp; BY$9),"")</f>
        <v>0</v>
      </c>
      <c r="BZ17" s="700">
        <f ca="1">IF(INDIRECT("'Ext Nontradable'!$B" &amp; BZ$9)=$B17,INDIRECT("'Ext Nontradable'!$" &amp; 'Ext Nontradable'!$AZ$23 &amp; BZ$9),"")</f>
        <v>0</v>
      </c>
      <c r="CA17" s="700">
        <f ca="1">IF(INDIRECT("'Ext Nontradable'!$B" &amp; CA$9)=$B17,INDIRECT("'Ext Nontradable'!$" &amp; 'Ext Nontradable'!$AZ$23 &amp; CA$9),"")</f>
        <v>0</v>
      </c>
      <c r="CB17" s="700">
        <f ca="1">IF(INDIRECT("'Ext Nontradable'!$B" &amp; CB$9)=$B17,INDIRECT("'Ext Nontradable'!$" &amp; 'Ext Nontradable'!$AZ$23 &amp; CB$9),"")</f>
        <v>0</v>
      </c>
      <c r="CC17" s="700">
        <f ca="1">IF(INDIRECT("'Ext Nontradable'!$B" &amp; CC$9)=$B17,INDIRECT("'Ext Nontradable'!$" &amp; 'Ext Nontradable'!$AZ$23 &amp; CC$9),"")</f>
        <v>0</v>
      </c>
      <c r="CD17" s="700">
        <f ca="1">IF(INDIRECT("'Ext Nontradable'!$B" &amp; CD$9)=$B17,INDIRECT("'Ext Nontradable'!$" &amp; 'Ext Nontradable'!$AZ$23 &amp; CD$9),"")</f>
        <v>0</v>
      </c>
      <c r="CE17" s="700">
        <f ca="1">IF(INDIRECT("'Ext Nontradable'!$B" &amp; CE$9)=$B17,INDIRECT("'Ext Nontradable'!$" &amp; 'Ext Nontradable'!$AZ$23 &amp; CE$9),"")</f>
        <v>0</v>
      </c>
      <c r="CF17" s="700">
        <f ca="1">IF(INDIRECT("'Ext Nontradable'!$B" &amp; CF$9)=$B17,INDIRECT("'Ext Nontradable'!$" &amp; 'Ext Nontradable'!$AZ$23 &amp; CF$9),"")</f>
        <v>0</v>
      </c>
      <c r="CG17" s="700">
        <f ca="1">IF(INDIRECT("'Ext Nontradable'!$B" &amp; CG$9)=$B17,INDIRECT("'Ext Nontradable'!$" &amp; 'Ext Nontradable'!$AZ$23 &amp; CG$9),"")</f>
        <v>0</v>
      </c>
      <c r="CH17" s="700">
        <f ca="1">IF(INDIRECT("'Ext Nontradable'!$B" &amp; CH$9)=$B17,INDIRECT("'Ext Nontradable'!$" &amp; 'Ext Nontradable'!$AZ$23 &amp; CH$9),"")</f>
        <v>0</v>
      </c>
      <c r="CI17" s="700">
        <f ca="1">IF(INDIRECT("'Ext Nontradable'!$B" &amp; CI$9)=$B17,INDIRECT("'Ext Nontradable'!$" &amp; 'Ext Nontradable'!$AZ$23 &amp; CI$9),"")</f>
        <v>0</v>
      </c>
      <c r="CJ17" s="700">
        <f ca="1">IF(INDIRECT("'Ext Nontradable'!$B" &amp; CJ$9)=$B17,INDIRECT("'Ext Nontradable'!$" &amp; 'Ext Nontradable'!$AZ$23 &amp; CJ$9),"")</f>
        <v>0</v>
      </c>
      <c r="CK17" s="700">
        <f ca="1">IF(INDIRECT("'Ext Nontradable'!$B" &amp; CK$9)=$B17,INDIRECT("'Ext Nontradable'!$" &amp; 'Ext Nontradable'!$AZ$23 &amp; CK$9),"")</f>
        <v>0</v>
      </c>
      <c r="CL17" s="700">
        <f ca="1">IF(INDIRECT("'Ext Nontradable'!$B" &amp; CL$9)=$B17,INDIRECT("'Ext Nontradable'!$" &amp; 'Ext Nontradable'!$AZ$23 &amp; CL$9),"")</f>
        <v>0</v>
      </c>
      <c r="CM17" s="700">
        <f ca="1">IF(INDIRECT("'Ext Nontradable'!$B" &amp; CM$9)=$B17,INDIRECT("'Ext Nontradable'!$" &amp; 'Ext Nontradable'!$AZ$23 &amp; CM$9),"")</f>
        <v>0</v>
      </c>
      <c r="CN17" s="700">
        <f ca="1">IF(INDIRECT("'Ext Nontradable'!$B" &amp; CN$9)=$B17,INDIRECT("'Ext Nontradable'!$" &amp; 'Ext Nontradable'!$AZ$23 &amp; CN$9),"")</f>
        <v>0</v>
      </c>
      <c r="CO17" s="700">
        <f ca="1">IF(INDIRECT("'Ext Nontradable'!$B" &amp; CO$9)=$B17,INDIRECT("'Ext Nontradable'!$" &amp; 'Ext Nontradable'!$AZ$23 &amp; CO$9),"")</f>
        <v>0</v>
      </c>
      <c r="CP17" s="700">
        <f ca="1">IF(INDIRECT("'Ext Nontradable'!$B" &amp; CP$9)=$B17,INDIRECT("'Ext Nontradable'!$" &amp; 'Ext Nontradable'!$AZ$23 &amp; CP$9),"")</f>
        <v>0</v>
      </c>
      <c r="CQ17" s="700">
        <f ca="1">IF(INDIRECT("'Ext Nontradable'!$B" &amp; CQ$9)=$B17,INDIRECT("'Ext Nontradable'!$" &amp; 'Ext Nontradable'!$AZ$23 &amp; CQ$9),"")</f>
        <v>0</v>
      </c>
      <c r="CR17" s="702" t="str">
        <f t="shared" ca="1" si="25"/>
        <v>000000000000000000000000000000</v>
      </c>
    </row>
    <row r="18" spans="1:96" ht="60" customHeight="1" x14ac:dyDescent="0.25">
      <c r="A18" s="705">
        <v>9</v>
      </c>
      <c r="B18" s="707" t="str">
        <f>'Ext Area Schedule'!AK24</f>
        <v/>
      </c>
      <c r="C18" s="707" t="str">
        <f>VLOOKUP($B18,'Ext Area Schedule'!$AK$16:$AO$65,3,FALSE)</f>
        <v/>
      </c>
      <c r="D18" s="792" t="str">
        <f>VLOOKUP($B18,'Ext Area Schedule'!$AK$16:$AO$65,4,FALSE)</f>
        <v/>
      </c>
      <c r="F18" s="792" t="str">
        <f>VLOOKUP($B18,'Ext Area Schedule'!$AK$16:$AO$65,5,FALSE)</f>
        <v/>
      </c>
      <c r="G18" s="792" t="str">
        <f>VLOOKUP($B18,'Ext Area Schedule'!$AK$16:$AO$65,5,FALSE)</f>
        <v/>
      </c>
      <c r="I18" s="703" t="str">
        <f t="shared" si="1"/>
        <v/>
      </c>
      <c r="K18" s="703" t="str">
        <f>IF($B18="","",SUMIFS('Ext Nontradable'!$M$26:$M$45,'Ext Nontradable'!$B$26:$B$45,$B18,'Ext Nontradable'!$U$26:$U$45,"New"))</f>
        <v/>
      </c>
      <c r="L18" s="703" t="str">
        <f>IF($B18="","",SUMIFS('Ext Nontradable'!$M$26:$M$45,'Ext Nontradable'!$B$26:$B$45,$B18,'Ext Nontradable'!$U$26:$U$45,""))</f>
        <v/>
      </c>
      <c r="M18" s="703" t="str">
        <f>IF($B18="","",SUMIFS('Ext Nontradable'!$K$26:$K$45,'Ext Nontradable'!$B$26:$B$45,$B18,'Ext Nontradable'!$U$26:$U$45,"New")+SUMIFS('Ext Nontradable'!$K$26:$K$45,'Ext Nontradable'!$B$26:$B$45,$B18,'Ext Nontradable'!$U$26:$U$45,""))</f>
        <v/>
      </c>
      <c r="N18" s="703" t="str">
        <f>IF($B18="","",SUMIFS('Ext Nontradable'!$M$26:$M$45,'Ext Nontradable'!$B$26:$B$45,$B18,'Ext Nontradable'!$U$26:$U$45,"Existing Remains"))</f>
        <v/>
      </c>
      <c r="O18" s="703" t="str">
        <f>IF($B18="","",SUMIFS('Ext Nontradable'!$M$26:$M$45,'Ext Nontradable'!$B$26:$B$45,$B18,'Ext Nontradable'!$U$26:$U$45,"Existing Removed"))</f>
        <v/>
      </c>
      <c r="P18" s="703" t="str">
        <f>IF($B18="","",SUMIFS('Ext Nontradable'!$K$26:$K$45,'Ext Nontradable'!$B$26:$B$45,$B18,'Ext Nontradable'!$U$26:$U$45,"Existing Removed"))</f>
        <v/>
      </c>
      <c r="Q18" s="703" t="str">
        <f t="shared" si="2"/>
        <v/>
      </c>
      <c r="R18" s="703" t="str">
        <f t="shared" si="7"/>
        <v/>
      </c>
      <c r="S18" s="703">
        <f t="shared" si="8"/>
        <v>0</v>
      </c>
      <c r="T18" s="954">
        <f t="shared" si="20"/>
        <v>0</v>
      </c>
      <c r="U18" s="954">
        <f t="shared" si="21"/>
        <v>0</v>
      </c>
      <c r="V18" s="1115" t="str">
        <f t="shared" si="22"/>
        <v/>
      </c>
      <c r="W18" s="712" t="str">
        <f t="shared" si="23"/>
        <v/>
      </c>
      <c r="X18" s="857"/>
      <c r="Y18" s="720" t="str">
        <f t="shared" si="24"/>
        <v/>
      </c>
      <c r="Z18" s="721" t="str">
        <f t="shared" si="9"/>
        <v/>
      </c>
      <c r="AA18" s="721" t="str">
        <f t="shared" si="10"/>
        <v/>
      </c>
      <c r="AB18" s="719" t="str">
        <f t="shared" si="4"/>
        <v/>
      </c>
      <c r="AC18" s="857"/>
      <c r="AD18" s="717" t="str">
        <f t="shared" si="11"/>
        <v/>
      </c>
      <c r="AE18" s="718" t="str">
        <f t="shared" si="12"/>
        <v/>
      </c>
      <c r="AF18" s="719" t="str">
        <f t="shared" si="5"/>
        <v/>
      </c>
      <c r="AG18" s="726"/>
      <c r="AH18" s="727" t="str">
        <f t="shared" si="13"/>
        <v/>
      </c>
      <c r="AI18" s="703" t="str">
        <f t="shared" si="14"/>
        <v/>
      </c>
      <c r="AJ18" s="703" t="str">
        <f t="shared" si="15"/>
        <v/>
      </c>
      <c r="AL18" s="1075" t="str">
        <f t="shared" si="16"/>
        <v/>
      </c>
      <c r="AM18" s="855" t="str">
        <f t="shared" si="18"/>
        <v/>
      </c>
      <c r="AN18" s="707" t="str">
        <f>IF(OR(AL18="Fail",AL18="Fail LPA",AL18=""),"",IF(AM18&lt;&gt;"#1",VLOOKUP(C18,'9.4.3 Tables'!B$156:O$164,14,FALSE),"No NEW controls required"))</f>
        <v/>
      </c>
      <c r="AO18" s="703">
        <f t="shared" si="19"/>
        <v>0</v>
      </c>
      <c r="AR18">
        <v>9</v>
      </c>
      <c r="AS18" s="15" t="str">
        <f t="shared" si="17"/>
        <v/>
      </c>
      <c r="AT18" s="700" t="str">
        <f ca="1">IF(INDIRECT("'Ext Nontradable'!$B" &amp; AT$9)=$B18,INDIRECT("'Ext Nontradable'!$" &amp; 'Ext Nontradable'!$AZ$23 &amp; AT$9),"")</f>
        <v/>
      </c>
      <c r="AU18" s="700" t="str">
        <f ca="1">IF(INDIRECT("'Ext Nontradable'!$B" &amp; AU$9)=$B18,INDIRECT("'Ext Nontradable'!$" &amp; 'Ext Nontradable'!$AZ$23 &amp; AU$9),"")</f>
        <v/>
      </c>
      <c r="AV18" s="700" t="str">
        <f ca="1">IF(INDIRECT("'Ext Nontradable'!$B" &amp; AV$9)=$B18,INDIRECT("'Ext Nontradable'!$" &amp; 'Ext Nontradable'!$AZ$23 &amp; AV$9),"")</f>
        <v/>
      </c>
      <c r="AW18" s="700" t="str">
        <f ca="1">IF(INDIRECT("'Ext Nontradable'!$B" &amp; AW$9)=$B18,INDIRECT("'Ext Nontradable'!$" &amp; 'Ext Nontradable'!$AZ$23 &amp; AW$9),"")</f>
        <v/>
      </c>
      <c r="AX18" s="700" t="str">
        <f ca="1">IF(INDIRECT("'Ext Nontradable'!$B" &amp; AX$9)=$B18,INDIRECT("'Ext Nontradable'!$" &amp; 'Ext Nontradable'!$AZ$23 &amp; AX$9),"")</f>
        <v/>
      </c>
      <c r="AY18" s="700" t="str">
        <f ca="1">IF(INDIRECT("'Ext Nontradable'!$B" &amp; AY$9)=$B18,INDIRECT("'Ext Nontradable'!$" &amp; 'Ext Nontradable'!$AZ$23 &amp; AY$9),"")</f>
        <v/>
      </c>
      <c r="AZ18" s="700" t="str">
        <f ca="1">IF(INDIRECT("'Ext Nontradable'!$B" &amp; AZ$9)=$B18,INDIRECT("'Ext Nontradable'!$" &amp; 'Ext Nontradable'!$AZ$23 &amp; AZ$9),"")</f>
        <v/>
      </c>
      <c r="BA18" s="700" t="str">
        <f ca="1">IF(INDIRECT("'Ext Nontradable'!$B" &amp; BA$9)=$B18,INDIRECT("'Ext Nontradable'!$" &amp; 'Ext Nontradable'!$AZ$23 &amp; BA$9),"")</f>
        <v/>
      </c>
      <c r="BB18" s="700" t="str">
        <f ca="1">IF(INDIRECT("'Ext Nontradable'!$B" &amp; BB$9)=$B18,INDIRECT("'Ext Nontradable'!$" &amp; 'Ext Nontradable'!$AZ$23 &amp; BB$9),"")</f>
        <v/>
      </c>
      <c r="BC18" s="700" t="str">
        <f ca="1">IF(INDIRECT("'Ext Nontradable'!$B" &amp; BC$9)=$B18,INDIRECT("'Ext Nontradable'!$" &amp; 'Ext Nontradable'!$AZ$23 &amp; BC$9),"")</f>
        <v/>
      </c>
      <c r="BD18" s="700" t="str">
        <f ca="1">IF(INDIRECT("'Ext Nontradable'!$B" &amp; BD$9)=$B18,INDIRECT("'Ext Nontradable'!$" &amp; 'Ext Nontradable'!$AZ$23 &amp; BD$9),"")</f>
        <v/>
      </c>
      <c r="BE18" s="700" t="str">
        <f ca="1">IF(INDIRECT("'Ext Nontradable'!$B" &amp; BE$9)=$B18,INDIRECT("'Ext Nontradable'!$" &amp; 'Ext Nontradable'!$AZ$23 &amp; BE$9),"")</f>
        <v/>
      </c>
      <c r="BF18" s="700" t="str">
        <f ca="1">IF(INDIRECT("'Ext Nontradable'!$B" &amp; BF$9)=$B18,INDIRECT("'Ext Nontradable'!$" &amp; 'Ext Nontradable'!$AZ$23 &amp; BF$9),"")</f>
        <v/>
      </c>
      <c r="BG18" s="700" t="str">
        <f ca="1">IF(INDIRECT("'Ext Nontradable'!$B" &amp; BG$9)=$B18,INDIRECT("'Ext Nontradable'!$" &amp; 'Ext Nontradable'!$AZ$23 &amp; BG$9),"")</f>
        <v/>
      </c>
      <c r="BH18" s="700" t="str">
        <f ca="1">IF(INDIRECT("'Ext Nontradable'!$B" &amp; BH$9)=$B18,INDIRECT("'Ext Nontradable'!$" &amp; 'Ext Nontradable'!$AZ$23 &amp; BH$9),"")</f>
        <v/>
      </c>
      <c r="BI18" s="700" t="str">
        <f ca="1">IF(INDIRECT("'Ext Nontradable'!$B" &amp; BI$9)=$B18,INDIRECT("'Ext Nontradable'!$" &amp; 'Ext Nontradable'!$AZ$23 &amp; BI$9),"")</f>
        <v/>
      </c>
      <c r="BJ18" s="700" t="str">
        <f ca="1">IF(INDIRECT("'Ext Nontradable'!$B" &amp; BJ$9)=$B18,INDIRECT("'Ext Nontradable'!$" &amp; 'Ext Nontradable'!$AZ$23 &amp; BJ$9),"")</f>
        <v/>
      </c>
      <c r="BK18" s="700" t="str">
        <f ca="1">IF(INDIRECT("'Ext Nontradable'!$B" &amp; BK$9)=$B18,INDIRECT("'Ext Nontradable'!$" &amp; 'Ext Nontradable'!$AZ$23 &amp; BK$9),"")</f>
        <v/>
      </c>
      <c r="BL18" s="700" t="str">
        <f ca="1">IF(INDIRECT("'Ext Nontradable'!$B" &amp; BL$9)=$B18,INDIRECT("'Ext Nontradable'!$" &amp; 'Ext Nontradable'!$AZ$23 &amp; BL$9),"")</f>
        <v/>
      </c>
      <c r="BM18" s="700" t="str">
        <f ca="1">IF(INDIRECT("'Ext Nontradable'!$B" &amp; BM$9)=$B18,INDIRECT("'Ext Nontradable'!$" &amp; 'Ext Nontradable'!$AZ$23 &amp; BM$9),"")</f>
        <v/>
      </c>
      <c r="BN18" s="700">
        <f ca="1">IF(INDIRECT("'Ext Nontradable'!$B" &amp; BN$9)=$B18,INDIRECT("'Ext Nontradable'!$" &amp; 'Ext Nontradable'!$AZ$23 &amp; BN$9),"")</f>
        <v>0</v>
      </c>
      <c r="BO18" s="700">
        <f ca="1">IF(INDIRECT("'Ext Nontradable'!$B" &amp; BO$9)=$B18,INDIRECT("'Ext Nontradable'!$" &amp; 'Ext Nontradable'!$AZ$23 &amp; BO$9),"")</f>
        <v>0</v>
      </c>
      <c r="BP18" s="700">
        <f ca="1">IF(INDIRECT("'Ext Nontradable'!$B" &amp; BP$9)=$B18,INDIRECT("'Ext Nontradable'!$" &amp; 'Ext Nontradable'!$AZ$23 &amp; BP$9),"")</f>
        <v>0</v>
      </c>
      <c r="BQ18" s="700">
        <f ca="1">IF(INDIRECT("'Ext Nontradable'!$B" &amp; BQ$9)=$B18,INDIRECT("'Ext Nontradable'!$" &amp; 'Ext Nontradable'!$AZ$23 &amp; BQ$9),"")</f>
        <v>0</v>
      </c>
      <c r="BR18" s="700">
        <f ca="1">IF(INDIRECT("'Ext Nontradable'!$B" &amp; BR$9)=$B18,INDIRECT("'Ext Nontradable'!$" &amp; 'Ext Nontradable'!$AZ$23 &amp; BR$9),"")</f>
        <v>0</v>
      </c>
      <c r="BS18" s="700">
        <f ca="1">IF(INDIRECT("'Ext Nontradable'!$B" &amp; BS$9)=$B18,INDIRECT("'Ext Nontradable'!$" &amp; 'Ext Nontradable'!$AZ$23 &amp; BS$9),"")</f>
        <v>0</v>
      </c>
      <c r="BT18" s="700">
        <f ca="1">IF(INDIRECT("'Ext Nontradable'!$B" &amp; BT$9)=$B18,INDIRECT("'Ext Nontradable'!$" &amp; 'Ext Nontradable'!$AZ$23 &amp; BT$9),"")</f>
        <v>0</v>
      </c>
      <c r="BU18" s="700">
        <f ca="1">IF(INDIRECT("'Ext Nontradable'!$B" &amp; BU$9)=$B18,INDIRECT("'Ext Nontradable'!$" &amp; 'Ext Nontradable'!$AZ$23 &amp; BU$9),"")</f>
        <v>0</v>
      </c>
      <c r="BV18" s="700">
        <f ca="1">IF(INDIRECT("'Ext Nontradable'!$B" &amp; BV$9)=$B18,INDIRECT("'Ext Nontradable'!$" &amp; 'Ext Nontradable'!$AZ$23 &amp; BV$9),"")</f>
        <v>0</v>
      </c>
      <c r="BW18" s="700">
        <f ca="1">IF(INDIRECT("'Ext Nontradable'!$B" &amp; BW$9)=$B18,INDIRECT("'Ext Nontradable'!$" &amp; 'Ext Nontradable'!$AZ$23 &amp; BW$9),"")</f>
        <v>0</v>
      </c>
      <c r="BX18" s="700">
        <f ca="1">IF(INDIRECT("'Ext Nontradable'!$B" &amp; BX$9)=$B18,INDIRECT("'Ext Nontradable'!$" &amp; 'Ext Nontradable'!$AZ$23 &amp; BX$9),"")</f>
        <v>0</v>
      </c>
      <c r="BY18" s="700">
        <f ca="1">IF(INDIRECT("'Ext Nontradable'!$B" &amp; BY$9)=$B18,INDIRECT("'Ext Nontradable'!$" &amp; 'Ext Nontradable'!$AZ$23 &amp; BY$9),"")</f>
        <v>0</v>
      </c>
      <c r="BZ18" s="700">
        <f ca="1">IF(INDIRECT("'Ext Nontradable'!$B" &amp; BZ$9)=$B18,INDIRECT("'Ext Nontradable'!$" &amp; 'Ext Nontradable'!$AZ$23 &amp; BZ$9),"")</f>
        <v>0</v>
      </c>
      <c r="CA18" s="700">
        <f ca="1">IF(INDIRECT("'Ext Nontradable'!$B" &amp; CA$9)=$B18,INDIRECT("'Ext Nontradable'!$" &amp; 'Ext Nontradable'!$AZ$23 &amp; CA$9),"")</f>
        <v>0</v>
      </c>
      <c r="CB18" s="700">
        <f ca="1">IF(INDIRECT("'Ext Nontradable'!$B" &amp; CB$9)=$B18,INDIRECT("'Ext Nontradable'!$" &amp; 'Ext Nontradable'!$AZ$23 &amp; CB$9),"")</f>
        <v>0</v>
      </c>
      <c r="CC18" s="700">
        <f ca="1">IF(INDIRECT("'Ext Nontradable'!$B" &amp; CC$9)=$B18,INDIRECT("'Ext Nontradable'!$" &amp; 'Ext Nontradable'!$AZ$23 &amp; CC$9),"")</f>
        <v>0</v>
      </c>
      <c r="CD18" s="700">
        <f ca="1">IF(INDIRECT("'Ext Nontradable'!$B" &amp; CD$9)=$B18,INDIRECT("'Ext Nontradable'!$" &amp; 'Ext Nontradable'!$AZ$23 &amp; CD$9),"")</f>
        <v>0</v>
      </c>
      <c r="CE18" s="700">
        <f ca="1">IF(INDIRECT("'Ext Nontradable'!$B" &amp; CE$9)=$B18,INDIRECT("'Ext Nontradable'!$" &amp; 'Ext Nontradable'!$AZ$23 &amp; CE$9),"")</f>
        <v>0</v>
      </c>
      <c r="CF18" s="700">
        <f ca="1">IF(INDIRECT("'Ext Nontradable'!$B" &amp; CF$9)=$B18,INDIRECT("'Ext Nontradable'!$" &amp; 'Ext Nontradable'!$AZ$23 &amp; CF$9),"")</f>
        <v>0</v>
      </c>
      <c r="CG18" s="700">
        <f ca="1">IF(INDIRECT("'Ext Nontradable'!$B" &amp; CG$9)=$B18,INDIRECT("'Ext Nontradable'!$" &amp; 'Ext Nontradable'!$AZ$23 &amp; CG$9),"")</f>
        <v>0</v>
      </c>
      <c r="CH18" s="700">
        <f ca="1">IF(INDIRECT("'Ext Nontradable'!$B" &amp; CH$9)=$B18,INDIRECT("'Ext Nontradable'!$" &amp; 'Ext Nontradable'!$AZ$23 &amp; CH$9),"")</f>
        <v>0</v>
      </c>
      <c r="CI18" s="700">
        <f ca="1">IF(INDIRECT("'Ext Nontradable'!$B" &amp; CI$9)=$B18,INDIRECT("'Ext Nontradable'!$" &amp; 'Ext Nontradable'!$AZ$23 &amp; CI$9),"")</f>
        <v>0</v>
      </c>
      <c r="CJ18" s="700">
        <f ca="1">IF(INDIRECT("'Ext Nontradable'!$B" &amp; CJ$9)=$B18,INDIRECT("'Ext Nontradable'!$" &amp; 'Ext Nontradable'!$AZ$23 &amp; CJ$9),"")</f>
        <v>0</v>
      </c>
      <c r="CK18" s="700">
        <f ca="1">IF(INDIRECT("'Ext Nontradable'!$B" &amp; CK$9)=$B18,INDIRECT("'Ext Nontradable'!$" &amp; 'Ext Nontradable'!$AZ$23 &amp; CK$9),"")</f>
        <v>0</v>
      </c>
      <c r="CL18" s="700">
        <f ca="1">IF(INDIRECT("'Ext Nontradable'!$B" &amp; CL$9)=$B18,INDIRECT("'Ext Nontradable'!$" &amp; 'Ext Nontradable'!$AZ$23 &amp; CL$9),"")</f>
        <v>0</v>
      </c>
      <c r="CM18" s="700">
        <f ca="1">IF(INDIRECT("'Ext Nontradable'!$B" &amp; CM$9)=$B18,INDIRECT("'Ext Nontradable'!$" &amp; 'Ext Nontradable'!$AZ$23 &amp; CM$9),"")</f>
        <v>0</v>
      </c>
      <c r="CN18" s="700">
        <f ca="1">IF(INDIRECT("'Ext Nontradable'!$B" &amp; CN$9)=$B18,INDIRECT("'Ext Nontradable'!$" &amp; 'Ext Nontradable'!$AZ$23 &amp; CN$9),"")</f>
        <v>0</v>
      </c>
      <c r="CO18" s="700">
        <f ca="1">IF(INDIRECT("'Ext Nontradable'!$B" &amp; CO$9)=$B18,INDIRECT("'Ext Nontradable'!$" &amp; 'Ext Nontradable'!$AZ$23 &amp; CO$9),"")</f>
        <v>0</v>
      </c>
      <c r="CP18" s="700">
        <f ca="1">IF(INDIRECT("'Ext Nontradable'!$B" &amp; CP$9)=$B18,INDIRECT("'Ext Nontradable'!$" &amp; 'Ext Nontradable'!$AZ$23 &amp; CP$9),"")</f>
        <v>0</v>
      </c>
      <c r="CQ18" s="700">
        <f ca="1">IF(INDIRECT("'Ext Nontradable'!$B" &amp; CQ$9)=$B18,INDIRECT("'Ext Nontradable'!$" &amp; 'Ext Nontradable'!$AZ$23 &amp; CQ$9),"")</f>
        <v>0</v>
      </c>
      <c r="CR18" s="702" t="str">
        <f t="shared" ca="1" si="25"/>
        <v>000000000000000000000000000000</v>
      </c>
    </row>
    <row r="19" spans="1:96" ht="60" customHeight="1" x14ac:dyDescent="0.25">
      <c r="A19" s="705">
        <v>10</v>
      </c>
      <c r="B19" s="707" t="str">
        <f>'Ext Area Schedule'!AK25</f>
        <v/>
      </c>
      <c r="C19" s="707" t="str">
        <f>VLOOKUP($B19,'Ext Area Schedule'!$AK$16:$AO$65,3,FALSE)</f>
        <v/>
      </c>
      <c r="D19" s="792" t="str">
        <f>VLOOKUP($B19,'Ext Area Schedule'!$AK$16:$AO$65,4,FALSE)</f>
        <v/>
      </c>
      <c r="F19" s="792" t="str">
        <f>VLOOKUP($B19,'Ext Area Schedule'!$AK$16:$AO$65,5,FALSE)</f>
        <v/>
      </c>
      <c r="G19" s="792" t="str">
        <f>VLOOKUP($B19,'Ext Area Schedule'!$AK$16:$AO$65,5,FALSE)</f>
        <v/>
      </c>
      <c r="I19" s="703" t="str">
        <f t="shared" si="1"/>
        <v/>
      </c>
      <c r="K19" s="703" t="str">
        <f>IF($B19="","",SUMIFS('Ext Nontradable'!$M$26:$M$45,'Ext Nontradable'!$B$26:$B$45,$B19,'Ext Nontradable'!$U$26:$U$45,"New"))</f>
        <v/>
      </c>
      <c r="L19" s="703" t="str">
        <f>IF($B19="","",SUMIFS('Ext Nontradable'!$M$26:$M$45,'Ext Nontradable'!$B$26:$B$45,$B19,'Ext Nontradable'!$U$26:$U$45,""))</f>
        <v/>
      </c>
      <c r="M19" s="703" t="str">
        <f>IF($B19="","",SUMIFS('Ext Nontradable'!$K$26:$K$45,'Ext Nontradable'!$B$26:$B$45,$B19,'Ext Nontradable'!$U$26:$U$45,"New")+SUMIFS('Ext Nontradable'!$K$26:$K$45,'Ext Nontradable'!$B$26:$B$45,$B19,'Ext Nontradable'!$U$26:$U$45,""))</f>
        <v/>
      </c>
      <c r="N19" s="703" t="str">
        <f>IF($B19="","",SUMIFS('Ext Nontradable'!$M$26:$M$45,'Ext Nontradable'!$B$26:$B$45,$B19,'Ext Nontradable'!$U$26:$U$45,"Existing Remains"))</f>
        <v/>
      </c>
      <c r="O19" s="703" t="str">
        <f>IF($B19="","",SUMIFS('Ext Nontradable'!$M$26:$M$45,'Ext Nontradable'!$B$26:$B$45,$B19,'Ext Nontradable'!$U$26:$U$45,"Existing Removed"))</f>
        <v/>
      </c>
      <c r="P19" s="703" t="str">
        <f>IF($B19="","",SUMIFS('Ext Nontradable'!$K$26:$K$45,'Ext Nontradable'!$B$26:$B$45,$B19,'Ext Nontradable'!$U$26:$U$45,"Existing Removed"))</f>
        <v/>
      </c>
      <c r="Q19" s="703" t="str">
        <f t="shared" si="2"/>
        <v/>
      </c>
      <c r="R19" s="703" t="str">
        <f t="shared" si="7"/>
        <v/>
      </c>
      <c r="S19" s="703">
        <f t="shared" si="8"/>
        <v>0</v>
      </c>
      <c r="T19" s="954">
        <f t="shared" si="20"/>
        <v>0</v>
      </c>
      <c r="U19" s="954">
        <f t="shared" si="21"/>
        <v>0</v>
      </c>
      <c r="V19" s="1115" t="str">
        <f t="shared" si="22"/>
        <v/>
      </c>
      <c r="W19" s="712" t="str">
        <f t="shared" si="23"/>
        <v/>
      </c>
      <c r="X19" s="857"/>
      <c r="Y19" s="720" t="str">
        <f t="shared" si="24"/>
        <v/>
      </c>
      <c r="Z19" s="721" t="str">
        <f t="shared" si="9"/>
        <v/>
      </c>
      <c r="AA19" s="721" t="str">
        <f t="shared" si="10"/>
        <v/>
      </c>
      <c r="AB19" s="719" t="str">
        <f t="shared" si="4"/>
        <v/>
      </c>
      <c r="AC19" s="857"/>
      <c r="AD19" s="717" t="str">
        <f t="shared" si="11"/>
        <v/>
      </c>
      <c r="AE19" s="718" t="str">
        <f t="shared" si="12"/>
        <v/>
      </c>
      <c r="AF19" s="719" t="str">
        <f t="shared" si="5"/>
        <v/>
      </c>
      <c r="AG19" s="726"/>
      <c r="AH19" s="727" t="str">
        <f t="shared" si="13"/>
        <v/>
      </c>
      <c r="AI19" s="703" t="str">
        <f t="shared" si="14"/>
        <v/>
      </c>
      <c r="AJ19" s="703" t="str">
        <f t="shared" si="15"/>
        <v/>
      </c>
      <c r="AL19" s="1075" t="str">
        <f t="shared" si="16"/>
        <v/>
      </c>
      <c r="AM19" s="855" t="str">
        <f t="shared" si="18"/>
        <v/>
      </c>
      <c r="AN19" s="707" t="str">
        <f>IF(OR(AL19="Fail",AL19="Fail LPA",AL19=""),"",IF(AM19&lt;&gt;"#1",VLOOKUP(C19,'9.4.3 Tables'!B$156:O$164,14,FALSE),"No NEW controls required"))</f>
        <v/>
      </c>
      <c r="AO19" s="703">
        <f t="shared" si="19"/>
        <v>0</v>
      </c>
      <c r="AR19">
        <v>10</v>
      </c>
      <c r="AS19" s="15" t="str">
        <f t="shared" si="17"/>
        <v/>
      </c>
      <c r="AT19" s="700" t="str">
        <f ca="1">IF(INDIRECT("'Ext Nontradable'!$B" &amp; AT$9)=$B19,INDIRECT("'Ext Nontradable'!$" &amp; 'Ext Nontradable'!$AZ$23 &amp; AT$9),"")</f>
        <v/>
      </c>
      <c r="AU19" s="700" t="str">
        <f ca="1">IF(INDIRECT("'Ext Nontradable'!$B" &amp; AU$9)=$B19,INDIRECT("'Ext Nontradable'!$" &amp; 'Ext Nontradable'!$AZ$23 &amp; AU$9),"")</f>
        <v/>
      </c>
      <c r="AV19" s="700" t="str">
        <f ca="1">IF(INDIRECT("'Ext Nontradable'!$B" &amp; AV$9)=$B19,INDIRECT("'Ext Nontradable'!$" &amp; 'Ext Nontradable'!$AZ$23 &amp; AV$9),"")</f>
        <v/>
      </c>
      <c r="AW19" s="700" t="str">
        <f ca="1">IF(INDIRECT("'Ext Nontradable'!$B" &amp; AW$9)=$B19,INDIRECT("'Ext Nontradable'!$" &amp; 'Ext Nontradable'!$AZ$23 &amp; AW$9),"")</f>
        <v/>
      </c>
      <c r="AX19" s="700" t="str">
        <f ca="1">IF(INDIRECT("'Ext Nontradable'!$B" &amp; AX$9)=$B19,INDIRECT("'Ext Nontradable'!$" &amp; 'Ext Nontradable'!$AZ$23 &amp; AX$9),"")</f>
        <v/>
      </c>
      <c r="AY19" s="700" t="str">
        <f ca="1">IF(INDIRECT("'Ext Nontradable'!$B" &amp; AY$9)=$B19,INDIRECT("'Ext Nontradable'!$" &amp; 'Ext Nontradable'!$AZ$23 &amp; AY$9),"")</f>
        <v/>
      </c>
      <c r="AZ19" s="700" t="str">
        <f ca="1">IF(INDIRECT("'Ext Nontradable'!$B" &amp; AZ$9)=$B19,INDIRECT("'Ext Nontradable'!$" &amp; 'Ext Nontradable'!$AZ$23 &amp; AZ$9),"")</f>
        <v/>
      </c>
      <c r="BA19" s="700" t="str">
        <f ca="1">IF(INDIRECT("'Ext Nontradable'!$B" &amp; BA$9)=$B19,INDIRECT("'Ext Nontradable'!$" &amp; 'Ext Nontradable'!$AZ$23 &amp; BA$9),"")</f>
        <v/>
      </c>
      <c r="BB19" s="700" t="str">
        <f ca="1">IF(INDIRECT("'Ext Nontradable'!$B" &amp; BB$9)=$B19,INDIRECT("'Ext Nontradable'!$" &amp; 'Ext Nontradable'!$AZ$23 &amp; BB$9),"")</f>
        <v/>
      </c>
      <c r="BC19" s="700" t="str">
        <f ca="1">IF(INDIRECT("'Ext Nontradable'!$B" &amp; BC$9)=$B19,INDIRECT("'Ext Nontradable'!$" &amp; 'Ext Nontradable'!$AZ$23 &amp; BC$9),"")</f>
        <v/>
      </c>
      <c r="BD19" s="700" t="str">
        <f ca="1">IF(INDIRECT("'Ext Nontradable'!$B" &amp; BD$9)=$B19,INDIRECT("'Ext Nontradable'!$" &amp; 'Ext Nontradable'!$AZ$23 &amp; BD$9),"")</f>
        <v/>
      </c>
      <c r="BE19" s="700" t="str">
        <f ca="1">IF(INDIRECT("'Ext Nontradable'!$B" &amp; BE$9)=$B19,INDIRECT("'Ext Nontradable'!$" &amp; 'Ext Nontradable'!$AZ$23 &amp; BE$9),"")</f>
        <v/>
      </c>
      <c r="BF19" s="700" t="str">
        <f ca="1">IF(INDIRECT("'Ext Nontradable'!$B" &amp; BF$9)=$B19,INDIRECT("'Ext Nontradable'!$" &amp; 'Ext Nontradable'!$AZ$23 &amp; BF$9),"")</f>
        <v/>
      </c>
      <c r="BG19" s="700" t="str">
        <f ca="1">IF(INDIRECT("'Ext Nontradable'!$B" &amp; BG$9)=$B19,INDIRECT("'Ext Nontradable'!$" &amp; 'Ext Nontradable'!$AZ$23 &amp; BG$9),"")</f>
        <v/>
      </c>
      <c r="BH19" s="700" t="str">
        <f ca="1">IF(INDIRECT("'Ext Nontradable'!$B" &amp; BH$9)=$B19,INDIRECT("'Ext Nontradable'!$" &amp; 'Ext Nontradable'!$AZ$23 &amp; BH$9),"")</f>
        <v/>
      </c>
      <c r="BI19" s="700" t="str">
        <f ca="1">IF(INDIRECT("'Ext Nontradable'!$B" &amp; BI$9)=$B19,INDIRECT("'Ext Nontradable'!$" &amp; 'Ext Nontradable'!$AZ$23 &amp; BI$9),"")</f>
        <v/>
      </c>
      <c r="BJ19" s="700" t="str">
        <f ca="1">IF(INDIRECT("'Ext Nontradable'!$B" &amp; BJ$9)=$B19,INDIRECT("'Ext Nontradable'!$" &amp; 'Ext Nontradable'!$AZ$23 &amp; BJ$9),"")</f>
        <v/>
      </c>
      <c r="BK19" s="700" t="str">
        <f ca="1">IF(INDIRECT("'Ext Nontradable'!$B" &amp; BK$9)=$B19,INDIRECT("'Ext Nontradable'!$" &amp; 'Ext Nontradable'!$AZ$23 &amp; BK$9),"")</f>
        <v/>
      </c>
      <c r="BL19" s="700" t="str">
        <f ca="1">IF(INDIRECT("'Ext Nontradable'!$B" &amp; BL$9)=$B19,INDIRECT("'Ext Nontradable'!$" &amp; 'Ext Nontradable'!$AZ$23 &amp; BL$9),"")</f>
        <v/>
      </c>
      <c r="BM19" s="700" t="str">
        <f ca="1">IF(INDIRECT("'Ext Nontradable'!$B" &amp; BM$9)=$B19,INDIRECT("'Ext Nontradable'!$" &amp; 'Ext Nontradable'!$AZ$23 &amp; BM$9),"")</f>
        <v/>
      </c>
      <c r="BN19" s="700">
        <f ca="1">IF(INDIRECT("'Ext Nontradable'!$B" &amp; BN$9)=$B19,INDIRECT("'Ext Nontradable'!$" &amp; 'Ext Nontradable'!$AZ$23 &amp; BN$9),"")</f>
        <v>0</v>
      </c>
      <c r="BO19" s="700">
        <f ca="1">IF(INDIRECT("'Ext Nontradable'!$B" &amp; BO$9)=$B19,INDIRECT("'Ext Nontradable'!$" &amp; 'Ext Nontradable'!$AZ$23 &amp; BO$9),"")</f>
        <v>0</v>
      </c>
      <c r="BP19" s="700">
        <f ca="1">IF(INDIRECT("'Ext Nontradable'!$B" &amp; BP$9)=$B19,INDIRECT("'Ext Nontradable'!$" &amp; 'Ext Nontradable'!$AZ$23 &amp; BP$9),"")</f>
        <v>0</v>
      </c>
      <c r="BQ19" s="700">
        <f ca="1">IF(INDIRECT("'Ext Nontradable'!$B" &amp; BQ$9)=$B19,INDIRECT("'Ext Nontradable'!$" &amp; 'Ext Nontradable'!$AZ$23 &amp; BQ$9),"")</f>
        <v>0</v>
      </c>
      <c r="BR19" s="700">
        <f ca="1">IF(INDIRECT("'Ext Nontradable'!$B" &amp; BR$9)=$B19,INDIRECT("'Ext Nontradable'!$" &amp; 'Ext Nontradable'!$AZ$23 &amp; BR$9),"")</f>
        <v>0</v>
      </c>
      <c r="BS19" s="700">
        <f ca="1">IF(INDIRECT("'Ext Nontradable'!$B" &amp; BS$9)=$B19,INDIRECT("'Ext Nontradable'!$" &amp; 'Ext Nontradable'!$AZ$23 &amp; BS$9),"")</f>
        <v>0</v>
      </c>
      <c r="BT19" s="700">
        <f ca="1">IF(INDIRECT("'Ext Nontradable'!$B" &amp; BT$9)=$B19,INDIRECT("'Ext Nontradable'!$" &amp; 'Ext Nontradable'!$AZ$23 &amp; BT$9),"")</f>
        <v>0</v>
      </c>
      <c r="BU19" s="700">
        <f ca="1">IF(INDIRECT("'Ext Nontradable'!$B" &amp; BU$9)=$B19,INDIRECT("'Ext Nontradable'!$" &amp; 'Ext Nontradable'!$AZ$23 &amp; BU$9),"")</f>
        <v>0</v>
      </c>
      <c r="BV19" s="700">
        <f ca="1">IF(INDIRECT("'Ext Nontradable'!$B" &amp; BV$9)=$B19,INDIRECT("'Ext Nontradable'!$" &amp; 'Ext Nontradable'!$AZ$23 &amp; BV$9),"")</f>
        <v>0</v>
      </c>
      <c r="BW19" s="700">
        <f ca="1">IF(INDIRECT("'Ext Nontradable'!$B" &amp; BW$9)=$B19,INDIRECT("'Ext Nontradable'!$" &amp; 'Ext Nontradable'!$AZ$23 &amp; BW$9),"")</f>
        <v>0</v>
      </c>
      <c r="BX19" s="700">
        <f ca="1">IF(INDIRECT("'Ext Nontradable'!$B" &amp; BX$9)=$B19,INDIRECT("'Ext Nontradable'!$" &amp; 'Ext Nontradable'!$AZ$23 &amp; BX$9),"")</f>
        <v>0</v>
      </c>
      <c r="BY19" s="700">
        <f ca="1">IF(INDIRECT("'Ext Nontradable'!$B" &amp; BY$9)=$B19,INDIRECT("'Ext Nontradable'!$" &amp; 'Ext Nontradable'!$AZ$23 &amp; BY$9),"")</f>
        <v>0</v>
      </c>
      <c r="BZ19" s="700">
        <f ca="1">IF(INDIRECT("'Ext Nontradable'!$B" &amp; BZ$9)=$B19,INDIRECT("'Ext Nontradable'!$" &amp; 'Ext Nontradable'!$AZ$23 &amp; BZ$9),"")</f>
        <v>0</v>
      </c>
      <c r="CA19" s="700">
        <f ca="1">IF(INDIRECT("'Ext Nontradable'!$B" &amp; CA$9)=$B19,INDIRECT("'Ext Nontradable'!$" &amp; 'Ext Nontradable'!$AZ$23 &amp; CA$9),"")</f>
        <v>0</v>
      </c>
      <c r="CB19" s="700">
        <f ca="1">IF(INDIRECT("'Ext Nontradable'!$B" &amp; CB$9)=$B19,INDIRECT("'Ext Nontradable'!$" &amp; 'Ext Nontradable'!$AZ$23 &amp; CB$9),"")</f>
        <v>0</v>
      </c>
      <c r="CC19" s="700">
        <f ca="1">IF(INDIRECT("'Ext Nontradable'!$B" &amp; CC$9)=$B19,INDIRECT("'Ext Nontradable'!$" &amp; 'Ext Nontradable'!$AZ$23 &amp; CC$9),"")</f>
        <v>0</v>
      </c>
      <c r="CD19" s="700">
        <f ca="1">IF(INDIRECT("'Ext Nontradable'!$B" &amp; CD$9)=$B19,INDIRECT("'Ext Nontradable'!$" &amp; 'Ext Nontradable'!$AZ$23 &amp; CD$9),"")</f>
        <v>0</v>
      </c>
      <c r="CE19" s="700">
        <f ca="1">IF(INDIRECT("'Ext Nontradable'!$B" &amp; CE$9)=$B19,INDIRECT("'Ext Nontradable'!$" &amp; 'Ext Nontradable'!$AZ$23 &amp; CE$9),"")</f>
        <v>0</v>
      </c>
      <c r="CF19" s="700">
        <f ca="1">IF(INDIRECT("'Ext Nontradable'!$B" &amp; CF$9)=$B19,INDIRECT("'Ext Nontradable'!$" &amp; 'Ext Nontradable'!$AZ$23 &amp; CF$9),"")</f>
        <v>0</v>
      </c>
      <c r="CG19" s="700">
        <f ca="1">IF(INDIRECT("'Ext Nontradable'!$B" &amp; CG$9)=$B19,INDIRECT("'Ext Nontradable'!$" &amp; 'Ext Nontradable'!$AZ$23 &amp; CG$9),"")</f>
        <v>0</v>
      </c>
      <c r="CH19" s="700">
        <f ca="1">IF(INDIRECT("'Ext Nontradable'!$B" &amp; CH$9)=$B19,INDIRECT("'Ext Nontradable'!$" &amp; 'Ext Nontradable'!$AZ$23 &amp; CH$9),"")</f>
        <v>0</v>
      </c>
      <c r="CI19" s="700">
        <f ca="1">IF(INDIRECT("'Ext Nontradable'!$B" &amp; CI$9)=$B19,INDIRECT("'Ext Nontradable'!$" &amp; 'Ext Nontradable'!$AZ$23 &amp; CI$9),"")</f>
        <v>0</v>
      </c>
      <c r="CJ19" s="700">
        <f ca="1">IF(INDIRECT("'Ext Nontradable'!$B" &amp; CJ$9)=$B19,INDIRECT("'Ext Nontradable'!$" &amp; 'Ext Nontradable'!$AZ$23 &amp; CJ$9),"")</f>
        <v>0</v>
      </c>
      <c r="CK19" s="700">
        <f ca="1">IF(INDIRECT("'Ext Nontradable'!$B" &amp; CK$9)=$B19,INDIRECT("'Ext Nontradable'!$" &amp; 'Ext Nontradable'!$AZ$23 &amp; CK$9),"")</f>
        <v>0</v>
      </c>
      <c r="CL19" s="700">
        <f ca="1">IF(INDIRECT("'Ext Nontradable'!$B" &amp; CL$9)=$B19,INDIRECT("'Ext Nontradable'!$" &amp; 'Ext Nontradable'!$AZ$23 &amp; CL$9),"")</f>
        <v>0</v>
      </c>
      <c r="CM19" s="700">
        <f ca="1">IF(INDIRECT("'Ext Nontradable'!$B" &amp; CM$9)=$B19,INDIRECT("'Ext Nontradable'!$" &amp; 'Ext Nontradable'!$AZ$23 &amp; CM$9),"")</f>
        <v>0</v>
      </c>
      <c r="CN19" s="700">
        <f ca="1">IF(INDIRECT("'Ext Nontradable'!$B" &amp; CN$9)=$B19,INDIRECT("'Ext Nontradable'!$" &amp; 'Ext Nontradable'!$AZ$23 &amp; CN$9),"")</f>
        <v>0</v>
      </c>
      <c r="CO19" s="700">
        <f ca="1">IF(INDIRECT("'Ext Nontradable'!$B" &amp; CO$9)=$B19,INDIRECT("'Ext Nontradable'!$" &amp; 'Ext Nontradable'!$AZ$23 &amp; CO$9),"")</f>
        <v>0</v>
      </c>
      <c r="CP19" s="700">
        <f ca="1">IF(INDIRECT("'Ext Nontradable'!$B" &amp; CP$9)=$B19,INDIRECT("'Ext Nontradable'!$" &amp; 'Ext Nontradable'!$AZ$23 &amp; CP$9),"")</f>
        <v>0</v>
      </c>
      <c r="CQ19" s="700">
        <f ca="1">IF(INDIRECT("'Ext Nontradable'!$B" &amp; CQ$9)=$B19,INDIRECT("'Ext Nontradable'!$" &amp; 'Ext Nontradable'!$AZ$23 &amp; CQ$9),"")</f>
        <v>0</v>
      </c>
      <c r="CR19" s="702" t="str">
        <f t="shared" ca="1" si="25"/>
        <v>000000000000000000000000000000</v>
      </c>
    </row>
    <row r="20" spans="1:96" ht="60" customHeight="1" x14ac:dyDescent="0.25">
      <c r="A20" s="705">
        <v>11</v>
      </c>
      <c r="B20" s="707" t="str">
        <f>'Ext Area Schedule'!AK26</f>
        <v/>
      </c>
      <c r="C20" s="707" t="str">
        <f>VLOOKUP($B20,'Ext Area Schedule'!$AK$16:$AO$65,3,FALSE)</f>
        <v/>
      </c>
      <c r="D20" s="792" t="str">
        <f>VLOOKUP($B20,'Ext Area Schedule'!$AK$16:$AO$65,4,FALSE)</f>
        <v/>
      </c>
      <c r="F20" s="792" t="str">
        <f>VLOOKUP($B20,'Ext Area Schedule'!$AK$16:$AO$65,5,FALSE)</f>
        <v/>
      </c>
      <c r="G20" s="792" t="str">
        <f>VLOOKUP($B20,'Ext Area Schedule'!$AK$16:$AO$65,5,FALSE)</f>
        <v/>
      </c>
      <c r="I20" s="703" t="str">
        <f t="shared" si="1"/>
        <v/>
      </c>
      <c r="K20" s="703" t="str">
        <f>IF($B20="","",SUMIFS('Ext Nontradable'!$M$26:$M$45,'Ext Nontradable'!$B$26:$B$45,$B20,'Ext Nontradable'!$U$26:$U$45,"New"))</f>
        <v/>
      </c>
      <c r="L20" s="703" t="str">
        <f>IF($B20="","",SUMIFS('Ext Nontradable'!$M$26:$M$45,'Ext Nontradable'!$B$26:$B$45,$B20,'Ext Nontradable'!$U$26:$U$45,""))</f>
        <v/>
      </c>
      <c r="M20" s="703" t="str">
        <f>IF($B20="","",SUMIFS('Ext Nontradable'!$K$26:$K$45,'Ext Nontradable'!$B$26:$B$45,$B20,'Ext Nontradable'!$U$26:$U$45,"New")+SUMIFS('Ext Nontradable'!$K$26:$K$45,'Ext Nontradable'!$B$26:$B$45,$B20,'Ext Nontradable'!$U$26:$U$45,""))</f>
        <v/>
      </c>
      <c r="N20" s="703" t="str">
        <f>IF($B20="","",SUMIFS('Ext Nontradable'!$M$26:$M$45,'Ext Nontradable'!$B$26:$B$45,$B20,'Ext Nontradable'!$U$26:$U$45,"Existing Remains"))</f>
        <v/>
      </c>
      <c r="O20" s="703" t="str">
        <f>IF($B20="","",SUMIFS('Ext Nontradable'!$M$26:$M$45,'Ext Nontradable'!$B$26:$B$45,$B20,'Ext Nontradable'!$U$26:$U$45,"Existing Removed"))</f>
        <v/>
      </c>
      <c r="P20" s="703" t="str">
        <f>IF($B20="","",SUMIFS('Ext Nontradable'!$K$26:$K$45,'Ext Nontradable'!$B$26:$B$45,$B20,'Ext Nontradable'!$U$26:$U$45,"Existing Removed"))</f>
        <v/>
      </c>
      <c r="Q20" s="703" t="str">
        <f t="shared" si="2"/>
        <v/>
      </c>
      <c r="R20" s="703" t="str">
        <f t="shared" si="7"/>
        <v/>
      </c>
      <c r="S20" s="703">
        <f t="shared" si="8"/>
        <v>0</v>
      </c>
      <c r="T20" s="954">
        <f t="shared" si="20"/>
        <v>0</v>
      </c>
      <c r="U20" s="954">
        <f t="shared" si="21"/>
        <v>0</v>
      </c>
      <c r="V20" s="1115" t="str">
        <f t="shared" si="22"/>
        <v/>
      </c>
      <c r="W20" s="712" t="str">
        <f t="shared" si="23"/>
        <v/>
      </c>
      <c r="X20" s="857"/>
      <c r="Y20" s="720" t="str">
        <f t="shared" si="24"/>
        <v/>
      </c>
      <c r="Z20" s="721" t="str">
        <f t="shared" si="9"/>
        <v/>
      </c>
      <c r="AA20" s="721" t="str">
        <f t="shared" si="10"/>
        <v/>
      </c>
      <c r="AB20" s="719" t="str">
        <f t="shared" si="4"/>
        <v/>
      </c>
      <c r="AC20" s="857"/>
      <c r="AD20" s="717" t="str">
        <f t="shared" si="11"/>
        <v/>
      </c>
      <c r="AE20" s="718" t="str">
        <f t="shared" si="12"/>
        <v/>
      </c>
      <c r="AF20" s="719" t="str">
        <f t="shared" si="5"/>
        <v/>
      </c>
      <c r="AG20" s="726"/>
      <c r="AH20" s="727" t="str">
        <f t="shared" si="13"/>
        <v/>
      </c>
      <c r="AI20" s="703" t="str">
        <f t="shared" si="14"/>
        <v/>
      </c>
      <c r="AJ20" s="703" t="str">
        <f t="shared" si="15"/>
        <v/>
      </c>
      <c r="AL20" s="1075" t="str">
        <f t="shared" si="16"/>
        <v/>
      </c>
      <c r="AM20" s="855" t="str">
        <f t="shared" si="18"/>
        <v/>
      </c>
      <c r="AN20" s="707" t="str">
        <f>IF(OR(AL20="Fail",AL20="Fail LPA",AL20=""),"",IF(AM20&lt;&gt;"#1",VLOOKUP(C20,'9.4.3 Tables'!B$156:O$164,14,FALSE),"No NEW controls required"))</f>
        <v/>
      </c>
      <c r="AO20" s="703">
        <f t="shared" si="19"/>
        <v>0</v>
      </c>
      <c r="AR20">
        <v>11</v>
      </c>
      <c r="AS20" s="15" t="str">
        <f t="shared" si="17"/>
        <v/>
      </c>
      <c r="AT20" s="700" t="str">
        <f ca="1">IF(INDIRECT("'Ext Nontradable'!$B" &amp; AT$9)=$B20,INDIRECT("'Ext Nontradable'!$" &amp; 'Ext Nontradable'!$AZ$23 &amp; AT$9),"")</f>
        <v/>
      </c>
      <c r="AU20" s="700" t="str">
        <f ca="1">IF(INDIRECT("'Ext Nontradable'!$B" &amp; AU$9)=$B20,INDIRECT("'Ext Nontradable'!$" &amp; 'Ext Nontradable'!$AZ$23 &amp; AU$9),"")</f>
        <v/>
      </c>
      <c r="AV20" s="700" t="str">
        <f ca="1">IF(INDIRECT("'Ext Nontradable'!$B" &amp; AV$9)=$B20,INDIRECT("'Ext Nontradable'!$" &amp; 'Ext Nontradable'!$AZ$23 &amp; AV$9),"")</f>
        <v/>
      </c>
      <c r="AW20" s="700" t="str">
        <f ca="1">IF(INDIRECT("'Ext Nontradable'!$B" &amp; AW$9)=$B20,INDIRECT("'Ext Nontradable'!$" &amp; 'Ext Nontradable'!$AZ$23 &amp; AW$9),"")</f>
        <v/>
      </c>
      <c r="AX20" s="700" t="str">
        <f ca="1">IF(INDIRECT("'Ext Nontradable'!$B" &amp; AX$9)=$B20,INDIRECT("'Ext Nontradable'!$" &amp; 'Ext Nontradable'!$AZ$23 &amp; AX$9),"")</f>
        <v/>
      </c>
      <c r="AY20" s="700" t="str">
        <f ca="1">IF(INDIRECT("'Ext Nontradable'!$B" &amp; AY$9)=$B20,INDIRECT("'Ext Nontradable'!$" &amp; 'Ext Nontradable'!$AZ$23 &amp; AY$9),"")</f>
        <v/>
      </c>
      <c r="AZ20" s="700" t="str">
        <f ca="1">IF(INDIRECT("'Ext Nontradable'!$B" &amp; AZ$9)=$B20,INDIRECT("'Ext Nontradable'!$" &amp; 'Ext Nontradable'!$AZ$23 &amp; AZ$9),"")</f>
        <v/>
      </c>
      <c r="BA20" s="700" t="str">
        <f ca="1">IF(INDIRECT("'Ext Nontradable'!$B" &amp; BA$9)=$B20,INDIRECT("'Ext Nontradable'!$" &amp; 'Ext Nontradable'!$AZ$23 &amp; BA$9),"")</f>
        <v/>
      </c>
      <c r="BB20" s="700" t="str">
        <f ca="1">IF(INDIRECT("'Ext Nontradable'!$B" &amp; BB$9)=$B20,INDIRECT("'Ext Nontradable'!$" &amp; 'Ext Nontradable'!$AZ$23 &amp; BB$9),"")</f>
        <v/>
      </c>
      <c r="BC20" s="700" t="str">
        <f ca="1">IF(INDIRECT("'Ext Nontradable'!$B" &amp; BC$9)=$B20,INDIRECT("'Ext Nontradable'!$" &amp; 'Ext Nontradable'!$AZ$23 &amp; BC$9),"")</f>
        <v/>
      </c>
      <c r="BD20" s="700" t="str">
        <f ca="1">IF(INDIRECT("'Ext Nontradable'!$B" &amp; BD$9)=$B20,INDIRECT("'Ext Nontradable'!$" &amp; 'Ext Nontradable'!$AZ$23 &amp; BD$9),"")</f>
        <v/>
      </c>
      <c r="BE20" s="700" t="str">
        <f ca="1">IF(INDIRECT("'Ext Nontradable'!$B" &amp; BE$9)=$B20,INDIRECT("'Ext Nontradable'!$" &amp; 'Ext Nontradable'!$AZ$23 &amp; BE$9),"")</f>
        <v/>
      </c>
      <c r="BF20" s="700" t="str">
        <f ca="1">IF(INDIRECT("'Ext Nontradable'!$B" &amp; BF$9)=$B20,INDIRECT("'Ext Nontradable'!$" &amp; 'Ext Nontradable'!$AZ$23 &amp; BF$9),"")</f>
        <v/>
      </c>
      <c r="BG20" s="700" t="str">
        <f ca="1">IF(INDIRECT("'Ext Nontradable'!$B" &amp; BG$9)=$B20,INDIRECT("'Ext Nontradable'!$" &amp; 'Ext Nontradable'!$AZ$23 &amp; BG$9),"")</f>
        <v/>
      </c>
      <c r="BH20" s="700" t="str">
        <f ca="1">IF(INDIRECT("'Ext Nontradable'!$B" &amp; BH$9)=$B20,INDIRECT("'Ext Nontradable'!$" &amp; 'Ext Nontradable'!$AZ$23 &amp; BH$9),"")</f>
        <v/>
      </c>
      <c r="BI20" s="700" t="str">
        <f ca="1">IF(INDIRECT("'Ext Nontradable'!$B" &amp; BI$9)=$B20,INDIRECT("'Ext Nontradable'!$" &amp; 'Ext Nontradable'!$AZ$23 &amp; BI$9),"")</f>
        <v/>
      </c>
      <c r="BJ20" s="700" t="str">
        <f ca="1">IF(INDIRECT("'Ext Nontradable'!$B" &amp; BJ$9)=$B20,INDIRECT("'Ext Nontradable'!$" &amp; 'Ext Nontradable'!$AZ$23 &amp; BJ$9),"")</f>
        <v/>
      </c>
      <c r="BK20" s="700" t="str">
        <f ca="1">IF(INDIRECT("'Ext Nontradable'!$B" &amp; BK$9)=$B20,INDIRECT("'Ext Nontradable'!$" &amp; 'Ext Nontradable'!$AZ$23 &amp; BK$9),"")</f>
        <v/>
      </c>
      <c r="BL20" s="700" t="str">
        <f ca="1">IF(INDIRECT("'Ext Nontradable'!$B" &amp; BL$9)=$B20,INDIRECT("'Ext Nontradable'!$" &amp; 'Ext Nontradable'!$AZ$23 &amp; BL$9),"")</f>
        <v/>
      </c>
      <c r="BM20" s="700" t="str">
        <f ca="1">IF(INDIRECT("'Ext Nontradable'!$B" &amp; BM$9)=$B20,INDIRECT("'Ext Nontradable'!$" &amp; 'Ext Nontradable'!$AZ$23 &amp; BM$9),"")</f>
        <v/>
      </c>
      <c r="BN20" s="700">
        <f ca="1">IF(INDIRECT("'Ext Nontradable'!$B" &amp; BN$9)=$B20,INDIRECT("'Ext Nontradable'!$" &amp; 'Ext Nontradable'!$AZ$23 &amp; BN$9),"")</f>
        <v>0</v>
      </c>
      <c r="BO20" s="700">
        <f ca="1">IF(INDIRECT("'Ext Nontradable'!$B" &amp; BO$9)=$B20,INDIRECT("'Ext Nontradable'!$" &amp; 'Ext Nontradable'!$AZ$23 &amp; BO$9),"")</f>
        <v>0</v>
      </c>
      <c r="BP20" s="700">
        <f ca="1">IF(INDIRECT("'Ext Nontradable'!$B" &amp; BP$9)=$B20,INDIRECT("'Ext Nontradable'!$" &amp; 'Ext Nontradable'!$AZ$23 &amp; BP$9),"")</f>
        <v>0</v>
      </c>
      <c r="BQ20" s="700">
        <f ca="1">IF(INDIRECT("'Ext Nontradable'!$B" &amp; BQ$9)=$B20,INDIRECT("'Ext Nontradable'!$" &amp; 'Ext Nontradable'!$AZ$23 &amp; BQ$9),"")</f>
        <v>0</v>
      </c>
      <c r="BR20" s="700">
        <f ca="1">IF(INDIRECT("'Ext Nontradable'!$B" &amp; BR$9)=$B20,INDIRECT("'Ext Nontradable'!$" &amp; 'Ext Nontradable'!$AZ$23 &amp; BR$9),"")</f>
        <v>0</v>
      </c>
      <c r="BS20" s="700">
        <f ca="1">IF(INDIRECT("'Ext Nontradable'!$B" &amp; BS$9)=$B20,INDIRECT("'Ext Nontradable'!$" &amp; 'Ext Nontradable'!$AZ$23 &amp; BS$9),"")</f>
        <v>0</v>
      </c>
      <c r="BT20" s="700">
        <f ca="1">IF(INDIRECT("'Ext Nontradable'!$B" &amp; BT$9)=$B20,INDIRECT("'Ext Nontradable'!$" &amp; 'Ext Nontradable'!$AZ$23 &amp; BT$9),"")</f>
        <v>0</v>
      </c>
      <c r="BU20" s="700">
        <f ca="1">IF(INDIRECT("'Ext Nontradable'!$B" &amp; BU$9)=$B20,INDIRECT("'Ext Nontradable'!$" &amp; 'Ext Nontradable'!$AZ$23 &amp; BU$9),"")</f>
        <v>0</v>
      </c>
      <c r="BV20" s="700">
        <f ca="1">IF(INDIRECT("'Ext Nontradable'!$B" &amp; BV$9)=$B20,INDIRECT("'Ext Nontradable'!$" &amp; 'Ext Nontradable'!$AZ$23 &amp; BV$9),"")</f>
        <v>0</v>
      </c>
      <c r="BW20" s="700">
        <f ca="1">IF(INDIRECT("'Ext Nontradable'!$B" &amp; BW$9)=$B20,INDIRECT("'Ext Nontradable'!$" &amp; 'Ext Nontradable'!$AZ$23 &amp; BW$9),"")</f>
        <v>0</v>
      </c>
      <c r="BX20" s="700">
        <f ca="1">IF(INDIRECT("'Ext Nontradable'!$B" &amp; BX$9)=$B20,INDIRECT("'Ext Nontradable'!$" &amp; 'Ext Nontradable'!$AZ$23 &amp; BX$9),"")</f>
        <v>0</v>
      </c>
      <c r="BY20" s="700">
        <f ca="1">IF(INDIRECT("'Ext Nontradable'!$B" &amp; BY$9)=$B20,INDIRECT("'Ext Nontradable'!$" &amp; 'Ext Nontradable'!$AZ$23 &amp; BY$9),"")</f>
        <v>0</v>
      </c>
      <c r="BZ20" s="700">
        <f ca="1">IF(INDIRECT("'Ext Nontradable'!$B" &amp; BZ$9)=$B20,INDIRECT("'Ext Nontradable'!$" &amp; 'Ext Nontradable'!$AZ$23 &amp; BZ$9),"")</f>
        <v>0</v>
      </c>
      <c r="CA20" s="700">
        <f ca="1">IF(INDIRECT("'Ext Nontradable'!$B" &amp; CA$9)=$B20,INDIRECT("'Ext Nontradable'!$" &amp; 'Ext Nontradable'!$AZ$23 &amp; CA$9),"")</f>
        <v>0</v>
      </c>
      <c r="CB20" s="700">
        <f ca="1">IF(INDIRECT("'Ext Nontradable'!$B" &amp; CB$9)=$B20,INDIRECT("'Ext Nontradable'!$" &amp; 'Ext Nontradable'!$AZ$23 &amp; CB$9),"")</f>
        <v>0</v>
      </c>
      <c r="CC20" s="700">
        <f ca="1">IF(INDIRECT("'Ext Nontradable'!$B" &amp; CC$9)=$B20,INDIRECT("'Ext Nontradable'!$" &amp; 'Ext Nontradable'!$AZ$23 &amp; CC$9),"")</f>
        <v>0</v>
      </c>
      <c r="CD20" s="700">
        <f ca="1">IF(INDIRECT("'Ext Nontradable'!$B" &amp; CD$9)=$B20,INDIRECT("'Ext Nontradable'!$" &amp; 'Ext Nontradable'!$AZ$23 &amp; CD$9),"")</f>
        <v>0</v>
      </c>
      <c r="CE20" s="700">
        <f ca="1">IF(INDIRECT("'Ext Nontradable'!$B" &amp; CE$9)=$B20,INDIRECT("'Ext Nontradable'!$" &amp; 'Ext Nontradable'!$AZ$23 &amp; CE$9),"")</f>
        <v>0</v>
      </c>
      <c r="CF20" s="700">
        <f ca="1">IF(INDIRECT("'Ext Nontradable'!$B" &amp; CF$9)=$B20,INDIRECT("'Ext Nontradable'!$" &amp; 'Ext Nontradable'!$AZ$23 &amp; CF$9),"")</f>
        <v>0</v>
      </c>
      <c r="CG20" s="700">
        <f ca="1">IF(INDIRECT("'Ext Nontradable'!$B" &amp; CG$9)=$B20,INDIRECT("'Ext Nontradable'!$" &amp; 'Ext Nontradable'!$AZ$23 &amp; CG$9),"")</f>
        <v>0</v>
      </c>
      <c r="CH20" s="700">
        <f ca="1">IF(INDIRECT("'Ext Nontradable'!$B" &amp; CH$9)=$B20,INDIRECT("'Ext Nontradable'!$" &amp; 'Ext Nontradable'!$AZ$23 &amp; CH$9),"")</f>
        <v>0</v>
      </c>
      <c r="CI20" s="700">
        <f ca="1">IF(INDIRECT("'Ext Nontradable'!$B" &amp; CI$9)=$B20,INDIRECT("'Ext Nontradable'!$" &amp; 'Ext Nontradable'!$AZ$23 &amp; CI$9),"")</f>
        <v>0</v>
      </c>
      <c r="CJ20" s="700">
        <f ca="1">IF(INDIRECT("'Ext Nontradable'!$B" &amp; CJ$9)=$B20,INDIRECT("'Ext Nontradable'!$" &amp; 'Ext Nontradable'!$AZ$23 &amp; CJ$9),"")</f>
        <v>0</v>
      </c>
      <c r="CK20" s="700">
        <f ca="1">IF(INDIRECT("'Ext Nontradable'!$B" &amp; CK$9)=$B20,INDIRECT("'Ext Nontradable'!$" &amp; 'Ext Nontradable'!$AZ$23 &amp; CK$9),"")</f>
        <v>0</v>
      </c>
      <c r="CL20" s="700">
        <f ca="1">IF(INDIRECT("'Ext Nontradable'!$B" &amp; CL$9)=$B20,INDIRECT("'Ext Nontradable'!$" &amp; 'Ext Nontradable'!$AZ$23 &amp; CL$9),"")</f>
        <v>0</v>
      </c>
      <c r="CM20" s="700">
        <f ca="1">IF(INDIRECT("'Ext Nontradable'!$B" &amp; CM$9)=$B20,INDIRECT("'Ext Nontradable'!$" &amp; 'Ext Nontradable'!$AZ$23 &amp; CM$9),"")</f>
        <v>0</v>
      </c>
      <c r="CN20" s="700">
        <f ca="1">IF(INDIRECT("'Ext Nontradable'!$B" &amp; CN$9)=$B20,INDIRECT("'Ext Nontradable'!$" &amp; 'Ext Nontradable'!$AZ$23 &amp; CN$9),"")</f>
        <v>0</v>
      </c>
      <c r="CO20" s="700">
        <f ca="1">IF(INDIRECT("'Ext Nontradable'!$B" &amp; CO$9)=$B20,INDIRECT("'Ext Nontradable'!$" &amp; 'Ext Nontradable'!$AZ$23 &amp; CO$9),"")</f>
        <v>0</v>
      </c>
      <c r="CP20" s="700">
        <f ca="1">IF(INDIRECT("'Ext Nontradable'!$B" &amp; CP$9)=$B20,INDIRECT("'Ext Nontradable'!$" &amp; 'Ext Nontradable'!$AZ$23 &amp; CP$9),"")</f>
        <v>0</v>
      </c>
      <c r="CQ20" s="700">
        <f ca="1">IF(INDIRECT("'Ext Nontradable'!$B" &amp; CQ$9)=$B20,INDIRECT("'Ext Nontradable'!$" &amp; 'Ext Nontradable'!$AZ$23 &amp; CQ$9),"")</f>
        <v>0</v>
      </c>
      <c r="CR20" s="702" t="str">
        <f t="shared" ca="1" si="25"/>
        <v>000000000000000000000000000000</v>
      </c>
    </row>
    <row r="21" spans="1:96" ht="60" customHeight="1" x14ac:dyDescent="0.25">
      <c r="A21" s="705">
        <v>12</v>
      </c>
      <c r="B21" s="707" t="str">
        <f>'Ext Area Schedule'!AK27</f>
        <v/>
      </c>
      <c r="C21" s="707" t="str">
        <f>VLOOKUP($B21,'Ext Area Schedule'!$AK$16:$AO$65,3,FALSE)</f>
        <v/>
      </c>
      <c r="D21" s="792" t="str">
        <f>VLOOKUP($B21,'Ext Area Schedule'!$AK$16:$AO$65,4,FALSE)</f>
        <v/>
      </c>
      <c r="F21" s="792" t="str">
        <f>VLOOKUP($B21,'Ext Area Schedule'!$AK$16:$AO$65,5,FALSE)</f>
        <v/>
      </c>
      <c r="G21" s="792" t="str">
        <f>VLOOKUP($B21,'Ext Area Schedule'!$AK$16:$AO$65,5,FALSE)</f>
        <v/>
      </c>
      <c r="I21" s="703" t="str">
        <f t="shared" si="1"/>
        <v/>
      </c>
      <c r="K21" s="703" t="str">
        <f>IF($B21="","",SUMIFS('Ext Nontradable'!$M$26:$M$45,'Ext Nontradable'!$B$26:$B$45,$B21,'Ext Nontradable'!$U$26:$U$45,"New"))</f>
        <v/>
      </c>
      <c r="L21" s="703" t="str">
        <f>IF($B21="","",SUMIFS('Ext Nontradable'!$M$26:$M$45,'Ext Nontradable'!$B$26:$B$45,$B21,'Ext Nontradable'!$U$26:$U$45,""))</f>
        <v/>
      </c>
      <c r="M21" s="703" t="str">
        <f>IF($B21="","",SUMIFS('Ext Nontradable'!$K$26:$K$45,'Ext Nontradable'!$B$26:$B$45,$B21,'Ext Nontradable'!$U$26:$U$45,"New")+SUMIFS('Ext Nontradable'!$K$26:$K$45,'Ext Nontradable'!$B$26:$B$45,$B21,'Ext Nontradable'!$U$26:$U$45,""))</f>
        <v/>
      </c>
      <c r="N21" s="703" t="str">
        <f>IF($B21="","",SUMIFS('Ext Nontradable'!$M$26:$M$45,'Ext Nontradable'!$B$26:$B$45,$B21,'Ext Nontradable'!$U$26:$U$45,"Existing Remains"))</f>
        <v/>
      </c>
      <c r="O21" s="703" t="str">
        <f>IF($B21="","",SUMIFS('Ext Nontradable'!$M$26:$M$45,'Ext Nontradable'!$B$26:$B$45,$B21,'Ext Nontradable'!$U$26:$U$45,"Existing Removed"))</f>
        <v/>
      </c>
      <c r="P21" s="703" t="str">
        <f>IF($B21="","",SUMIFS('Ext Nontradable'!$K$26:$K$45,'Ext Nontradable'!$B$26:$B$45,$B21,'Ext Nontradable'!$U$26:$U$45,"Existing Removed"))</f>
        <v/>
      </c>
      <c r="Q21" s="703" t="str">
        <f t="shared" si="2"/>
        <v/>
      </c>
      <c r="R21" s="703" t="str">
        <f t="shared" si="7"/>
        <v/>
      </c>
      <c r="S21" s="703">
        <f t="shared" si="8"/>
        <v>0</v>
      </c>
      <c r="T21" s="954">
        <f t="shared" si="20"/>
        <v>0</v>
      </c>
      <c r="U21" s="954">
        <f t="shared" si="21"/>
        <v>0</v>
      </c>
      <c r="V21" s="1115" t="str">
        <f t="shared" si="22"/>
        <v/>
      </c>
      <c r="W21" s="712" t="str">
        <f t="shared" si="23"/>
        <v/>
      </c>
      <c r="X21" s="857"/>
      <c r="Y21" s="720" t="str">
        <f t="shared" si="24"/>
        <v/>
      </c>
      <c r="Z21" s="721" t="str">
        <f t="shared" si="9"/>
        <v/>
      </c>
      <c r="AA21" s="721" t="str">
        <f t="shared" si="10"/>
        <v/>
      </c>
      <c r="AB21" s="719" t="str">
        <f t="shared" si="4"/>
        <v/>
      </c>
      <c r="AC21" s="857"/>
      <c r="AD21" s="717" t="str">
        <f t="shared" si="11"/>
        <v/>
      </c>
      <c r="AE21" s="718" t="str">
        <f t="shared" si="12"/>
        <v/>
      </c>
      <c r="AF21" s="719" t="str">
        <f t="shared" si="5"/>
        <v/>
      </c>
      <c r="AG21" s="726"/>
      <c r="AH21" s="727" t="str">
        <f t="shared" si="13"/>
        <v/>
      </c>
      <c r="AI21" s="703" t="str">
        <f t="shared" si="14"/>
        <v/>
      </c>
      <c r="AJ21" s="703" t="str">
        <f t="shared" si="15"/>
        <v/>
      </c>
      <c r="AL21" s="1075" t="str">
        <f t="shared" si="16"/>
        <v/>
      </c>
      <c r="AM21" s="855" t="str">
        <f t="shared" si="18"/>
        <v/>
      </c>
      <c r="AN21" s="707" t="str">
        <f>IF(OR(AL21="Fail",AL21="Fail LPA",AL21=""),"",IF(AM21&lt;&gt;"#1",VLOOKUP(C21,'9.4.3 Tables'!B$156:O$164,14,FALSE),"No NEW controls required"))</f>
        <v/>
      </c>
      <c r="AO21" s="703">
        <f t="shared" si="19"/>
        <v>0</v>
      </c>
      <c r="AR21">
        <v>12</v>
      </c>
      <c r="AS21" s="15" t="str">
        <f t="shared" si="17"/>
        <v/>
      </c>
      <c r="AT21" s="700" t="str">
        <f ca="1">IF(INDIRECT("'Ext Nontradable'!$B" &amp; AT$9)=$B21,INDIRECT("'Ext Nontradable'!$" &amp; 'Ext Nontradable'!$AZ$23 &amp; AT$9),"")</f>
        <v/>
      </c>
      <c r="AU21" s="700" t="str">
        <f ca="1">IF(INDIRECT("'Ext Nontradable'!$B" &amp; AU$9)=$B21,INDIRECT("'Ext Nontradable'!$" &amp; 'Ext Nontradable'!$AZ$23 &amp; AU$9),"")</f>
        <v/>
      </c>
      <c r="AV21" s="700" t="str">
        <f ca="1">IF(INDIRECT("'Ext Nontradable'!$B" &amp; AV$9)=$B21,INDIRECT("'Ext Nontradable'!$" &amp; 'Ext Nontradable'!$AZ$23 &amp; AV$9),"")</f>
        <v/>
      </c>
      <c r="AW21" s="700" t="str">
        <f ca="1">IF(INDIRECT("'Ext Nontradable'!$B" &amp; AW$9)=$B21,INDIRECT("'Ext Nontradable'!$" &amp; 'Ext Nontradable'!$AZ$23 &amp; AW$9),"")</f>
        <v/>
      </c>
      <c r="AX21" s="700" t="str">
        <f ca="1">IF(INDIRECT("'Ext Nontradable'!$B" &amp; AX$9)=$B21,INDIRECT("'Ext Nontradable'!$" &amp; 'Ext Nontradable'!$AZ$23 &amp; AX$9),"")</f>
        <v/>
      </c>
      <c r="AY21" s="700" t="str">
        <f ca="1">IF(INDIRECT("'Ext Nontradable'!$B" &amp; AY$9)=$B21,INDIRECT("'Ext Nontradable'!$" &amp; 'Ext Nontradable'!$AZ$23 &amp; AY$9),"")</f>
        <v/>
      </c>
      <c r="AZ21" s="700" t="str">
        <f ca="1">IF(INDIRECT("'Ext Nontradable'!$B" &amp; AZ$9)=$B21,INDIRECT("'Ext Nontradable'!$" &amp; 'Ext Nontradable'!$AZ$23 &amp; AZ$9),"")</f>
        <v/>
      </c>
      <c r="BA21" s="700" t="str">
        <f ca="1">IF(INDIRECT("'Ext Nontradable'!$B" &amp; BA$9)=$B21,INDIRECT("'Ext Nontradable'!$" &amp; 'Ext Nontradable'!$AZ$23 &amp; BA$9),"")</f>
        <v/>
      </c>
      <c r="BB21" s="700" t="str">
        <f ca="1">IF(INDIRECT("'Ext Nontradable'!$B" &amp; BB$9)=$B21,INDIRECT("'Ext Nontradable'!$" &amp; 'Ext Nontradable'!$AZ$23 &amp; BB$9),"")</f>
        <v/>
      </c>
      <c r="BC21" s="700" t="str">
        <f ca="1">IF(INDIRECT("'Ext Nontradable'!$B" &amp; BC$9)=$B21,INDIRECT("'Ext Nontradable'!$" &amp; 'Ext Nontradable'!$AZ$23 &amp; BC$9),"")</f>
        <v/>
      </c>
      <c r="BD21" s="700" t="str">
        <f ca="1">IF(INDIRECT("'Ext Nontradable'!$B" &amp; BD$9)=$B21,INDIRECT("'Ext Nontradable'!$" &amp; 'Ext Nontradable'!$AZ$23 &amp; BD$9),"")</f>
        <v/>
      </c>
      <c r="BE21" s="700" t="str">
        <f ca="1">IF(INDIRECT("'Ext Nontradable'!$B" &amp; BE$9)=$B21,INDIRECT("'Ext Nontradable'!$" &amp; 'Ext Nontradable'!$AZ$23 &amp; BE$9),"")</f>
        <v/>
      </c>
      <c r="BF21" s="700" t="str">
        <f ca="1">IF(INDIRECT("'Ext Nontradable'!$B" &amp; BF$9)=$B21,INDIRECT("'Ext Nontradable'!$" &amp; 'Ext Nontradable'!$AZ$23 &amp; BF$9),"")</f>
        <v/>
      </c>
      <c r="BG21" s="700" t="str">
        <f ca="1">IF(INDIRECT("'Ext Nontradable'!$B" &amp; BG$9)=$B21,INDIRECT("'Ext Nontradable'!$" &amp; 'Ext Nontradable'!$AZ$23 &amp; BG$9),"")</f>
        <v/>
      </c>
      <c r="BH21" s="700" t="str">
        <f ca="1">IF(INDIRECT("'Ext Nontradable'!$B" &amp; BH$9)=$B21,INDIRECT("'Ext Nontradable'!$" &amp; 'Ext Nontradable'!$AZ$23 &amp; BH$9),"")</f>
        <v/>
      </c>
      <c r="BI21" s="700" t="str">
        <f ca="1">IF(INDIRECT("'Ext Nontradable'!$B" &amp; BI$9)=$B21,INDIRECT("'Ext Nontradable'!$" &amp; 'Ext Nontradable'!$AZ$23 &amp; BI$9),"")</f>
        <v/>
      </c>
      <c r="BJ21" s="700" t="str">
        <f ca="1">IF(INDIRECT("'Ext Nontradable'!$B" &amp; BJ$9)=$B21,INDIRECT("'Ext Nontradable'!$" &amp; 'Ext Nontradable'!$AZ$23 &amp; BJ$9),"")</f>
        <v/>
      </c>
      <c r="BK21" s="700" t="str">
        <f ca="1">IF(INDIRECT("'Ext Nontradable'!$B" &amp; BK$9)=$B21,INDIRECT("'Ext Nontradable'!$" &amp; 'Ext Nontradable'!$AZ$23 &amp; BK$9),"")</f>
        <v/>
      </c>
      <c r="BL21" s="700" t="str">
        <f ca="1">IF(INDIRECT("'Ext Nontradable'!$B" &amp; BL$9)=$B21,INDIRECT("'Ext Nontradable'!$" &amp; 'Ext Nontradable'!$AZ$23 &amp; BL$9),"")</f>
        <v/>
      </c>
      <c r="BM21" s="700" t="str">
        <f ca="1">IF(INDIRECT("'Ext Nontradable'!$B" &amp; BM$9)=$B21,INDIRECT("'Ext Nontradable'!$" &amp; 'Ext Nontradable'!$AZ$23 &amp; BM$9),"")</f>
        <v/>
      </c>
      <c r="BN21" s="700">
        <f ca="1">IF(INDIRECT("'Ext Nontradable'!$B" &amp; BN$9)=$B21,INDIRECT("'Ext Nontradable'!$" &amp; 'Ext Nontradable'!$AZ$23 &amp; BN$9),"")</f>
        <v>0</v>
      </c>
      <c r="BO21" s="700">
        <f ca="1">IF(INDIRECT("'Ext Nontradable'!$B" &amp; BO$9)=$B21,INDIRECT("'Ext Nontradable'!$" &amp; 'Ext Nontradable'!$AZ$23 &amp; BO$9),"")</f>
        <v>0</v>
      </c>
      <c r="BP21" s="700">
        <f ca="1">IF(INDIRECT("'Ext Nontradable'!$B" &amp; BP$9)=$B21,INDIRECT("'Ext Nontradable'!$" &amp; 'Ext Nontradable'!$AZ$23 &amp; BP$9),"")</f>
        <v>0</v>
      </c>
      <c r="BQ21" s="700">
        <f ca="1">IF(INDIRECT("'Ext Nontradable'!$B" &amp; BQ$9)=$B21,INDIRECT("'Ext Nontradable'!$" &amp; 'Ext Nontradable'!$AZ$23 &amp; BQ$9),"")</f>
        <v>0</v>
      </c>
      <c r="BR21" s="700">
        <f ca="1">IF(INDIRECT("'Ext Nontradable'!$B" &amp; BR$9)=$B21,INDIRECT("'Ext Nontradable'!$" &amp; 'Ext Nontradable'!$AZ$23 &amp; BR$9),"")</f>
        <v>0</v>
      </c>
      <c r="BS21" s="700">
        <f ca="1">IF(INDIRECT("'Ext Nontradable'!$B" &amp; BS$9)=$B21,INDIRECT("'Ext Nontradable'!$" &amp; 'Ext Nontradable'!$AZ$23 &amp; BS$9),"")</f>
        <v>0</v>
      </c>
      <c r="BT21" s="700">
        <f ca="1">IF(INDIRECT("'Ext Nontradable'!$B" &amp; BT$9)=$B21,INDIRECT("'Ext Nontradable'!$" &amp; 'Ext Nontradable'!$AZ$23 &amp; BT$9),"")</f>
        <v>0</v>
      </c>
      <c r="BU21" s="700">
        <f ca="1">IF(INDIRECT("'Ext Nontradable'!$B" &amp; BU$9)=$B21,INDIRECT("'Ext Nontradable'!$" &amp; 'Ext Nontradable'!$AZ$23 &amp; BU$9),"")</f>
        <v>0</v>
      </c>
      <c r="BV21" s="700">
        <f ca="1">IF(INDIRECT("'Ext Nontradable'!$B" &amp; BV$9)=$B21,INDIRECT("'Ext Nontradable'!$" &amp; 'Ext Nontradable'!$AZ$23 &amp; BV$9),"")</f>
        <v>0</v>
      </c>
      <c r="BW21" s="700">
        <f ca="1">IF(INDIRECT("'Ext Nontradable'!$B" &amp; BW$9)=$B21,INDIRECT("'Ext Nontradable'!$" &amp; 'Ext Nontradable'!$AZ$23 &amp; BW$9),"")</f>
        <v>0</v>
      </c>
      <c r="BX21" s="700">
        <f ca="1">IF(INDIRECT("'Ext Nontradable'!$B" &amp; BX$9)=$B21,INDIRECT("'Ext Nontradable'!$" &amp; 'Ext Nontradable'!$AZ$23 &amp; BX$9),"")</f>
        <v>0</v>
      </c>
      <c r="BY21" s="700">
        <f ca="1">IF(INDIRECT("'Ext Nontradable'!$B" &amp; BY$9)=$B21,INDIRECT("'Ext Nontradable'!$" &amp; 'Ext Nontradable'!$AZ$23 &amp; BY$9),"")</f>
        <v>0</v>
      </c>
      <c r="BZ21" s="700">
        <f ca="1">IF(INDIRECT("'Ext Nontradable'!$B" &amp; BZ$9)=$B21,INDIRECT("'Ext Nontradable'!$" &amp; 'Ext Nontradable'!$AZ$23 &amp; BZ$9),"")</f>
        <v>0</v>
      </c>
      <c r="CA21" s="700">
        <f ca="1">IF(INDIRECT("'Ext Nontradable'!$B" &amp; CA$9)=$B21,INDIRECT("'Ext Nontradable'!$" &amp; 'Ext Nontradable'!$AZ$23 &amp; CA$9),"")</f>
        <v>0</v>
      </c>
      <c r="CB21" s="700">
        <f ca="1">IF(INDIRECT("'Ext Nontradable'!$B" &amp; CB$9)=$B21,INDIRECT("'Ext Nontradable'!$" &amp; 'Ext Nontradable'!$AZ$23 &amp; CB$9),"")</f>
        <v>0</v>
      </c>
      <c r="CC21" s="700">
        <f ca="1">IF(INDIRECT("'Ext Nontradable'!$B" &amp; CC$9)=$B21,INDIRECT("'Ext Nontradable'!$" &amp; 'Ext Nontradable'!$AZ$23 &amp; CC$9),"")</f>
        <v>0</v>
      </c>
      <c r="CD21" s="700">
        <f ca="1">IF(INDIRECT("'Ext Nontradable'!$B" &amp; CD$9)=$B21,INDIRECT("'Ext Nontradable'!$" &amp; 'Ext Nontradable'!$AZ$23 &amp; CD$9),"")</f>
        <v>0</v>
      </c>
      <c r="CE21" s="700">
        <f ca="1">IF(INDIRECT("'Ext Nontradable'!$B" &amp; CE$9)=$B21,INDIRECT("'Ext Nontradable'!$" &amp; 'Ext Nontradable'!$AZ$23 &amp; CE$9),"")</f>
        <v>0</v>
      </c>
      <c r="CF21" s="700">
        <f ca="1">IF(INDIRECT("'Ext Nontradable'!$B" &amp; CF$9)=$B21,INDIRECT("'Ext Nontradable'!$" &amp; 'Ext Nontradable'!$AZ$23 &amp; CF$9),"")</f>
        <v>0</v>
      </c>
      <c r="CG21" s="700">
        <f ca="1">IF(INDIRECT("'Ext Nontradable'!$B" &amp; CG$9)=$B21,INDIRECT("'Ext Nontradable'!$" &amp; 'Ext Nontradable'!$AZ$23 &amp; CG$9),"")</f>
        <v>0</v>
      </c>
      <c r="CH21" s="700">
        <f ca="1">IF(INDIRECT("'Ext Nontradable'!$B" &amp; CH$9)=$B21,INDIRECT("'Ext Nontradable'!$" &amp; 'Ext Nontradable'!$AZ$23 &amp; CH$9),"")</f>
        <v>0</v>
      </c>
      <c r="CI21" s="700">
        <f ca="1">IF(INDIRECT("'Ext Nontradable'!$B" &amp; CI$9)=$B21,INDIRECT("'Ext Nontradable'!$" &amp; 'Ext Nontradable'!$AZ$23 &amp; CI$9),"")</f>
        <v>0</v>
      </c>
      <c r="CJ21" s="700">
        <f ca="1">IF(INDIRECT("'Ext Nontradable'!$B" &amp; CJ$9)=$B21,INDIRECT("'Ext Nontradable'!$" &amp; 'Ext Nontradable'!$AZ$23 &amp; CJ$9),"")</f>
        <v>0</v>
      </c>
      <c r="CK21" s="700">
        <f ca="1">IF(INDIRECT("'Ext Nontradable'!$B" &amp; CK$9)=$B21,INDIRECT("'Ext Nontradable'!$" &amp; 'Ext Nontradable'!$AZ$23 &amp; CK$9),"")</f>
        <v>0</v>
      </c>
      <c r="CL21" s="700">
        <f ca="1">IF(INDIRECT("'Ext Nontradable'!$B" &amp; CL$9)=$B21,INDIRECT("'Ext Nontradable'!$" &amp; 'Ext Nontradable'!$AZ$23 &amp; CL$9),"")</f>
        <v>0</v>
      </c>
      <c r="CM21" s="700">
        <f ca="1">IF(INDIRECT("'Ext Nontradable'!$B" &amp; CM$9)=$B21,INDIRECT("'Ext Nontradable'!$" &amp; 'Ext Nontradable'!$AZ$23 &amp; CM$9),"")</f>
        <v>0</v>
      </c>
      <c r="CN21" s="700">
        <f ca="1">IF(INDIRECT("'Ext Nontradable'!$B" &amp; CN$9)=$B21,INDIRECT("'Ext Nontradable'!$" &amp; 'Ext Nontradable'!$AZ$23 &amp; CN$9),"")</f>
        <v>0</v>
      </c>
      <c r="CO21" s="700">
        <f ca="1">IF(INDIRECT("'Ext Nontradable'!$B" &amp; CO$9)=$B21,INDIRECT("'Ext Nontradable'!$" &amp; 'Ext Nontradable'!$AZ$23 &amp; CO$9),"")</f>
        <v>0</v>
      </c>
      <c r="CP21" s="700">
        <f ca="1">IF(INDIRECT("'Ext Nontradable'!$B" &amp; CP$9)=$B21,INDIRECT("'Ext Nontradable'!$" &amp; 'Ext Nontradable'!$AZ$23 &amp; CP$9),"")</f>
        <v>0</v>
      </c>
      <c r="CQ21" s="700">
        <f ca="1">IF(INDIRECT("'Ext Nontradable'!$B" &amp; CQ$9)=$B21,INDIRECT("'Ext Nontradable'!$" &amp; 'Ext Nontradable'!$AZ$23 &amp; CQ$9),"")</f>
        <v>0</v>
      </c>
      <c r="CR21" s="702" t="str">
        <f t="shared" ca="1" si="25"/>
        <v>000000000000000000000000000000</v>
      </c>
    </row>
    <row r="22" spans="1:96" ht="60" customHeight="1" x14ac:dyDescent="0.25">
      <c r="A22" s="705">
        <v>13</v>
      </c>
      <c r="B22" s="707" t="str">
        <f>'Ext Area Schedule'!AK28</f>
        <v/>
      </c>
      <c r="C22" s="707" t="str">
        <f>VLOOKUP($B22,'Ext Area Schedule'!$AK$16:$AO$65,3,FALSE)</f>
        <v/>
      </c>
      <c r="D22" s="792" t="str">
        <f>VLOOKUP($B22,'Ext Area Schedule'!$AK$16:$AO$65,4,FALSE)</f>
        <v/>
      </c>
      <c r="F22" s="792" t="str">
        <f>VLOOKUP($B22,'Ext Area Schedule'!$AK$16:$AO$65,5,FALSE)</f>
        <v/>
      </c>
      <c r="G22" s="792" t="str">
        <f>VLOOKUP($B22,'Ext Area Schedule'!$AK$16:$AO$65,5,FALSE)</f>
        <v/>
      </c>
      <c r="I22" s="703" t="str">
        <f t="shared" si="1"/>
        <v/>
      </c>
      <c r="K22" s="703" t="str">
        <f>IF($B22="","",SUMIFS('Ext Nontradable'!$M$26:$M$45,'Ext Nontradable'!$B$26:$B$45,$B22,'Ext Nontradable'!$U$26:$U$45,"New"))</f>
        <v/>
      </c>
      <c r="L22" s="703" t="str">
        <f>IF($B22="","",SUMIFS('Ext Nontradable'!$M$26:$M$45,'Ext Nontradable'!$B$26:$B$45,$B22,'Ext Nontradable'!$U$26:$U$45,""))</f>
        <v/>
      </c>
      <c r="M22" s="703" t="str">
        <f>IF($B22="","",SUMIFS('Ext Nontradable'!$K$26:$K$45,'Ext Nontradable'!$B$26:$B$45,$B22,'Ext Nontradable'!$U$26:$U$45,"New")+SUMIFS('Ext Nontradable'!$K$26:$K$45,'Ext Nontradable'!$B$26:$B$45,$B22,'Ext Nontradable'!$U$26:$U$45,""))</f>
        <v/>
      </c>
      <c r="N22" s="703" t="str">
        <f>IF($B22="","",SUMIFS('Ext Nontradable'!$M$26:$M$45,'Ext Nontradable'!$B$26:$B$45,$B22,'Ext Nontradable'!$U$26:$U$45,"Existing Remains"))</f>
        <v/>
      </c>
      <c r="O22" s="703" t="str">
        <f>IF($B22="","",SUMIFS('Ext Nontradable'!$M$26:$M$45,'Ext Nontradable'!$B$26:$B$45,$B22,'Ext Nontradable'!$U$26:$U$45,"Existing Removed"))</f>
        <v/>
      </c>
      <c r="P22" s="703" t="str">
        <f>IF($B22="","",SUMIFS('Ext Nontradable'!$K$26:$K$45,'Ext Nontradable'!$B$26:$B$45,$B22,'Ext Nontradable'!$U$26:$U$45,"Existing Removed"))</f>
        <v/>
      </c>
      <c r="Q22" s="703" t="str">
        <f t="shared" si="2"/>
        <v/>
      </c>
      <c r="R22" s="703" t="str">
        <f t="shared" si="7"/>
        <v/>
      </c>
      <c r="S22" s="703">
        <f t="shared" si="8"/>
        <v>0</v>
      </c>
      <c r="T22" s="954">
        <f t="shared" si="20"/>
        <v>0</v>
      </c>
      <c r="U22" s="954">
        <f t="shared" si="21"/>
        <v>0</v>
      </c>
      <c r="V22" s="1115" t="str">
        <f t="shared" si="22"/>
        <v/>
      </c>
      <c r="W22" s="712" t="str">
        <f t="shared" si="23"/>
        <v/>
      </c>
      <c r="X22" s="857"/>
      <c r="Y22" s="720" t="str">
        <f t="shared" si="24"/>
        <v/>
      </c>
      <c r="Z22" s="721" t="str">
        <f t="shared" si="9"/>
        <v/>
      </c>
      <c r="AA22" s="721" t="str">
        <f t="shared" si="10"/>
        <v/>
      </c>
      <c r="AB22" s="719" t="str">
        <f t="shared" si="4"/>
        <v/>
      </c>
      <c r="AC22" s="857"/>
      <c r="AD22" s="717" t="str">
        <f t="shared" si="11"/>
        <v/>
      </c>
      <c r="AE22" s="718" t="str">
        <f t="shared" si="12"/>
        <v/>
      </c>
      <c r="AF22" s="719" t="str">
        <f t="shared" si="5"/>
        <v/>
      </c>
      <c r="AG22" s="726"/>
      <c r="AH22" s="727" t="str">
        <f t="shared" si="13"/>
        <v/>
      </c>
      <c r="AI22" s="703" t="str">
        <f t="shared" si="14"/>
        <v/>
      </c>
      <c r="AJ22" s="703" t="str">
        <f t="shared" si="15"/>
        <v/>
      </c>
      <c r="AL22" s="1075" t="str">
        <f t="shared" si="16"/>
        <v/>
      </c>
      <c r="AM22" s="855" t="str">
        <f t="shared" si="18"/>
        <v/>
      </c>
      <c r="AN22" s="707" t="str">
        <f>IF(OR(AL22="Fail",AL22="Fail LPA",AL22=""),"",IF(AM22&lt;&gt;"#1",VLOOKUP(C22,'9.4.3 Tables'!B$156:O$164,14,FALSE),"No NEW controls required"))</f>
        <v/>
      </c>
      <c r="AO22" s="703">
        <f t="shared" si="19"/>
        <v>0</v>
      </c>
      <c r="AR22">
        <v>13</v>
      </c>
      <c r="AS22" s="15" t="str">
        <f t="shared" si="17"/>
        <v/>
      </c>
      <c r="AT22" s="700" t="str">
        <f ca="1">IF(INDIRECT("'Ext Nontradable'!$B" &amp; AT$9)=$B22,INDIRECT("'Ext Nontradable'!$" &amp; 'Ext Nontradable'!$AZ$23 &amp; AT$9),"")</f>
        <v/>
      </c>
      <c r="AU22" s="700" t="str">
        <f ca="1">IF(INDIRECT("'Ext Nontradable'!$B" &amp; AU$9)=$B22,INDIRECT("'Ext Nontradable'!$" &amp; 'Ext Nontradable'!$AZ$23 &amp; AU$9),"")</f>
        <v/>
      </c>
      <c r="AV22" s="700" t="str">
        <f ca="1">IF(INDIRECT("'Ext Nontradable'!$B" &amp; AV$9)=$B22,INDIRECT("'Ext Nontradable'!$" &amp; 'Ext Nontradable'!$AZ$23 &amp; AV$9),"")</f>
        <v/>
      </c>
      <c r="AW22" s="700" t="str">
        <f ca="1">IF(INDIRECT("'Ext Nontradable'!$B" &amp; AW$9)=$B22,INDIRECT("'Ext Nontradable'!$" &amp; 'Ext Nontradable'!$AZ$23 &amp; AW$9),"")</f>
        <v/>
      </c>
      <c r="AX22" s="700" t="str">
        <f ca="1">IF(INDIRECT("'Ext Nontradable'!$B" &amp; AX$9)=$B22,INDIRECT("'Ext Nontradable'!$" &amp; 'Ext Nontradable'!$AZ$23 &amp; AX$9),"")</f>
        <v/>
      </c>
      <c r="AY22" s="700" t="str">
        <f ca="1">IF(INDIRECT("'Ext Nontradable'!$B" &amp; AY$9)=$B22,INDIRECT("'Ext Nontradable'!$" &amp; 'Ext Nontradable'!$AZ$23 &amp; AY$9),"")</f>
        <v/>
      </c>
      <c r="AZ22" s="700" t="str">
        <f ca="1">IF(INDIRECT("'Ext Nontradable'!$B" &amp; AZ$9)=$B22,INDIRECT("'Ext Nontradable'!$" &amp; 'Ext Nontradable'!$AZ$23 &amp; AZ$9),"")</f>
        <v/>
      </c>
      <c r="BA22" s="700" t="str">
        <f ca="1">IF(INDIRECT("'Ext Nontradable'!$B" &amp; BA$9)=$B22,INDIRECT("'Ext Nontradable'!$" &amp; 'Ext Nontradable'!$AZ$23 &amp; BA$9),"")</f>
        <v/>
      </c>
      <c r="BB22" s="700" t="str">
        <f ca="1">IF(INDIRECT("'Ext Nontradable'!$B" &amp; BB$9)=$B22,INDIRECT("'Ext Nontradable'!$" &amp; 'Ext Nontradable'!$AZ$23 &amp; BB$9),"")</f>
        <v/>
      </c>
      <c r="BC22" s="700" t="str">
        <f ca="1">IF(INDIRECT("'Ext Nontradable'!$B" &amp; BC$9)=$B22,INDIRECT("'Ext Nontradable'!$" &amp; 'Ext Nontradable'!$AZ$23 &amp; BC$9),"")</f>
        <v/>
      </c>
      <c r="BD22" s="700" t="str">
        <f ca="1">IF(INDIRECT("'Ext Nontradable'!$B" &amp; BD$9)=$B22,INDIRECT("'Ext Nontradable'!$" &amp; 'Ext Nontradable'!$AZ$23 &amp; BD$9),"")</f>
        <v/>
      </c>
      <c r="BE22" s="700" t="str">
        <f ca="1">IF(INDIRECT("'Ext Nontradable'!$B" &amp; BE$9)=$B22,INDIRECT("'Ext Nontradable'!$" &amp; 'Ext Nontradable'!$AZ$23 &amp; BE$9),"")</f>
        <v/>
      </c>
      <c r="BF22" s="700" t="str">
        <f ca="1">IF(INDIRECT("'Ext Nontradable'!$B" &amp; BF$9)=$B22,INDIRECT("'Ext Nontradable'!$" &amp; 'Ext Nontradable'!$AZ$23 &amp; BF$9),"")</f>
        <v/>
      </c>
      <c r="BG22" s="700" t="str">
        <f ca="1">IF(INDIRECT("'Ext Nontradable'!$B" &amp; BG$9)=$B22,INDIRECT("'Ext Nontradable'!$" &amp; 'Ext Nontradable'!$AZ$23 &amp; BG$9),"")</f>
        <v/>
      </c>
      <c r="BH22" s="700" t="str">
        <f ca="1">IF(INDIRECT("'Ext Nontradable'!$B" &amp; BH$9)=$B22,INDIRECT("'Ext Nontradable'!$" &amp; 'Ext Nontradable'!$AZ$23 &amp; BH$9),"")</f>
        <v/>
      </c>
      <c r="BI22" s="700" t="str">
        <f ca="1">IF(INDIRECT("'Ext Nontradable'!$B" &amp; BI$9)=$B22,INDIRECT("'Ext Nontradable'!$" &amp; 'Ext Nontradable'!$AZ$23 &amp; BI$9),"")</f>
        <v/>
      </c>
      <c r="BJ22" s="700" t="str">
        <f ca="1">IF(INDIRECT("'Ext Nontradable'!$B" &amp; BJ$9)=$B22,INDIRECT("'Ext Nontradable'!$" &amp; 'Ext Nontradable'!$AZ$23 &amp; BJ$9),"")</f>
        <v/>
      </c>
      <c r="BK22" s="700" t="str">
        <f ca="1">IF(INDIRECT("'Ext Nontradable'!$B" &amp; BK$9)=$B22,INDIRECT("'Ext Nontradable'!$" &amp; 'Ext Nontradable'!$AZ$23 &amp; BK$9),"")</f>
        <v/>
      </c>
      <c r="BL22" s="700" t="str">
        <f ca="1">IF(INDIRECT("'Ext Nontradable'!$B" &amp; BL$9)=$B22,INDIRECT("'Ext Nontradable'!$" &amp; 'Ext Nontradable'!$AZ$23 &amp; BL$9),"")</f>
        <v/>
      </c>
      <c r="BM22" s="700" t="str">
        <f ca="1">IF(INDIRECT("'Ext Nontradable'!$B" &amp; BM$9)=$B22,INDIRECT("'Ext Nontradable'!$" &amp; 'Ext Nontradable'!$AZ$23 &amp; BM$9),"")</f>
        <v/>
      </c>
      <c r="BN22" s="700">
        <f ca="1">IF(INDIRECT("'Ext Nontradable'!$B" &amp; BN$9)=$B22,INDIRECT("'Ext Nontradable'!$" &amp; 'Ext Nontradable'!$AZ$23 &amp; BN$9),"")</f>
        <v>0</v>
      </c>
      <c r="BO22" s="700">
        <f ca="1">IF(INDIRECT("'Ext Nontradable'!$B" &amp; BO$9)=$B22,INDIRECT("'Ext Nontradable'!$" &amp; 'Ext Nontradable'!$AZ$23 &amp; BO$9),"")</f>
        <v>0</v>
      </c>
      <c r="BP22" s="700">
        <f ca="1">IF(INDIRECT("'Ext Nontradable'!$B" &amp; BP$9)=$B22,INDIRECT("'Ext Nontradable'!$" &amp; 'Ext Nontradable'!$AZ$23 &amp; BP$9),"")</f>
        <v>0</v>
      </c>
      <c r="BQ22" s="700">
        <f ca="1">IF(INDIRECT("'Ext Nontradable'!$B" &amp; BQ$9)=$B22,INDIRECT("'Ext Nontradable'!$" &amp; 'Ext Nontradable'!$AZ$23 &amp; BQ$9),"")</f>
        <v>0</v>
      </c>
      <c r="BR22" s="700">
        <f ca="1">IF(INDIRECT("'Ext Nontradable'!$B" &amp; BR$9)=$B22,INDIRECT("'Ext Nontradable'!$" &amp; 'Ext Nontradable'!$AZ$23 &amp; BR$9),"")</f>
        <v>0</v>
      </c>
      <c r="BS22" s="700">
        <f ca="1">IF(INDIRECT("'Ext Nontradable'!$B" &amp; BS$9)=$B22,INDIRECT("'Ext Nontradable'!$" &amp; 'Ext Nontradable'!$AZ$23 &amp; BS$9),"")</f>
        <v>0</v>
      </c>
      <c r="BT22" s="700">
        <f ca="1">IF(INDIRECT("'Ext Nontradable'!$B" &amp; BT$9)=$B22,INDIRECT("'Ext Nontradable'!$" &amp; 'Ext Nontradable'!$AZ$23 &amp; BT$9),"")</f>
        <v>0</v>
      </c>
      <c r="BU22" s="700">
        <f ca="1">IF(INDIRECT("'Ext Nontradable'!$B" &amp; BU$9)=$B22,INDIRECT("'Ext Nontradable'!$" &amp; 'Ext Nontradable'!$AZ$23 &amp; BU$9),"")</f>
        <v>0</v>
      </c>
      <c r="BV22" s="700">
        <f ca="1">IF(INDIRECT("'Ext Nontradable'!$B" &amp; BV$9)=$B22,INDIRECT("'Ext Nontradable'!$" &amp; 'Ext Nontradable'!$AZ$23 &amp; BV$9),"")</f>
        <v>0</v>
      </c>
      <c r="BW22" s="700">
        <f ca="1">IF(INDIRECT("'Ext Nontradable'!$B" &amp; BW$9)=$B22,INDIRECT("'Ext Nontradable'!$" &amp; 'Ext Nontradable'!$AZ$23 &amp; BW$9),"")</f>
        <v>0</v>
      </c>
      <c r="BX22" s="700">
        <f ca="1">IF(INDIRECT("'Ext Nontradable'!$B" &amp; BX$9)=$B22,INDIRECT("'Ext Nontradable'!$" &amp; 'Ext Nontradable'!$AZ$23 &amp; BX$9),"")</f>
        <v>0</v>
      </c>
      <c r="BY22" s="700">
        <f ca="1">IF(INDIRECT("'Ext Nontradable'!$B" &amp; BY$9)=$B22,INDIRECT("'Ext Nontradable'!$" &amp; 'Ext Nontradable'!$AZ$23 &amp; BY$9),"")</f>
        <v>0</v>
      </c>
      <c r="BZ22" s="700">
        <f ca="1">IF(INDIRECT("'Ext Nontradable'!$B" &amp; BZ$9)=$B22,INDIRECT("'Ext Nontradable'!$" &amp; 'Ext Nontradable'!$AZ$23 &amp; BZ$9),"")</f>
        <v>0</v>
      </c>
      <c r="CA22" s="700">
        <f ca="1">IF(INDIRECT("'Ext Nontradable'!$B" &amp; CA$9)=$B22,INDIRECT("'Ext Nontradable'!$" &amp; 'Ext Nontradable'!$AZ$23 &amp; CA$9),"")</f>
        <v>0</v>
      </c>
      <c r="CB22" s="700">
        <f ca="1">IF(INDIRECT("'Ext Nontradable'!$B" &amp; CB$9)=$B22,INDIRECT("'Ext Nontradable'!$" &amp; 'Ext Nontradable'!$AZ$23 &amp; CB$9),"")</f>
        <v>0</v>
      </c>
      <c r="CC22" s="700">
        <f ca="1">IF(INDIRECT("'Ext Nontradable'!$B" &amp; CC$9)=$B22,INDIRECT("'Ext Nontradable'!$" &amp; 'Ext Nontradable'!$AZ$23 &amp; CC$9),"")</f>
        <v>0</v>
      </c>
      <c r="CD22" s="700">
        <f ca="1">IF(INDIRECT("'Ext Nontradable'!$B" &amp; CD$9)=$B22,INDIRECT("'Ext Nontradable'!$" &amp; 'Ext Nontradable'!$AZ$23 &amp; CD$9),"")</f>
        <v>0</v>
      </c>
      <c r="CE22" s="700">
        <f ca="1">IF(INDIRECT("'Ext Nontradable'!$B" &amp; CE$9)=$B22,INDIRECT("'Ext Nontradable'!$" &amp; 'Ext Nontradable'!$AZ$23 &amp; CE$9),"")</f>
        <v>0</v>
      </c>
      <c r="CF22" s="700">
        <f ca="1">IF(INDIRECT("'Ext Nontradable'!$B" &amp; CF$9)=$B22,INDIRECT("'Ext Nontradable'!$" &amp; 'Ext Nontradable'!$AZ$23 &amp; CF$9),"")</f>
        <v>0</v>
      </c>
      <c r="CG22" s="700">
        <f ca="1">IF(INDIRECT("'Ext Nontradable'!$B" &amp; CG$9)=$B22,INDIRECT("'Ext Nontradable'!$" &amp; 'Ext Nontradable'!$AZ$23 &amp; CG$9),"")</f>
        <v>0</v>
      </c>
      <c r="CH22" s="700">
        <f ca="1">IF(INDIRECT("'Ext Nontradable'!$B" &amp; CH$9)=$B22,INDIRECT("'Ext Nontradable'!$" &amp; 'Ext Nontradable'!$AZ$23 &amp; CH$9),"")</f>
        <v>0</v>
      </c>
      <c r="CI22" s="700">
        <f ca="1">IF(INDIRECT("'Ext Nontradable'!$B" &amp; CI$9)=$B22,INDIRECT("'Ext Nontradable'!$" &amp; 'Ext Nontradable'!$AZ$23 &amp; CI$9),"")</f>
        <v>0</v>
      </c>
      <c r="CJ22" s="700">
        <f ca="1">IF(INDIRECT("'Ext Nontradable'!$B" &amp; CJ$9)=$B22,INDIRECT("'Ext Nontradable'!$" &amp; 'Ext Nontradable'!$AZ$23 &amp; CJ$9),"")</f>
        <v>0</v>
      </c>
      <c r="CK22" s="700">
        <f ca="1">IF(INDIRECT("'Ext Nontradable'!$B" &amp; CK$9)=$B22,INDIRECT("'Ext Nontradable'!$" &amp; 'Ext Nontradable'!$AZ$23 &amp; CK$9),"")</f>
        <v>0</v>
      </c>
      <c r="CL22" s="700">
        <f ca="1">IF(INDIRECT("'Ext Nontradable'!$B" &amp; CL$9)=$B22,INDIRECT("'Ext Nontradable'!$" &amp; 'Ext Nontradable'!$AZ$23 &amp; CL$9),"")</f>
        <v>0</v>
      </c>
      <c r="CM22" s="700">
        <f ca="1">IF(INDIRECT("'Ext Nontradable'!$B" &amp; CM$9)=$B22,INDIRECT("'Ext Nontradable'!$" &amp; 'Ext Nontradable'!$AZ$23 &amp; CM$9),"")</f>
        <v>0</v>
      </c>
      <c r="CN22" s="700">
        <f ca="1">IF(INDIRECT("'Ext Nontradable'!$B" &amp; CN$9)=$B22,INDIRECT("'Ext Nontradable'!$" &amp; 'Ext Nontradable'!$AZ$23 &amp; CN$9),"")</f>
        <v>0</v>
      </c>
      <c r="CO22" s="700">
        <f ca="1">IF(INDIRECT("'Ext Nontradable'!$B" &amp; CO$9)=$B22,INDIRECT("'Ext Nontradable'!$" &amp; 'Ext Nontradable'!$AZ$23 &amp; CO$9),"")</f>
        <v>0</v>
      </c>
      <c r="CP22" s="700">
        <f ca="1">IF(INDIRECT("'Ext Nontradable'!$B" &amp; CP$9)=$B22,INDIRECT("'Ext Nontradable'!$" &amp; 'Ext Nontradable'!$AZ$23 &amp; CP$9),"")</f>
        <v>0</v>
      </c>
      <c r="CQ22" s="700">
        <f ca="1">IF(INDIRECT("'Ext Nontradable'!$B" &amp; CQ$9)=$B22,INDIRECT("'Ext Nontradable'!$" &amp; 'Ext Nontradable'!$AZ$23 &amp; CQ$9),"")</f>
        <v>0</v>
      </c>
      <c r="CR22" s="702" t="str">
        <f t="shared" ca="1" si="25"/>
        <v>000000000000000000000000000000</v>
      </c>
    </row>
    <row r="23" spans="1:96" ht="60" customHeight="1" x14ac:dyDescent="0.25">
      <c r="A23" s="705">
        <v>14</v>
      </c>
      <c r="B23" s="707" t="str">
        <f>'Ext Area Schedule'!AK29</f>
        <v/>
      </c>
      <c r="C23" s="707" t="str">
        <f>VLOOKUP($B23,'Ext Area Schedule'!$AK$16:$AO$65,3,FALSE)</f>
        <v/>
      </c>
      <c r="D23" s="792" t="str">
        <f>VLOOKUP($B23,'Ext Area Schedule'!$AK$16:$AO$65,4,FALSE)</f>
        <v/>
      </c>
      <c r="F23" s="792" t="str">
        <f>VLOOKUP($B23,'Ext Area Schedule'!$AK$16:$AO$65,5,FALSE)</f>
        <v/>
      </c>
      <c r="G23" s="792" t="str">
        <f>VLOOKUP($B23,'Ext Area Schedule'!$AK$16:$AO$65,5,FALSE)</f>
        <v/>
      </c>
      <c r="I23" s="703" t="str">
        <f t="shared" si="1"/>
        <v/>
      </c>
      <c r="K23" s="703" t="str">
        <f>IF($B23="","",SUMIFS('Ext Nontradable'!$M$26:$M$45,'Ext Nontradable'!$B$26:$B$45,$B23,'Ext Nontradable'!$U$26:$U$45,"New"))</f>
        <v/>
      </c>
      <c r="L23" s="703" t="str">
        <f>IF($B23="","",SUMIFS('Ext Nontradable'!$M$26:$M$45,'Ext Nontradable'!$B$26:$B$45,$B23,'Ext Nontradable'!$U$26:$U$45,""))</f>
        <v/>
      </c>
      <c r="M23" s="703" t="str">
        <f>IF($B23="","",SUMIFS('Ext Nontradable'!$K$26:$K$45,'Ext Nontradable'!$B$26:$B$45,$B23,'Ext Nontradable'!$U$26:$U$45,"New")+SUMIFS('Ext Nontradable'!$K$26:$K$45,'Ext Nontradable'!$B$26:$B$45,$B23,'Ext Nontradable'!$U$26:$U$45,""))</f>
        <v/>
      </c>
      <c r="N23" s="703" t="str">
        <f>IF($B23="","",SUMIFS('Ext Nontradable'!$M$26:$M$45,'Ext Nontradable'!$B$26:$B$45,$B23,'Ext Nontradable'!$U$26:$U$45,"Existing Remains"))</f>
        <v/>
      </c>
      <c r="O23" s="703" t="str">
        <f>IF($B23="","",SUMIFS('Ext Nontradable'!$M$26:$M$45,'Ext Nontradable'!$B$26:$B$45,$B23,'Ext Nontradable'!$U$26:$U$45,"Existing Removed"))</f>
        <v/>
      </c>
      <c r="P23" s="703" t="str">
        <f>IF($B23="","",SUMIFS('Ext Nontradable'!$K$26:$K$45,'Ext Nontradable'!$B$26:$B$45,$B23,'Ext Nontradable'!$U$26:$U$45,"Existing Removed"))</f>
        <v/>
      </c>
      <c r="Q23" s="703" t="str">
        <f t="shared" si="2"/>
        <v/>
      </c>
      <c r="R23" s="703" t="str">
        <f t="shared" si="7"/>
        <v/>
      </c>
      <c r="S23" s="703">
        <f t="shared" si="8"/>
        <v>0</v>
      </c>
      <c r="T23" s="954">
        <f t="shared" si="20"/>
        <v>0</v>
      </c>
      <c r="U23" s="954">
        <f t="shared" si="21"/>
        <v>0</v>
      </c>
      <c r="V23" s="1115" t="str">
        <f t="shared" si="22"/>
        <v/>
      </c>
      <c r="W23" s="712" t="str">
        <f t="shared" si="23"/>
        <v/>
      </c>
      <c r="X23" s="857"/>
      <c r="Y23" s="720" t="str">
        <f t="shared" si="24"/>
        <v/>
      </c>
      <c r="Z23" s="721" t="str">
        <f t="shared" si="9"/>
        <v/>
      </c>
      <c r="AA23" s="721" t="str">
        <f t="shared" si="10"/>
        <v/>
      </c>
      <c r="AB23" s="719" t="str">
        <f t="shared" si="4"/>
        <v/>
      </c>
      <c r="AC23" s="857"/>
      <c r="AD23" s="717" t="str">
        <f t="shared" si="11"/>
        <v/>
      </c>
      <c r="AE23" s="718" t="str">
        <f t="shared" si="12"/>
        <v/>
      </c>
      <c r="AF23" s="719" t="str">
        <f t="shared" si="5"/>
        <v/>
      </c>
      <c r="AG23" s="726"/>
      <c r="AH23" s="727" t="str">
        <f t="shared" si="13"/>
        <v/>
      </c>
      <c r="AI23" s="703" t="str">
        <f t="shared" si="14"/>
        <v/>
      </c>
      <c r="AJ23" s="703" t="str">
        <f t="shared" si="15"/>
        <v/>
      </c>
      <c r="AL23" s="1075" t="str">
        <f t="shared" si="16"/>
        <v/>
      </c>
      <c r="AM23" s="855" t="str">
        <f t="shared" si="18"/>
        <v/>
      </c>
      <c r="AN23" s="707" t="str">
        <f>IF(OR(AL23="Fail",AL23="Fail LPA",AL23=""),"",IF(AM23&lt;&gt;"#1",VLOOKUP(C23,'9.4.3 Tables'!B$156:O$164,14,FALSE),"No NEW controls required"))</f>
        <v/>
      </c>
      <c r="AO23" s="703">
        <f t="shared" si="19"/>
        <v>0</v>
      </c>
      <c r="AR23">
        <v>14</v>
      </c>
      <c r="AS23" s="15" t="str">
        <f t="shared" si="17"/>
        <v/>
      </c>
      <c r="AT23" s="700" t="str">
        <f ca="1">IF(INDIRECT("'Ext Nontradable'!$B" &amp; AT$9)=$B23,INDIRECT("'Ext Nontradable'!$" &amp; 'Ext Nontradable'!$AZ$23 &amp; AT$9),"")</f>
        <v/>
      </c>
      <c r="AU23" s="700" t="str">
        <f ca="1">IF(INDIRECT("'Ext Nontradable'!$B" &amp; AU$9)=$B23,INDIRECT("'Ext Nontradable'!$" &amp; 'Ext Nontradable'!$AZ$23 &amp; AU$9),"")</f>
        <v/>
      </c>
      <c r="AV23" s="700" t="str">
        <f ca="1">IF(INDIRECT("'Ext Nontradable'!$B" &amp; AV$9)=$B23,INDIRECT("'Ext Nontradable'!$" &amp; 'Ext Nontradable'!$AZ$23 &amp; AV$9),"")</f>
        <v/>
      </c>
      <c r="AW23" s="700" t="str">
        <f ca="1">IF(INDIRECT("'Ext Nontradable'!$B" &amp; AW$9)=$B23,INDIRECT("'Ext Nontradable'!$" &amp; 'Ext Nontradable'!$AZ$23 &amp; AW$9),"")</f>
        <v/>
      </c>
      <c r="AX23" s="700" t="str">
        <f ca="1">IF(INDIRECT("'Ext Nontradable'!$B" &amp; AX$9)=$B23,INDIRECT("'Ext Nontradable'!$" &amp; 'Ext Nontradable'!$AZ$23 &amp; AX$9),"")</f>
        <v/>
      </c>
      <c r="AY23" s="700" t="str">
        <f ca="1">IF(INDIRECT("'Ext Nontradable'!$B" &amp; AY$9)=$B23,INDIRECT("'Ext Nontradable'!$" &amp; 'Ext Nontradable'!$AZ$23 &amp; AY$9),"")</f>
        <v/>
      </c>
      <c r="AZ23" s="700" t="str">
        <f ca="1">IF(INDIRECT("'Ext Nontradable'!$B" &amp; AZ$9)=$B23,INDIRECT("'Ext Nontradable'!$" &amp; 'Ext Nontradable'!$AZ$23 &amp; AZ$9),"")</f>
        <v/>
      </c>
      <c r="BA23" s="700" t="str">
        <f ca="1">IF(INDIRECT("'Ext Nontradable'!$B" &amp; BA$9)=$B23,INDIRECT("'Ext Nontradable'!$" &amp; 'Ext Nontradable'!$AZ$23 &amp; BA$9),"")</f>
        <v/>
      </c>
      <c r="BB23" s="700" t="str">
        <f ca="1">IF(INDIRECT("'Ext Nontradable'!$B" &amp; BB$9)=$B23,INDIRECT("'Ext Nontradable'!$" &amp; 'Ext Nontradable'!$AZ$23 &amp; BB$9),"")</f>
        <v/>
      </c>
      <c r="BC23" s="700" t="str">
        <f ca="1">IF(INDIRECT("'Ext Nontradable'!$B" &amp; BC$9)=$B23,INDIRECT("'Ext Nontradable'!$" &amp; 'Ext Nontradable'!$AZ$23 &amp; BC$9),"")</f>
        <v/>
      </c>
      <c r="BD23" s="700" t="str">
        <f ca="1">IF(INDIRECT("'Ext Nontradable'!$B" &amp; BD$9)=$B23,INDIRECT("'Ext Nontradable'!$" &amp; 'Ext Nontradable'!$AZ$23 &amp; BD$9),"")</f>
        <v/>
      </c>
      <c r="BE23" s="700" t="str">
        <f ca="1">IF(INDIRECT("'Ext Nontradable'!$B" &amp; BE$9)=$B23,INDIRECT("'Ext Nontradable'!$" &amp; 'Ext Nontradable'!$AZ$23 &amp; BE$9),"")</f>
        <v/>
      </c>
      <c r="BF23" s="700" t="str">
        <f ca="1">IF(INDIRECT("'Ext Nontradable'!$B" &amp; BF$9)=$B23,INDIRECT("'Ext Nontradable'!$" &amp; 'Ext Nontradable'!$AZ$23 &amp; BF$9),"")</f>
        <v/>
      </c>
      <c r="BG23" s="700" t="str">
        <f ca="1">IF(INDIRECT("'Ext Nontradable'!$B" &amp; BG$9)=$B23,INDIRECT("'Ext Nontradable'!$" &amp; 'Ext Nontradable'!$AZ$23 &amp; BG$9),"")</f>
        <v/>
      </c>
      <c r="BH23" s="700" t="str">
        <f ca="1">IF(INDIRECT("'Ext Nontradable'!$B" &amp; BH$9)=$B23,INDIRECT("'Ext Nontradable'!$" &amp; 'Ext Nontradable'!$AZ$23 &amp; BH$9),"")</f>
        <v/>
      </c>
      <c r="BI23" s="700" t="str">
        <f ca="1">IF(INDIRECT("'Ext Nontradable'!$B" &amp; BI$9)=$B23,INDIRECT("'Ext Nontradable'!$" &amp; 'Ext Nontradable'!$AZ$23 &amp; BI$9),"")</f>
        <v/>
      </c>
      <c r="BJ23" s="700" t="str">
        <f ca="1">IF(INDIRECT("'Ext Nontradable'!$B" &amp; BJ$9)=$B23,INDIRECT("'Ext Nontradable'!$" &amp; 'Ext Nontradable'!$AZ$23 &amp; BJ$9),"")</f>
        <v/>
      </c>
      <c r="BK23" s="700" t="str">
        <f ca="1">IF(INDIRECT("'Ext Nontradable'!$B" &amp; BK$9)=$B23,INDIRECT("'Ext Nontradable'!$" &amp; 'Ext Nontradable'!$AZ$23 &amp; BK$9),"")</f>
        <v/>
      </c>
      <c r="BL23" s="700" t="str">
        <f ca="1">IF(INDIRECT("'Ext Nontradable'!$B" &amp; BL$9)=$B23,INDIRECT("'Ext Nontradable'!$" &amp; 'Ext Nontradable'!$AZ$23 &amp; BL$9),"")</f>
        <v/>
      </c>
      <c r="BM23" s="700" t="str">
        <f ca="1">IF(INDIRECT("'Ext Nontradable'!$B" &amp; BM$9)=$B23,INDIRECT("'Ext Nontradable'!$" &amp; 'Ext Nontradable'!$AZ$23 &amp; BM$9),"")</f>
        <v/>
      </c>
      <c r="BN23" s="700">
        <f ca="1">IF(INDIRECT("'Ext Nontradable'!$B" &amp; BN$9)=$B23,INDIRECT("'Ext Nontradable'!$" &amp; 'Ext Nontradable'!$AZ$23 &amp; BN$9),"")</f>
        <v>0</v>
      </c>
      <c r="BO23" s="700">
        <f ca="1">IF(INDIRECT("'Ext Nontradable'!$B" &amp; BO$9)=$B23,INDIRECT("'Ext Nontradable'!$" &amp; 'Ext Nontradable'!$AZ$23 &amp; BO$9),"")</f>
        <v>0</v>
      </c>
      <c r="BP23" s="700">
        <f ca="1">IF(INDIRECT("'Ext Nontradable'!$B" &amp; BP$9)=$B23,INDIRECT("'Ext Nontradable'!$" &amp; 'Ext Nontradable'!$AZ$23 &amp; BP$9),"")</f>
        <v>0</v>
      </c>
      <c r="BQ23" s="700">
        <f ca="1">IF(INDIRECT("'Ext Nontradable'!$B" &amp; BQ$9)=$B23,INDIRECT("'Ext Nontradable'!$" &amp; 'Ext Nontradable'!$AZ$23 &amp; BQ$9),"")</f>
        <v>0</v>
      </c>
      <c r="BR23" s="700">
        <f ca="1">IF(INDIRECT("'Ext Nontradable'!$B" &amp; BR$9)=$B23,INDIRECT("'Ext Nontradable'!$" &amp; 'Ext Nontradable'!$AZ$23 &amp; BR$9),"")</f>
        <v>0</v>
      </c>
      <c r="BS23" s="700">
        <f ca="1">IF(INDIRECT("'Ext Nontradable'!$B" &amp; BS$9)=$B23,INDIRECT("'Ext Nontradable'!$" &amp; 'Ext Nontradable'!$AZ$23 &amp; BS$9),"")</f>
        <v>0</v>
      </c>
      <c r="BT23" s="700">
        <f ca="1">IF(INDIRECT("'Ext Nontradable'!$B" &amp; BT$9)=$B23,INDIRECT("'Ext Nontradable'!$" &amp; 'Ext Nontradable'!$AZ$23 &amp; BT$9),"")</f>
        <v>0</v>
      </c>
      <c r="BU23" s="700">
        <f ca="1">IF(INDIRECT("'Ext Nontradable'!$B" &amp; BU$9)=$B23,INDIRECT("'Ext Nontradable'!$" &amp; 'Ext Nontradable'!$AZ$23 &amp; BU$9),"")</f>
        <v>0</v>
      </c>
      <c r="BV23" s="700">
        <f ca="1">IF(INDIRECT("'Ext Nontradable'!$B" &amp; BV$9)=$B23,INDIRECT("'Ext Nontradable'!$" &amp; 'Ext Nontradable'!$AZ$23 &amp; BV$9),"")</f>
        <v>0</v>
      </c>
      <c r="BW23" s="700">
        <f ca="1">IF(INDIRECT("'Ext Nontradable'!$B" &amp; BW$9)=$B23,INDIRECT("'Ext Nontradable'!$" &amp; 'Ext Nontradable'!$AZ$23 &amp; BW$9),"")</f>
        <v>0</v>
      </c>
      <c r="BX23" s="700">
        <f ca="1">IF(INDIRECT("'Ext Nontradable'!$B" &amp; BX$9)=$B23,INDIRECT("'Ext Nontradable'!$" &amp; 'Ext Nontradable'!$AZ$23 &amp; BX$9),"")</f>
        <v>0</v>
      </c>
      <c r="BY23" s="700">
        <f ca="1">IF(INDIRECT("'Ext Nontradable'!$B" &amp; BY$9)=$B23,INDIRECT("'Ext Nontradable'!$" &amp; 'Ext Nontradable'!$AZ$23 &amp; BY$9),"")</f>
        <v>0</v>
      </c>
      <c r="BZ23" s="700">
        <f ca="1">IF(INDIRECT("'Ext Nontradable'!$B" &amp; BZ$9)=$B23,INDIRECT("'Ext Nontradable'!$" &amp; 'Ext Nontradable'!$AZ$23 &amp; BZ$9),"")</f>
        <v>0</v>
      </c>
      <c r="CA23" s="700">
        <f ca="1">IF(INDIRECT("'Ext Nontradable'!$B" &amp; CA$9)=$B23,INDIRECT("'Ext Nontradable'!$" &amp; 'Ext Nontradable'!$AZ$23 &amp; CA$9),"")</f>
        <v>0</v>
      </c>
      <c r="CB23" s="700">
        <f ca="1">IF(INDIRECT("'Ext Nontradable'!$B" &amp; CB$9)=$B23,INDIRECT("'Ext Nontradable'!$" &amp; 'Ext Nontradable'!$AZ$23 &amp; CB$9),"")</f>
        <v>0</v>
      </c>
      <c r="CC23" s="700">
        <f ca="1">IF(INDIRECT("'Ext Nontradable'!$B" &amp; CC$9)=$B23,INDIRECT("'Ext Nontradable'!$" &amp; 'Ext Nontradable'!$AZ$23 &amp; CC$9),"")</f>
        <v>0</v>
      </c>
      <c r="CD23" s="700">
        <f ca="1">IF(INDIRECT("'Ext Nontradable'!$B" &amp; CD$9)=$B23,INDIRECT("'Ext Nontradable'!$" &amp; 'Ext Nontradable'!$AZ$23 &amp; CD$9),"")</f>
        <v>0</v>
      </c>
      <c r="CE23" s="700">
        <f ca="1">IF(INDIRECT("'Ext Nontradable'!$B" &amp; CE$9)=$B23,INDIRECT("'Ext Nontradable'!$" &amp; 'Ext Nontradable'!$AZ$23 &amp; CE$9),"")</f>
        <v>0</v>
      </c>
      <c r="CF23" s="700">
        <f ca="1">IF(INDIRECT("'Ext Nontradable'!$B" &amp; CF$9)=$B23,INDIRECT("'Ext Nontradable'!$" &amp; 'Ext Nontradable'!$AZ$23 &amp; CF$9),"")</f>
        <v>0</v>
      </c>
      <c r="CG23" s="700">
        <f ca="1">IF(INDIRECT("'Ext Nontradable'!$B" &amp; CG$9)=$B23,INDIRECT("'Ext Nontradable'!$" &amp; 'Ext Nontradable'!$AZ$23 &amp; CG$9),"")</f>
        <v>0</v>
      </c>
      <c r="CH23" s="700">
        <f ca="1">IF(INDIRECT("'Ext Nontradable'!$B" &amp; CH$9)=$B23,INDIRECT("'Ext Nontradable'!$" &amp; 'Ext Nontradable'!$AZ$23 &amp; CH$9),"")</f>
        <v>0</v>
      </c>
      <c r="CI23" s="700">
        <f ca="1">IF(INDIRECT("'Ext Nontradable'!$B" &amp; CI$9)=$B23,INDIRECT("'Ext Nontradable'!$" &amp; 'Ext Nontradable'!$AZ$23 &amp; CI$9),"")</f>
        <v>0</v>
      </c>
      <c r="CJ23" s="700">
        <f ca="1">IF(INDIRECT("'Ext Nontradable'!$B" &amp; CJ$9)=$B23,INDIRECT("'Ext Nontradable'!$" &amp; 'Ext Nontradable'!$AZ$23 &amp; CJ$9),"")</f>
        <v>0</v>
      </c>
      <c r="CK23" s="700">
        <f ca="1">IF(INDIRECT("'Ext Nontradable'!$B" &amp; CK$9)=$B23,INDIRECT("'Ext Nontradable'!$" &amp; 'Ext Nontradable'!$AZ$23 &amp; CK$9),"")</f>
        <v>0</v>
      </c>
      <c r="CL23" s="700">
        <f ca="1">IF(INDIRECT("'Ext Nontradable'!$B" &amp; CL$9)=$B23,INDIRECT("'Ext Nontradable'!$" &amp; 'Ext Nontradable'!$AZ$23 &amp; CL$9),"")</f>
        <v>0</v>
      </c>
      <c r="CM23" s="700">
        <f ca="1">IF(INDIRECT("'Ext Nontradable'!$B" &amp; CM$9)=$B23,INDIRECT("'Ext Nontradable'!$" &amp; 'Ext Nontradable'!$AZ$23 &amp; CM$9),"")</f>
        <v>0</v>
      </c>
      <c r="CN23" s="700">
        <f ca="1">IF(INDIRECT("'Ext Nontradable'!$B" &amp; CN$9)=$B23,INDIRECT("'Ext Nontradable'!$" &amp; 'Ext Nontradable'!$AZ$23 &amp; CN$9),"")</f>
        <v>0</v>
      </c>
      <c r="CO23" s="700">
        <f ca="1">IF(INDIRECT("'Ext Nontradable'!$B" &amp; CO$9)=$B23,INDIRECT("'Ext Nontradable'!$" &amp; 'Ext Nontradable'!$AZ$23 &amp; CO$9),"")</f>
        <v>0</v>
      </c>
      <c r="CP23" s="700">
        <f ca="1">IF(INDIRECT("'Ext Nontradable'!$B" &amp; CP$9)=$B23,INDIRECT("'Ext Nontradable'!$" &amp; 'Ext Nontradable'!$AZ$23 &amp; CP$9),"")</f>
        <v>0</v>
      </c>
      <c r="CQ23" s="700">
        <f ca="1">IF(INDIRECT("'Ext Nontradable'!$B" &amp; CQ$9)=$B23,INDIRECT("'Ext Nontradable'!$" &amp; 'Ext Nontradable'!$AZ$23 &amp; CQ$9),"")</f>
        <v>0</v>
      </c>
      <c r="CR23" s="702" t="str">
        <f t="shared" ca="1" si="25"/>
        <v>000000000000000000000000000000</v>
      </c>
    </row>
    <row r="24" spans="1:96" ht="60" customHeight="1" x14ac:dyDescent="0.25">
      <c r="A24" s="705">
        <v>15</v>
      </c>
      <c r="B24" s="707" t="str">
        <f>'Ext Area Schedule'!AK30</f>
        <v/>
      </c>
      <c r="C24" s="707" t="str">
        <f>VLOOKUP($B24,'Ext Area Schedule'!$AK$16:$AO$65,3,FALSE)</f>
        <v/>
      </c>
      <c r="D24" s="792" t="str">
        <f>VLOOKUP($B24,'Ext Area Schedule'!$AK$16:$AO$65,4,FALSE)</f>
        <v/>
      </c>
      <c r="F24" s="792" t="str">
        <f>VLOOKUP($B24,'Ext Area Schedule'!$AK$16:$AO$65,5,FALSE)</f>
        <v/>
      </c>
      <c r="G24" s="792" t="str">
        <f>VLOOKUP($B24,'Ext Area Schedule'!$AK$16:$AO$65,5,FALSE)</f>
        <v/>
      </c>
      <c r="I24" s="703" t="str">
        <f t="shared" si="1"/>
        <v/>
      </c>
      <c r="K24" s="703" t="str">
        <f>IF($B24="","",SUMIFS('Ext Nontradable'!$M$26:$M$45,'Ext Nontradable'!$B$26:$B$45,$B24,'Ext Nontradable'!$U$26:$U$45,"New"))</f>
        <v/>
      </c>
      <c r="L24" s="703" t="str">
        <f>IF($B24="","",SUMIFS('Ext Nontradable'!$M$26:$M$45,'Ext Nontradable'!$B$26:$B$45,$B24,'Ext Nontradable'!$U$26:$U$45,""))</f>
        <v/>
      </c>
      <c r="M24" s="703" t="str">
        <f>IF($B24="","",SUMIFS('Ext Nontradable'!$K$26:$K$45,'Ext Nontradable'!$B$26:$B$45,$B24,'Ext Nontradable'!$U$26:$U$45,"New")+SUMIFS('Ext Nontradable'!$K$26:$K$45,'Ext Nontradable'!$B$26:$B$45,$B24,'Ext Nontradable'!$U$26:$U$45,""))</f>
        <v/>
      </c>
      <c r="N24" s="703" t="str">
        <f>IF($B24="","",SUMIFS('Ext Nontradable'!$M$26:$M$45,'Ext Nontradable'!$B$26:$B$45,$B24,'Ext Nontradable'!$U$26:$U$45,"Existing Remains"))</f>
        <v/>
      </c>
      <c r="O24" s="703" t="str">
        <f>IF($B24="","",SUMIFS('Ext Nontradable'!$M$26:$M$45,'Ext Nontradable'!$B$26:$B$45,$B24,'Ext Nontradable'!$U$26:$U$45,"Existing Removed"))</f>
        <v/>
      </c>
      <c r="P24" s="703" t="str">
        <f>IF($B24="","",SUMIFS('Ext Nontradable'!$K$26:$K$45,'Ext Nontradable'!$B$26:$B$45,$B24,'Ext Nontradable'!$U$26:$U$45,"Existing Removed"))</f>
        <v/>
      </c>
      <c r="Q24" s="703" t="str">
        <f t="shared" si="2"/>
        <v/>
      </c>
      <c r="R24" s="703" t="str">
        <f t="shared" si="7"/>
        <v/>
      </c>
      <c r="S24" s="703">
        <f t="shared" si="8"/>
        <v>0</v>
      </c>
      <c r="T24" s="954">
        <f t="shared" si="20"/>
        <v>0</v>
      </c>
      <c r="U24" s="954">
        <f t="shared" si="21"/>
        <v>0</v>
      </c>
      <c r="V24" s="1115" t="str">
        <f t="shared" si="22"/>
        <v/>
      </c>
      <c r="W24" s="712" t="str">
        <f t="shared" si="23"/>
        <v/>
      </c>
      <c r="X24" s="857"/>
      <c r="Y24" s="720" t="str">
        <f t="shared" si="24"/>
        <v/>
      </c>
      <c r="Z24" s="721" t="str">
        <f t="shared" si="9"/>
        <v/>
      </c>
      <c r="AA24" s="721" t="str">
        <f t="shared" si="10"/>
        <v/>
      </c>
      <c r="AB24" s="719" t="str">
        <f t="shared" si="4"/>
        <v/>
      </c>
      <c r="AC24" s="857"/>
      <c r="AD24" s="717" t="str">
        <f t="shared" si="11"/>
        <v/>
      </c>
      <c r="AE24" s="718" t="str">
        <f t="shared" si="12"/>
        <v/>
      </c>
      <c r="AF24" s="719" t="str">
        <f t="shared" si="5"/>
        <v/>
      </c>
      <c r="AG24" s="726"/>
      <c r="AH24" s="727" t="str">
        <f t="shared" si="13"/>
        <v/>
      </c>
      <c r="AI24" s="703" t="str">
        <f t="shared" si="14"/>
        <v/>
      </c>
      <c r="AJ24" s="703" t="str">
        <f t="shared" si="15"/>
        <v/>
      </c>
      <c r="AL24" s="1075" t="str">
        <f t="shared" si="16"/>
        <v/>
      </c>
      <c r="AM24" s="855" t="str">
        <f t="shared" si="18"/>
        <v/>
      </c>
      <c r="AN24" s="707" t="str">
        <f>IF(OR(AL24="Fail",AL24="Fail LPA",AL24=""),"",IF(AM24&lt;&gt;"#1",VLOOKUP(C24,'9.4.3 Tables'!B$156:O$164,14,FALSE),"No NEW controls required"))</f>
        <v/>
      </c>
      <c r="AO24" s="703">
        <f t="shared" si="19"/>
        <v>0</v>
      </c>
      <c r="AR24">
        <v>15</v>
      </c>
      <c r="AS24" s="15" t="str">
        <f t="shared" si="17"/>
        <v/>
      </c>
      <c r="AT24" s="700" t="str">
        <f ca="1">IF(INDIRECT("'Ext Nontradable'!$B" &amp; AT$9)=$B24,INDIRECT("'Ext Nontradable'!$" &amp; 'Ext Nontradable'!$AZ$23 &amp; AT$9),"")</f>
        <v/>
      </c>
      <c r="AU24" s="700" t="str">
        <f ca="1">IF(INDIRECT("'Ext Nontradable'!$B" &amp; AU$9)=$B24,INDIRECT("'Ext Nontradable'!$" &amp; 'Ext Nontradable'!$AZ$23 &amp; AU$9),"")</f>
        <v/>
      </c>
      <c r="AV24" s="700" t="str">
        <f ca="1">IF(INDIRECT("'Ext Nontradable'!$B" &amp; AV$9)=$B24,INDIRECT("'Ext Nontradable'!$" &amp; 'Ext Nontradable'!$AZ$23 &amp; AV$9),"")</f>
        <v/>
      </c>
      <c r="AW24" s="700" t="str">
        <f ca="1">IF(INDIRECT("'Ext Nontradable'!$B" &amp; AW$9)=$B24,INDIRECT("'Ext Nontradable'!$" &amp; 'Ext Nontradable'!$AZ$23 &amp; AW$9),"")</f>
        <v/>
      </c>
      <c r="AX24" s="700" t="str">
        <f ca="1">IF(INDIRECT("'Ext Nontradable'!$B" &amp; AX$9)=$B24,INDIRECT("'Ext Nontradable'!$" &amp; 'Ext Nontradable'!$AZ$23 &amp; AX$9),"")</f>
        <v/>
      </c>
      <c r="AY24" s="700" t="str">
        <f ca="1">IF(INDIRECT("'Ext Nontradable'!$B" &amp; AY$9)=$B24,INDIRECT("'Ext Nontradable'!$" &amp; 'Ext Nontradable'!$AZ$23 &amp; AY$9),"")</f>
        <v/>
      </c>
      <c r="AZ24" s="700" t="str">
        <f ca="1">IF(INDIRECT("'Ext Nontradable'!$B" &amp; AZ$9)=$B24,INDIRECT("'Ext Nontradable'!$" &amp; 'Ext Nontradable'!$AZ$23 &amp; AZ$9),"")</f>
        <v/>
      </c>
      <c r="BA24" s="700" t="str">
        <f ca="1">IF(INDIRECT("'Ext Nontradable'!$B" &amp; BA$9)=$B24,INDIRECT("'Ext Nontradable'!$" &amp; 'Ext Nontradable'!$AZ$23 &amp; BA$9),"")</f>
        <v/>
      </c>
      <c r="BB24" s="700" t="str">
        <f ca="1">IF(INDIRECT("'Ext Nontradable'!$B" &amp; BB$9)=$B24,INDIRECT("'Ext Nontradable'!$" &amp; 'Ext Nontradable'!$AZ$23 &amp; BB$9),"")</f>
        <v/>
      </c>
      <c r="BC24" s="700" t="str">
        <f ca="1">IF(INDIRECT("'Ext Nontradable'!$B" &amp; BC$9)=$B24,INDIRECT("'Ext Nontradable'!$" &amp; 'Ext Nontradable'!$AZ$23 &amp; BC$9),"")</f>
        <v/>
      </c>
      <c r="BD24" s="700" t="str">
        <f ca="1">IF(INDIRECT("'Ext Nontradable'!$B" &amp; BD$9)=$B24,INDIRECT("'Ext Nontradable'!$" &amp; 'Ext Nontradable'!$AZ$23 &amp; BD$9),"")</f>
        <v/>
      </c>
      <c r="BE24" s="700" t="str">
        <f ca="1">IF(INDIRECT("'Ext Nontradable'!$B" &amp; BE$9)=$B24,INDIRECT("'Ext Nontradable'!$" &amp; 'Ext Nontradable'!$AZ$23 &amp; BE$9),"")</f>
        <v/>
      </c>
      <c r="BF24" s="700" t="str">
        <f ca="1">IF(INDIRECT("'Ext Nontradable'!$B" &amp; BF$9)=$B24,INDIRECT("'Ext Nontradable'!$" &amp; 'Ext Nontradable'!$AZ$23 &amp; BF$9),"")</f>
        <v/>
      </c>
      <c r="BG24" s="700" t="str">
        <f ca="1">IF(INDIRECT("'Ext Nontradable'!$B" &amp; BG$9)=$B24,INDIRECT("'Ext Nontradable'!$" &amp; 'Ext Nontradable'!$AZ$23 &amp; BG$9),"")</f>
        <v/>
      </c>
      <c r="BH24" s="700" t="str">
        <f ca="1">IF(INDIRECT("'Ext Nontradable'!$B" &amp; BH$9)=$B24,INDIRECT("'Ext Nontradable'!$" &amp; 'Ext Nontradable'!$AZ$23 &amp; BH$9),"")</f>
        <v/>
      </c>
      <c r="BI24" s="700" t="str">
        <f ca="1">IF(INDIRECT("'Ext Nontradable'!$B" &amp; BI$9)=$B24,INDIRECT("'Ext Nontradable'!$" &amp; 'Ext Nontradable'!$AZ$23 &amp; BI$9),"")</f>
        <v/>
      </c>
      <c r="BJ24" s="700" t="str">
        <f ca="1">IF(INDIRECT("'Ext Nontradable'!$B" &amp; BJ$9)=$B24,INDIRECT("'Ext Nontradable'!$" &amp; 'Ext Nontradable'!$AZ$23 &amp; BJ$9),"")</f>
        <v/>
      </c>
      <c r="BK24" s="700" t="str">
        <f ca="1">IF(INDIRECT("'Ext Nontradable'!$B" &amp; BK$9)=$B24,INDIRECT("'Ext Nontradable'!$" &amp; 'Ext Nontradable'!$AZ$23 &amp; BK$9),"")</f>
        <v/>
      </c>
      <c r="BL24" s="700" t="str">
        <f ca="1">IF(INDIRECT("'Ext Nontradable'!$B" &amp; BL$9)=$B24,INDIRECT("'Ext Nontradable'!$" &amp; 'Ext Nontradable'!$AZ$23 &amp; BL$9),"")</f>
        <v/>
      </c>
      <c r="BM24" s="700" t="str">
        <f ca="1">IF(INDIRECT("'Ext Nontradable'!$B" &amp; BM$9)=$B24,INDIRECT("'Ext Nontradable'!$" &amp; 'Ext Nontradable'!$AZ$23 &amp; BM$9),"")</f>
        <v/>
      </c>
      <c r="BN24" s="700">
        <f ca="1">IF(INDIRECT("'Ext Nontradable'!$B" &amp; BN$9)=$B24,INDIRECT("'Ext Nontradable'!$" &amp; 'Ext Nontradable'!$AZ$23 &amp; BN$9),"")</f>
        <v>0</v>
      </c>
      <c r="BO24" s="700">
        <f ca="1">IF(INDIRECT("'Ext Nontradable'!$B" &amp; BO$9)=$B24,INDIRECT("'Ext Nontradable'!$" &amp; 'Ext Nontradable'!$AZ$23 &amp; BO$9),"")</f>
        <v>0</v>
      </c>
      <c r="BP24" s="700">
        <f ca="1">IF(INDIRECT("'Ext Nontradable'!$B" &amp; BP$9)=$B24,INDIRECT("'Ext Nontradable'!$" &amp; 'Ext Nontradable'!$AZ$23 &amp; BP$9),"")</f>
        <v>0</v>
      </c>
      <c r="BQ24" s="700">
        <f ca="1">IF(INDIRECT("'Ext Nontradable'!$B" &amp; BQ$9)=$B24,INDIRECT("'Ext Nontradable'!$" &amp; 'Ext Nontradable'!$AZ$23 &amp; BQ$9),"")</f>
        <v>0</v>
      </c>
      <c r="BR24" s="700">
        <f ca="1">IF(INDIRECT("'Ext Nontradable'!$B" &amp; BR$9)=$B24,INDIRECT("'Ext Nontradable'!$" &amp; 'Ext Nontradable'!$AZ$23 &amp; BR$9),"")</f>
        <v>0</v>
      </c>
      <c r="BS24" s="700">
        <f ca="1">IF(INDIRECT("'Ext Nontradable'!$B" &amp; BS$9)=$B24,INDIRECT("'Ext Nontradable'!$" &amp; 'Ext Nontradable'!$AZ$23 &amp; BS$9),"")</f>
        <v>0</v>
      </c>
      <c r="BT24" s="700">
        <f ca="1">IF(INDIRECT("'Ext Nontradable'!$B" &amp; BT$9)=$B24,INDIRECT("'Ext Nontradable'!$" &amp; 'Ext Nontradable'!$AZ$23 &amp; BT$9),"")</f>
        <v>0</v>
      </c>
      <c r="BU24" s="700">
        <f ca="1">IF(INDIRECT("'Ext Nontradable'!$B" &amp; BU$9)=$B24,INDIRECT("'Ext Nontradable'!$" &amp; 'Ext Nontradable'!$AZ$23 &amp; BU$9),"")</f>
        <v>0</v>
      </c>
      <c r="BV24" s="700">
        <f ca="1">IF(INDIRECT("'Ext Nontradable'!$B" &amp; BV$9)=$B24,INDIRECT("'Ext Nontradable'!$" &amp; 'Ext Nontradable'!$AZ$23 &amp; BV$9),"")</f>
        <v>0</v>
      </c>
      <c r="BW24" s="700">
        <f ca="1">IF(INDIRECT("'Ext Nontradable'!$B" &amp; BW$9)=$B24,INDIRECT("'Ext Nontradable'!$" &amp; 'Ext Nontradable'!$AZ$23 &amp; BW$9),"")</f>
        <v>0</v>
      </c>
      <c r="BX24" s="700">
        <f ca="1">IF(INDIRECT("'Ext Nontradable'!$B" &amp; BX$9)=$B24,INDIRECT("'Ext Nontradable'!$" &amp; 'Ext Nontradable'!$AZ$23 &amp; BX$9),"")</f>
        <v>0</v>
      </c>
      <c r="BY24" s="700">
        <f ca="1">IF(INDIRECT("'Ext Nontradable'!$B" &amp; BY$9)=$B24,INDIRECT("'Ext Nontradable'!$" &amp; 'Ext Nontradable'!$AZ$23 &amp; BY$9),"")</f>
        <v>0</v>
      </c>
      <c r="BZ24" s="700">
        <f ca="1">IF(INDIRECT("'Ext Nontradable'!$B" &amp; BZ$9)=$B24,INDIRECT("'Ext Nontradable'!$" &amp; 'Ext Nontradable'!$AZ$23 &amp; BZ$9),"")</f>
        <v>0</v>
      </c>
      <c r="CA24" s="700">
        <f ca="1">IF(INDIRECT("'Ext Nontradable'!$B" &amp; CA$9)=$B24,INDIRECT("'Ext Nontradable'!$" &amp; 'Ext Nontradable'!$AZ$23 &amp; CA$9),"")</f>
        <v>0</v>
      </c>
      <c r="CB24" s="700">
        <f ca="1">IF(INDIRECT("'Ext Nontradable'!$B" &amp; CB$9)=$B24,INDIRECT("'Ext Nontradable'!$" &amp; 'Ext Nontradable'!$AZ$23 &amp; CB$9),"")</f>
        <v>0</v>
      </c>
      <c r="CC24" s="700">
        <f ca="1">IF(INDIRECT("'Ext Nontradable'!$B" &amp; CC$9)=$B24,INDIRECT("'Ext Nontradable'!$" &amp; 'Ext Nontradable'!$AZ$23 &amp; CC$9),"")</f>
        <v>0</v>
      </c>
      <c r="CD24" s="700">
        <f ca="1">IF(INDIRECT("'Ext Nontradable'!$B" &amp; CD$9)=$B24,INDIRECT("'Ext Nontradable'!$" &amp; 'Ext Nontradable'!$AZ$23 &amp; CD$9),"")</f>
        <v>0</v>
      </c>
      <c r="CE24" s="700">
        <f ca="1">IF(INDIRECT("'Ext Nontradable'!$B" &amp; CE$9)=$B24,INDIRECT("'Ext Nontradable'!$" &amp; 'Ext Nontradable'!$AZ$23 &amp; CE$9),"")</f>
        <v>0</v>
      </c>
      <c r="CF24" s="700">
        <f ca="1">IF(INDIRECT("'Ext Nontradable'!$B" &amp; CF$9)=$B24,INDIRECT("'Ext Nontradable'!$" &amp; 'Ext Nontradable'!$AZ$23 &amp; CF$9),"")</f>
        <v>0</v>
      </c>
      <c r="CG24" s="700">
        <f ca="1">IF(INDIRECT("'Ext Nontradable'!$B" &amp; CG$9)=$B24,INDIRECT("'Ext Nontradable'!$" &amp; 'Ext Nontradable'!$AZ$23 &amp; CG$9),"")</f>
        <v>0</v>
      </c>
      <c r="CH24" s="700">
        <f ca="1">IF(INDIRECT("'Ext Nontradable'!$B" &amp; CH$9)=$B24,INDIRECT("'Ext Nontradable'!$" &amp; 'Ext Nontradable'!$AZ$23 &amp; CH$9),"")</f>
        <v>0</v>
      </c>
      <c r="CI24" s="700">
        <f ca="1">IF(INDIRECT("'Ext Nontradable'!$B" &amp; CI$9)=$B24,INDIRECT("'Ext Nontradable'!$" &amp; 'Ext Nontradable'!$AZ$23 &amp; CI$9),"")</f>
        <v>0</v>
      </c>
      <c r="CJ24" s="700">
        <f ca="1">IF(INDIRECT("'Ext Nontradable'!$B" &amp; CJ$9)=$B24,INDIRECT("'Ext Nontradable'!$" &amp; 'Ext Nontradable'!$AZ$23 &amp; CJ$9),"")</f>
        <v>0</v>
      </c>
      <c r="CK24" s="700">
        <f ca="1">IF(INDIRECT("'Ext Nontradable'!$B" &amp; CK$9)=$B24,INDIRECT("'Ext Nontradable'!$" &amp; 'Ext Nontradable'!$AZ$23 &amp; CK$9),"")</f>
        <v>0</v>
      </c>
      <c r="CL24" s="700">
        <f ca="1">IF(INDIRECT("'Ext Nontradable'!$B" &amp; CL$9)=$B24,INDIRECT("'Ext Nontradable'!$" &amp; 'Ext Nontradable'!$AZ$23 &amp; CL$9),"")</f>
        <v>0</v>
      </c>
      <c r="CM24" s="700">
        <f ca="1">IF(INDIRECT("'Ext Nontradable'!$B" &amp; CM$9)=$B24,INDIRECT("'Ext Nontradable'!$" &amp; 'Ext Nontradable'!$AZ$23 &amp; CM$9),"")</f>
        <v>0</v>
      </c>
      <c r="CN24" s="700">
        <f ca="1">IF(INDIRECT("'Ext Nontradable'!$B" &amp; CN$9)=$B24,INDIRECT("'Ext Nontradable'!$" &amp; 'Ext Nontradable'!$AZ$23 &amp; CN$9),"")</f>
        <v>0</v>
      </c>
      <c r="CO24" s="700">
        <f ca="1">IF(INDIRECT("'Ext Nontradable'!$B" &amp; CO$9)=$B24,INDIRECT("'Ext Nontradable'!$" &amp; 'Ext Nontradable'!$AZ$23 &amp; CO$9),"")</f>
        <v>0</v>
      </c>
      <c r="CP24" s="700">
        <f ca="1">IF(INDIRECT("'Ext Nontradable'!$B" &amp; CP$9)=$B24,INDIRECT("'Ext Nontradable'!$" &amp; 'Ext Nontradable'!$AZ$23 &amp; CP$9),"")</f>
        <v>0</v>
      </c>
      <c r="CQ24" s="700">
        <f ca="1">IF(INDIRECT("'Ext Nontradable'!$B" &amp; CQ$9)=$B24,INDIRECT("'Ext Nontradable'!$" &amp; 'Ext Nontradable'!$AZ$23 &amp; CQ$9),"")</f>
        <v>0</v>
      </c>
      <c r="CR24" s="702" t="str">
        <f t="shared" ca="1" si="25"/>
        <v>000000000000000000000000000000</v>
      </c>
    </row>
    <row r="25" spans="1:96" ht="60" customHeight="1" x14ac:dyDescent="0.25">
      <c r="A25" s="705">
        <v>16</v>
      </c>
      <c r="B25" s="707" t="str">
        <f>'Ext Area Schedule'!AK31</f>
        <v/>
      </c>
      <c r="C25" s="707" t="str">
        <f>VLOOKUP($B25,'Ext Area Schedule'!$AK$16:$AO$65,3,FALSE)</f>
        <v/>
      </c>
      <c r="D25" s="792" t="str">
        <f>VLOOKUP($B25,'Ext Area Schedule'!$AK$16:$AO$65,4,FALSE)</f>
        <v/>
      </c>
      <c r="F25" s="792" t="str">
        <f>VLOOKUP($B25,'Ext Area Schedule'!$AK$16:$AO$65,5,FALSE)</f>
        <v/>
      </c>
      <c r="G25" s="792" t="str">
        <f>VLOOKUP($B25,'Ext Area Schedule'!$AK$16:$AO$65,5,FALSE)</f>
        <v/>
      </c>
      <c r="I25" s="703" t="str">
        <f t="shared" si="1"/>
        <v/>
      </c>
      <c r="K25" s="703" t="str">
        <f>IF($B25="","",SUMIFS('Ext Nontradable'!$M$26:$M$45,'Ext Nontradable'!$B$26:$B$45,$B25,'Ext Nontradable'!$U$26:$U$45,"New"))</f>
        <v/>
      </c>
      <c r="L25" s="703" t="str">
        <f>IF($B25="","",SUMIFS('Ext Nontradable'!$M$26:$M$45,'Ext Nontradable'!$B$26:$B$45,$B25,'Ext Nontradable'!$U$26:$U$45,""))</f>
        <v/>
      </c>
      <c r="M25" s="703" t="str">
        <f>IF($B25="","",SUMIFS('Ext Nontradable'!$K$26:$K$45,'Ext Nontradable'!$B$26:$B$45,$B25,'Ext Nontradable'!$U$26:$U$45,"New")+SUMIFS('Ext Nontradable'!$K$26:$K$45,'Ext Nontradable'!$B$26:$B$45,$B25,'Ext Nontradable'!$U$26:$U$45,""))</f>
        <v/>
      </c>
      <c r="N25" s="703" t="str">
        <f>IF($B25="","",SUMIFS('Ext Nontradable'!$M$26:$M$45,'Ext Nontradable'!$B$26:$B$45,$B25,'Ext Nontradable'!$U$26:$U$45,"Existing Remains"))</f>
        <v/>
      </c>
      <c r="O25" s="703" t="str">
        <f>IF($B25="","",SUMIFS('Ext Nontradable'!$M$26:$M$45,'Ext Nontradable'!$B$26:$B$45,$B25,'Ext Nontradable'!$U$26:$U$45,"Existing Removed"))</f>
        <v/>
      </c>
      <c r="P25" s="703" t="str">
        <f>IF($B25="","",SUMIFS('Ext Nontradable'!$K$26:$K$45,'Ext Nontradable'!$B$26:$B$45,$B25,'Ext Nontradable'!$U$26:$U$45,"Existing Removed"))</f>
        <v/>
      </c>
      <c r="Q25" s="703" t="str">
        <f t="shared" si="2"/>
        <v/>
      </c>
      <c r="R25" s="703" t="str">
        <f t="shared" si="7"/>
        <v/>
      </c>
      <c r="S25" s="703">
        <f t="shared" si="8"/>
        <v>0</v>
      </c>
      <c r="T25" s="954">
        <f t="shared" si="20"/>
        <v>0</v>
      </c>
      <c r="U25" s="954">
        <f t="shared" si="21"/>
        <v>0</v>
      </c>
      <c r="V25" s="1115" t="str">
        <f t="shared" si="22"/>
        <v/>
      </c>
      <c r="W25" s="712" t="str">
        <f t="shared" si="23"/>
        <v/>
      </c>
      <c r="X25" s="857"/>
      <c r="Y25" s="720" t="str">
        <f t="shared" si="24"/>
        <v/>
      </c>
      <c r="Z25" s="721" t="str">
        <f t="shared" si="9"/>
        <v/>
      </c>
      <c r="AA25" s="721" t="str">
        <f t="shared" si="10"/>
        <v/>
      </c>
      <c r="AB25" s="719" t="str">
        <f t="shared" si="4"/>
        <v/>
      </c>
      <c r="AC25" s="857"/>
      <c r="AD25" s="717" t="str">
        <f t="shared" si="11"/>
        <v/>
      </c>
      <c r="AE25" s="718" t="str">
        <f t="shared" si="12"/>
        <v/>
      </c>
      <c r="AF25" s="719" t="str">
        <f t="shared" si="5"/>
        <v/>
      </c>
      <c r="AG25" s="726"/>
      <c r="AH25" s="727" t="str">
        <f t="shared" si="13"/>
        <v/>
      </c>
      <c r="AI25" s="703" t="str">
        <f t="shared" si="14"/>
        <v/>
      </c>
      <c r="AJ25" s="703" t="str">
        <f t="shared" si="15"/>
        <v/>
      </c>
      <c r="AL25" s="1075" t="str">
        <f t="shared" si="16"/>
        <v/>
      </c>
      <c r="AM25" s="855" t="str">
        <f t="shared" si="18"/>
        <v/>
      </c>
      <c r="AN25" s="707" t="str">
        <f>IF(OR(AL25="Fail",AL25="Fail LPA",AL25=""),"",IF(AM25&lt;&gt;"#1",VLOOKUP(C25,'9.4.3 Tables'!B$156:O$164,14,FALSE),"No NEW controls required"))</f>
        <v/>
      </c>
      <c r="AO25" s="703">
        <f t="shared" si="19"/>
        <v>0</v>
      </c>
      <c r="AR25">
        <v>16</v>
      </c>
      <c r="AS25" s="15" t="str">
        <f t="shared" si="17"/>
        <v/>
      </c>
      <c r="AT25" s="700" t="str">
        <f ca="1">IF(INDIRECT("'Ext Nontradable'!$B" &amp; AT$9)=$B25,INDIRECT("'Ext Nontradable'!$" &amp; 'Ext Nontradable'!$AZ$23 &amp; AT$9),"")</f>
        <v/>
      </c>
      <c r="AU25" s="700" t="str">
        <f ca="1">IF(INDIRECT("'Ext Nontradable'!$B" &amp; AU$9)=$B25,INDIRECT("'Ext Nontradable'!$" &amp; 'Ext Nontradable'!$AZ$23 &amp; AU$9),"")</f>
        <v/>
      </c>
      <c r="AV25" s="700" t="str">
        <f ca="1">IF(INDIRECT("'Ext Nontradable'!$B" &amp; AV$9)=$B25,INDIRECT("'Ext Nontradable'!$" &amp; 'Ext Nontradable'!$AZ$23 &amp; AV$9),"")</f>
        <v/>
      </c>
      <c r="AW25" s="700" t="str">
        <f ca="1">IF(INDIRECT("'Ext Nontradable'!$B" &amp; AW$9)=$B25,INDIRECT("'Ext Nontradable'!$" &amp; 'Ext Nontradable'!$AZ$23 &amp; AW$9),"")</f>
        <v/>
      </c>
      <c r="AX25" s="700" t="str">
        <f ca="1">IF(INDIRECT("'Ext Nontradable'!$B" &amp; AX$9)=$B25,INDIRECT("'Ext Nontradable'!$" &amp; 'Ext Nontradable'!$AZ$23 &amp; AX$9),"")</f>
        <v/>
      </c>
      <c r="AY25" s="700" t="str">
        <f ca="1">IF(INDIRECT("'Ext Nontradable'!$B" &amp; AY$9)=$B25,INDIRECT("'Ext Nontradable'!$" &amp; 'Ext Nontradable'!$AZ$23 &amp; AY$9),"")</f>
        <v/>
      </c>
      <c r="AZ25" s="700" t="str">
        <f ca="1">IF(INDIRECT("'Ext Nontradable'!$B" &amp; AZ$9)=$B25,INDIRECT("'Ext Nontradable'!$" &amp; 'Ext Nontradable'!$AZ$23 &amp; AZ$9),"")</f>
        <v/>
      </c>
      <c r="BA25" s="700" t="str">
        <f ca="1">IF(INDIRECT("'Ext Nontradable'!$B" &amp; BA$9)=$B25,INDIRECT("'Ext Nontradable'!$" &amp; 'Ext Nontradable'!$AZ$23 &amp; BA$9),"")</f>
        <v/>
      </c>
      <c r="BB25" s="700" t="str">
        <f ca="1">IF(INDIRECT("'Ext Nontradable'!$B" &amp; BB$9)=$B25,INDIRECT("'Ext Nontradable'!$" &amp; 'Ext Nontradable'!$AZ$23 &amp; BB$9),"")</f>
        <v/>
      </c>
      <c r="BC25" s="700" t="str">
        <f ca="1">IF(INDIRECT("'Ext Nontradable'!$B" &amp; BC$9)=$B25,INDIRECT("'Ext Nontradable'!$" &amp; 'Ext Nontradable'!$AZ$23 &amp; BC$9),"")</f>
        <v/>
      </c>
      <c r="BD25" s="700" t="str">
        <f ca="1">IF(INDIRECT("'Ext Nontradable'!$B" &amp; BD$9)=$B25,INDIRECT("'Ext Nontradable'!$" &amp; 'Ext Nontradable'!$AZ$23 &amp; BD$9),"")</f>
        <v/>
      </c>
      <c r="BE25" s="700" t="str">
        <f ca="1">IF(INDIRECT("'Ext Nontradable'!$B" &amp; BE$9)=$B25,INDIRECT("'Ext Nontradable'!$" &amp; 'Ext Nontradable'!$AZ$23 &amp; BE$9),"")</f>
        <v/>
      </c>
      <c r="BF25" s="700" t="str">
        <f ca="1">IF(INDIRECT("'Ext Nontradable'!$B" &amp; BF$9)=$B25,INDIRECT("'Ext Nontradable'!$" &amp; 'Ext Nontradable'!$AZ$23 &amp; BF$9),"")</f>
        <v/>
      </c>
      <c r="BG25" s="700" t="str">
        <f ca="1">IF(INDIRECT("'Ext Nontradable'!$B" &amp; BG$9)=$B25,INDIRECT("'Ext Nontradable'!$" &amp; 'Ext Nontradable'!$AZ$23 &amp; BG$9),"")</f>
        <v/>
      </c>
      <c r="BH25" s="700" t="str">
        <f ca="1">IF(INDIRECT("'Ext Nontradable'!$B" &amp; BH$9)=$B25,INDIRECT("'Ext Nontradable'!$" &amp; 'Ext Nontradable'!$AZ$23 &amp; BH$9),"")</f>
        <v/>
      </c>
      <c r="BI25" s="700" t="str">
        <f ca="1">IF(INDIRECT("'Ext Nontradable'!$B" &amp; BI$9)=$B25,INDIRECT("'Ext Nontradable'!$" &amp; 'Ext Nontradable'!$AZ$23 &amp; BI$9),"")</f>
        <v/>
      </c>
      <c r="BJ25" s="700" t="str">
        <f ca="1">IF(INDIRECT("'Ext Nontradable'!$B" &amp; BJ$9)=$B25,INDIRECT("'Ext Nontradable'!$" &amp; 'Ext Nontradable'!$AZ$23 &amp; BJ$9),"")</f>
        <v/>
      </c>
      <c r="BK25" s="700" t="str">
        <f ca="1">IF(INDIRECT("'Ext Nontradable'!$B" &amp; BK$9)=$B25,INDIRECT("'Ext Nontradable'!$" &amp; 'Ext Nontradable'!$AZ$23 &amp; BK$9),"")</f>
        <v/>
      </c>
      <c r="BL25" s="700" t="str">
        <f ca="1">IF(INDIRECT("'Ext Nontradable'!$B" &amp; BL$9)=$B25,INDIRECT("'Ext Nontradable'!$" &amp; 'Ext Nontradable'!$AZ$23 &amp; BL$9),"")</f>
        <v/>
      </c>
      <c r="BM25" s="700" t="str">
        <f ca="1">IF(INDIRECT("'Ext Nontradable'!$B" &amp; BM$9)=$B25,INDIRECT("'Ext Nontradable'!$" &amp; 'Ext Nontradable'!$AZ$23 &amp; BM$9),"")</f>
        <v/>
      </c>
      <c r="BN25" s="700">
        <f ca="1">IF(INDIRECT("'Ext Nontradable'!$B" &amp; BN$9)=$B25,INDIRECT("'Ext Nontradable'!$" &amp; 'Ext Nontradable'!$AZ$23 &amp; BN$9),"")</f>
        <v>0</v>
      </c>
      <c r="BO25" s="700">
        <f ca="1">IF(INDIRECT("'Ext Nontradable'!$B" &amp; BO$9)=$B25,INDIRECT("'Ext Nontradable'!$" &amp; 'Ext Nontradable'!$AZ$23 &amp; BO$9),"")</f>
        <v>0</v>
      </c>
      <c r="BP25" s="700">
        <f ca="1">IF(INDIRECT("'Ext Nontradable'!$B" &amp; BP$9)=$B25,INDIRECT("'Ext Nontradable'!$" &amp; 'Ext Nontradable'!$AZ$23 &amp; BP$9),"")</f>
        <v>0</v>
      </c>
      <c r="BQ25" s="700">
        <f ca="1">IF(INDIRECT("'Ext Nontradable'!$B" &amp; BQ$9)=$B25,INDIRECT("'Ext Nontradable'!$" &amp; 'Ext Nontradable'!$AZ$23 &amp; BQ$9),"")</f>
        <v>0</v>
      </c>
      <c r="BR25" s="700">
        <f ca="1">IF(INDIRECT("'Ext Nontradable'!$B" &amp; BR$9)=$B25,INDIRECT("'Ext Nontradable'!$" &amp; 'Ext Nontradable'!$AZ$23 &amp; BR$9),"")</f>
        <v>0</v>
      </c>
      <c r="BS25" s="700">
        <f ca="1">IF(INDIRECT("'Ext Nontradable'!$B" &amp; BS$9)=$B25,INDIRECT("'Ext Nontradable'!$" &amp; 'Ext Nontradable'!$AZ$23 &amp; BS$9),"")</f>
        <v>0</v>
      </c>
      <c r="BT25" s="700">
        <f ca="1">IF(INDIRECT("'Ext Nontradable'!$B" &amp; BT$9)=$B25,INDIRECT("'Ext Nontradable'!$" &amp; 'Ext Nontradable'!$AZ$23 &amp; BT$9),"")</f>
        <v>0</v>
      </c>
      <c r="BU25" s="700">
        <f ca="1">IF(INDIRECT("'Ext Nontradable'!$B" &amp; BU$9)=$B25,INDIRECT("'Ext Nontradable'!$" &amp; 'Ext Nontradable'!$AZ$23 &amp; BU$9),"")</f>
        <v>0</v>
      </c>
      <c r="BV25" s="700">
        <f ca="1">IF(INDIRECT("'Ext Nontradable'!$B" &amp; BV$9)=$B25,INDIRECT("'Ext Nontradable'!$" &amp; 'Ext Nontradable'!$AZ$23 &amp; BV$9),"")</f>
        <v>0</v>
      </c>
      <c r="BW25" s="700">
        <f ca="1">IF(INDIRECT("'Ext Nontradable'!$B" &amp; BW$9)=$B25,INDIRECT("'Ext Nontradable'!$" &amp; 'Ext Nontradable'!$AZ$23 &amp; BW$9),"")</f>
        <v>0</v>
      </c>
      <c r="BX25" s="700">
        <f ca="1">IF(INDIRECT("'Ext Nontradable'!$B" &amp; BX$9)=$B25,INDIRECT("'Ext Nontradable'!$" &amp; 'Ext Nontradable'!$AZ$23 &amp; BX$9),"")</f>
        <v>0</v>
      </c>
      <c r="BY25" s="700">
        <f ca="1">IF(INDIRECT("'Ext Nontradable'!$B" &amp; BY$9)=$B25,INDIRECT("'Ext Nontradable'!$" &amp; 'Ext Nontradable'!$AZ$23 &amp; BY$9),"")</f>
        <v>0</v>
      </c>
      <c r="BZ25" s="700">
        <f ca="1">IF(INDIRECT("'Ext Nontradable'!$B" &amp; BZ$9)=$B25,INDIRECT("'Ext Nontradable'!$" &amp; 'Ext Nontradable'!$AZ$23 &amp; BZ$9),"")</f>
        <v>0</v>
      </c>
      <c r="CA25" s="700">
        <f ca="1">IF(INDIRECT("'Ext Nontradable'!$B" &amp; CA$9)=$B25,INDIRECT("'Ext Nontradable'!$" &amp; 'Ext Nontradable'!$AZ$23 &amp; CA$9),"")</f>
        <v>0</v>
      </c>
      <c r="CB25" s="700">
        <f ca="1">IF(INDIRECT("'Ext Nontradable'!$B" &amp; CB$9)=$B25,INDIRECT("'Ext Nontradable'!$" &amp; 'Ext Nontradable'!$AZ$23 &amp; CB$9),"")</f>
        <v>0</v>
      </c>
      <c r="CC25" s="700">
        <f ca="1">IF(INDIRECT("'Ext Nontradable'!$B" &amp; CC$9)=$B25,INDIRECT("'Ext Nontradable'!$" &amp; 'Ext Nontradable'!$AZ$23 &amp; CC$9),"")</f>
        <v>0</v>
      </c>
      <c r="CD25" s="700">
        <f ca="1">IF(INDIRECT("'Ext Nontradable'!$B" &amp; CD$9)=$B25,INDIRECT("'Ext Nontradable'!$" &amp; 'Ext Nontradable'!$AZ$23 &amp; CD$9),"")</f>
        <v>0</v>
      </c>
      <c r="CE25" s="700">
        <f ca="1">IF(INDIRECT("'Ext Nontradable'!$B" &amp; CE$9)=$B25,INDIRECT("'Ext Nontradable'!$" &amp; 'Ext Nontradable'!$AZ$23 &amp; CE$9),"")</f>
        <v>0</v>
      </c>
      <c r="CF25" s="700">
        <f ca="1">IF(INDIRECT("'Ext Nontradable'!$B" &amp; CF$9)=$B25,INDIRECT("'Ext Nontradable'!$" &amp; 'Ext Nontradable'!$AZ$23 &amp; CF$9),"")</f>
        <v>0</v>
      </c>
      <c r="CG25" s="700">
        <f ca="1">IF(INDIRECT("'Ext Nontradable'!$B" &amp; CG$9)=$B25,INDIRECT("'Ext Nontradable'!$" &amp; 'Ext Nontradable'!$AZ$23 &amp; CG$9),"")</f>
        <v>0</v>
      </c>
      <c r="CH25" s="700">
        <f ca="1">IF(INDIRECT("'Ext Nontradable'!$B" &amp; CH$9)=$B25,INDIRECT("'Ext Nontradable'!$" &amp; 'Ext Nontradable'!$AZ$23 &amp; CH$9),"")</f>
        <v>0</v>
      </c>
      <c r="CI25" s="700">
        <f ca="1">IF(INDIRECT("'Ext Nontradable'!$B" &amp; CI$9)=$B25,INDIRECT("'Ext Nontradable'!$" &amp; 'Ext Nontradable'!$AZ$23 &amp; CI$9),"")</f>
        <v>0</v>
      </c>
      <c r="CJ25" s="700">
        <f ca="1">IF(INDIRECT("'Ext Nontradable'!$B" &amp; CJ$9)=$B25,INDIRECT("'Ext Nontradable'!$" &amp; 'Ext Nontradable'!$AZ$23 &amp; CJ$9),"")</f>
        <v>0</v>
      </c>
      <c r="CK25" s="700">
        <f ca="1">IF(INDIRECT("'Ext Nontradable'!$B" &amp; CK$9)=$B25,INDIRECT("'Ext Nontradable'!$" &amp; 'Ext Nontradable'!$AZ$23 &amp; CK$9),"")</f>
        <v>0</v>
      </c>
      <c r="CL25" s="700">
        <f ca="1">IF(INDIRECT("'Ext Nontradable'!$B" &amp; CL$9)=$B25,INDIRECT("'Ext Nontradable'!$" &amp; 'Ext Nontradable'!$AZ$23 &amp; CL$9),"")</f>
        <v>0</v>
      </c>
      <c r="CM25" s="700">
        <f ca="1">IF(INDIRECT("'Ext Nontradable'!$B" &amp; CM$9)=$B25,INDIRECT("'Ext Nontradable'!$" &amp; 'Ext Nontradable'!$AZ$23 &amp; CM$9),"")</f>
        <v>0</v>
      </c>
      <c r="CN25" s="700">
        <f ca="1">IF(INDIRECT("'Ext Nontradable'!$B" &amp; CN$9)=$B25,INDIRECT("'Ext Nontradable'!$" &amp; 'Ext Nontradable'!$AZ$23 &amp; CN$9),"")</f>
        <v>0</v>
      </c>
      <c r="CO25" s="700">
        <f ca="1">IF(INDIRECT("'Ext Nontradable'!$B" &amp; CO$9)=$B25,INDIRECT("'Ext Nontradable'!$" &amp; 'Ext Nontradable'!$AZ$23 &amp; CO$9),"")</f>
        <v>0</v>
      </c>
      <c r="CP25" s="700">
        <f ca="1">IF(INDIRECT("'Ext Nontradable'!$B" &amp; CP$9)=$B25,INDIRECT("'Ext Nontradable'!$" &amp; 'Ext Nontradable'!$AZ$23 &amp; CP$9),"")</f>
        <v>0</v>
      </c>
      <c r="CQ25" s="700">
        <f ca="1">IF(INDIRECT("'Ext Nontradable'!$B" &amp; CQ$9)=$B25,INDIRECT("'Ext Nontradable'!$" &amp; 'Ext Nontradable'!$AZ$23 &amp; CQ$9),"")</f>
        <v>0</v>
      </c>
      <c r="CR25" s="702" t="str">
        <f t="shared" ca="1" si="25"/>
        <v>000000000000000000000000000000</v>
      </c>
    </row>
    <row r="26" spans="1:96" ht="60" customHeight="1" x14ac:dyDescent="0.25">
      <c r="A26" s="705">
        <v>17</v>
      </c>
      <c r="B26" s="707" t="str">
        <f>'Ext Area Schedule'!AK32</f>
        <v/>
      </c>
      <c r="C26" s="707" t="str">
        <f>VLOOKUP($B26,'Ext Area Schedule'!$AK$16:$AO$65,3,FALSE)</f>
        <v/>
      </c>
      <c r="D26" s="792" t="str">
        <f>VLOOKUP($B26,'Ext Area Schedule'!$AK$16:$AO$65,4,FALSE)</f>
        <v/>
      </c>
      <c r="F26" s="792" t="str">
        <f>VLOOKUP($B26,'Ext Area Schedule'!$AK$16:$AO$65,5,FALSE)</f>
        <v/>
      </c>
      <c r="G26" s="792" t="str">
        <f>VLOOKUP($B26,'Ext Area Schedule'!$AK$16:$AO$65,5,FALSE)</f>
        <v/>
      </c>
      <c r="I26" s="703" t="str">
        <f t="shared" si="1"/>
        <v/>
      </c>
      <c r="K26" s="703" t="str">
        <f>IF($B26="","",SUMIFS('Ext Nontradable'!$M$26:$M$45,'Ext Nontradable'!$B$26:$B$45,$B26,'Ext Nontradable'!$U$26:$U$45,"New"))</f>
        <v/>
      </c>
      <c r="L26" s="703" t="str">
        <f>IF($B26="","",SUMIFS('Ext Nontradable'!$M$26:$M$45,'Ext Nontradable'!$B$26:$B$45,$B26,'Ext Nontradable'!$U$26:$U$45,""))</f>
        <v/>
      </c>
      <c r="M26" s="703" t="str">
        <f>IF($B26="","",SUMIFS('Ext Nontradable'!$K$26:$K$45,'Ext Nontradable'!$B$26:$B$45,$B26,'Ext Nontradable'!$U$26:$U$45,"New")+SUMIFS('Ext Nontradable'!$K$26:$K$45,'Ext Nontradable'!$B$26:$B$45,$B26,'Ext Nontradable'!$U$26:$U$45,""))</f>
        <v/>
      </c>
      <c r="N26" s="703" t="str">
        <f>IF($B26="","",SUMIFS('Ext Nontradable'!$M$26:$M$45,'Ext Nontradable'!$B$26:$B$45,$B26,'Ext Nontradable'!$U$26:$U$45,"Existing Remains"))</f>
        <v/>
      </c>
      <c r="O26" s="703" t="str">
        <f>IF($B26="","",SUMIFS('Ext Nontradable'!$M$26:$M$45,'Ext Nontradable'!$B$26:$B$45,$B26,'Ext Nontradable'!$U$26:$U$45,"Existing Removed"))</f>
        <v/>
      </c>
      <c r="P26" s="703" t="str">
        <f>IF($B26="","",SUMIFS('Ext Nontradable'!$K$26:$K$45,'Ext Nontradable'!$B$26:$B$45,$B26,'Ext Nontradable'!$U$26:$U$45,"Existing Removed"))</f>
        <v/>
      </c>
      <c r="Q26" s="703" t="str">
        <f t="shared" si="2"/>
        <v/>
      </c>
      <c r="R26" s="703" t="str">
        <f t="shared" si="7"/>
        <v/>
      </c>
      <c r="S26" s="703">
        <f t="shared" si="8"/>
        <v>0</v>
      </c>
      <c r="T26" s="954">
        <f t="shared" si="20"/>
        <v>0</v>
      </c>
      <c r="U26" s="954">
        <f t="shared" si="21"/>
        <v>0</v>
      </c>
      <c r="V26" s="1115" t="str">
        <f t="shared" si="22"/>
        <v/>
      </c>
      <c r="W26" s="712" t="str">
        <f t="shared" si="23"/>
        <v/>
      </c>
      <c r="X26" s="857"/>
      <c r="Y26" s="720" t="str">
        <f t="shared" si="24"/>
        <v/>
      </c>
      <c r="Z26" s="721" t="str">
        <f t="shared" si="9"/>
        <v/>
      </c>
      <c r="AA26" s="721" t="str">
        <f t="shared" si="10"/>
        <v/>
      </c>
      <c r="AB26" s="719" t="str">
        <f t="shared" si="4"/>
        <v/>
      </c>
      <c r="AC26" s="857"/>
      <c r="AD26" s="717" t="str">
        <f t="shared" si="11"/>
        <v/>
      </c>
      <c r="AE26" s="718" t="str">
        <f t="shared" si="12"/>
        <v/>
      </c>
      <c r="AF26" s="719" t="str">
        <f t="shared" si="5"/>
        <v/>
      </c>
      <c r="AG26" s="726"/>
      <c r="AH26" s="727" t="str">
        <f t="shared" si="13"/>
        <v/>
      </c>
      <c r="AI26" s="703" t="str">
        <f t="shared" si="14"/>
        <v/>
      </c>
      <c r="AJ26" s="703" t="str">
        <f t="shared" si="15"/>
        <v/>
      </c>
      <c r="AL26" s="1075" t="str">
        <f t="shared" si="16"/>
        <v/>
      </c>
      <c r="AM26" s="855" t="str">
        <f t="shared" si="18"/>
        <v/>
      </c>
      <c r="AN26" s="707" t="str">
        <f>IF(OR(AL26="Fail",AL26="Fail LPA",AL26=""),"",IF(AM26&lt;&gt;"#1",VLOOKUP(C26,'9.4.3 Tables'!B$156:O$164,14,FALSE),"No NEW controls required"))</f>
        <v/>
      </c>
      <c r="AO26" s="703">
        <f t="shared" si="19"/>
        <v>0</v>
      </c>
      <c r="AR26">
        <v>17</v>
      </c>
      <c r="AS26" s="15" t="str">
        <f t="shared" si="17"/>
        <v/>
      </c>
      <c r="AT26" s="700" t="str">
        <f ca="1">IF(INDIRECT("'Ext Nontradable'!$B" &amp; AT$9)=$B26,INDIRECT("'Ext Nontradable'!$" &amp; 'Ext Nontradable'!$AZ$23 &amp; AT$9),"")</f>
        <v/>
      </c>
      <c r="AU26" s="700" t="str">
        <f ca="1">IF(INDIRECT("'Ext Nontradable'!$B" &amp; AU$9)=$B26,INDIRECT("'Ext Nontradable'!$" &amp; 'Ext Nontradable'!$AZ$23 &amp; AU$9),"")</f>
        <v/>
      </c>
      <c r="AV26" s="700" t="str">
        <f ca="1">IF(INDIRECT("'Ext Nontradable'!$B" &amp; AV$9)=$B26,INDIRECT("'Ext Nontradable'!$" &amp; 'Ext Nontradable'!$AZ$23 &amp; AV$9),"")</f>
        <v/>
      </c>
      <c r="AW26" s="700" t="str">
        <f ca="1">IF(INDIRECT("'Ext Nontradable'!$B" &amp; AW$9)=$B26,INDIRECT("'Ext Nontradable'!$" &amp; 'Ext Nontradable'!$AZ$23 &amp; AW$9),"")</f>
        <v/>
      </c>
      <c r="AX26" s="700" t="str">
        <f ca="1">IF(INDIRECT("'Ext Nontradable'!$B" &amp; AX$9)=$B26,INDIRECT("'Ext Nontradable'!$" &amp; 'Ext Nontradable'!$AZ$23 &amp; AX$9),"")</f>
        <v/>
      </c>
      <c r="AY26" s="700" t="str">
        <f ca="1">IF(INDIRECT("'Ext Nontradable'!$B" &amp; AY$9)=$B26,INDIRECT("'Ext Nontradable'!$" &amp; 'Ext Nontradable'!$AZ$23 &amp; AY$9),"")</f>
        <v/>
      </c>
      <c r="AZ26" s="700" t="str">
        <f ca="1">IF(INDIRECT("'Ext Nontradable'!$B" &amp; AZ$9)=$B26,INDIRECT("'Ext Nontradable'!$" &amp; 'Ext Nontradable'!$AZ$23 &amp; AZ$9),"")</f>
        <v/>
      </c>
      <c r="BA26" s="700" t="str">
        <f ca="1">IF(INDIRECT("'Ext Nontradable'!$B" &amp; BA$9)=$B26,INDIRECT("'Ext Nontradable'!$" &amp; 'Ext Nontradable'!$AZ$23 &amp; BA$9),"")</f>
        <v/>
      </c>
      <c r="BB26" s="700" t="str">
        <f ca="1">IF(INDIRECT("'Ext Nontradable'!$B" &amp; BB$9)=$B26,INDIRECT("'Ext Nontradable'!$" &amp; 'Ext Nontradable'!$AZ$23 &amp; BB$9),"")</f>
        <v/>
      </c>
      <c r="BC26" s="700" t="str">
        <f ca="1">IF(INDIRECT("'Ext Nontradable'!$B" &amp; BC$9)=$B26,INDIRECT("'Ext Nontradable'!$" &amp; 'Ext Nontradable'!$AZ$23 &amp; BC$9),"")</f>
        <v/>
      </c>
      <c r="BD26" s="700" t="str">
        <f ca="1">IF(INDIRECT("'Ext Nontradable'!$B" &amp; BD$9)=$B26,INDIRECT("'Ext Nontradable'!$" &amp; 'Ext Nontradable'!$AZ$23 &amp; BD$9),"")</f>
        <v/>
      </c>
      <c r="BE26" s="700" t="str">
        <f ca="1">IF(INDIRECT("'Ext Nontradable'!$B" &amp; BE$9)=$B26,INDIRECT("'Ext Nontradable'!$" &amp; 'Ext Nontradable'!$AZ$23 &amp; BE$9),"")</f>
        <v/>
      </c>
      <c r="BF26" s="700" t="str">
        <f ca="1">IF(INDIRECT("'Ext Nontradable'!$B" &amp; BF$9)=$B26,INDIRECT("'Ext Nontradable'!$" &amp; 'Ext Nontradable'!$AZ$23 &amp; BF$9),"")</f>
        <v/>
      </c>
      <c r="BG26" s="700" t="str">
        <f ca="1">IF(INDIRECT("'Ext Nontradable'!$B" &amp; BG$9)=$B26,INDIRECT("'Ext Nontradable'!$" &amp; 'Ext Nontradable'!$AZ$23 &amp; BG$9),"")</f>
        <v/>
      </c>
      <c r="BH26" s="700" t="str">
        <f ca="1">IF(INDIRECT("'Ext Nontradable'!$B" &amp; BH$9)=$B26,INDIRECT("'Ext Nontradable'!$" &amp; 'Ext Nontradable'!$AZ$23 &amp; BH$9),"")</f>
        <v/>
      </c>
      <c r="BI26" s="700" t="str">
        <f ca="1">IF(INDIRECT("'Ext Nontradable'!$B" &amp; BI$9)=$B26,INDIRECT("'Ext Nontradable'!$" &amp; 'Ext Nontradable'!$AZ$23 &amp; BI$9),"")</f>
        <v/>
      </c>
      <c r="BJ26" s="700" t="str">
        <f ca="1">IF(INDIRECT("'Ext Nontradable'!$B" &amp; BJ$9)=$B26,INDIRECT("'Ext Nontradable'!$" &amp; 'Ext Nontradable'!$AZ$23 &amp; BJ$9),"")</f>
        <v/>
      </c>
      <c r="BK26" s="700" t="str">
        <f ca="1">IF(INDIRECT("'Ext Nontradable'!$B" &amp; BK$9)=$B26,INDIRECT("'Ext Nontradable'!$" &amp; 'Ext Nontradable'!$AZ$23 &amp; BK$9),"")</f>
        <v/>
      </c>
      <c r="BL26" s="700" t="str">
        <f ca="1">IF(INDIRECT("'Ext Nontradable'!$B" &amp; BL$9)=$B26,INDIRECT("'Ext Nontradable'!$" &amp; 'Ext Nontradable'!$AZ$23 &amp; BL$9),"")</f>
        <v/>
      </c>
      <c r="BM26" s="700" t="str">
        <f ca="1">IF(INDIRECT("'Ext Nontradable'!$B" &amp; BM$9)=$B26,INDIRECT("'Ext Nontradable'!$" &amp; 'Ext Nontradable'!$AZ$23 &amp; BM$9),"")</f>
        <v/>
      </c>
      <c r="BN26" s="700">
        <f ca="1">IF(INDIRECT("'Ext Nontradable'!$B" &amp; BN$9)=$B26,INDIRECT("'Ext Nontradable'!$" &amp; 'Ext Nontradable'!$AZ$23 &amp; BN$9),"")</f>
        <v>0</v>
      </c>
      <c r="BO26" s="700">
        <f ca="1">IF(INDIRECT("'Ext Nontradable'!$B" &amp; BO$9)=$B26,INDIRECT("'Ext Nontradable'!$" &amp; 'Ext Nontradable'!$AZ$23 &amp; BO$9),"")</f>
        <v>0</v>
      </c>
      <c r="BP26" s="700">
        <f ca="1">IF(INDIRECT("'Ext Nontradable'!$B" &amp; BP$9)=$B26,INDIRECT("'Ext Nontradable'!$" &amp; 'Ext Nontradable'!$AZ$23 &amp; BP$9),"")</f>
        <v>0</v>
      </c>
      <c r="BQ26" s="700">
        <f ca="1">IF(INDIRECT("'Ext Nontradable'!$B" &amp; BQ$9)=$B26,INDIRECT("'Ext Nontradable'!$" &amp; 'Ext Nontradable'!$AZ$23 &amp; BQ$9),"")</f>
        <v>0</v>
      </c>
      <c r="BR26" s="700">
        <f ca="1">IF(INDIRECT("'Ext Nontradable'!$B" &amp; BR$9)=$B26,INDIRECT("'Ext Nontradable'!$" &amp; 'Ext Nontradable'!$AZ$23 &amp; BR$9),"")</f>
        <v>0</v>
      </c>
      <c r="BS26" s="700">
        <f ca="1">IF(INDIRECT("'Ext Nontradable'!$B" &amp; BS$9)=$B26,INDIRECT("'Ext Nontradable'!$" &amp; 'Ext Nontradable'!$AZ$23 &amp; BS$9),"")</f>
        <v>0</v>
      </c>
      <c r="BT26" s="700">
        <f ca="1">IF(INDIRECT("'Ext Nontradable'!$B" &amp; BT$9)=$B26,INDIRECT("'Ext Nontradable'!$" &amp; 'Ext Nontradable'!$AZ$23 &amp; BT$9),"")</f>
        <v>0</v>
      </c>
      <c r="BU26" s="700">
        <f ca="1">IF(INDIRECT("'Ext Nontradable'!$B" &amp; BU$9)=$B26,INDIRECT("'Ext Nontradable'!$" &amp; 'Ext Nontradable'!$AZ$23 &amp; BU$9),"")</f>
        <v>0</v>
      </c>
      <c r="BV26" s="700">
        <f ca="1">IF(INDIRECT("'Ext Nontradable'!$B" &amp; BV$9)=$B26,INDIRECT("'Ext Nontradable'!$" &amp; 'Ext Nontradable'!$AZ$23 &amp; BV$9),"")</f>
        <v>0</v>
      </c>
      <c r="BW26" s="700">
        <f ca="1">IF(INDIRECT("'Ext Nontradable'!$B" &amp; BW$9)=$B26,INDIRECT("'Ext Nontradable'!$" &amp; 'Ext Nontradable'!$AZ$23 &amp; BW$9),"")</f>
        <v>0</v>
      </c>
      <c r="BX26" s="700">
        <f ca="1">IF(INDIRECT("'Ext Nontradable'!$B" &amp; BX$9)=$B26,INDIRECT("'Ext Nontradable'!$" &amp; 'Ext Nontradable'!$AZ$23 &amp; BX$9),"")</f>
        <v>0</v>
      </c>
      <c r="BY26" s="700">
        <f ca="1">IF(INDIRECT("'Ext Nontradable'!$B" &amp; BY$9)=$B26,INDIRECT("'Ext Nontradable'!$" &amp; 'Ext Nontradable'!$AZ$23 &amp; BY$9),"")</f>
        <v>0</v>
      </c>
      <c r="BZ26" s="700">
        <f ca="1">IF(INDIRECT("'Ext Nontradable'!$B" &amp; BZ$9)=$B26,INDIRECT("'Ext Nontradable'!$" &amp; 'Ext Nontradable'!$AZ$23 &amp; BZ$9),"")</f>
        <v>0</v>
      </c>
      <c r="CA26" s="700">
        <f ca="1">IF(INDIRECT("'Ext Nontradable'!$B" &amp; CA$9)=$B26,INDIRECT("'Ext Nontradable'!$" &amp; 'Ext Nontradable'!$AZ$23 &amp; CA$9),"")</f>
        <v>0</v>
      </c>
      <c r="CB26" s="700">
        <f ca="1">IF(INDIRECT("'Ext Nontradable'!$B" &amp; CB$9)=$B26,INDIRECT("'Ext Nontradable'!$" &amp; 'Ext Nontradable'!$AZ$23 &amp; CB$9),"")</f>
        <v>0</v>
      </c>
      <c r="CC26" s="700">
        <f ca="1">IF(INDIRECT("'Ext Nontradable'!$B" &amp; CC$9)=$B26,INDIRECT("'Ext Nontradable'!$" &amp; 'Ext Nontradable'!$AZ$23 &amp; CC$9),"")</f>
        <v>0</v>
      </c>
      <c r="CD26" s="700">
        <f ca="1">IF(INDIRECT("'Ext Nontradable'!$B" &amp; CD$9)=$B26,INDIRECT("'Ext Nontradable'!$" &amp; 'Ext Nontradable'!$AZ$23 &amp; CD$9),"")</f>
        <v>0</v>
      </c>
      <c r="CE26" s="700">
        <f ca="1">IF(INDIRECT("'Ext Nontradable'!$B" &amp; CE$9)=$B26,INDIRECT("'Ext Nontradable'!$" &amp; 'Ext Nontradable'!$AZ$23 &amp; CE$9),"")</f>
        <v>0</v>
      </c>
      <c r="CF26" s="700">
        <f ca="1">IF(INDIRECT("'Ext Nontradable'!$B" &amp; CF$9)=$B26,INDIRECT("'Ext Nontradable'!$" &amp; 'Ext Nontradable'!$AZ$23 &amp; CF$9),"")</f>
        <v>0</v>
      </c>
      <c r="CG26" s="700">
        <f ca="1">IF(INDIRECT("'Ext Nontradable'!$B" &amp; CG$9)=$B26,INDIRECT("'Ext Nontradable'!$" &amp; 'Ext Nontradable'!$AZ$23 &amp; CG$9),"")</f>
        <v>0</v>
      </c>
      <c r="CH26" s="700">
        <f ca="1">IF(INDIRECT("'Ext Nontradable'!$B" &amp; CH$9)=$B26,INDIRECT("'Ext Nontradable'!$" &amp; 'Ext Nontradable'!$AZ$23 &amp; CH$9),"")</f>
        <v>0</v>
      </c>
      <c r="CI26" s="700">
        <f ca="1">IF(INDIRECT("'Ext Nontradable'!$B" &amp; CI$9)=$B26,INDIRECT("'Ext Nontradable'!$" &amp; 'Ext Nontradable'!$AZ$23 &amp; CI$9),"")</f>
        <v>0</v>
      </c>
      <c r="CJ26" s="700">
        <f ca="1">IF(INDIRECT("'Ext Nontradable'!$B" &amp; CJ$9)=$B26,INDIRECT("'Ext Nontradable'!$" &amp; 'Ext Nontradable'!$AZ$23 &amp; CJ$9),"")</f>
        <v>0</v>
      </c>
      <c r="CK26" s="700">
        <f ca="1">IF(INDIRECT("'Ext Nontradable'!$B" &amp; CK$9)=$B26,INDIRECT("'Ext Nontradable'!$" &amp; 'Ext Nontradable'!$AZ$23 &amp; CK$9),"")</f>
        <v>0</v>
      </c>
      <c r="CL26" s="700">
        <f ca="1">IF(INDIRECT("'Ext Nontradable'!$B" &amp; CL$9)=$B26,INDIRECT("'Ext Nontradable'!$" &amp; 'Ext Nontradable'!$AZ$23 &amp; CL$9),"")</f>
        <v>0</v>
      </c>
      <c r="CM26" s="700">
        <f ca="1">IF(INDIRECT("'Ext Nontradable'!$B" &amp; CM$9)=$B26,INDIRECT("'Ext Nontradable'!$" &amp; 'Ext Nontradable'!$AZ$23 &amp; CM$9),"")</f>
        <v>0</v>
      </c>
      <c r="CN26" s="700">
        <f ca="1">IF(INDIRECT("'Ext Nontradable'!$B" &amp; CN$9)=$B26,INDIRECT("'Ext Nontradable'!$" &amp; 'Ext Nontradable'!$AZ$23 &amp; CN$9),"")</f>
        <v>0</v>
      </c>
      <c r="CO26" s="700">
        <f ca="1">IF(INDIRECT("'Ext Nontradable'!$B" &amp; CO$9)=$B26,INDIRECT("'Ext Nontradable'!$" &amp; 'Ext Nontradable'!$AZ$23 &amp; CO$9),"")</f>
        <v>0</v>
      </c>
      <c r="CP26" s="700">
        <f ca="1">IF(INDIRECT("'Ext Nontradable'!$B" &amp; CP$9)=$B26,INDIRECT("'Ext Nontradable'!$" &amp; 'Ext Nontradable'!$AZ$23 &amp; CP$9),"")</f>
        <v>0</v>
      </c>
      <c r="CQ26" s="700">
        <f ca="1">IF(INDIRECT("'Ext Nontradable'!$B" &amp; CQ$9)=$B26,INDIRECT("'Ext Nontradable'!$" &amp; 'Ext Nontradable'!$AZ$23 &amp; CQ$9),"")</f>
        <v>0</v>
      </c>
      <c r="CR26" s="702" t="str">
        <f t="shared" ca="1" si="25"/>
        <v>000000000000000000000000000000</v>
      </c>
    </row>
    <row r="27" spans="1:96" ht="60" customHeight="1" x14ac:dyDescent="0.25">
      <c r="A27" s="705">
        <v>18</v>
      </c>
      <c r="B27" s="707" t="str">
        <f>'Ext Area Schedule'!AK33</f>
        <v/>
      </c>
      <c r="C27" s="707" t="str">
        <f>VLOOKUP($B27,'Ext Area Schedule'!$AK$16:$AO$65,3,FALSE)</f>
        <v/>
      </c>
      <c r="D27" s="792" t="str">
        <f>VLOOKUP($B27,'Ext Area Schedule'!$AK$16:$AO$65,4,FALSE)</f>
        <v/>
      </c>
      <c r="F27" s="792" t="str">
        <f>VLOOKUP($B27,'Ext Area Schedule'!$AK$16:$AO$65,5,FALSE)</f>
        <v/>
      </c>
      <c r="G27" s="792" t="str">
        <f>VLOOKUP($B27,'Ext Area Schedule'!$AK$16:$AO$65,5,FALSE)</f>
        <v/>
      </c>
      <c r="I27" s="703" t="str">
        <f t="shared" si="1"/>
        <v/>
      </c>
      <c r="K27" s="703" t="str">
        <f>IF($B27="","",SUMIFS('Ext Nontradable'!$M$26:$M$45,'Ext Nontradable'!$B$26:$B$45,$B27,'Ext Nontradable'!$U$26:$U$45,"New"))</f>
        <v/>
      </c>
      <c r="L27" s="703" t="str">
        <f>IF($B27="","",SUMIFS('Ext Nontradable'!$M$26:$M$45,'Ext Nontradable'!$B$26:$B$45,$B27,'Ext Nontradable'!$U$26:$U$45,""))</f>
        <v/>
      </c>
      <c r="M27" s="703" t="str">
        <f>IF($B27="","",SUMIFS('Ext Nontradable'!$K$26:$K$45,'Ext Nontradable'!$B$26:$B$45,$B27,'Ext Nontradable'!$U$26:$U$45,"New")+SUMIFS('Ext Nontradable'!$K$26:$K$45,'Ext Nontradable'!$B$26:$B$45,$B27,'Ext Nontradable'!$U$26:$U$45,""))</f>
        <v/>
      </c>
      <c r="N27" s="703" t="str">
        <f>IF($B27="","",SUMIFS('Ext Nontradable'!$M$26:$M$45,'Ext Nontradable'!$B$26:$B$45,$B27,'Ext Nontradable'!$U$26:$U$45,"Existing Remains"))</f>
        <v/>
      </c>
      <c r="O27" s="703" t="str">
        <f>IF($B27="","",SUMIFS('Ext Nontradable'!$M$26:$M$45,'Ext Nontradable'!$B$26:$B$45,$B27,'Ext Nontradable'!$U$26:$U$45,"Existing Removed"))</f>
        <v/>
      </c>
      <c r="P27" s="703" t="str">
        <f>IF($B27="","",SUMIFS('Ext Nontradable'!$K$26:$K$45,'Ext Nontradable'!$B$26:$B$45,$B27,'Ext Nontradable'!$U$26:$U$45,"Existing Removed"))</f>
        <v/>
      </c>
      <c r="Q27" s="703" t="str">
        <f t="shared" si="2"/>
        <v/>
      </c>
      <c r="R27" s="703" t="str">
        <f t="shared" si="7"/>
        <v/>
      </c>
      <c r="S27" s="703">
        <f t="shared" si="8"/>
        <v>0</v>
      </c>
      <c r="T27" s="954">
        <f t="shared" si="20"/>
        <v>0</v>
      </c>
      <c r="U27" s="954">
        <f t="shared" si="21"/>
        <v>0</v>
      </c>
      <c r="V27" s="1115" t="str">
        <f t="shared" si="22"/>
        <v/>
      </c>
      <c r="W27" s="712" t="str">
        <f t="shared" si="23"/>
        <v/>
      </c>
      <c r="X27" s="857"/>
      <c r="Y27" s="720" t="str">
        <f t="shared" si="24"/>
        <v/>
      </c>
      <c r="Z27" s="721" t="str">
        <f t="shared" si="9"/>
        <v/>
      </c>
      <c r="AA27" s="721" t="str">
        <f t="shared" si="10"/>
        <v/>
      </c>
      <c r="AB27" s="719" t="str">
        <f t="shared" si="4"/>
        <v/>
      </c>
      <c r="AC27" s="857"/>
      <c r="AD27" s="717" t="str">
        <f t="shared" si="11"/>
        <v/>
      </c>
      <c r="AE27" s="718" t="str">
        <f t="shared" si="12"/>
        <v/>
      </c>
      <c r="AF27" s="719" t="str">
        <f t="shared" si="5"/>
        <v/>
      </c>
      <c r="AG27" s="726"/>
      <c r="AH27" s="727" t="str">
        <f t="shared" si="13"/>
        <v/>
      </c>
      <c r="AI27" s="703" t="str">
        <f t="shared" si="14"/>
        <v/>
      </c>
      <c r="AJ27" s="703" t="str">
        <f t="shared" si="15"/>
        <v/>
      </c>
      <c r="AL27" s="1075" t="str">
        <f t="shared" si="16"/>
        <v/>
      </c>
      <c r="AM27" s="855" t="str">
        <f t="shared" si="18"/>
        <v/>
      </c>
      <c r="AN27" s="707" t="str">
        <f>IF(OR(AL27="Fail",AL27="Fail LPA",AL27=""),"",IF(AM27&lt;&gt;"#1",VLOOKUP(C27,'9.4.3 Tables'!B$156:O$164,14,FALSE),"No NEW controls required"))</f>
        <v/>
      </c>
      <c r="AO27" s="703">
        <f t="shared" si="19"/>
        <v>0</v>
      </c>
      <c r="AR27">
        <v>18</v>
      </c>
      <c r="AS27" s="15" t="str">
        <f t="shared" si="17"/>
        <v/>
      </c>
      <c r="AT27" s="700" t="str">
        <f ca="1">IF(INDIRECT("'Ext Nontradable'!$B" &amp; AT$9)=$B27,INDIRECT("'Ext Nontradable'!$" &amp; 'Ext Nontradable'!$AZ$23 &amp; AT$9),"")</f>
        <v/>
      </c>
      <c r="AU27" s="700" t="str">
        <f ca="1">IF(INDIRECT("'Ext Nontradable'!$B" &amp; AU$9)=$B27,INDIRECT("'Ext Nontradable'!$" &amp; 'Ext Nontradable'!$AZ$23 &amp; AU$9),"")</f>
        <v/>
      </c>
      <c r="AV27" s="700" t="str">
        <f ca="1">IF(INDIRECT("'Ext Nontradable'!$B" &amp; AV$9)=$B27,INDIRECT("'Ext Nontradable'!$" &amp; 'Ext Nontradable'!$AZ$23 &amp; AV$9),"")</f>
        <v/>
      </c>
      <c r="AW27" s="700" t="str">
        <f ca="1">IF(INDIRECT("'Ext Nontradable'!$B" &amp; AW$9)=$B27,INDIRECT("'Ext Nontradable'!$" &amp; 'Ext Nontradable'!$AZ$23 &amp; AW$9),"")</f>
        <v/>
      </c>
      <c r="AX27" s="700" t="str">
        <f ca="1">IF(INDIRECT("'Ext Nontradable'!$B" &amp; AX$9)=$B27,INDIRECT("'Ext Nontradable'!$" &amp; 'Ext Nontradable'!$AZ$23 &amp; AX$9),"")</f>
        <v/>
      </c>
      <c r="AY27" s="700" t="str">
        <f ca="1">IF(INDIRECT("'Ext Nontradable'!$B" &amp; AY$9)=$B27,INDIRECT("'Ext Nontradable'!$" &amp; 'Ext Nontradable'!$AZ$23 &amp; AY$9),"")</f>
        <v/>
      </c>
      <c r="AZ27" s="700" t="str">
        <f ca="1">IF(INDIRECT("'Ext Nontradable'!$B" &amp; AZ$9)=$B27,INDIRECT("'Ext Nontradable'!$" &amp; 'Ext Nontradable'!$AZ$23 &amp; AZ$9),"")</f>
        <v/>
      </c>
      <c r="BA27" s="700" t="str">
        <f ca="1">IF(INDIRECT("'Ext Nontradable'!$B" &amp; BA$9)=$B27,INDIRECT("'Ext Nontradable'!$" &amp; 'Ext Nontradable'!$AZ$23 &amp; BA$9),"")</f>
        <v/>
      </c>
      <c r="BB27" s="700" t="str">
        <f ca="1">IF(INDIRECT("'Ext Nontradable'!$B" &amp; BB$9)=$B27,INDIRECT("'Ext Nontradable'!$" &amp; 'Ext Nontradable'!$AZ$23 &amp; BB$9),"")</f>
        <v/>
      </c>
      <c r="BC27" s="700" t="str">
        <f ca="1">IF(INDIRECT("'Ext Nontradable'!$B" &amp; BC$9)=$B27,INDIRECT("'Ext Nontradable'!$" &amp; 'Ext Nontradable'!$AZ$23 &amp; BC$9),"")</f>
        <v/>
      </c>
      <c r="BD27" s="700" t="str">
        <f ca="1">IF(INDIRECT("'Ext Nontradable'!$B" &amp; BD$9)=$B27,INDIRECT("'Ext Nontradable'!$" &amp; 'Ext Nontradable'!$AZ$23 &amp; BD$9),"")</f>
        <v/>
      </c>
      <c r="BE27" s="700" t="str">
        <f ca="1">IF(INDIRECT("'Ext Nontradable'!$B" &amp; BE$9)=$B27,INDIRECT("'Ext Nontradable'!$" &amp; 'Ext Nontradable'!$AZ$23 &amp; BE$9),"")</f>
        <v/>
      </c>
      <c r="BF27" s="700" t="str">
        <f ca="1">IF(INDIRECT("'Ext Nontradable'!$B" &amp; BF$9)=$B27,INDIRECT("'Ext Nontradable'!$" &amp; 'Ext Nontradable'!$AZ$23 &amp; BF$9),"")</f>
        <v/>
      </c>
      <c r="BG27" s="700" t="str">
        <f ca="1">IF(INDIRECT("'Ext Nontradable'!$B" &amp; BG$9)=$B27,INDIRECT("'Ext Nontradable'!$" &amp; 'Ext Nontradable'!$AZ$23 &amp; BG$9),"")</f>
        <v/>
      </c>
      <c r="BH27" s="700" t="str">
        <f ca="1">IF(INDIRECT("'Ext Nontradable'!$B" &amp; BH$9)=$B27,INDIRECT("'Ext Nontradable'!$" &amp; 'Ext Nontradable'!$AZ$23 &amp; BH$9),"")</f>
        <v/>
      </c>
      <c r="BI27" s="700" t="str">
        <f ca="1">IF(INDIRECT("'Ext Nontradable'!$B" &amp; BI$9)=$B27,INDIRECT("'Ext Nontradable'!$" &amp; 'Ext Nontradable'!$AZ$23 &amp; BI$9),"")</f>
        <v/>
      </c>
      <c r="BJ27" s="700" t="str">
        <f ca="1">IF(INDIRECT("'Ext Nontradable'!$B" &amp; BJ$9)=$B27,INDIRECT("'Ext Nontradable'!$" &amp; 'Ext Nontradable'!$AZ$23 &amp; BJ$9),"")</f>
        <v/>
      </c>
      <c r="BK27" s="700" t="str">
        <f ca="1">IF(INDIRECT("'Ext Nontradable'!$B" &amp; BK$9)=$B27,INDIRECT("'Ext Nontradable'!$" &amp; 'Ext Nontradable'!$AZ$23 &amp; BK$9),"")</f>
        <v/>
      </c>
      <c r="BL27" s="700" t="str">
        <f ca="1">IF(INDIRECT("'Ext Nontradable'!$B" &amp; BL$9)=$B27,INDIRECT("'Ext Nontradable'!$" &amp; 'Ext Nontradable'!$AZ$23 &amp; BL$9),"")</f>
        <v/>
      </c>
      <c r="BM27" s="700" t="str">
        <f ca="1">IF(INDIRECT("'Ext Nontradable'!$B" &amp; BM$9)=$B27,INDIRECT("'Ext Nontradable'!$" &amp; 'Ext Nontradable'!$AZ$23 &amp; BM$9),"")</f>
        <v/>
      </c>
      <c r="BN27" s="700">
        <f ca="1">IF(INDIRECT("'Ext Nontradable'!$B" &amp; BN$9)=$B27,INDIRECT("'Ext Nontradable'!$" &amp; 'Ext Nontradable'!$AZ$23 &amp; BN$9),"")</f>
        <v>0</v>
      </c>
      <c r="BO27" s="700">
        <f ca="1">IF(INDIRECT("'Ext Nontradable'!$B" &amp; BO$9)=$B27,INDIRECT("'Ext Nontradable'!$" &amp; 'Ext Nontradable'!$AZ$23 &amp; BO$9),"")</f>
        <v>0</v>
      </c>
      <c r="BP27" s="700">
        <f ca="1">IF(INDIRECT("'Ext Nontradable'!$B" &amp; BP$9)=$B27,INDIRECT("'Ext Nontradable'!$" &amp; 'Ext Nontradable'!$AZ$23 &amp; BP$9),"")</f>
        <v>0</v>
      </c>
      <c r="BQ27" s="700">
        <f ca="1">IF(INDIRECT("'Ext Nontradable'!$B" &amp; BQ$9)=$B27,INDIRECT("'Ext Nontradable'!$" &amp; 'Ext Nontradable'!$AZ$23 &amp; BQ$9),"")</f>
        <v>0</v>
      </c>
      <c r="BR27" s="700">
        <f ca="1">IF(INDIRECT("'Ext Nontradable'!$B" &amp; BR$9)=$B27,INDIRECT("'Ext Nontradable'!$" &amp; 'Ext Nontradable'!$AZ$23 &amp; BR$9),"")</f>
        <v>0</v>
      </c>
      <c r="BS27" s="700">
        <f ca="1">IF(INDIRECT("'Ext Nontradable'!$B" &amp; BS$9)=$B27,INDIRECT("'Ext Nontradable'!$" &amp; 'Ext Nontradable'!$AZ$23 &amp; BS$9),"")</f>
        <v>0</v>
      </c>
      <c r="BT27" s="700">
        <f ca="1">IF(INDIRECT("'Ext Nontradable'!$B" &amp; BT$9)=$B27,INDIRECT("'Ext Nontradable'!$" &amp; 'Ext Nontradable'!$AZ$23 &amp; BT$9),"")</f>
        <v>0</v>
      </c>
      <c r="BU27" s="700">
        <f ca="1">IF(INDIRECT("'Ext Nontradable'!$B" &amp; BU$9)=$B27,INDIRECT("'Ext Nontradable'!$" &amp; 'Ext Nontradable'!$AZ$23 &amp; BU$9),"")</f>
        <v>0</v>
      </c>
      <c r="BV27" s="700">
        <f ca="1">IF(INDIRECT("'Ext Nontradable'!$B" &amp; BV$9)=$B27,INDIRECT("'Ext Nontradable'!$" &amp; 'Ext Nontradable'!$AZ$23 &amp; BV$9),"")</f>
        <v>0</v>
      </c>
      <c r="BW27" s="700">
        <f ca="1">IF(INDIRECT("'Ext Nontradable'!$B" &amp; BW$9)=$B27,INDIRECT("'Ext Nontradable'!$" &amp; 'Ext Nontradable'!$AZ$23 &amp; BW$9),"")</f>
        <v>0</v>
      </c>
      <c r="BX27" s="700">
        <f ca="1">IF(INDIRECT("'Ext Nontradable'!$B" &amp; BX$9)=$B27,INDIRECT("'Ext Nontradable'!$" &amp; 'Ext Nontradable'!$AZ$23 &amp; BX$9),"")</f>
        <v>0</v>
      </c>
      <c r="BY27" s="700">
        <f ca="1">IF(INDIRECT("'Ext Nontradable'!$B" &amp; BY$9)=$B27,INDIRECT("'Ext Nontradable'!$" &amp; 'Ext Nontradable'!$AZ$23 &amp; BY$9),"")</f>
        <v>0</v>
      </c>
      <c r="BZ27" s="700">
        <f ca="1">IF(INDIRECT("'Ext Nontradable'!$B" &amp; BZ$9)=$B27,INDIRECT("'Ext Nontradable'!$" &amp; 'Ext Nontradable'!$AZ$23 &amp; BZ$9),"")</f>
        <v>0</v>
      </c>
      <c r="CA27" s="700">
        <f ca="1">IF(INDIRECT("'Ext Nontradable'!$B" &amp; CA$9)=$B27,INDIRECT("'Ext Nontradable'!$" &amp; 'Ext Nontradable'!$AZ$23 &amp; CA$9),"")</f>
        <v>0</v>
      </c>
      <c r="CB27" s="700">
        <f ca="1">IF(INDIRECT("'Ext Nontradable'!$B" &amp; CB$9)=$B27,INDIRECT("'Ext Nontradable'!$" &amp; 'Ext Nontradable'!$AZ$23 &amp; CB$9),"")</f>
        <v>0</v>
      </c>
      <c r="CC27" s="700">
        <f ca="1">IF(INDIRECT("'Ext Nontradable'!$B" &amp; CC$9)=$B27,INDIRECT("'Ext Nontradable'!$" &amp; 'Ext Nontradable'!$AZ$23 &amp; CC$9),"")</f>
        <v>0</v>
      </c>
      <c r="CD27" s="700">
        <f ca="1">IF(INDIRECT("'Ext Nontradable'!$B" &amp; CD$9)=$B27,INDIRECT("'Ext Nontradable'!$" &amp; 'Ext Nontradable'!$AZ$23 &amp; CD$9),"")</f>
        <v>0</v>
      </c>
      <c r="CE27" s="700">
        <f ca="1">IF(INDIRECT("'Ext Nontradable'!$B" &amp; CE$9)=$B27,INDIRECT("'Ext Nontradable'!$" &amp; 'Ext Nontradable'!$AZ$23 &amp; CE$9),"")</f>
        <v>0</v>
      </c>
      <c r="CF27" s="700">
        <f ca="1">IF(INDIRECT("'Ext Nontradable'!$B" &amp; CF$9)=$B27,INDIRECT("'Ext Nontradable'!$" &amp; 'Ext Nontradable'!$AZ$23 &amp; CF$9),"")</f>
        <v>0</v>
      </c>
      <c r="CG27" s="700">
        <f ca="1">IF(INDIRECT("'Ext Nontradable'!$B" &amp; CG$9)=$B27,INDIRECT("'Ext Nontradable'!$" &amp; 'Ext Nontradable'!$AZ$23 &amp; CG$9),"")</f>
        <v>0</v>
      </c>
      <c r="CH27" s="700">
        <f ca="1">IF(INDIRECT("'Ext Nontradable'!$B" &amp; CH$9)=$B27,INDIRECT("'Ext Nontradable'!$" &amp; 'Ext Nontradable'!$AZ$23 &amp; CH$9),"")</f>
        <v>0</v>
      </c>
      <c r="CI27" s="700">
        <f ca="1">IF(INDIRECT("'Ext Nontradable'!$B" &amp; CI$9)=$B27,INDIRECT("'Ext Nontradable'!$" &amp; 'Ext Nontradable'!$AZ$23 &amp; CI$9),"")</f>
        <v>0</v>
      </c>
      <c r="CJ27" s="700">
        <f ca="1">IF(INDIRECT("'Ext Nontradable'!$B" &amp; CJ$9)=$B27,INDIRECT("'Ext Nontradable'!$" &amp; 'Ext Nontradable'!$AZ$23 &amp; CJ$9),"")</f>
        <v>0</v>
      </c>
      <c r="CK27" s="700">
        <f ca="1">IF(INDIRECT("'Ext Nontradable'!$B" &amp; CK$9)=$B27,INDIRECT("'Ext Nontradable'!$" &amp; 'Ext Nontradable'!$AZ$23 &amp; CK$9),"")</f>
        <v>0</v>
      </c>
      <c r="CL27" s="700">
        <f ca="1">IF(INDIRECT("'Ext Nontradable'!$B" &amp; CL$9)=$B27,INDIRECT("'Ext Nontradable'!$" &amp; 'Ext Nontradable'!$AZ$23 &amp; CL$9),"")</f>
        <v>0</v>
      </c>
      <c r="CM27" s="700">
        <f ca="1">IF(INDIRECT("'Ext Nontradable'!$B" &amp; CM$9)=$B27,INDIRECT("'Ext Nontradable'!$" &amp; 'Ext Nontradable'!$AZ$23 &amp; CM$9),"")</f>
        <v>0</v>
      </c>
      <c r="CN27" s="700">
        <f ca="1">IF(INDIRECT("'Ext Nontradable'!$B" &amp; CN$9)=$B27,INDIRECT("'Ext Nontradable'!$" &amp; 'Ext Nontradable'!$AZ$23 &amp; CN$9),"")</f>
        <v>0</v>
      </c>
      <c r="CO27" s="700">
        <f ca="1">IF(INDIRECT("'Ext Nontradable'!$B" &amp; CO$9)=$B27,INDIRECT("'Ext Nontradable'!$" &amp; 'Ext Nontradable'!$AZ$23 &amp; CO$9),"")</f>
        <v>0</v>
      </c>
      <c r="CP27" s="700">
        <f ca="1">IF(INDIRECT("'Ext Nontradable'!$B" &amp; CP$9)=$B27,INDIRECT("'Ext Nontradable'!$" &amp; 'Ext Nontradable'!$AZ$23 &amp; CP$9),"")</f>
        <v>0</v>
      </c>
      <c r="CQ27" s="700">
        <f ca="1">IF(INDIRECT("'Ext Nontradable'!$B" &amp; CQ$9)=$B27,INDIRECT("'Ext Nontradable'!$" &amp; 'Ext Nontradable'!$AZ$23 &amp; CQ$9),"")</f>
        <v>0</v>
      </c>
      <c r="CR27" s="702" t="str">
        <f t="shared" ca="1" si="25"/>
        <v>000000000000000000000000000000</v>
      </c>
    </row>
    <row r="28" spans="1:96" ht="60" customHeight="1" x14ac:dyDescent="0.25">
      <c r="A28" s="705">
        <v>19</v>
      </c>
      <c r="B28" s="707" t="str">
        <f>'Ext Area Schedule'!AK34</f>
        <v/>
      </c>
      <c r="C28" s="707" t="str">
        <f>VLOOKUP($B28,'Ext Area Schedule'!$AK$16:$AO$65,3,FALSE)</f>
        <v/>
      </c>
      <c r="D28" s="792" t="str">
        <f>VLOOKUP($B28,'Ext Area Schedule'!$AK$16:$AO$65,4,FALSE)</f>
        <v/>
      </c>
      <c r="F28" s="792" t="str">
        <f>VLOOKUP($B28,'Ext Area Schedule'!$AK$16:$AO$65,5,FALSE)</f>
        <v/>
      </c>
      <c r="G28" s="792" t="str">
        <f>VLOOKUP($B28,'Ext Area Schedule'!$AK$16:$AO$65,5,FALSE)</f>
        <v/>
      </c>
      <c r="I28" s="703" t="str">
        <f t="shared" si="1"/>
        <v/>
      </c>
      <c r="K28" s="703" t="str">
        <f>IF($B28="","",SUMIFS('Ext Nontradable'!$M$26:$M$45,'Ext Nontradable'!$B$26:$B$45,$B28,'Ext Nontradable'!$U$26:$U$45,"New"))</f>
        <v/>
      </c>
      <c r="L28" s="703" t="str">
        <f>IF($B28="","",SUMIFS('Ext Nontradable'!$M$26:$M$45,'Ext Nontradable'!$B$26:$B$45,$B28,'Ext Nontradable'!$U$26:$U$45,""))</f>
        <v/>
      </c>
      <c r="M28" s="703" t="str">
        <f>IF($B28="","",SUMIFS('Ext Nontradable'!$K$26:$K$45,'Ext Nontradable'!$B$26:$B$45,$B28,'Ext Nontradable'!$U$26:$U$45,"New")+SUMIFS('Ext Nontradable'!$K$26:$K$45,'Ext Nontradable'!$B$26:$B$45,$B28,'Ext Nontradable'!$U$26:$U$45,""))</f>
        <v/>
      </c>
      <c r="N28" s="703" t="str">
        <f>IF($B28="","",SUMIFS('Ext Nontradable'!$M$26:$M$45,'Ext Nontradable'!$B$26:$B$45,$B28,'Ext Nontradable'!$U$26:$U$45,"Existing Remains"))</f>
        <v/>
      </c>
      <c r="O28" s="703" t="str">
        <f>IF($B28="","",SUMIFS('Ext Nontradable'!$M$26:$M$45,'Ext Nontradable'!$B$26:$B$45,$B28,'Ext Nontradable'!$U$26:$U$45,"Existing Removed"))</f>
        <v/>
      </c>
      <c r="P28" s="703" t="str">
        <f>IF($B28="","",SUMIFS('Ext Nontradable'!$K$26:$K$45,'Ext Nontradable'!$B$26:$B$45,$B28,'Ext Nontradable'!$U$26:$U$45,"Existing Removed"))</f>
        <v/>
      </c>
      <c r="Q28" s="703" t="str">
        <f t="shared" si="2"/>
        <v/>
      </c>
      <c r="R28" s="703" t="str">
        <f t="shared" si="7"/>
        <v/>
      </c>
      <c r="S28" s="703">
        <f t="shared" si="8"/>
        <v>0</v>
      </c>
      <c r="T28" s="954">
        <f t="shared" si="20"/>
        <v>0</v>
      </c>
      <c r="U28" s="954">
        <f t="shared" si="21"/>
        <v>0</v>
      </c>
      <c r="V28" s="1115" t="str">
        <f t="shared" si="22"/>
        <v/>
      </c>
      <c r="W28" s="712" t="str">
        <f t="shared" si="23"/>
        <v/>
      </c>
      <c r="X28" s="857"/>
      <c r="Y28" s="720" t="str">
        <f t="shared" si="24"/>
        <v/>
      </c>
      <c r="Z28" s="721" t="str">
        <f t="shared" si="9"/>
        <v/>
      </c>
      <c r="AA28" s="721" t="str">
        <f t="shared" si="10"/>
        <v/>
      </c>
      <c r="AB28" s="719" t="str">
        <f t="shared" si="4"/>
        <v/>
      </c>
      <c r="AC28" s="857"/>
      <c r="AD28" s="717" t="str">
        <f t="shared" si="11"/>
        <v/>
      </c>
      <c r="AE28" s="718" t="str">
        <f t="shared" si="12"/>
        <v/>
      </c>
      <c r="AF28" s="719" t="str">
        <f t="shared" si="5"/>
        <v/>
      </c>
      <c r="AG28" s="726"/>
      <c r="AH28" s="727" t="str">
        <f t="shared" si="13"/>
        <v/>
      </c>
      <c r="AI28" s="703" t="str">
        <f t="shared" si="14"/>
        <v/>
      </c>
      <c r="AJ28" s="703" t="str">
        <f t="shared" si="15"/>
        <v/>
      </c>
      <c r="AL28" s="1075" t="str">
        <f t="shared" si="16"/>
        <v/>
      </c>
      <c r="AM28" s="855" t="str">
        <f t="shared" si="18"/>
        <v/>
      </c>
      <c r="AN28" s="707" t="str">
        <f>IF(OR(AL28="Fail",AL28="Fail LPA",AL28=""),"",IF(AM28&lt;&gt;"#1",VLOOKUP(C28,'9.4.3 Tables'!B$156:O$164,14,FALSE),"No NEW controls required"))</f>
        <v/>
      </c>
      <c r="AO28" s="703">
        <f t="shared" si="19"/>
        <v>0</v>
      </c>
      <c r="AR28">
        <v>19</v>
      </c>
      <c r="AS28" s="15" t="str">
        <f t="shared" si="17"/>
        <v/>
      </c>
      <c r="AT28" s="700" t="str">
        <f ca="1">IF(INDIRECT("'Ext Nontradable'!$B" &amp; AT$9)=$B28,INDIRECT("'Ext Nontradable'!$" &amp; 'Ext Nontradable'!$AZ$23 &amp; AT$9),"")</f>
        <v/>
      </c>
      <c r="AU28" s="700" t="str">
        <f ca="1">IF(INDIRECT("'Ext Nontradable'!$B" &amp; AU$9)=$B28,INDIRECT("'Ext Nontradable'!$" &amp; 'Ext Nontradable'!$AZ$23 &amp; AU$9),"")</f>
        <v/>
      </c>
      <c r="AV28" s="700" t="str">
        <f ca="1">IF(INDIRECT("'Ext Nontradable'!$B" &amp; AV$9)=$B28,INDIRECT("'Ext Nontradable'!$" &amp; 'Ext Nontradable'!$AZ$23 &amp; AV$9),"")</f>
        <v/>
      </c>
      <c r="AW28" s="700" t="str">
        <f ca="1">IF(INDIRECT("'Ext Nontradable'!$B" &amp; AW$9)=$B28,INDIRECT("'Ext Nontradable'!$" &amp; 'Ext Nontradable'!$AZ$23 &amp; AW$9),"")</f>
        <v/>
      </c>
      <c r="AX28" s="700" t="str">
        <f ca="1">IF(INDIRECT("'Ext Nontradable'!$B" &amp; AX$9)=$B28,INDIRECT("'Ext Nontradable'!$" &amp; 'Ext Nontradable'!$AZ$23 &amp; AX$9),"")</f>
        <v/>
      </c>
      <c r="AY28" s="700" t="str">
        <f ca="1">IF(INDIRECT("'Ext Nontradable'!$B" &amp; AY$9)=$B28,INDIRECT("'Ext Nontradable'!$" &amp; 'Ext Nontradable'!$AZ$23 &amp; AY$9),"")</f>
        <v/>
      </c>
      <c r="AZ28" s="700" t="str">
        <f ca="1">IF(INDIRECT("'Ext Nontradable'!$B" &amp; AZ$9)=$B28,INDIRECT("'Ext Nontradable'!$" &amp; 'Ext Nontradable'!$AZ$23 &amp; AZ$9),"")</f>
        <v/>
      </c>
      <c r="BA28" s="700" t="str">
        <f ca="1">IF(INDIRECT("'Ext Nontradable'!$B" &amp; BA$9)=$B28,INDIRECT("'Ext Nontradable'!$" &amp; 'Ext Nontradable'!$AZ$23 &amp; BA$9),"")</f>
        <v/>
      </c>
      <c r="BB28" s="700" t="str">
        <f ca="1">IF(INDIRECT("'Ext Nontradable'!$B" &amp; BB$9)=$B28,INDIRECT("'Ext Nontradable'!$" &amp; 'Ext Nontradable'!$AZ$23 &amp; BB$9),"")</f>
        <v/>
      </c>
      <c r="BC28" s="700" t="str">
        <f ca="1">IF(INDIRECT("'Ext Nontradable'!$B" &amp; BC$9)=$B28,INDIRECT("'Ext Nontradable'!$" &amp; 'Ext Nontradable'!$AZ$23 &amp; BC$9),"")</f>
        <v/>
      </c>
      <c r="BD28" s="700" t="str">
        <f ca="1">IF(INDIRECT("'Ext Nontradable'!$B" &amp; BD$9)=$B28,INDIRECT("'Ext Nontradable'!$" &amp; 'Ext Nontradable'!$AZ$23 &amp; BD$9),"")</f>
        <v/>
      </c>
      <c r="BE28" s="700" t="str">
        <f ca="1">IF(INDIRECT("'Ext Nontradable'!$B" &amp; BE$9)=$B28,INDIRECT("'Ext Nontradable'!$" &amp; 'Ext Nontradable'!$AZ$23 &amp; BE$9),"")</f>
        <v/>
      </c>
      <c r="BF28" s="700" t="str">
        <f ca="1">IF(INDIRECT("'Ext Nontradable'!$B" &amp; BF$9)=$B28,INDIRECT("'Ext Nontradable'!$" &amp; 'Ext Nontradable'!$AZ$23 &amp; BF$9),"")</f>
        <v/>
      </c>
      <c r="BG28" s="700" t="str">
        <f ca="1">IF(INDIRECT("'Ext Nontradable'!$B" &amp; BG$9)=$B28,INDIRECT("'Ext Nontradable'!$" &amp; 'Ext Nontradable'!$AZ$23 &amp; BG$9),"")</f>
        <v/>
      </c>
      <c r="BH28" s="700" t="str">
        <f ca="1">IF(INDIRECT("'Ext Nontradable'!$B" &amp; BH$9)=$B28,INDIRECT("'Ext Nontradable'!$" &amp; 'Ext Nontradable'!$AZ$23 &amp; BH$9),"")</f>
        <v/>
      </c>
      <c r="BI28" s="700" t="str">
        <f ca="1">IF(INDIRECT("'Ext Nontradable'!$B" &amp; BI$9)=$B28,INDIRECT("'Ext Nontradable'!$" &amp; 'Ext Nontradable'!$AZ$23 &amp; BI$9),"")</f>
        <v/>
      </c>
      <c r="BJ28" s="700" t="str">
        <f ca="1">IF(INDIRECT("'Ext Nontradable'!$B" &amp; BJ$9)=$B28,INDIRECT("'Ext Nontradable'!$" &amp; 'Ext Nontradable'!$AZ$23 &amp; BJ$9),"")</f>
        <v/>
      </c>
      <c r="BK28" s="700" t="str">
        <f ca="1">IF(INDIRECT("'Ext Nontradable'!$B" &amp; BK$9)=$B28,INDIRECT("'Ext Nontradable'!$" &amp; 'Ext Nontradable'!$AZ$23 &amp; BK$9),"")</f>
        <v/>
      </c>
      <c r="BL28" s="700" t="str">
        <f ca="1">IF(INDIRECT("'Ext Nontradable'!$B" &amp; BL$9)=$B28,INDIRECT("'Ext Nontradable'!$" &amp; 'Ext Nontradable'!$AZ$23 &amp; BL$9),"")</f>
        <v/>
      </c>
      <c r="BM28" s="700" t="str">
        <f ca="1">IF(INDIRECT("'Ext Nontradable'!$B" &amp; BM$9)=$B28,INDIRECT("'Ext Nontradable'!$" &amp; 'Ext Nontradable'!$AZ$23 &amp; BM$9),"")</f>
        <v/>
      </c>
      <c r="BN28" s="700">
        <f ca="1">IF(INDIRECT("'Ext Nontradable'!$B" &amp; BN$9)=$B28,INDIRECT("'Ext Nontradable'!$" &amp; 'Ext Nontradable'!$AZ$23 &amp; BN$9),"")</f>
        <v>0</v>
      </c>
      <c r="BO28" s="700">
        <f ca="1">IF(INDIRECT("'Ext Nontradable'!$B" &amp; BO$9)=$B28,INDIRECT("'Ext Nontradable'!$" &amp; 'Ext Nontradable'!$AZ$23 &amp; BO$9),"")</f>
        <v>0</v>
      </c>
      <c r="BP28" s="700">
        <f ca="1">IF(INDIRECT("'Ext Nontradable'!$B" &amp; BP$9)=$B28,INDIRECT("'Ext Nontradable'!$" &amp; 'Ext Nontradable'!$AZ$23 &amp; BP$9),"")</f>
        <v>0</v>
      </c>
      <c r="BQ28" s="700">
        <f ca="1">IF(INDIRECT("'Ext Nontradable'!$B" &amp; BQ$9)=$B28,INDIRECT("'Ext Nontradable'!$" &amp; 'Ext Nontradable'!$AZ$23 &amp; BQ$9),"")</f>
        <v>0</v>
      </c>
      <c r="BR28" s="700">
        <f ca="1">IF(INDIRECT("'Ext Nontradable'!$B" &amp; BR$9)=$B28,INDIRECT("'Ext Nontradable'!$" &amp; 'Ext Nontradable'!$AZ$23 &amp; BR$9),"")</f>
        <v>0</v>
      </c>
      <c r="BS28" s="700">
        <f ca="1">IF(INDIRECT("'Ext Nontradable'!$B" &amp; BS$9)=$B28,INDIRECT("'Ext Nontradable'!$" &amp; 'Ext Nontradable'!$AZ$23 &amp; BS$9),"")</f>
        <v>0</v>
      </c>
      <c r="BT28" s="700">
        <f ca="1">IF(INDIRECT("'Ext Nontradable'!$B" &amp; BT$9)=$B28,INDIRECT("'Ext Nontradable'!$" &amp; 'Ext Nontradable'!$AZ$23 &amp; BT$9),"")</f>
        <v>0</v>
      </c>
      <c r="BU28" s="700">
        <f ca="1">IF(INDIRECT("'Ext Nontradable'!$B" &amp; BU$9)=$B28,INDIRECT("'Ext Nontradable'!$" &amp; 'Ext Nontradable'!$AZ$23 &amp; BU$9),"")</f>
        <v>0</v>
      </c>
      <c r="BV28" s="700">
        <f ca="1">IF(INDIRECT("'Ext Nontradable'!$B" &amp; BV$9)=$B28,INDIRECT("'Ext Nontradable'!$" &amp; 'Ext Nontradable'!$AZ$23 &amp; BV$9),"")</f>
        <v>0</v>
      </c>
      <c r="BW28" s="700">
        <f ca="1">IF(INDIRECT("'Ext Nontradable'!$B" &amp; BW$9)=$B28,INDIRECT("'Ext Nontradable'!$" &amp; 'Ext Nontradable'!$AZ$23 &amp; BW$9),"")</f>
        <v>0</v>
      </c>
      <c r="BX28" s="700">
        <f ca="1">IF(INDIRECT("'Ext Nontradable'!$B" &amp; BX$9)=$B28,INDIRECT("'Ext Nontradable'!$" &amp; 'Ext Nontradable'!$AZ$23 &amp; BX$9),"")</f>
        <v>0</v>
      </c>
      <c r="BY28" s="700">
        <f ca="1">IF(INDIRECT("'Ext Nontradable'!$B" &amp; BY$9)=$B28,INDIRECT("'Ext Nontradable'!$" &amp; 'Ext Nontradable'!$AZ$23 &amp; BY$9),"")</f>
        <v>0</v>
      </c>
      <c r="BZ28" s="700">
        <f ca="1">IF(INDIRECT("'Ext Nontradable'!$B" &amp; BZ$9)=$B28,INDIRECT("'Ext Nontradable'!$" &amp; 'Ext Nontradable'!$AZ$23 &amp; BZ$9),"")</f>
        <v>0</v>
      </c>
      <c r="CA28" s="700">
        <f ca="1">IF(INDIRECT("'Ext Nontradable'!$B" &amp; CA$9)=$B28,INDIRECT("'Ext Nontradable'!$" &amp; 'Ext Nontradable'!$AZ$23 &amp; CA$9),"")</f>
        <v>0</v>
      </c>
      <c r="CB28" s="700">
        <f ca="1">IF(INDIRECT("'Ext Nontradable'!$B" &amp; CB$9)=$B28,INDIRECT("'Ext Nontradable'!$" &amp; 'Ext Nontradable'!$AZ$23 &amp; CB$9),"")</f>
        <v>0</v>
      </c>
      <c r="CC28" s="700">
        <f ca="1">IF(INDIRECT("'Ext Nontradable'!$B" &amp; CC$9)=$B28,INDIRECT("'Ext Nontradable'!$" &amp; 'Ext Nontradable'!$AZ$23 &amp; CC$9),"")</f>
        <v>0</v>
      </c>
      <c r="CD28" s="700">
        <f ca="1">IF(INDIRECT("'Ext Nontradable'!$B" &amp; CD$9)=$B28,INDIRECT("'Ext Nontradable'!$" &amp; 'Ext Nontradable'!$AZ$23 &amp; CD$9),"")</f>
        <v>0</v>
      </c>
      <c r="CE28" s="700">
        <f ca="1">IF(INDIRECT("'Ext Nontradable'!$B" &amp; CE$9)=$B28,INDIRECT("'Ext Nontradable'!$" &amp; 'Ext Nontradable'!$AZ$23 &amp; CE$9),"")</f>
        <v>0</v>
      </c>
      <c r="CF28" s="700">
        <f ca="1">IF(INDIRECT("'Ext Nontradable'!$B" &amp; CF$9)=$B28,INDIRECT("'Ext Nontradable'!$" &amp; 'Ext Nontradable'!$AZ$23 &amp; CF$9),"")</f>
        <v>0</v>
      </c>
      <c r="CG28" s="700">
        <f ca="1">IF(INDIRECT("'Ext Nontradable'!$B" &amp; CG$9)=$B28,INDIRECT("'Ext Nontradable'!$" &amp; 'Ext Nontradable'!$AZ$23 &amp; CG$9),"")</f>
        <v>0</v>
      </c>
      <c r="CH28" s="700">
        <f ca="1">IF(INDIRECT("'Ext Nontradable'!$B" &amp; CH$9)=$B28,INDIRECT("'Ext Nontradable'!$" &amp; 'Ext Nontradable'!$AZ$23 &amp; CH$9),"")</f>
        <v>0</v>
      </c>
      <c r="CI28" s="700">
        <f ca="1">IF(INDIRECT("'Ext Nontradable'!$B" &amp; CI$9)=$B28,INDIRECT("'Ext Nontradable'!$" &amp; 'Ext Nontradable'!$AZ$23 &amp; CI$9),"")</f>
        <v>0</v>
      </c>
      <c r="CJ28" s="700">
        <f ca="1">IF(INDIRECT("'Ext Nontradable'!$B" &amp; CJ$9)=$B28,INDIRECT("'Ext Nontradable'!$" &amp; 'Ext Nontradable'!$AZ$23 &amp; CJ$9),"")</f>
        <v>0</v>
      </c>
      <c r="CK28" s="700">
        <f ca="1">IF(INDIRECT("'Ext Nontradable'!$B" &amp; CK$9)=$B28,INDIRECT("'Ext Nontradable'!$" &amp; 'Ext Nontradable'!$AZ$23 &amp; CK$9),"")</f>
        <v>0</v>
      </c>
      <c r="CL28" s="700">
        <f ca="1">IF(INDIRECT("'Ext Nontradable'!$B" &amp; CL$9)=$B28,INDIRECT("'Ext Nontradable'!$" &amp; 'Ext Nontradable'!$AZ$23 &amp; CL$9),"")</f>
        <v>0</v>
      </c>
      <c r="CM28" s="700">
        <f ca="1">IF(INDIRECT("'Ext Nontradable'!$B" &amp; CM$9)=$B28,INDIRECT("'Ext Nontradable'!$" &amp; 'Ext Nontradable'!$AZ$23 &amp; CM$9),"")</f>
        <v>0</v>
      </c>
      <c r="CN28" s="700">
        <f ca="1">IF(INDIRECT("'Ext Nontradable'!$B" &amp; CN$9)=$B28,INDIRECT("'Ext Nontradable'!$" &amp; 'Ext Nontradable'!$AZ$23 &amp; CN$9),"")</f>
        <v>0</v>
      </c>
      <c r="CO28" s="700">
        <f ca="1">IF(INDIRECT("'Ext Nontradable'!$B" &amp; CO$9)=$B28,INDIRECT("'Ext Nontradable'!$" &amp; 'Ext Nontradable'!$AZ$23 &amp; CO$9),"")</f>
        <v>0</v>
      </c>
      <c r="CP28" s="700">
        <f ca="1">IF(INDIRECT("'Ext Nontradable'!$B" &amp; CP$9)=$B28,INDIRECT("'Ext Nontradable'!$" &amp; 'Ext Nontradable'!$AZ$23 &amp; CP$9),"")</f>
        <v>0</v>
      </c>
      <c r="CQ28" s="700">
        <f ca="1">IF(INDIRECT("'Ext Nontradable'!$B" &amp; CQ$9)=$B28,INDIRECT("'Ext Nontradable'!$" &amp; 'Ext Nontradable'!$AZ$23 &amp; CQ$9),"")</f>
        <v>0</v>
      </c>
      <c r="CR28" s="702" t="str">
        <f t="shared" ca="1" si="25"/>
        <v>000000000000000000000000000000</v>
      </c>
    </row>
    <row r="29" spans="1:96" ht="60" customHeight="1" x14ac:dyDescent="0.25">
      <c r="A29" s="705">
        <v>20</v>
      </c>
      <c r="B29" s="707" t="str">
        <f>'Ext Area Schedule'!AK35</f>
        <v/>
      </c>
      <c r="C29" s="707" t="str">
        <f>VLOOKUP($B29,'Ext Area Schedule'!$AK$16:$AO$65,3,FALSE)</f>
        <v/>
      </c>
      <c r="D29" s="792" t="str">
        <f>VLOOKUP($B29,'Ext Area Schedule'!$AK$16:$AO$65,4,FALSE)</f>
        <v/>
      </c>
      <c r="F29" s="792" t="str">
        <f>VLOOKUP($B29,'Ext Area Schedule'!$AK$16:$AO$65,5,FALSE)</f>
        <v/>
      </c>
      <c r="G29" s="792" t="str">
        <f>VLOOKUP($B29,'Ext Area Schedule'!$AK$16:$AO$65,5,FALSE)</f>
        <v/>
      </c>
      <c r="I29" s="703" t="str">
        <f t="shared" si="1"/>
        <v/>
      </c>
      <c r="K29" s="703" t="str">
        <f>IF($B29="","",SUMIFS('Ext Nontradable'!$M$26:$M$45,'Ext Nontradable'!$B$26:$B$45,$B29,'Ext Nontradable'!$U$26:$U$45,"New"))</f>
        <v/>
      </c>
      <c r="L29" s="703" t="str">
        <f>IF($B29="","",SUMIFS('Ext Nontradable'!$M$26:$M$45,'Ext Nontradable'!$B$26:$B$45,$B29,'Ext Nontradable'!$U$26:$U$45,""))</f>
        <v/>
      </c>
      <c r="M29" s="703" t="str">
        <f>IF($B29="","",SUMIFS('Ext Nontradable'!$K$26:$K$45,'Ext Nontradable'!$B$26:$B$45,$B29,'Ext Nontradable'!$U$26:$U$45,"New")+SUMIFS('Ext Nontradable'!$K$26:$K$45,'Ext Nontradable'!$B$26:$B$45,$B29,'Ext Nontradable'!$U$26:$U$45,""))</f>
        <v/>
      </c>
      <c r="N29" s="703" t="str">
        <f>IF($B29="","",SUMIFS('Ext Nontradable'!$M$26:$M$45,'Ext Nontradable'!$B$26:$B$45,$B29,'Ext Nontradable'!$U$26:$U$45,"Existing Remains"))</f>
        <v/>
      </c>
      <c r="O29" s="703" t="str">
        <f>IF($B29="","",SUMIFS('Ext Nontradable'!$M$26:$M$45,'Ext Nontradable'!$B$26:$B$45,$B29,'Ext Nontradable'!$U$26:$U$45,"Existing Removed"))</f>
        <v/>
      </c>
      <c r="P29" s="703" t="str">
        <f>IF($B29="","",SUMIFS('Ext Nontradable'!$K$26:$K$45,'Ext Nontradable'!$B$26:$B$45,$B29,'Ext Nontradable'!$U$26:$U$45,"Existing Removed"))</f>
        <v/>
      </c>
      <c r="Q29" s="703" t="str">
        <f t="shared" si="2"/>
        <v/>
      </c>
      <c r="R29" s="703" t="str">
        <f t="shared" si="7"/>
        <v/>
      </c>
      <c r="S29" s="703">
        <f t="shared" si="8"/>
        <v>0</v>
      </c>
      <c r="T29" s="954">
        <f t="shared" si="20"/>
        <v>0</v>
      </c>
      <c r="U29" s="954">
        <f t="shared" si="21"/>
        <v>0</v>
      </c>
      <c r="V29" s="1115" t="str">
        <f t="shared" si="22"/>
        <v/>
      </c>
      <c r="W29" s="712" t="str">
        <f t="shared" si="23"/>
        <v/>
      </c>
      <c r="X29" s="857"/>
      <c r="Y29" s="720" t="str">
        <f t="shared" si="24"/>
        <v/>
      </c>
      <c r="Z29" s="721" t="str">
        <f t="shared" si="9"/>
        <v/>
      </c>
      <c r="AA29" s="721" t="str">
        <f t="shared" si="10"/>
        <v/>
      </c>
      <c r="AB29" s="719" t="str">
        <f t="shared" si="4"/>
        <v/>
      </c>
      <c r="AC29" s="857"/>
      <c r="AD29" s="717" t="str">
        <f t="shared" si="11"/>
        <v/>
      </c>
      <c r="AE29" s="718" t="str">
        <f t="shared" si="12"/>
        <v/>
      </c>
      <c r="AF29" s="719" t="str">
        <f t="shared" si="5"/>
        <v/>
      </c>
      <c r="AG29" s="726"/>
      <c r="AH29" s="727" t="str">
        <f t="shared" si="13"/>
        <v/>
      </c>
      <c r="AI29" s="703" t="str">
        <f t="shared" si="14"/>
        <v/>
      </c>
      <c r="AJ29" s="703" t="str">
        <f t="shared" si="15"/>
        <v/>
      </c>
      <c r="AL29" s="1075" t="str">
        <f t="shared" si="16"/>
        <v/>
      </c>
      <c r="AM29" s="855" t="str">
        <f t="shared" si="18"/>
        <v/>
      </c>
      <c r="AN29" s="707" t="str">
        <f>IF(OR(AL29="Fail",AL29="Fail LPA",AL29=""),"",IF(AM29&lt;&gt;"#1",VLOOKUP(C29,'9.4.3 Tables'!B$156:O$164,14,FALSE),"No NEW controls required"))</f>
        <v/>
      </c>
      <c r="AO29" s="703">
        <f t="shared" si="19"/>
        <v>0</v>
      </c>
      <c r="AR29">
        <v>20</v>
      </c>
      <c r="AS29" s="15" t="str">
        <f t="shared" si="17"/>
        <v/>
      </c>
      <c r="AT29" s="700" t="str">
        <f ca="1">IF(INDIRECT("'Ext Nontradable'!$B" &amp; AT$9)=$B29,INDIRECT("'Ext Nontradable'!$" &amp; 'Ext Nontradable'!$AZ$23 &amp; AT$9),"")</f>
        <v/>
      </c>
      <c r="AU29" s="700" t="str">
        <f ca="1">IF(INDIRECT("'Ext Nontradable'!$B" &amp; AU$9)=$B29,INDIRECT("'Ext Nontradable'!$" &amp; 'Ext Nontradable'!$AZ$23 &amp; AU$9),"")</f>
        <v/>
      </c>
      <c r="AV29" s="700" t="str">
        <f ca="1">IF(INDIRECT("'Ext Nontradable'!$B" &amp; AV$9)=$B29,INDIRECT("'Ext Nontradable'!$" &amp; 'Ext Nontradable'!$AZ$23 &amp; AV$9),"")</f>
        <v/>
      </c>
      <c r="AW29" s="700" t="str">
        <f ca="1">IF(INDIRECT("'Ext Nontradable'!$B" &amp; AW$9)=$B29,INDIRECT("'Ext Nontradable'!$" &amp; 'Ext Nontradable'!$AZ$23 &amp; AW$9),"")</f>
        <v/>
      </c>
      <c r="AX29" s="700" t="str">
        <f ca="1">IF(INDIRECT("'Ext Nontradable'!$B" &amp; AX$9)=$B29,INDIRECT("'Ext Nontradable'!$" &amp; 'Ext Nontradable'!$AZ$23 &amp; AX$9),"")</f>
        <v/>
      </c>
      <c r="AY29" s="700" t="str">
        <f ca="1">IF(INDIRECT("'Ext Nontradable'!$B" &amp; AY$9)=$B29,INDIRECT("'Ext Nontradable'!$" &amp; 'Ext Nontradable'!$AZ$23 &amp; AY$9),"")</f>
        <v/>
      </c>
      <c r="AZ29" s="700" t="str">
        <f ca="1">IF(INDIRECT("'Ext Nontradable'!$B" &amp; AZ$9)=$B29,INDIRECT("'Ext Nontradable'!$" &amp; 'Ext Nontradable'!$AZ$23 &amp; AZ$9),"")</f>
        <v/>
      </c>
      <c r="BA29" s="700" t="str">
        <f ca="1">IF(INDIRECT("'Ext Nontradable'!$B" &amp; BA$9)=$B29,INDIRECT("'Ext Nontradable'!$" &amp; 'Ext Nontradable'!$AZ$23 &amp; BA$9),"")</f>
        <v/>
      </c>
      <c r="BB29" s="700" t="str">
        <f ca="1">IF(INDIRECT("'Ext Nontradable'!$B" &amp; BB$9)=$B29,INDIRECT("'Ext Nontradable'!$" &amp; 'Ext Nontradable'!$AZ$23 &amp; BB$9),"")</f>
        <v/>
      </c>
      <c r="BC29" s="700" t="str">
        <f ca="1">IF(INDIRECT("'Ext Nontradable'!$B" &amp; BC$9)=$B29,INDIRECT("'Ext Nontradable'!$" &amp; 'Ext Nontradable'!$AZ$23 &amp; BC$9),"")</f>
        <v/>
      </c>
      <c r="BD29" s="700" t="str">
        <f ca="1">IF(INDIRECT("'Ext Nontradable'!$B" &amp; BD$9)=$B29,INDIRECT("'Ext Nontradable'!$" &amp; 'Ext Nontradable'!$AZ$23 &amp; BD$9),"")</f>
        <v/>
      </c>
      <c r="BE29" s="700" t="str">
        <f ca="1">IF(INDIRECT("'Ext Nontradable'!$B" &amp; BE$9)=$B29,INDIRECT("'Ext Nontradable'!$" &amp; 'Ext Nontradable'!$AZ$23 &amp; BE$9),"")</f>
        <v/>
      </c>
      <c r="BF29" s="700" t="str">
        <f ca="1">IF(INDIRECT("'Ext Nontradable'!$B" &amp; BF$9)=$B29,INDIRECT("'Ext Nontradable'!$" &amp; 'Ext Nontradable'!$AZ$23 &amp; BF$9),"")</f>
        <v/>
      </c>
      <c r="BG29" s="700" t="str">
        <f ca="1">IF(INDIRECT("'Ext Nontradable'!$B" &amp; BG$9)=$B29,INDIRECT("'Ext Nontradable'!$" &amp; 'Ext Nontradable'!$AZ$23 &amp; BG$9),"")</f>
        <v/>
      </c>
      <c r="BH29" s="700" t="str">
        <f ca="1">IF(INDIRECT("'Ext Nontradable'!$B" &amp; BH$9)=$B29,INDIRECT("'Ext Nontradable'!$" &amp; 'Ext Nontradable'!$AZ$23 &amp; BH$9),"")</f>
        <v/>
      </c>
      <c r="BI29" s="700" t="str">
        <f ca="1">IF(INDIRECT("'Ext Nontradable'!$B" &amp; BI$9)=$B29,INDIRECT("'Ext Nontradable'!$" &amp; 'Ext Nontradable'!$AZ$23 &amp; BI$9),"")</f>
        <v/>
      </c>
      <c r="BJ29" s="700" t="str">
        <f ca="1">IF(INDIRECT("'Ext Nontradable'!$B" &amp; BJ$9)=$B29,INDIRECT("'Ext Nontradable'!$" &amp; 'Ext Nontradable'!$AZ$23 &amp; BJ$9),"")</f>
        <v/>
      </c>
      <c r="BK29" s="700" t="str">
        <f ca="1">IF(INDIRECT("'Ext Nontradable'!$B" &amp; BK$9)=$B29,INDIRECT("'Ext Nontradable'!$" &amp; 'Ext Nontradable'!$AZ$23 &amp; BK$9),"")</f>
        <v/>
      </c>
      <c r="BL29" s="700" t="str">
        <f ca="1">IF(INDIRECT("'Ext Nontradable'!$B" &amp; BL$9)=$B29,INDIRECT("'Ext Nontradable'!$" &amp; 'Ext Nontradable'!$AZ$23 &amp; BL$9),"")</f>
        <v/>
      </c>
      <c r="BM29" s="700" t="str">
        <f ca="1">IF(INDIRECT("'Ext Nontradable'!$B" &amp; BM$9)=$B29,INDIRECT("'Ext Nontradable'!$" &amp; 'Ext Nontradable'!$AZ$23 &amp; BM$9),"")</f>
        <v/>
      </c>
      <c r="BN29" s="700">
        <f ca="1">IF(INDIRECT("'Ext Nontradable'!$B" &amp; BN$9)=$B29,INDIRECT("'Ext Nontradable'!$" &amp; 'Ext Nontradable'!$AZ$23 &amp; BN$9),"")</f>
        <v>0</v>
      </c>
      <c r="BO29" s="700">
        <f ca="1">IF(INDIRECT("'Ext Nontradable'!$B" &amp; BO$9)=$B29,INDIRECT("'Ext Nontradable'!$" &amp; 'Ext Nontradable'!$AZ$23 &amp; BO$9),"")</f>
        <v>0</v>
      </c>
      <c r="BP29" s="700">
        <f ca="1">IF(INDIRECT("'Ext Nontradable'!$B" &amp; BP$9)=$B29,INDIRECT("'Ext Nontradable'!$" &amp; 'Ext Nontradable'!$AZ$23 &amp; BP$9),"")</f>
        <v>0</v>
      </c>
      <c r="BQ29" s="700">
        <f ca="1">IF(INDIRECT("'Ext Nontradable'!$B" &amp; BQ$9)=$B29,INDIRECT("'Ext Nontradable'!$" &amp; 'Ext Nontradable'!$AZ$23 &amp; BQ$9),"")</f>
        <v>0</v>
      </c>
      <c r="BR29" s="700">
        <f ca="1">IF(INDIRECT("'Ext Nontradable'!$B" &amp; BR$9)=$B29,INDIRECT("'Ext Nontradable'!$" &amp; 'Ext Nontradable'!$AZ$23 &amp; BR$9),"")</f>
        <v>0</v>
      </c>
      <c r="BS29" s="700">
        <f ca="1">IF(INDIRECT("'Ext Nontradable'!$B" &amp; BS$9)=$B29,INDIRECT("'Ext Nontradable'!$" &amp; 'Ext Nontradable'!$AZ$23 &amp; BS$9),"")</f>
        <v>0</v>
      </c>
      <c r="BT29" s="700">
        <f ca="1">IF(INDIRECT("'Ext Nontradable'!$B" &amp; BT$9)=$B29,INDIRECT("'Ext Nontradable'!$" &amp; 'Ext Nontradable'!$AZ$23 &amp; BT$9),"")</f>
        <v>0</v>
      </c>
      <c r="BU29" s="700">
        <f ca="1">IF(INDIRECT("'Ext Nontradable'!$B" &amp; BU$9)=$B29,INDIRECT("'Ext Nontradable'!$" &amp; 'Ext Nontradable'!$AZ$23 &amp; BU$9),"")</f>
        <v>0</v>
      </c>
      <c r="BV29" s="700">
        <f ca="1">IF(INDIRECT("'Ext Nontradable'!$B" &amp; BV$9)=$B29,INDIRECT("'Ext Nontradable'!$" &amp; 'Ext Nontradable'!$AZ$23 &amp; BV$9),"")</f>
        <v>0</v>
      </c>
      <c r="BW29" s="700">
        <f ca="1">IF(INDIRECT("'Ext Nontradable'!$B" &amp; BW$9)=$B29,INDIRECT("'Ext Nontradable'!$" &amp; 'Ext Nontradable'!$AZ$23 &amp; BW$9),"")</f>
        <v>0</v>
      </c>
      <c r="BX29" s="700">
        <f ca="1">IF(INDIRECT("'Ext Nontradable'!$B" &amp; BX$9)=$B29,INDIRECT("'Ext Nontradable'!$" &amp; 'Ext Nontradable'!$AZ$23 &amp; BX$9),"")</f>
        <v>0</v>
      </c>
      <c r="BY29" s="700">
        <f ca="1">IF(INDIRECT("'Ext Nontradable'!$B" &amp; BY$9)=$B29,INDIRECT("'Ext Nontradable'!$" &amp; 'Ext Nontradable'!$AZ$23 &amp; BY$9),"")</f>
        <v>0</v>
      </c>
      <c r="BZ29" s="700">
        <f ca="1">IF(INDIRECT("'Ext Nontradable'!$B" &amp; BZ$9)=$B29,INDIRECT("'Ext Nontradable'!$" &amp; 'Ext Nontradable'!$AZ$23 &amp; BZ$9),"")</f>
        <v>0</v>
      </c>
      <c r="CA29" s="700">
        <f ca="1">IF(INDIRECT("'Ext Nontradable'!$B" &amp; CA$9)=$B29,INDIRECT("'Ext Nontradable'!$" &amp; 'Ext Nontradable'!$AZ$23 &amp; CA$9),"")</f>
        <v>0</v>
      </c>
      <c r="CB29" s="700">
        <f ca="1">IF(INDIRECT("'Ext Nontradable'!$B" &amp; CB$9)=$B29,INDIRECT("'Ext Nontradable'!$" &amp; 'Ext Nontradable'!$AZ$23 &amp; CB$9),"")</f>
        <v>0</v>
      </c>
      <c r="CC29" s="700">
        <f ca="1">IF(INDIRECT("'Ext Nontradable'!$B" &amp; CC$9)=$B29,INDIRECT("'Ext Nontradable'!$" &amp; 'Ext Nontradable'!$AZ$23 &amp; CC$9),"")</f>
        <v>0</v>
      </c>
      <c r="CD29" s="700">
        <f ca="1">IF(INDIRECT("'Ext Nontradable'!$B" &amp; CD$9)=$B29,INDIRECT("'Ext Nontradable'!$" &amp; 'Ext Nontradable'!$AZ$23 &amp; CD$9),"")</f>
        <v>0</v>
      </c>
      <c r="CE29" s="700">
        <f ca="1">IF(INDIRECT("'Ext Nontradable'!$B" &amp; CE$9)=$B29,INDIRECT("'Ext Nontradable'!$" &amp; 'Ext Nontradable'!$AZ$23 &amp; CE$9),"")</f>
        <v>0</v>
      </c>
      <c r="CF29" s="700">
        <f ca="1">IF(INDIRECT("'Ext Nontradable'!$B" &amp; CF$9)=$B29,INDIRECT("'Ext Nontradable'!$" &amp; 'Ext Nontradable'!$AZ$23 &amp; CF$9),"")</f>
        <v>0</v>
      </c>
      <c r="CG29" s="700">
        <f ca="1">IF(INDIRECT("'Ext Nontradable'!$B" &amp; CG$9)=$B29,INDIRECT("'Ext Nontradable'!$" &amp; 'Ext Nontradable'!$AZ$23 &amp; CG$9),"")</f>
        <v>0</v>
      </c>
      <c r="CH29" s="700">
        <f ca="1">IF(INDIRECT("'Ext Nontradable'!$B" &amp; CH$9)=$B29,INDIRECT("'Ext Nontradable'!$" &amp; 'Ext Nontradable'!$AZ$23 &amp; CH$9),"")</f>
        <v>0</v>
      </c>
      <c r="CI29" s="700">
        <f ca="1">IF(INDIRECT("'Ext Nontradable'!$B" &amp; CI$9)=$B29,INDIRECT("'Ext Nontradable'!$" &amp; 'Ext Nontradable'!$AZ$23 &amp; CI$9),"")</f>
        <v>0</v>
      </c>
      <c r="CJ29" s="700">
        <f ca="1">IF(INDIRECT("'Ext Nontradable'!$B" &amp; CJ$9)=$B29,INDIRECT("'Ext Nontradable'!$" &amp; 'Ext Nontradable'!$AZ$23 &amp; CJ$9),"")</f>
        <v>0</v>
      </c>
      <c r="CK29" s="700">
        <f ca="1">IF(INDIRECT("'Ext Nontradable'!$B" &amp; CK$9)=$B29,INDIRECT("'Ext Nontradable'!$" &amp; 'Ext Nontradable'!$AZ$23 &amp; CK$9),"")</f>
        <v>0</v>
      </c>
      <c r="CL29" s="700">
        <f ca="1">IF(INDIRECT("'Ext Nontradable'!$B" &amp; CL$9)=$B29,INDIRECT("'Ext Nontradable'!$" &amp; 'Ext Nontradable'!$AZ$23 &amp; CL$9),"")</f>
        <v>0</v>
      </c>
      <c r="CM29" s="700">
        <f ca="1">IF(INDIRECT("'Ext Nontradable'!$B" &amp; CM$9)=$B29,INDIRECT("'Ext Nontradable'!$" &amp; 'Ext Nontradable'!$AZ$23 &amp; CM$9),"")</f>
        <v>0</v>
      </c>
      <c r="CN29" s="700">
        <f ca="1">IF(INDIRECT("'Ext Nontradable'!$B" &amp; CN$9)=$B29,INDIRECT("'Ext Nontradable'!$" &amp; 'Ext Nontradable'!$AZ$23 &amp; CN$9),"")</f>
        <v>0</v>
      </c>
      <c r="CO29" s="700">
        <f ca="1">IF(INDIRECT("'Ext Nontradable'!$B" &amp; CO$9)=$B29,INDIRECT("'Ext Nontradable'!$" &amp; 'Ext Nontradable'!$AZ$23 &amp; CO$9),"")</f>
        <v>0</v>
      </c>
      <c r="CP29" s="700">
        <f ca="1">IF(INDIRECT("'Ext Nontradable'!$B" &amp; CP$9)=$B29,INDIRECT("'Ext Nontradable'!$" &amp; 'Ext Nontradable'!$AZ$23 &amp; CP$9),"")</f>
        <v>0</v>
      </c>
      <c r="CQ29" s="700">
        <f ca="1">IF(INDIRECT("'Ext Nontradable'!$B" &amp; CQ$9)=$B29,INDIRECT("'Ext Nontradable'!$" &amp; 'Ext Nontradable'!$AZ$23 &amp; CQ$9),"")</f>
        <v>0</v>
      </c>
      <c r="CR29" s="702" t="str">
        <f t="shared" ca="1" si="25"/>
        <v>000000000000000000000000000000</v>
      </c>
    </row>
    <row r="30" spans="1:96" ht="60" customHeight="1" x14ac:dyDescent="0.25">
      <c r="A30" s="705">
        <v>21</v>
      </c>
      <c r="B30" s="707" t="str">
        <f>'Ext Area Schedule'!AK36</f>
        <v/>
      </c>
      <c r="C30" s="707" t="str">
        <f>VLOOKUP($B30,'Ext Area Schedule'!$AK$16:$AO$65,3,FALSE)</f>
        <v/>
      </c>
      <c r="D30" s="792" t="str">
        <f>VLOOKUP($B30,'Ext Area Schedule'!$AK$16:$AO$65,4,FALSE)</f>
        <v/>
      </c>
      <c r="F30" s="792" t="str">
        <f>VLOOKUP($B30,'Ext Area Schedule'!$AK$16:$AO$65,5,FALSE)</f>
        <v/>
      </c>
      <c r="G30" s="792" t="str">
        <f>VLOOKUP($B30,'Ext Area Schedule'!$AK$16:$AO$65,5,FALSE)</f>
        <v/>
      </c>
      <c r="I30" s="703" t="str">
        <f t="shared" si="1"/>
        <v/>
      </c>
      <c r="K30" s="703" t="str">
        <f>IF($B30="","",SUMIFS('Ext Nontradable'!$M$26:$M$45,'Ext Nontradable'!$B$26:$B$45,$B30,'Ext Nontradable'!$U$26:$U$45,"New"))</f>
        <v/>
      </c>
      <c r="L30" s="703" t="str">
        <f>IF($B30="","",SUMIFS('Ext Nontradable'!$M$26:$M$45,'Ext Nontradable'!$B$26:$B$45,$B30,'Ext Nontradable'!$U$26:$U$45,""))</f>
        <v/>
      </c>
      <c r="M30" s="703" t="str">
        <f>IF($B30="","",SUMIFS('Ext Nontradable'!$K$26:$K$45,'Ext Nontradable'!$B$26:$B$45,$B30,'Ext Nontradable'!$U$26:$U$45,"New")+SUMIFS('Ext Nontradable'!$K$26:$K$45,'Ext Nontradable'!$B$26:$B$45,$B30,'Ext Nontradable'!$U$26:$U$45,""))</f>
        <v/>
      </c>
      <c r="N30" s="703" t="str">
        <f>IF($B30="","",SUMIFS('Ext Nontradable'!$M$26:$M$45,'Ext Nontradable'!$B$26:$B$45,$B30,'Ext Nontradable'!$U$26:$U$45,"Existing Remains"))</f>
        <v/>
      </c>
      <c r="O30" s="703" t="str">
        <f>IF($B30="","",SUMIFS('Ext Nontradable'!$M$26:$M$45,'Ext Nontradable'!$B$26:$B$45,$B30,'Ext Nontradable'!$U$26:$U$45,"Existing Removed"))</f>
        <v/>
      </c>
      <c r="P30" s="703" t="str">
        <f>IF($B30="","",SUMIFS('Ext Nontradable'!$K$26:$K$45,'Ext Nontradable'!$B$26:$B$45,$B30,'Ext Nontradable'!$U$26:$U$45,"Existing Removed"))</f>
        <v/>
      </c>
      <c r="Q30" s="703" t="str">
        <f t="shared" si="2"/>
        <v/>
      </c>
      <c r="R30" s="703" t="str">
        <f t="shared" si="7"/>
        <v/>
      </c>
      <c r="S30" s="703">
        <f t="shared" si="8"/>
        <v>0</v>
      </c>
      <c r="T30" s="954">
        <f t="shared" si="20"/>
        <v>0</v>
      </c>
      <c r="U30" s="954">
        <f t="shared" si="21"/>
        <v>0</v>
      </c>
      <c r="V30" s="1115" t="str">
        <f t="shared" si="22"/>
        <v/>
      </c>
      <c r="W30" s="712" t="str">
        <f t="shared" si="23"/>
        <v/>
      </c>
      <c r="X30" s="857"/>
      <c r="Y30" s="720" t="str">
        <f t="shared" si="24"/>
        <v/>
      </c>
      <c r="Z30" s="721" t="str">
        <f t="shared" si="9"/>
        <v/>
      </c>
      <c r="AA30" s="721" t="str">
        <f t="shared" si="10"/>
        <v/>
      </c>
      <c r="AB30" s="719" t="str">
        <f t="shared" si="4"/>
        <v/>
      </c>
      <c r="AC30" s="857"/>
      <c r="AD30" s="717" t="str">
        <f t="shared" si="11"/>
        <v/>
      </c>
      <c r="AE30" s="718" t="str">
        <f t="shared" si="12"/>
        <v/>
      </c>
      <c r="AF30" s="719" t="str">
        <f t="shared" si="5"/>
        <v/>
      </c>
      <c r="AG30" s="726"/>
      <c r="AH30" s="727" t="str">
        <f t="shared" si="13"/>
        <v/>
      </c>
      <c r="AI30" s="703" t="str">
        <f t="shared" si="14"/>
        <v/>
      </c>
      <c r="AJ30" s="703" t="str">
        <f t="shared" si="15"/>
        <v/>
      </c>
      <c r="AL30" s="1075" t="str">
        <f t="shared" si="16"/>
        <v/>
      </c>
      <c r="AM30" s="855" t="str">
        <f t="shared" si="18"/>
        <v/>
      </c>
      <c r="AN30" s="707" t="str">
        <f>IF(OR(AL30="Fail",AL30="Fail LPA",AL30=""),"",IF(AM30&lt;&gt;"#1",VLOOKUP(C30,'9.4.3 Tables'!B$156:O$164,14,FALSE),"No NEW controls required"))</f>
        <v/>
      </c>
      <c r="AO30" s="703">
        <f t="shared" si="19"/>
        <v>0</v>
      </c>
      <c r="AR30">
        <v>21</v>
      </c>
      <c r="AS30" s="15" t="str">
        <f t="shared" si="17"/>
        <v/>
      </c>
      <c r="AT30" s="700" t="str">
        <f ca="1">IF(INDIRECT("'Ext Nontradable'!$B" &amp; AT$9)=$B30,INDIRECT("'Ext Nontradable'!$" &amp; 'Ext Nontradable'!$AZ$23 &amp; AT$9),"")</f>
        <v/>
      </c>
      <c r="AU30" s="700" t="str">
        <f ca="1">IF(INDIRECT("'Ext Nontradable'!$B" &amp; AU$9)=$B30,INDIRECT("'Ext Nontradable'!$" &amp; 'Ext Nontradable'!$AZ$23 &amp; AU$9),"")</f>
        <v/>
      </c>
      <c r="AV30" s="700" t="str">
        <f ca="1">IF(INDIRECT("'Ext Nontradable'!$B" &amp; AV$9)=$B30,INDIRECT("'Ext Nontradable'!$" &amp; 'Ext Nontradable'!$AZ$23 &amp; AV$9),"")</f>
        <v/>
      </c>
      <c r="AW30" s="700" t="str">
        <f ca="1">IF(INDIRECT("'Ext Nontradable'!$B" &amp; AW$9)=$B30,INDIRECT("'Ext Nontradable'!$" &amp; 'Ext Nontradable'!$AZ$23 &amp; AW$9),"")</f>
        <v/>
      </c>
      <c r="AX30" s="700" t="str">
        <f ca="1">IF(INDIRECT("'Ext Nontradable'!$B" &amp; AX$9)=$B30,INDIRECT("'Ext Nontradable'!$" &amp; 'Ext Nontradable'!$AZ$23 &amp; AX$9),"")</f>
        <v/>
      </c>
      <c r="AY30" s="700" t="str">
        <f ca="1">IF(INDIRECT("'Ext Nontradable'!$B" &amp; AY$9)=$B30,INDIRECT("'Ext Nontradable'!$" &amp; 'Ext Nontradable'!$AZ$23 &amp; AY$9),"")</f>
        <v/>
      </c>
      <c r="AZ30" s="700" t="str">
        <f ca="1">IF(INDIRECT("'Ext Nontradable'!$B" &amp; AZ$9)=$B30,INDIRECT("'Ext Nontradable'!$" &amp; 'Ext Nontradable'!$AZ$23 &amp; AZ$9),"")</f>
        <v/>
      </c>
      <c r="BA30" s="700" t="str">
        <f ca="1">IF(INDIRECT("'Ext Nontradable'!$B" &amp; BA$9)=$B30,INDIRECT("'Ext Nontradable'!$" &amp; 'Ext Nontradable'!$AZ$23 &amp; BA$9),"")</f>
        <v/>
      </c>
      <c r="BB30" s="700" t="str">
        <f ca="1">IF(INDIRECT("'Ext Nontradable'!$B" &amp; BB$9)=$B30,INDIRECT("'Ext Nontradable'!$" &amp; 'Ext Nontradable'!$AZ$23 &amp; BB$9),"")</f>
        <v/>
      </c>
      <c r="BC30" s="700" t="str">
        <f ca="1">IF(INDIRECT("'Ext Nontradable'!$B" &amp; BC$9)=$B30,INDIRECT("'Ext Nontradable'!$" &amp; 'Ext Nontradable'!$AZ$23 &amp; BC$9),"")</f>
        <v/>
      </c>
      <c r="BD30" s="700" t="str">
        <f ca="1">IF(INDIRECT("'Ext Nontradable'!$B" &amp; BD$9)=$B30,INDIRECT("'Ext Nontradable'!$" &amp; 'Ext Nontradable'!$AZ$23 &amp; BD$9),"")</f>
        <v/>
      </c>
      <c r="BE30" s="700" t="str">
        <f ca="1">IF(INDIRECT("'Ext Nontradable'!$B" &amp; BE$9)=$B30,INDIRECT("'Ext Nontradable'!$" &amp; 'Ext Nontradable'!$AZ$23 &amp; BE$9),"")</f>
        <v/>
      </c>
      <c r="BF30" s="700" t="str">
        <f ca="1">IF(INDIRECT("'Ext Nontradable'!$B" &amp; BF$9)=$B30,INDIRECT("'Ext Nontradable'!$" &amp; 'Ext Nontradable'!$AZ$23 &amp; BF$9),"")</f>
        <v/>
      </c>
      <c r="BG30" s="700" t="str">
        <f ca="1">IF(INDIRECT("'Ext Nontradable'!$B" &amp; BG$9)=$B30,INDIRECT("'Ext Nontradable'!$" &amp; 'Ext Nontradable'!$AZ$23 &amp; BG$9),"")</f>
        <v/>
      </c>
      <c r="BH30" s="700" t="str">
        <f ca="1">IF(INDIRECT("'Ext Nontradable'!$B" &amp; BH$9)=$B30,INDIRECT("'Ext Nontradable'!$" &amp; 'Ext Nontradable'!$AZ$23 &amp; BH$9),"")</f>
        <v/>
      </c>
      <c r="BI30" s="700" t="str">
        <f ca="1">IF(INDIRECT("'Ext Nontradable'!$B" &amp; BI$9)=$B30,INDIRECT("'Ext Nontradable'!$" &amp; 'Ext Nontradable'!$AZ$23 &amp; BI$9),"")</f>
        <v/>
      </c>
      <c r="BJ30" s="700" t="str">
        <f ca="1">IF(INDIRECT("'Ext Nontradable'!$B" &amp; BJ$9)=$B30,INDIRECT("'Ext Nontradable'!$" &amp; 'Ext Nontradable'!$AZ$23 &amp; BJ$9),"")</f>
        <v/>
      </c>
      <c r="BK30" s="700" t="str">
        <f ca="1">IF(INDIRECT("'Ext Nontradable'!$B" &amp; BK$9)=$B30,INDIRECT("'Ext Nontradable'!$" &amp; 'Ext Nontradable'!$AZ$23 &amp; BK$9),"")</f>
        <v/>
      </c>
      <c r="BL30" s="700" t="str">
        <f ca="1">IF(INDIRECT("'Ext Nontradable'!$B" &amp; BL$9)=$B30,INDIRECT("'Ext Nontradable'!$" &amp; 'Ext Nontradable'!$AZ$23 &amp; BL$9),"")</f>
        <v/>
      </c>
      <c r="BM30" s="700" t="str">
        <f ca="1">IF(INDIRECT("'Ext Nontradable'!$B" &amp; BM$9)=$B30,INDIRECT("'Ext Nontradable'!$" &amp; 'Ext Nontradable'!$AZ$23 &amp; BM$9),"")</f>
        <v/>
      </c>
      <c r="BN30" s="700">
        <f ca="1">IF(INDIRECT("'Ext Nontradable'!$B" &amp; BN$9)=$B30,INDIRECT("'Ext Nontradable'!$" &amp; 'Ext Nontradable'!$AZ$23 &amp; BN$9),"")</f>
        <v>0</v>
      </c>
      <c r="BO30" s="700">
        <f ca="1">IF(INDIRECT("'Ext Nontradable'!$B" &amp; BO$9)=$B30,INDIRECT("'Ext Nontradable'!$" &amp; 'Ext Nontradable'!$AZ$23 &amp; BO$9),"")</f>
        <v>0</v>
      </c>
      <c r="BP30" s="700">
        <f ca="1">IF(INDIRECT("'Ext Nontradable'!$B" &amp; BP$9)=$B30,INDIRECT("'Ext Nontradable'!$" &amp; 'Ext Nontradable'!$AZ$23 &amp; BP$9),"")</f>
        <v>0</v>
      </c>
      <c r="BQ30" s="700">
        <f ca="1">IF(INDIRECT("'Ext Nontradable'!$B" &amp; BQ$9)=$B30,INDIRECT("'Ext Nontradable'!$" &amp; 'Ext Nontradable'!$AZ$23 &amp; BQ$9),"")</f>
        <v>0</v>
      </c>
      <c r="BR30" s="700">
        <f ca="1">IF(INDIRECT("'Ext Nontradable'!$B" &amp; BR$9)=$B30,INDIRECT("'Ext Nontradable'!$" &amp; 'Ext Nontradable'!$AZ$23 &amp; BR$9),"")</f>
        <v>0</v>
      </c>
      <c r="BS30" s="700">
        <f ca="1">IF(INDIRECT("'Ext Nontradable'!$B" &amp; BS$9)=$B30,INDIRECT("'Ext Nontradable'!$" &amp; 'Ext Nontradable'!$AZ$23 &amp; BS$9),"")</f>
        <v>0</v>
      </c>
      <c r="BT30" s="700">
        <f ca="1">IF(INDIRECT("'Ext Nontradable'!$B" &amp; BT$9)=$B30,INDIRECT("'Ext Nontradable'!$" &amp; 'Ext Nontradable'!$AZ$23 &amp; BT$9),"")</f>
        <v>0</v>
      </c>
      <c r="BU30" s="700">
        <f ca="1">IF(INDIRECT("'Ext Nontradable'!$B" &amp; BU$9)=$B30,INDIRECT("'Ext Nontradable'!$" &amp; 'Ext Nontradable'!$AZ$23 &amp; BU$9),"")</f>
        <v>0</v>
      </c>
      <c r="BV30" s="700">
        <f ca="1">IF(INDIRECT("'Ext Nontradable'!$B" &amp; BV$9)=$B30,INDIRECT("'Ext Nontradable'!$" &amp; 'Ext Nontradable'!$AZ$23 &amp; BV$9),"")</f>
        <v>0</v>
      </c>
      <c r="BW30" s="700">
        <f ca="1">IF(INDIRECT("'Ext Nontradable'!$B" &amp; BW$9)=$B30,INDIRECT("'Ext Nontradable'!$" &amp; 'Ext Nontradable'!$AZ$23 &amp; BW$9),"")</f>
        <v>0</v>
      </c>
      <c r="BX30" s="700">
        <f ca="1">IF(INDIRECT("'Ext Nontradable'!$B" &amp; BX$9)=$B30,INDIRECT("'Ext Nontradable'!$" &amp; 'Ext Nontradable'!$AZ$23 &amp; BX$9),"")</f>
        <v>0</v>
      </c>
      <c r="BY30" s="700">
        <f ca="1">IF(INDIRECT("'Ext Nontradable'!$B" &amp; BY$9)=$B30,INDIRECT("'Ext Nontradable'!$" &amp; 'Ext Nontradable'!$AZ$23 &amp; BY$9),"")</f>
        <v>0</v>
      </c>
      <c r="BZ30" s="700">
        <f ca="1">IF(INDIRECT("'Ext Nontradable'!$B" &amp; BZ$9)=$B30,INDIRECT("'Ext Nontradable'!$" &amp; 'Ext Nontradable'!$AZ$23 &amp; BZ$9),"")</f>
        <v>0</v>
      </c>
      <c r="CA30" s="700">
        <f ca="1">IF(INDIRECT("'Ext Nontradable'!$B" &amp; CA$9)=$B30,INDIRECT("'Ext Nontradable'!$" &amp; 'Ext Nontradable'!$AZ$23 &amp; CA$9),"")</f>
        <v>0</v>
      </c>
      <c r="CB30" s="700">
        <f ca="1">IF(INDIRECT("'Ext Nontradable'!$B" &amp; CB$9)=$B30,INDIRECT("'Ext Nontradable'!$" &amp; 'Ext Nontradable'!$AZ$23 &amp; CB$9),"")</f>
        <v>0</v>
      </c>
      <c r="CC30" s="700">
        <f ca="1">IF(INDIRECT("'Ext Nontradable'!$B" &amp; CC$9)=$B30,INDIRECT("'Ext Nontradable'!$" &amp; 'Ext Nontradable'!$AZ$23 &amp; CC$9),"")</f>
        <v>0</v>
      </c>
      <c r="CD30" s="700">
        <f ca="1">IF(INDIRECT("'Ext Nontradable'!$B" &amp; CD$9)=$B30,INDIRECT("'Ext Nontradable'!$" &amp; 'Ext Nontradable'!$AZ$23 &amp; CD$9),"")</f>
        <v>0</v>
      </c>
      <c r="CE30" s="700">
        <f ca="1">IF(INDIRECT("'Ext Nontradable'!$B" &amp; CE$9)=$B30,INDIRECT("'Ext Nontradable'!$" &amp; 'Ext Nontradable'!$AZ$23 &amp; CE$9),"")</f>
        <v>0</v>
      </c>
      <c r="CF30" s="700">
        <f ca="1">IF(INDIRECT("'Ext Nontradable'!$B" &amp; CF$9)=$B30,INDIRECT("'Ext Nontradable'!$" &amp; 'Ext Nontradable'!$AZ$23 &amp; CF$9),"")</f>
        <v>0</v>
      </c>
      <c r="CG30" s="700">
        <f ca="1">IF(INDIRECT("'Ext Nontradable'!$B" &amp; CG$9)=$B30,INDIRECT("'Ext Nontradable'!$" &amp; 'Ext Nontradable'!$AZ$23 &amp; CG$9),"")</f>
        <v>0</v>
      </c>
      <c r="CH30" s="700">
        <f ca="1">IF(INDIRECT("'Ext Nontradable'!$B" &amp; CH$9)=$B30,INDIRECT("'Ext Nontradable'!$" &amp; 'Ext Nontradable'!$AZ$23 &amp; CH$9),"")</f>
        <v>0</v>
      </c>
      <c r="CI30" s="700">
        <f ca="1">IF(INDIRECT("'Ext Nontradable'!$B" &amp; CI$9)=$B30,INDIRECT("'Ext Nontradable'!$" &amp; 'Ext Nontradable'!$AZ$23 &amp; CI$9),"")</f>
        <v>0</v>
      </c>
      <c r="CJ30" s="700">
        <f ca="1">IF(INDIRECT("'Ext Nontradable'!$B" &amp; CJ$9)=$B30,INDIRECT("'Ext Nontradable'!$" &amp; 'Ext Nontradable'!$AZ$23 &amp; CJ$9),"")</f>
        <v>0</v>
      </c>
      <c r="CK30" s="700">
        <f ca="1">IF(INDIRECT("'Ext Nontradable'!$B" &amp; CK$9)=$B30,INDIRECT("'Ext Nontradable'!$" &amp; 'Ext Nontradable'!$AZ$23 &amp; CK$9),"")</f>
        <v>0</v>
      </c>
      <c r="CL30" s="700">
        <f ca="1">IF(INDIRECT("'Ext Nontradable'!$B" &amp; CL$9)=$B30,INDIRECT("'Ext Nontradable'!$" &amp; 'Ext Nontradable'!$AZ$23 &amp; CL$9),"")</f>
        <v>0</v>
      </c>
      <c r="CM30" s="700">
        <f ca="1">IF(INDIRECT("'Ext Nontradable'!$B" &amp; CM$9)=$B30,INDIRECT("'Ext Nontradable'!$" &amp; 'Ext Nontradable'!$AZ$23 &amp; CM$9),"")</f>
        <v>0</v>
      </c>
      <c r="CN30" s="700">
        <f ca="1">IF(INDIRECT("'Ext Nontradable'!$B" &amp; CN$9)=$B30,INDIRECT("'Ext Nontradable'!$" &amp; 'Ext Nontradable'!$AZ$23 &amp; CN$9),"")</f>
        <v>0</v>
      </c>
      <c r="CO30" s="700">
        <f ca="1">IF(INDIRECT("'Ext Nontradable'!$B" &amp; CO$9)=$B30,INDIRECT("'Ext Nontradable'!$" &amp; 'Ext Nontradable'!$AZ$23 &amp; CO$9),"")</f>
        <v>0</v>
      </c>
      <c r="CP30" s="700">
        <f ca="1">IF(INDIRECT("'Ext Nontradable'!$B" &amp; CP$9)=$B30,INDIRECT("'Ext Nontradable'!$" &amp; 'Ext Nontradable'!$AZ$23 &amp; CP$9),"")</f>
        <v>0</v>
      </c>
      <c r="CQ30" s="700">
        <f ca="1">IF(INDIRECT("'Ext Nontradable'!$B" &amp; CQ$9)=$B30,INDIRECT("'Ext Nontradable'!$" &amp; 'Ext Nontradable'!$AZ$23 &amp; CQ$9),"")</f>
        <v>0</v>
      </c>
      <c r="CR30" s="702" t="str">
        <f t="shared" ca="1" si="25"/>
        <v>000000000000000000000000000000</v>
      </c>
    </row>
    <row r="31" spans="1:96" ht="60" customHeight="1" x14ac:dyDescent="0.25">
      <c r="A31" s="705">
        <v>22</v>
      </c>
      <c r="B31" s="707" t="str">
        <f>'Ext Area Schedule'!AK37</f>
        <v/>
      </c>
      <c r="C31" s="707" t="str">
        <f>VLOOKUP($B31,'Ext Area Schedule'!$AK$16:$AO$65,3,FALSE)</f>
        <v/>
      </c>
      <c r="D31" s="792" t="str">
        <f>VLOOKUP($B31,'Ext Area Schedule'!$AK$16:$AO$65,4,FALSE)</f>
        <v/>
      </c>
      <c r="F31" s="792" t="str">
        <f>VLOOKUP($B31,'Ext Area Schedule'!$AK$16:$AO$65,5,FALSE)</f>
        <v/>
      </c>
      <c r="G31" s="792" t="str">
        <f>VLOOKUP($B31,'Ext Area Schedule'!$AK$16:$AO$65,5,FALSE)</f>
        <v/>
      </c>
      <c r="I31" s="703" t="str">
        <f t="shared" si="1"/>
        <v/>
      </c>
      <c r="K31" s="703" t="str">
        <f>IF($B31="","",SUMIFS('Ext Nontradable'!$M$26:$M$45,'Ext Nontradable'!$B$26:$B$45,$B31,'Ext Nontradable'!$U$26:$U$45,"New"))</f>
        <v/>
      </c>
      <c r="L31" s="703" t="str">
        <f>IF($B31="","",SUMIFS('Ext Nontradable'!$M$26:$M$45,'Ext Nontradable'!$B$26:$B$45,$B31,'Ext Nontradable'!$U$26:$U$45,""))</f>
        <v/>
      </c>
      <c r="M31" s="703" t="str">
        <f>IF($B31="","",SUMIFS('Ext Nontradable'!$K$26:$K$45,'Ext Nontradable'!$B$26:$B$45,$B31,'Ext Nontradable'!$U$26:$U$45,"New")+SUMIFS('Ext Nontradable'!$K$26:$K$45,'Ext Nontradable'!$B$26:$B$45,$B31,'Ext Nontradable'!$U$26:$U$45,""))</f>
        <v/>
      </c>
      <c r="N31" s="703" t="str">
        <f>IF($B31="","",SUMIFS('Ext Nontradable'!$M$26:$M$45,'Ext Nontradable'!$B$26:$B$45,$B31,'Ext Nontradable'!$U$26:$U$45,"Existing Remains"))</f>
        <v/>
      </c>
      <c r="O31" s="703" t="str">
        <f>IF($B31="","",SUMIFS('Ext Nontradable'!$M$26:$M$45,'Ext Nontradable'!$B$26:$B$45,$B31,'Ext Nontradable'!$U$26:$U$45,"Existing Removed"))</f>
        <v/>
      </c>
      <c r="P31" s="703" t="str">
        <f>IF($B31="","",SUMIFS('Ext Nontradable'!$K$26:$K$45,'Ext Nontradable'!$B$26:$B$45,$B31,'Ext Nontradable'!$U$26:$U$45,"Existing Removed"))</f>
        <v/>
      </c>
      <c r="Q31" s="703" t="str">
        <f t="shared" si="2"/>
        <v/>
      </c>
      <c r="R31" s="703" t="str">
        <f t="shared" si="7"/>
        <v/>
      </c>
      <c r="S31" s="703">
        <f t="shared" si="8"/>
        <v>0</v>
      </c>
      <c r="T31" s="954">
        <f t="shared" si="20"/>
        <v>0</v>
      </c>
      <c r="U31" s="954">
        <f t="shared" si="21"/>
        <v>0</v>
      </c>
      <c r="V31" s="1115" t="str">
        <f t="shared" si="22"/>
        <v/>
      </c>
      <c r="W31" s="712" t="str">
        <f t="shared" si="23"/>
        <v/>
      </c>
      <c r="X31" s="857"/>
      <c r="Y31" s="720" t="str">
        <f t="shared" si="24"/>
        <v/>
      </c>
      <c r="Z31" s="721" t="str">
        <f t="shared" si="9"/>
        <v/>
      </c>
      <c r="AA31" s="721" t="str">
        <f t="shared" si="10"/>
        <v/>
      </c>
      <c r="AB31" s="719" t="str">
        <f t="shared" si="4"/>
        <v/>
      </c>
      <c r="AC31" s="857"/>
      <c r="AD31" s="717" t="str">
        <f t="shared" si="11"/>
        <v/>
      </c>
      <c r="AE31" s="718" t="str">
        <f t="shared" si="12"/>
        <v/>
      </c>
      <c r="AF31" s="719" t="str">
        <f t="shared" si="5"/>
        <v/>
      </c>
      <c r="AG31" s="726"/>
      <c r="AH31" s="727" t="str">
        <f t="shared" si="13"/>
        <v/>
      </c>
      <c r="AI31" s="703" t="str">
        <f t="shared" si="14"/>
        <v/>
      </c>
      <c r="AJ31" s="703" t="str">
        <f t="shared" si="15"/>
        <v/>
      </c>
      <c r="AL31" s="1075" t="str">
        <f t="shared" si="16"/>
        <v/>
      </c>
      <c r="AM31" s="855" t="str">
        <f t="shared" si="18"/>
        <v/>
      </c>
      <c r="AN31" s="707" t="str">
        <f>IF(OR(AL31="Fail",AL31="Fail LPA",AL31=""),"",IF(AM31&lt;&gt;"#1",VLOOKUP(C31,'9.4.3 Tables'!B$156:O$164,14,FALSE),"No NEW controls required"))</f>
        <v/>
      </c>
      <c r="AO31" s="703">
        <f t="shared" si="19"/>
        <v>0</v>
      </c>
      <c r="AR31">
        <v>22</v>
      </c>
      <c r="AS31" s="15" t="str">
        <f t="shared" si="17"/>
        <v/>
      </c>
      <c r="AT31" s="700" t="str">
        <f ca="1">IF(INDIRECT("'Ext Nontradable'!$B" &amp; AT$9)=$B31,INDIRECT("'Ext Nontradable'!$" &amp; 'Ext Nontradable'!$AZ$23 &amp; AT$9),"")</f>
        <v/>
      </c>
      <c r="AU31" s="700" t="str">
        <f ca="1">IF(INDIRECT("'Ext Nontradable'!$B" &amp; AU$9)=$B31,INDIRECT("'Ext Nontradable'!$" &amp; 'Ext Nontradable'!$AZ$23 &amp; AU$9),"")</f>
        <v/>
      </c>
      <c r="AV31" s="700" t="str">
        <f ca="1">IF(INDIRECT("'Ext Nontradable'!$B" &amp; AV$9)=$B31,INDIRECT("'Ext Nontradable'!$" &amp; 'Ext Nontradable'!$AZ$23 &amp; AV$9),"")</f>
        <v/>
      </c>
      <c r="AW31" s="700" t="str">
        <f ca="1">IF(INDIRECT("'Ext Nontradable'!$B" &amp; AW$9)=$B31,INDIRECT("'Ext Nontradable'!$" &amp; 'Ext Nontradable'!$AZ$23 &amp; AW$9),"")</f>
        <v/>
      </c>
      <c r="AX31" s="700" t="str">
        <f ca="1">IF(INDIRECT("'Ext Nontradable'!$B" &amp; AX$9)=$B31,INDIRECT("'Ext Nontradable'!$" &amp; 'Ext Nontradable'!$AZ$23 &amp; AX$9),"")</f>
        <v/>
      </c>
      <c r="AY31" s="700" t="str">
        <f ca="1">IF(INDIRECT("'Ext Nontradable'!$B" &amp; AY$9)=$B31,INDIRECT("'Ext Nontradable'!$" &amp; 'Ext Nontradable'!$AZ$23 &amp; AY$9),"")</f>
        <v/>
      </c>
      <c r="AZ31" s="700" t="str">
        <f ca="1">IF(INDIRECT("'Ext Nontradable'!$B" &amp; AZ$9)=$B31,INDIRECT("'Ext Nontradable'!$" &amp; 'Ext Nontradable'!$AZ$23 &amp; AZ$9),"")</f>
        <v/>
      </c>
      <c r="BA31" s="700" t="str">
        <f ca="1">IF(INDIRECT("'Ext Nontradable'!$B" &amp; BA$9)=$B31,INDIRECT("'Ext Nontradable'!$" &amp; 'Ext Nontradable'!$AZ$23 &amp; BA$9),"")</f>
        <v/>
      </c>
      <c r="BB31" s="700" t="str">
        <f ca="1">IF(INDIRECT("'Ext Nontradable'!$B" &amp; BB$9)=$B31,INDIRECT("'Ext Nontradable'!$" &amp; 'Ext Nontradable'!$AZ$23 &amp; BB$9),"")</f>
        <v/>
      </c>
      <c r="BC31" s="700" t="str">
        <f ca="1">IF(INDIRECT("'Ext Nontradable'!$B" &amp; BC$9)=$B31,INDIRECT("'Ext Nontradable'!$" &amp; 'Ext Nontradable'!$AZ$23 &amp; BC$9),"")</f>
        <v/>
      </c>
      <c r="BD31" s="700" t="str">
        <f ca="1">IF(INDIRECT("'Ext Nontradable'!$B" &amp; BD$9)=$B31,INDIRECT("'Ext Nontradable'!$" &amp; 'Ext Nontradable'!$AZ$23 &amp; BD$9),"")</f>
        <v/>
      </c>
      <c r="BE31" s="700" t="str">
        <f ca="1">IF(INDIRECT("'Ext Nontradable'!$B" &amp; BE$9)=$B31,INDIRECT("'Ext Nontradable'!$" &amp; 'Ext Nontradable'!$AZ$23 &amp; BE$9),"")</f>
        <v/>
      </c>
      <c r="BF31" s="700" t="str">
        <f ca="1">IF(INDIRECT("'Ext Nontradable'!$B" &amp; BF$9)=$B31,INDIRECT("'Ext Nontradable'!$" &amp; 'Ext Nontradable'!$AZ$23 &amp; BF$9),"")</f>
        <v/>
      </c>
      <c r="BG31" s="700" t="str">
        <f ca="1">IF(INDIRECT("'Ext Nontradable'!$B" &amp; BG$9)=$B31,INDIRECT("'Ext Nontradable'!$" &amp; 'Ext Nontradable'!$AZ$23 &amp; BG$9),"")</f>
        <v/>
      </c>
      <c r="BH31" s="700" t="str">
        <f ca="1">IF(INDIRECT("'Ext Nontradable'!$B" &amp; BH$9)=$B31,INDIRECT("'Ext Nontradable'!$" &amp; 'Ext Nontradable'!$AZ$23 &amp; BH$9),"")</f>
        <v/>
      </c>
      <c r="BI31" s="700" t="str">
        <f ca="1">IF(INDIRECT("'Ext Nontradable'!$B" &amp; BI$9)=$B31,INDIRECT("'Ext Nontradable'!$" &amp; 'Ext Nontradable'!$AZ$23 &amp; BI$9),"")</f>
        <v/>
      </c>
      <c r="BJ31" s="700" t="str">
        <f ca="1">IF(INDIRECT("'Ext Nontradable'!$B" &amp; BJ$9)=$B31,INDIRECT("'Ext Nontradable'!$" &amp; 'Ext Nontradable'!$AZ$23 &amp; BJ$9),"")</f>
        <v/>
      </c>
      <c r="BK31" s="700" t="str">
        <f ca="1">IF(INDIRECT("'Ext Nontradable'!$B" &amp; BK$9)=$B31,INDIRECT("'Ext Nontradable'!$" &amp; 'Ext Nontradable'!$AZ$23 &amp; BK$9),"")</f>
        <v/>
      </c>
      <c r="BL31" s="700" t="str">
        <f ca="1">IF(INDIRECT("'Ext Nontradable'!$B" &amp; BL$9)=$B31,INDIRECT("'Ext Nontradable'!$" &amp; 'Ext Nontradable'!$AZ$23 &amp; BL$9),"")</f>
        <v/>
      </c>
      <c r="BM31" s="700" t="str">
        <f ca="1">IF(INDIRECT("'Ext Nontradable'!$B" &amp; BM$9)=$B31,INDIRECT("'Ext Nontradable'!$" &amp; 'Ext Nontradable'!$AZ$23 &amp; BM$9),"")</f>
        <v/>
      </c>
      <c r="BN31" s="700">
        <f ca="1">IF(INDIRECT("'Ext Nontradable'!$B" &amp; BN$9)=$B31,INDIRECT("'Ext Nontradable'!$" &amp; 'Ext Nontradable'!$AZ$23 &amp; BN$9),"")</f>
        <v>0</v>
      </c>
      <c r="BO31" s="700">
        <f ca="1">IF(INDIRECT("'Ext Nontradable'!$B" &amp; BO$9)=$B31,INDIRECT("'Ext Nontradable'!$" &amp; 'Ext Nontradable'!$AZ$23 &amp; BO$9),"")</f>
        <v>0</v>
      </c>
      <c r="BP31" s="700">
        <f ca="1">IF(INDIRECT("'Ext Nontradable'!$B" &amp; BP$9)=$B31,INDIRECT("'Ext Nontradable'!$" &amp; 'Ext Nontradable'!$AZ$23 &amp; BP$9),"")</f>
        <v>0</v>
      </c>
      <c r="BQ31" s="700">
        <f ca="1">IF(INDIRECT("'Ext Nontradable'!$B" &amp; BQ$9)=$B31,INDIRECT("'Ext Nontradable'!$" &amp; 'Ext Nontradable'!$AZ$23 &amp; BQ$9),"")</f>
        <v>0</v>
      </c>
      <c r="BR31" s="700">
        <f ca="1">IF(INDIRECT("'Ext Nontradable'!$B" &amp; BR$9)=$B31,INDIRECT("'Ext Nontradable'!$" &amp; 'Ext Nontradable'!$AZ$23 &amp; BR$9),"")</f>
        <v>0</v>
      </c>
      <c r="BS31" s="700">
        <f ca="1">IF(INDIRECT("'Ext Nontradable'!$B" &amp; BS$9)=$B31,INDIRECT("'Ext Nontradable'!$" &amp; 'Ext Nontradable'!$AZ$23 &amp; BS$9),"")</f>
        <v>0</v>
      </c>
      <c r="BT31" s="700">
        <f ca="1">IF(INDIRECT("'Ext Nontradable'!$B" &amp; BT$9)=$B31,INDIRECT("'Ext Nontradable'!$" &amp; 'Ext Nontradable'!$AZ$23 &amp; BT$9),"")</f>
        <v>0</v>
      </c>
      <c r="BU31" s="700">
        <f ca="1">IF(INDIRECT("'Ext Nontradable'!$B" &amp; BU$9)=$B31,INDIRECT("'Ext Nontradable'!$" &amp; 'Ext Nontradable'!$AZ$23 &amp; BU$9),"")</f>
        <v>0</v>
      </c>
      <c r="BV31" s="700">
        <f ca="1">IF(INDIRECT("'Ext Nontradable'!$B" &amp; BV$9)=$B31,INDIRECT("'Ext Nontradable'!$" &amp; 'Ext Nontradable'!$AZ$23 &amp; BV$9),"")</f>
        <v>0</v>
      </c>
      <c r="BW31" s="700">
        <f ca="1">IF(INDIRECT("'Ext Nontradable'!$B" &amp; BW$9)=$B31,INDIRECT("'Ext Nontradable'!$" &amp; 'Ext Nontradable'!$AZ$23 &amp; BW$9),"")</f>
        <v>0</v>
      </c>
      <c r="BX31" s="700">
        <f ca="1">IF(INDIRECT("'Ext Nontradable'!$B" &amp; BX$9)=$B31,INDIRECT("'Ext Nontradable'!$" &amp; 'Ext Nontradable'!$AZ$23 &amp; BX$9),"")</f>
        <v>0</v>
      </c>
      <c r="BY31" s="700">
        <f ca="1">IF(INDIRECT("'Ext Nontradable'!$B" &amp; BY$9)=$B31,INDIRECT("'Ext Nontradable'!$" &amp; 'Ext Nontradable'!$AZ$23 &amp; BY$9),"")</f>
        <v>0</v>
      </c>
      <c r="BZ31" s="700">
        <f ca="1">IF(INDIRECT("'Ext Nontradable'!$B" &amp; BZ$9)=$B31,INDIRECT("'Ext Nontradable'!$" &amp; 'Ext Nontradable'!$AZ$23 &amp; BZ$9),"")</f>
        <v>0</v>
      </c>
      <c r="CA31" s="700">
        <f ca="1">IF(INDIRECT("'Ext Nontradable'!$B" &amp; CA$9)=$B31,INDIRECT("'Ext Nontradable'!$" &amp; 'Ext Nontradable'!$AZ$23 &amp; CA$9),"")</f>
        <v>0</v>
      </c>
      <c r="CB31" s="700">
        <f ca="1">IF(INDIRECT("'Ext Nontradable'!$B" &amp; CB$9)=$B31,INDIRECT("'Ext Nontradable'!$" &amp; 'Ext Nontradable'!$AZ$23 &amp; CB$9),"")</f>
        <v>0</v>
      </c>
      <c r="CC31" s="700">
        <f ca="1">IF(INDIRECT("'Ext Nontradable'!$B" &amp; CC$9)=$B31,INDIRECT("'Ext Nontradable'!$" &amp; 'Ext Nontradable'!$AZ$23 &amp; CC$9),"")</f>
        <v>0</v>
      </c>
      <c r="CD31" s="700">
        <f ca="1">IF(INDIRECT("'Ext Nontradable'!$B" &amp; CD$9)=$B31,INDIRECT("'Ext Nontradable'!$" &amp; 'Ext Nontradable'!$AZ$23 &amp; CD$9),"")</f>
        <v>0</v>
      </c>
      <c r="CE31" s="700">
        <f ca="1">IF(INDIRECT("'Ext Nontradable'!$B" &amp; CE$9)=$B31,INDIRECT("'Ext Nontradable'!$" &amp; 'Ext Nontradable'!$AZ$23 &amp; CE$9),"")</f>
        <v>0</v>
      </c>
      <c r="CF31" s="700">
        <f ca="1">IF(INDIRECT("'Ext Nontradable'!$B" &amp; CF$9)=$B31,INDIRECT("'Ext Nontradable'!$" &amp; 'Ext Nontradable'!$AZ$23 &amp; CF$9),"")</f>
        <v>0</v>
      </c>
      <c r="CG31" s="700">
        <f ca="1">IF(INDIRECT("'Ext Nontradable'!$B" &amp; CG$9)=$B31,INDIRECT("'Ext Nontradable'!$" &amp; 'Ext Nontradable'!$AZ$23 &amp; CG$9),"")</f>
        <v>0</v>
      </c>
      <c r="CH31" s="700">
        <f ca="1">IF(INDIRECT("'Ext Nontradable'!$B" &amp; CH$9)=$B31,INDIRECT("'Ext Nontradable'!$" &amp; 'Ext Nontradable'!$AZ$23 &amp; CH$9),"")</f>
        <v>0</v>
      </c>
      <c r="CI31" s="700">
        <f ca="1">IF(INDIRECT("'Ext Nontradable'!$B" &amp; CI$9)=$B31,INDIRECT("'Ext Nontradable'!$" &amp; 'Ext Nontradable'!$AZ$23 &amp; CI$9),"")</f>
        <v>0</v>
      </c>
      <c r="CJ31" s="700">
        <f ca="1">IF(INDIRECT("'Ext Nontradable'!$B" &amp; CJ$9)=$B31,INDIRECT("'Ext Nontradable'!$" &amp; 'Ext Nontradable'!$AZ$23 &amp; CJ$9),"")</f>
        <v>0</v>
      </c>
      <c r="CK31" s="700">
        <f ca="1">IF(INDIRECT("'Ext Nontradable'!$B" &amp; CK$9)=$B31,INDIRECT("'Ext Nontradable'!$" &amp; 'Ext Nontradable'!$AZ$23 &amp; CK$9),"")</f>
        <v>0</v>
      </c>
      <c r="CL31" s="700">
        <f ca="1">IF(INDIRECT("'Ext Nontradable'!$B" &amp; CL$9)=$B31,INDIRECT("'Ext Nontradable'!$" &amp; 'Ext Nontradable'!$AZ$23 &amp; CL$9),"")</f>
        <v>0</v>
      </c>
      <c r="CM31" s="700">
        <f ca="1">IF(INDIRECT("'Ext Nontradable'!$B" &amp; CM$9)=$B31,INDIRECT("'Ext Nontradable'!$" &amp; 'Ext Nontradable'!$AZ$23 &amp; CM$9),"")</f>
        <v>0</v>
      </c>
      <c r="CN31" s="700">
        <f ca="1">IF(INDIRECT("'Ext Nontradable'!$B" &amp; CN$9)=$B31,INDIRECT("'Ext Nontradable'!$" &amp; 'Ext Nontradable'!$AZ$23 &amp; CN$9),"")</f>
        <v>0</v>
      </c>
      <c r="CO31" s="700">
        <f ca="1">IF(INDIRECT("'Ext Nontradable'!$B" &amp; CO$9)=$B31,INDIRECT("'Ext Nontradable'!$" &amp; 'Ext Nontradable'!$AZ$23 &amp; CO$9),"")</f>
        <v>0</v>
      </c>
      <c r="CP31" s="700">
        <f ca="1">IF(INDIRECT("'Ext Nontradable'!$B" &amp; CP$9)=$B31,INDIRECT("'Ext Nontradable'!$" &amp; 'Ext Nontradable'!$AZ$23 &amp; CP$9),"")</f>
        <v>0</v>
      </c>
      <c r="CQ31" s="700">
        <f ca="1">IF(INDIRECT("'Ext Nontradable'!$B" &amp; CQ$9)=$B31,INDIRECT("'Ext Nontradable'!$" &amp; 'Ext Nontradable'!$AZ$23 &amp; CQ$9),"")</f>
        <v>0</v>
      </c>
      <c r="CR31" s="702" t="str">
        <f t="shared" ca="1" si="25"/>
        <v>000000000000000000000000000000</v>
      </c>
    </row>
    <row r="32" spans="1:96" ht="60" customHeight="1" x14ac:dyDescent="0.25">
      <c r="A32" s="705">
        <v>23</v>
      </c>
      <c r="B32" s="707" t="str">
        <f>'Ext Area Schedule'!AK38</f>
        <v/>
      </c>
      <c r="C32" s="707" t="str">
        <f>VLOOKUP($B32,'Ext Area Schedule'!$AK$16:$AO$65,3,FALSE)</f>
        <v/>
      </c>
      <c r="D32" s="792" t="str">
        <f>VLOOKUP($B32,'Ext Area Schedule'!$AK$16:$AO$65,4,FALSE)</f>
        <v/>
      </c>
      <c r="F32" s="792" t="str">
        <f>VLOOKUP($B32,'Ext Area Schedule'!$AK$16:$AO$65,5,FALSE)</f>
        <v/>
      </c>
      <c r="G32" s="792" t="str">
        <f>VLOOKUP($B32,'Ext Area Schedule'!$AK$16:$AO$65,5,FALSE)</f>
        <v/>
      </c>
      <c r="I32" s="703" t="str">
        <f t="shared" si="1"/>
        <v/>
      </c>
      <c r="K32" s="703" t="str">
        <f>IF($B32="","",SUMIFS('Ext Nontradable'!$M$26:$M$45,'Ext Nontradable'!$B$26:$B$45,$B32,'Ext Nontradable'!$U$26:$U$45,"New"))</f>
        <v/>
      </c>
      <c r="L32" s="703" t="str">
        <f>IF($B32="","",SUMIFS('Ext Nontradable'!$M$26:$M$45,'Ext Nontradable'!$B$26:$B$45,$B32,'Ext Nontradable'!$U$26:$U$45,""))</f>
        <v/>
      </c>
      <c r="M32" s="703" t="str">
        <f>IF($B32="","",SUMIFS('Ext Nontradable'!$K$26:$K$45,'Ext Nontradable'!$B$26:$B$45,$B32,'Ext Nontradable'!$U$26:$U$45,"New")+SUMIFS('Ext Nontradable'!$K$26:$K$45,'Ext Nontradable'!$B$26:$B$45,$B32,'Ext Nontradable'!$U$26:$U$45,""))</f>
        <v/>
      </c>
      <c r="N32" s="703" t="str">
        <f>IF($B32="","",SUMIFS('Ext Nontradable'!$M$26:$M$45,'Ext Nontradable'!$B$26:$B$45,$B32,'Ext Nontradable'!$U$26:$U$45,"Existing Remains"))</f>
        <v/>
      </c>
      <c r="O32" s="703" t="str">
        <f>IF($B32="","",SUMIFS('Ext Nontradable'!$M$26:$M$45,'Ext Nontradable'!$B$26:$B$45,$B32,'Ext Nontradable'!$U$26:$U$45,"Existing Removed"))</f>
        <v/>
      </c>
      <c r="P32" s="703" t="str">
        <f>IF($B32="","",SUMIFS('Ext Nontradable'!$K$26:$K$45,'Ext Nontradable'!$B$26:$B$45,$B32,'Ext Nontradable'!$U$26:$U$45,"Existing Removed"))</f>
        <v/>
      </c>
      <c r="Q32" s="703" t="str">
        <f t="shared" si="2"/>
        <v/>
      </c>
      <c r="R32" s="703" t="str">
        <f t="shared" si="7"/>
        <v/>
      </c>
      <c r="S32" s="703">
        <f t="shared" si="8"/>
        <v>0</v>
      </c>
      <c r="T32" s="954">
        <f t="shared" si="20"/>
        <v>0</v>
      </c>
      <c r="U32" s="954">
        <f t="shared" si="21"/>
        <v>0</v>
      </c>
      <c r="V32" s="1115" t="str">
        <f t="shared" si="22"/>
        <v/>
      </c>
      <c r="W32" s="712" t="str">
        <f t="shared" si="23"/>
        <v/>
      </c>
      <c r="X32" s="857"/>
      <c r="Y32" s="720" t="str">
        <f t="shared" si="24"/>
        <v/>
      </c>
      <c r="Z32" s="721" t="str">
        <f t="shared" si="9"/>
        <v/>
      </c>
      <c r="AA32" s="721" t="str">
        <f t="shared" si="10"/>
        <v/>
      </c>
      <c r="AB32" s="719" t="str">
        <f t="shared" si="4"/>
        <v/>
      </c>
      <c r="AC32" s="857"/>
      <c r="AD32" s="717" t="str">
        <f t="shared" si="11"/>
        <v/>
      </c>
      <c r="AE32" s="718" t="str">
        <f t="shared" si="12"/>
        <v/>
      </c>
      <c r="AF32" s="719" t="str">
        <f t="shared" si="5"/>
        <v/>
      </c>
      <c r="AG32" s="726"/>
      <c r="AH32" s="727" t="str">
        <f t="shared" si="13"/>
        <v/>
      </c>
      <c r="AI32" s="703" t="str">
        <f t="shared" si="14"/>
        <v/>
      </c>
      <c r="AJ32" s="703" t="str">
        <f t="shared" si="15"/>
        <v/>
      </c>
      <c r="AL32" s="1075" t="str">
        <f t="shared" si="16"/>
        <v/>
      </c>
      <c r="AM32" s="855" t="str">
        <f t="shared" si="18"/>
        <v/>
      </c>
      <c r="AN32" s="707" t="str">
        <f>IF(OR(AL32="Fail",AL32="Fail LPA",AL32=""),"",IF(AM32&lt;&gt;"#1",VLOOKUP(C32,'9.4.3 Tables'!B$156:O$164,14,FALSE),"No NEW controls required"))</f>
        <v/>
      </c>
      <c r="AO32" s="703">
        <f t="shared" si="19"/>
        <v>0</v>
      </c>
      <c r="AR32">
        <v>23</v>
      </c>
      <c r="AS32" s="15" t="str">
        <f t="shared" si="17"/>
        <v/>
      </c>
      <c r="AT32" s="700" t="str">
        <f ca="1">IF(INDIRECT("'Ext Nontradable'!$B" &amp; AT$9)=$B32,INDIRECT("'Ext Nontradable'!$" &amp; 'Ext Nontradable'!$AZ$23 &amp; AT$9),"")</f>
        <v/>
      </c>
      <c r="AU32" s="700" t="str">
        <f ca="1">IF(INDIRECT("'Ext Nontradable'!$B" &amp; AU$9)=$B32,INDIRECT("'Ext Nontradable'!$" &amp; 'Ext Nontradable'!$AZ$23 &amp; AU$9),"")</f>
        <v/>
      </c>
      <c r="AV32" s="700" t="str">
        <f ca="1">IF(INDIRECT("'Ext Nontradable'!$B" &amp; AV$9)=$B32,INDIRECT("'Ext Nontradable'!$" &amp; 'Ext Nontradable'!$AZ$23 &amp; AV$9),"")</f>
        <v/>
      </c>
      <c r="AW32" s="700" t="str">
        <f ca="1">IF(INDIRECT("'Ext Nontradable'!$B" &amp; AW$9)=$B32,INDIRECT("'Ext Nontradable'!$" &amp; 'Ext Nontradable'!$AZ$23 &amp; AW$9),"")</f>
        <v/>
      </c>
      <c r="AX32" s="700" t="str">
        <f ca="1">IF(INDIRECT("'Ext Nontradable'!$B" &amp; AX$9)=$B32,INDIRECT("'Ext Nontradable'!$" &amp; 'Ext Nontradable'!$AZ$23 &amp; AX$9),"")</f>
        <v/>
      </c>
      <c r="AY32" s="700" t="str">
        <f ca="1">IF(INDIRECT("'Ext Nontradable'!$B" &amp; AY$9)=$B32,INDIRECT("'Ext Nontradable'!$" &amp; 'Ext Nontradable'!$AZ$23 &amp; AY$9),"")</f>
        <v/>
      </c>
      <c r="AZ32" s="700" t="str">
        <f ca="1">IF(INDIRECT("'Ext Nontradable'!$B" &amp; AZ$9)=$B32,INDIRECT("'Ext Nontradable'!$" &amp; 'Ext Nontradable'!$AZ$23 &amp; AZ$9),"")</f>
        <v/>
      </c>
      <c r="BA32" s="700" t="str">
        <f ca="1">IF(INDIRECT("'Ext Nontradable'!$B" &amp; BA$9)=$B32,INDIRECT("'Ext Nontradable'!$" &amp; 'Ext Nontradable'!$AZ$23 &amp; BA$9),"")</f>
        <v/>
      </c>
      <c r="BB32" s="700" t="str">
        <f ca="1">IF(INDIRECT("'Ext Nontradable'!$B" &amp; BB$9)=$B32,INDIRECT("'Ext Nontradable'!$" &amp; 'Ext Nontradable'!$AZ$23 &amp; BB$9),"")</f>
        <v/>
      </c>
      <c r="BC32" s="700" t="str">
        <f ca="1">IF(INDIRECT("'Ext Nontradable'!$B" &amp; BC$9)=$B32,INDIRECT("'Ext Nontradable'!$" &amp; 'Ext Nontradable'!$AZ$23 &amp; BC$9),"")</f>
        <v/>
      </c>
      <c r="BD32" s="700" t="str">
        <f ca="1">IF(INDIRECT("'Ext Nontradable'!$B" &amp; BD$9)=$B32,INDIRECT("'Ext Nontradable'!$" &amp; 'Ext Nontradable'!$AZ$23 &amp; BD$9),"")</f>
        <v/>
      </c>
      <c r="BE32" s="700" t="str">
        <f ca="1">IF(INDIRECT("'Ext Nontradable'!$B" &amp; BE$9)=$B32,INDIRECT("'Ext Nontradable'!$" &amp; 'Ext Nontradable'!$AZ$23 &amp; BE$9),"")</f>
        <v/>
      </c>
      <c r="BF32" s="700" t="str">
        <f ca="1">IF(INDIRECT("'Ext Nontradable'!$B" &amp; BF$9)=$B32,INDIRECT("'Ext Nontradable'!$" &amp; 'Ext Nontradable'!$AZ$23 &amp; BF$9),"")</f>
        <v/>
      </c>
      <c r="BG32" s="700" t="str">
        <f ca="1">IF(INDIRECT("'Ext Nontradable'!$B" &amp; BG$9)=$B32,INDIRECT("'Ext Nontradable'!$" &amp; 'Ext Nontradable'!$AZ$23 &amp; BG$9),"")</f>
        <v/>
      </c>
      <c r="BH32" s="700" t="str">
        <f ca="1">IF(INDIRECT("'Ext Nontradable'!$B" &amp; BH$9)=$B32,INDIRECT("'Ext Nontradable'!$" &amp; 'Ext Nontradable'!$AZ$23 &amp; BH$9),"")</f>
        <v/>
      </c>
      <c r="BI32" s="700" t="str">
        <f ca="1">IF(INDIRECT("'Ext Nontradable'!$B" &amp; BI$9)=$B32,INDIRECT("'Ext Nontradable'!$" &amp; 'Ext Nontradable'!$AZ$23 &amp; BI$9),"")</f>
        <v/>
      </c>
      <c r="BJ32" s="700" t="str">
        <f ca="1">IF(INDIRECT("'Ext Nontradable'!$B" &amp; BJ$9)=$B32,INDIRECT("'Ext Nontradable'!$" &amp; 'Ext Nontradable'!$AZ$23 &amp; BJ$9),"")</f>
        <v/>
      </c>
      <c r="BK32" s="700" t="str">
        <f ca="1">IF(INDIRECT("'Ext Nontradable'!$B" &amp; BK$9)=$B32,INDIRECT("'Ext Nontradable'!$" &amp; 'Ext Nontradable'!$AZ$23 &amp; BK$9),"")</f>
        <v/>
      </c>
      <c r="BL32" s="700" t="str">
        <f ca="1">IF(INDIRECT("'Ext Nontradable'!$B" &amp; BL$9)=$B32,INDIRECT("'Ext Nontradable'!$" &amp; 'Ext Nontradable'!$AZ$23 &amp; BL$9),"")</f>
        <v/>
      </c>
      <c r="BM32" s="700" t="str">
        <f ca="1">IF(INDIRECT("'Ext Nontradable'!$B" &amp; BM$9)=$B32,INDIRECT("'Ext Nontradable'!$" &amp; 'Ext Nontradable'!$AZ$23 &amp; BM$9),"")</f>
        <v/>
      </c>
      <c r="BN32" s="700">
        <f ca="1">IF(INDIRECT("'Ext Nontradable'!$B" &amp; BN$9)=$B32,INDIRECT("'Ext Nontradable'!$" &amp; 'Ext Nontradable'!$AZ$23 &amp; BN$9),"")</f>
        <v>0</v>
      </c>
      <c r="BO32" s="700">
        <f ca="1">IF(INDIRECT("'Ext Nontradable'!$B" &amp; BO$9)=$B32,INDIRECT("'Ext Nontradable'!$" &amp; 'Ext Nontradable'!$AZ$23 &amp; BO$9),"")</f>
        <v>0</v>
      </c>
      <c r="BP32" s="700">
        <f ca="1">IF(INDIRECT("'Ext Nontradable'!$B" &amp; BP$9)=$B32,INDIRECT("'Ext Nontradable'!$" &amp; 'Ext Nontradable'!$AZ$23 &amp; BP$9),"")</f>
        <v>0</v>
      </c>
      <c r="BQ32" s="700">
        <f ca="1">IF(INDIRECT("'Ext Nontradable'!$B" &amp; BQ$9)=$B32,INDIRECT("'Ext Nontradable'!$" &amp; 'Ext Nontradable'!$AZ$23 &amp; BQ$9),"")</f>
        <v>0</v>
      </c>
      <c r="BR32" s="700">
        <f ca="1">IF(INDIRECT("'Ext Nontradable'!$B" &amp; BR$9)=$B32,INDIRECT("'Ext Nontradable'!$" &amp; 'Ext Nontradable'!$AZ$23 &amp; BR$9),"")</f>
        <v>0</v>
      </c>
      <c r="BS32" s="700">
        <f ca="1">IF(INDIRECT("'Ext Nontradable'!$B" &amp; BS$9)=$B32,INDIRECT("'Ext Nontradable'!$" &amp; 'Ext Nontradable'!$AZ$23 &amp; BS$9),"")</f>
        <v>0</v>
      </c>
      <c r="BT32" s="700">
        <f ca="1">IF(INDIRECT("'Ext Nontradable'!$B" &amp; BT$9)=$B32,INDIRECT("'Ext Nontradable'!$" &amp; 'Ext Nontradable'!$AZ$23 &amp; BT$9),"")</f>
        <v>0</v>
      </c>
      <c r="BU32" s="700">
        <f ca="1">IF(INDIRECT("'Ext Nontradable'!$B" &amp; BU$9)=$B32,INDIRECT("'Ext Nontradable'!$" &amp; 'Ext Nontradable'!$AZ$23 &amp; BU$9),"")</f>
        <v>0</v>
      </c>
      <c r="BV32" s="700">
        <f ca="1">IF(INDIRECT("'Ext Nontradable'!$B" &amp; BV$9)=$B32,INDIRECT("'Ext Nontradable'!$" &amp; 'Ext Nontradable'!$AZ$23 &amp; BV$9),"")</f>
        <v>0</v>
      </c>
      <c r="BW32" s="700">
        <f ca="1">IF(INDIRECT("'Ext Nontradable'!$B" &amp; BW$9)=$B32,INDIRECT("'Ext Nontradable'!$" &amp; 'Ext Nontradable'!$AZ$23 &amp; BW$9),"")</f>
        <v>0</v>
      </c>
      <c r="BX32" s="700">
        <f ca="1">IF(INDIRECT("'Ext Nontradable'!$B" &amp; BX$9)=$B32,INDIRECT("'Ext Nontradable'!$" &amp; 'Ext Nontradable'!$AZ$23 &amp; BX$9),"")</f>
        <v>0</v>
      </c>
      <c r="BY32" s="700">
        <f ca="1">IF(INDIRECT("'Ext Nontradable'!$B" &amp; BY$9)=$B32,INDIRECT("'Ext Nontradable'!$" &amp; 'Ext Nontradable'!$AZ$23 &amp; BY$9),"")</f>
        <v>0</v>
      </c>
      <c r="BZ32" s="700">
        <f ca="1">IF(INDIRECT("'Ext Nontradable'!$B" &amp; BZ$9)=$B32,INDIRECT("'Ext Nontradable'!$" &amp; 'Ext Nontradable'!$AZ$23 &amp; BZ$9),"")</f>
        <v>0</v>
      </c>
      <c r="CA32" s="700">
        <f ca="1">IF(INDIRECT("'Ext Nontradable'!$B" &amp; CA$9)=$B32,INDIRECT("'Ext Nontradable'!$" &amp; 'Ext Nontradable'!$AZ$23 &amp; CA$9),"")</f>
        <v>0</v>
      </c>
      <c r="CB32" s="700">
        <f ca="1">IF(INDIRECT("'Ext Nontradable'!$B" &amp; CB$9)=$B32,INDIRECT("'Ext Nontradable'!$" &amp; 'Ext Nontradable'!$AZ$23 &amp; CB$9),"")</f>
        <v>0</v>
      </c>
      <c r="CC32" s="700">
        <f ca="1">IF(INDIRECT("'Ext Nontradable'!$B" &amp; CC$9)=$B32,INDIRECT("'Ext Nontradable'!$" &amp; 'Ext Nontradable'!$AZ$23 &amp; CC$9),"")</f>
        <v>0</v>
      </c>
      <c r="CD32" s="700">
        <f ca="1">IF(INDIRECT("'Ext Nontradable'!$B" &amp; CD$9)=$B32,INDIRECT("'Ext Nontradable'!$" &amp; 'Ext Nontradable'!$AZ$23 &amp; CD$9),"")</f>
        <v>0</v>
      </c>
      <c r="CE32" s="700">
        <f ca="1">IF(INDIRECT("'Ext Nontradable'!$B" &amp; CE$9)=$B32,INDIRECT("'Ext Nontradable'!$" &amp; 'Ext Nontradable'!$AZ$23 &amp; CE$9),"")</f>
        <v>0</v>
      </c>
      <c r="CF32" s="700">
        <f ca="1">IF(INDIRECT("'Ext Nontradable'!$B" &amp; CF$9)=$B32,INDIRECT("'Ext Nontradable'!$" &amp; 'Ext Nontradable'!$AZ$23 &amp; CF$9),"")</f>
        <v>0</v>
      </c>
      <c r="CG32" s="700">
        <f ca="1">IF(INDIRECT("'Ext Nontradable'!$B" &amp; CG$9)=$B32,INDIRECT("'Ext Nontradable'!$" &amp; 'Ext Nontradable'!$AZ$23 &amp; CG$9),"")</f>
        <v>0</v>
      </c>
      <c r="CH32" s="700">
        <f ca="1">IF(INDIRECT("'Ext Nontradable'!$B" &amp; CH$9)=$B32,INDIRECT("'Ext Nontradable'!$" &amp; 'Ext Nontradable'!$AZ$23 &amp; CH$9),"")</f>
        <v>0</v>
      </c>
      <c r="CI32" s="700">
        <f ca="1">IF(INDIRECT("'Ext Nontradable'!$B" &amp; CI$9)=$B32,INDIRECT("'Ext Nontradable'!$" &amp; 'Ext Nontradable'!$AZ$23 &amp; CI$9),"")</f>
        <v>0</v>
      </c>
      <c r="CJ32" s="700">
        <f ca="1">IF(INDIRECT("'Ext Nontradable'!$B" &amp; CJ$9)=$B32,INDIRECT("'Ext Nontradable'!$" &amp; 'Ext Nontradable'!$AZ$23 &amp; CJ$9),"")</f>
        <v>0</v>
      </c>
      <c r="CK32" s="700">
        <f ca="1">IF(INDIRECT("'Ext Nontradable'!$B" &amp; CK$9)=$B32,INDIRECT("'Ext Nontradable'!$" &amp; 'Ext Nontradable'!$AZ$23 &amp; CK$9),"")</f>
        <v>0</v>
      </c>
      <c r="CL32" s="700">
        <f ca="1">IF(INDIRECT("'Ext Nontradable'!$B" &amp; CL$9)=$B32,INDIRECT("'Ext Nontradable'!$" &amp; 'Ext Nontradable'!$AZ$23 &amp; CL$9),"")</f>
        <v>0</v>
      </c>
      <c r="CM32" s="700">
        <f ca="1">IF(INDIRECT("'Ext Nontradable'!$B" &amp; CM$9)=$B32,INDIRECT("'Ext Nontradable'!$" &amp; 'Ext Nontradable'!$AZ$23 &amp; CM$9),"")</f>
        <v>0</v>
      </c>
      <c r="CN32" s="700">
        <f ca="1">IF(INDIRECT("'Ext Nontradable'!$B" &amp; CN$9)=$B32,INDIRECT("'Ext Nontradable'!$" &amp; 'Ext Nontradable'!$AZ$23 &amp; CN$9),"")</f>
        <v>0</v>
      </c>
      <c r="CO32" s="700">
        <f ca="1">IF(INDIRECT("'Ext Nontradable'!$B" &amp; CO$9)=$B32,INDIRECT("'Ext Nontradable'!$" &amp; 'Ext Nontradable'!$AZ$23 &amp; CO$9),"")</f>
        <v>0</v>
      </c>
      <c r="CP32" s="700">
        <f ca="1">IF(INDIRECT("'Ext Nontradable'!$B" &amp; CP$9)=$B32,INDIRECT("'Ext Nontradable'!$" &amp; 'Ext Nontradable'!$AZ$23 &amp; CP$9),"")</f>
        <v>0</v>
      </c>
      <c r="CQ32" s="700">
        <f ca="1">IF(INDIRECT("'Ext Nontradable'!$B" &amp; CQ$9)=$B32,INDIRECT("'Ext Nontradable'!$" &amp; 'Ext Nontradable'!$AZ$23 &amp; CQ$9),"")</f>
        <v>0</v>
      </c>
      <c r="CR32" s="702" t="str">
        <f t="shared" ca="1" si="25"/>
        <v>000000000000000000000000000000</v>
      </c>
    </row>
    <row r="33" spans="1:96" ht="60" customHeight="1" x14ac:dyDescent="0.25">
      <c r="A33" s="705">
        <v>24</v>
      </c>
      <c r="B33" s="707" t="str">
        <f>'Ext Area Schedule'!AK39</f>
        <v/>
      </c>
      <c r="C33" s="707" t="str">
        <f>VLOOKUP($B33,'Ext Area Schedule'!$AK$16:$AO$65,3,FALSE)</f>
        <v/>
      </c>
      <c r="D33" s="792" t="str">
        <f>VLOOKUP($B33,'Ext Area Schedule'!$AK$16:$AO$65,4,FALSE)</f>
        <v/>
      </c>
      <c r="F33" s="792" t="str">
        <f>VLOOKUP($B33,'Ext Area Schedule'!$AK$16:$AO$65,5,FALSE)</f>
        <v/>
      </c>
      <c r="G33" s="792" t="str">
        <f>VLOOKUP($B33,'Ext Area Schedule'!$AK$16:$AO$65,5,FALSE)</f>
        <v/>
      </c>
      <c r="I33" s="703" t="str">
        <f t="shared" si="1"/>
        <v/>
      </c>
      <c r="K33" s="703" t="str">
        <f>IF($B33="","",SUMIFS('Ext Nontradable'!$M$26:$M$45,'Ext Nontradable'!$B$26:$B$45,$B33,'Ext Nontradable'!$U$26:$U$45,"New"))</f>
        <v/>
      </c>
      <c r="L33" s="703" t="str">
        <f>IF($B33="","",SUMIFS('Ext Nontradable'!$M$26:$M$45,'Ext Nontradable'!$B$26:$B$45,$B33,'Ext Nontradable'!$U$26:$U$45,""))</f>
        <v/>
      </c>
      <c r="M33" s="703" t="str">
        <f>IF($B33="","",SUMIFS('Ext Nontradable'!$K$26:$K$45,'Ext Nontradable'!$B$26:$B$45,$B33,'Ext Nontradable'!$U$26:$U$45,"New")+SUMIFS('Ext Nontradable'!$K$26:$K$45,'Ext Nontradable'!$B$26:$B$45,$B33,'Ext Nontradable'!$U$26:$U$45,""))</f>
        <v/>
      </c>
      <c r="N33" s="703" t="str">
        <f>IF($B33="","",SUMIFS('Ext Nontradable'!$M$26:$M$45,'Ext Nontradable'!$B$26:$B$45,$B33,'Ext Nontradable'!$U$26:$U$45,"Existing Remains"))</f>
        <v/>
      </c>
      <c r="O33" s="703" t="str">
        <f>IF($B33="","",SUMIFS('Ext Nontradable'!$M$26:$M$45,'Ext Nontradable'!$B$26:$B$45,$B33,'Ext Nontradable'!$U$26:$U$45,"Existing Removed"))</f>
        <v/>
      </c>
      <c r="P33" s="703" t="str">
        <f>IF($B33="","",SUMIFS('Ext Nontradable'!$K$26:$K$45,'Ext Nontradable'!$B$26:$B$45,$B33,'Ext Nontradable'!$U$26:$U$45,"Existing Removed"))</f>
        <v/>
      </c>
      <c r="Q33" s="703" t="str">
        <f t="shared" si="2"/>
        <v/>
      </c>
      <c r="R33" s="703" t="str">
        <f t="shared" si="7"/>
        <v/>
      </c>
      <c r="S33" s="703">
        <f t="shared" si="8"/>
        <v>0</v>
      </c>
      <c r="T33" s="954">
        <f t="shared" si="20"/>
        <v>0</v>
      </c>
      <c r="U33" s="954">
        <f t="shared" si="21"/>
        <v>0</v>
      </c>
      <c r="V33" s="1115" t="str">
        <f t="shared" si="22"/>
        <v/>
      </c>
      <c r="W33" s="712" t="str">
        <f t="shared" si="23"/>
        <v/>
      </c>
      <c r="X33" s="857"/>
      <c r="Y33" s="720" t="str">
        <f t="shared" si="24"/>
        <v/>
      </c>
      <c r="Z33" s="721" t="str">
        <f t="shared" si="9"/>
        <v/>
      </c>
      <c r="AA33" s="721" t="str">
        <f t="shared" si="10"/>
        <v/>
      </c>
      <c r="AB33" s="719" t="str">
        <f t="shared" si="4"/>
        <v/>
      </c>
      <c r="AC33" s="857"/>
      <c r="AD33" s="717" t="str">
        <f t="shared" si="11"/>
        <v/>
      </c>
      <c r="AE33" s="718" t="str">
        <f t="shared" si="12"/>
        <v/>
      </c>
      <c r="AF33" s="719" t="str">
        <f t="shared" si="5"/>
        <v/>
      </c>
      <c r="AG33" s="726"/>
      <c r="AH33" s="727" t="str">
        <f t="shared" si="13"/>
        <v/>
      </c>
      <c r="AI33" s="703" t="str">
        <f t="shared" si="14"/>
        <v/>
      </c>
      <c r="AJ33" s="703" t="str">
        <f t="shared" si="15"/>
        <v/>
      </c>
      <c r="AL33" s="1075" t="str">
        <f t="shared" si="16"/>
        <v/>
      </c>
      <c r="AM33" s="855" t="str">
        <f t="shared" si="18"/>
        <v/>
      </c>
      <c r="AN33" s="707" t="str">
        <f>IF(OR(AL33="Fail",AL33="Fail LPA",AL33=""),"",IF(AM33&lt;&gt;"#1",VLOOKUP(C33,'9.4.3 Tables'!B$156:O$164,14,FALSE),"No NEW controls required"))</f>
        <v/>
      </c>
      <c r="AO33" s="703">
        <f t="shared" si="19"/>
        <v>0</v>
      </c>
      <c r="AR33">
        <v>24</v>
      </c>
      <c r="AS33" s="15" t="str">
        <f t="shared" si="17"/>
        <v/>
      </c>
      <c r="AT33" s="700" t="str">
        <f ca="1">IF(INDIRECT("'Ext Nontradable'!$B" &amp; AT$9)=$B33,INDIRECT("'Ext Nontradable'!$" &amp; 'Ext Nontradable'!$AZ$23 &amp; AT$9),"")</f>
        <v/>
      </c>
      <c r="AU33" s="700" t="str">
        <f ca="1">IF(INDIRECT("'Ext Nontradable'!$B" &amp; AU$9)=$B33,INDIRECT("'Ext Nontradable'!$" &amp; 'Ext Nontradable'!$AZ$23 &amp; AU$9),"")</f>
        <v/>
      </c>
      <c r="AV33" s="700" t="str">
        <f ca="1">IF(INDIRECT("'Ext Nontradable'!$B" &amp; AV$9)=$B33,INDIRECT("'Ext Nontradable'!$" &amp; 'Ext Nontradable'!$AZ$23 &amp; AV$9),"")</f>
        <v/>
      </c>
      <c r="AW33" s="700" t="str">
        <f ca="1">IF(INDIRECT("'Ext Nontradable'!$B" &amp; AW$9)=$B33,INDIRECT("'Ext Nontradable'!$" &amp; 'Ext Nontradable'!$AZ$23 &amp; AW$9),"")</f>
        <v/>
      </c>
      <c r="AX33" s="700" t="str">
        <f ca="1">IF(INDIRECT("'Ext Nontradable'!$B" &amp; AX$9)=$B33,INDIRECT("'Ext Nontradable'!$" &amp; 'Ext Nontradable'!$AZ$23 &amp; AX$9),"")</f>
        <v/>
      </c>
      <c r="AY33" s="700" t="str">
        <f ca="1">IF(INDIRECT("'Ext Nontradable'!$B" &amp; AY$9)=$B33,INDIRECT("'Ext Nontradable'!$" &amp; 'Ext Nontradable'!$AZ$23 &amp; AY$9),"")</f>
        <v/>
      </c>
      <c r="AZ33" s="700" t="str">
        <f ca="1">IF(INDIRECT("'Ext Nontradable'!$B" &amp; AZ$9)=$B33,INDIRECT("'Ext Nontradable'!$" &amp; 'Ext Nontradable'!$AZ$23 &amp; AZ$9),"")</f>
        <v/>
      </c>
      <c r="BA33" s="700" t="str">
        <f ca="1">IF(INDIRECT("'Ext Nontradable'!$B" &amp; BA$9)=$B33,INDIRECT("'Ext Nontradable'!$" &amp; 'Ext Nontradable'!$AZ$23 &amp; BA$9),"")</f>
        <v/>
      </c>
      <c r="BB33" s="700" t="str">
        <f ca="1">IF(INDIRECT("'Ext Nontradable'!$B" &amp; BB$9)=$B33,INDIRECT("'Ext Nontradable'!$" &amp; 'Ext Nontradable'!$AZ$23 &amp; BB$9),"")</f>
        <v/>
      </c>
      <c r="BC33" s="700" t="str">
        <f ca="1">IF(INDIRECT("'Ext Nontradable'!$B" &amp; BC$9)=$B33,INDIRECT("'Ext Nontradable'!$" &amp; 'Ext Nontradable'!$AZ$23 &amp; BC$9),"")</f>
        <v/>
      </c>
      <c r="BD33" s="700" t="str">
        <f ca="1">IF(INDIRECT("'Ext Nontradable'!$B" &amp; BD$9)=$B33,INDIRECT("'Ext Nontradable'!$" &amp; 'Ext Nontradable'!$AZ$23 &amp; BD$9),"")</f>
        <v/>
      </c>
      <c r="BE33" s="700" t="str">
        <f ca="1">IF(INDIRECT("'Ext Nontradable'!$B" &amp; BE$9)=$B33,INDIRECT("'Ext Nontradable'!$" &amp; 'Ext Nontradable'!$AZ$23 &amp; BE$9),"")</f>
        <v/>
      </c>
      <c r="BF33" s="700" t="str">
        <f ca="1">IF(INDIRECT("'Ext Nontradable'!$B" &amp; BF$9)=$B33,INDIRECT("'Ext Nontradable'!$" &amp; 'Ext Nontradable'!$AZ$23 &amp; BF$9),"")</f>
        <v/>
      </c>
      <c r="BG33" s="700" t="str">
        <f ca="1">IF(INDIRECT("'Ext Nontradable'!$B" &amp; BG$9)=$B33,INDIRECT("'Ext Nontradable'!$" &amp; 'Ext Nontradable'!$AZ$23 &amp; BG$9),"")</f>
        <v/>
      </c>
      <c r="BH33" s="700" t="str">
        <f ca="1">IF(INDIRECT("'Ext Nontradable'!$B" &amp; BH$9)=$B33,INDIRECT("'Ext Nontradable'!$" &amp; 'Ext Nontradable'!$AZ$23 &amp; BH$9),"")</f>
        <v/>
      </c>
      <c r="BI33" s="700" t="str">
        <f ca="1">IF(INDIRECT("'Ext Nontradable'!$B" &amp; BI$9)=$B33,INDIRECT("'Ext Nontradable'!$" &amp; 'Ext Nontradable'!$AZ$23 &amp; BI$9),"")</f>
        <v/>
      </c>
      <c r="BJ33" s="700" t="str">
        <f ca="1">IF(INDIRECT("'Ext Nontradable'!$B" &amp; BJ$9)=$B33,INDIRECT("'Ext Nontradable'!$" &amp; 'Ext Nontradable'!$AZ$23 &amp; BJ$9),"")</f>
        <v/>
      </c>
      <c r="BK33" s="700" t="str">
        <f ca="1">IF(INDIRECT("'Ext Nontradable'!$B" &amp; BK$9)=$B33,INDIRECT("'Ext Nontradable'!$" &amp; 'Ext Nontradable'!$AZ$23 &amp; BK$9),"")</f>
        <v/>
      </c>
      <c r="BL33" s="700" t="str">
        <f ca="1">IF(INDIRECT("'Ext Nontradable'!$B" &amp; BL$9)=$B33,INDIRECT("'Ext Nontradable'!$" &amp; 'Ext Nontradable'!$AZ$23 &amp; BL$9),"")</f>
        <v/>
      </c>
      <c r="BM33" s="700" t="str">
        <f ca="1">IF(INDIRECT("'Ext Nontradable'!$B" &amp; BM$9)=$B33,INDIRECT("'Ext Nontradable'!$" &amp; 'Ext Nontradable'!$AZ$23 &amp; BM$9),"")</f>
        <v/>
      </c>
      <c r="BN33" s="700">
        <f ca="1">IF(INDIRECT("'Ext Nontradable'!$B" &amp; BN$9)=$B33,INDIRECT("'Ext Nontradable'!$" &amp; 'Ext Nontradable'!$AZ$23 &amp; BN$9),"")</f>
        <v>0</v>
      </c>
      <c r="BO33" s="700">
        <f ca="1">IF(INDIRECT("'Ext Nontradable'!$B" &amp; BO$9)=$B33,INDIRECT("'Ext Nontradable'!$" &amp; 'Ext Nontradable'!$AZ$23 &amp; BO$9),"")</f>
        <v>0</v>
      </c>
      <c r="BP33" s="700">
        <f ca="1">IF(INDIRECT("'Ext Nontradable'!$B" &amp; BP$9)=$B33,INDIRECT("'Ext Nontradable'!$" &amp; 'Ext Nontradable'!$AZ$23 &amp; BP$9),"")</f>
        <v>0</v>
      </c>
      <c r="BQ33" s="700">
        <f ca="1">IF(INDIRECT("'Ext Nontradable'!$B" &amp; BQ$9)=$B33,INDIRECT("'Ext Nontradable'!$" &amp; 'Ext Nontradable'!$AZ$23 &amp; BQ$9),"")</f>
        <v>0</v>
      </c>
      <c r="BR33" s="700">
        <f ca="1">IF(INDIRECT("'Ext Nontradable'!$B" &amp; BR$9)=$B33,INDIRECT("'Ext Nontradable'!$" &amp; 'Ext Nontradable'!$AZ$23 &amp; BR$9),"")</f>
        <v>0</v>
      </c>
      <c r="BS33" s="700">
        <f ca="1">IF(INDIRECT("'Ext Nontradable'!$B" &amp; BS$9)=$B33,INDIRECT("'Ext Nontradable'!$" &amp; 'Ext Nontradable'!$AZ$23 &amp; BS$9),"")</f>
        <v>0</v>
      </c>
      <c r="BT33" s="700">
        <f ca="1">IF(INDIRECT("'Ext Nontradable'!$B" &amp; BT$9)=$B33,INDIRECT("'Ext Nontradable'!$" &amp; 'Ext Nontradable'!$AZ$23 &amp; BT$9),"")</f>
        <v>0</v>
      </c>
      <c r="BU33" s="700">
        <f ca="1">IF(INDIRECT("'Ext Nontradable'!$B" &amp; BU$9)=$B33,INDIRECT("'Ext Nontradable'!$" &amp; 'Ext Nontradable'!$AZ$23 &amp; BU$9),"")</f>
        <v>0</v>
      </c>
      <c r="BV33" s="700">
        <f ca="1">IF(INDIRECT("'Ext Nontradable'!$B" &amp; BV$9)=$B33,INDIRECT("'Ext Nontradable'!$" &amp; 'Ext Nontradable'!$AZ$23 &amp; BV$9),"")</f>
        <v>0</v>
      </c>
      <c r="BW33" s="700">
        <f ca="1">IF(INDIRECT("'Ext Nontradable'!$B" &amp; BW$9)=$B33,INDIRECT("'Ext Nontradable'!$" &amp; 'Ext Nontradable'!$AZ$23 &amp; BW$9),"")</f>
        <v>0</v>
      </c>
      <c r="BX33" s="700">
        <f ca="1">IF(INDIRECT("'Ext Nontradable'!$B" &amp; BX$9)=$B33,INDIRECT("'Ext Nontradable'!$" &amp; 'Ext Nontradable'!$AZ$23 &amp; BX$9),"")</f>
        <v>0</v>
      </c>
      <c r="BY33" s="700">
        <f ca="1">IF(INDIRECT("'Ext Nontradable'!$B" &amp; BY$9)=$B33,INDIRECT("'Ext Nontradable'!$" &amp; 'Ext Nontradable'!$AZ$23 &amp; BY$9),"")</f>
        <v>0</v>
      </c>
      <c r="BZ33" s="700">
        <f ca="1">IF(INDIRECT("'Ext Nontradable'!$B" &amp; BZ$9)=$B33,INDIRECT("'Ext Nontradable'!$" &amp; 'Ext Nontradable'!$AZ$23 &amp; BZ$9),"")</f>
        <v>0</v>
      </c>
      <c r="CA33" s="700">
        <f ca="1">IF(INDIRECT("'Ext Nontradable'!$B" &amp; CA$9)=$B33,INDIRECT("'Ext Nontradable'!$" &amp; 'Ext Nontradable'!$AZ$23 &amp; CA$9),"")</f>
        <v>0</v>
      </c>
      <c r="CB33" s="700">
        <f ca="1">IF(INDIRECT("'Ext Nontradable'!$B" &amp; CB$9)=$B33,INDIRECT("'Ext Nontradable'!$" &amp; 'Ext Nontradable'!$AZ$23 &amp; CB$9),"")</f>
        <v>0</v>
      </c>
      <c r="CC33" s="700">
        <f ca="1">IF(INDIRECT("'Ext Nontradable'!$B" &amp; CC$9)=$B33,INDIRECT("'Ext Nontradable'!$" &amp; 'Ext Nontradable'!$AZ$23 &amp; CC$9),"")</f>
        <v>0</v>
      </c>
      <c r="CD33" s="700">
        <f ca="1">IF(INDIRECT("'Ext Nontradable'!$B" &amp; CD$9)=$B33,INDIRECT("'Ext Nontradable'!$" &amp; 'Ext Nontradable'!$AZ$23 &amp; CD$9),"")</f>
        <v>0</v>
      </c>
      <c r="CE33" s="700">
        <f ca="1">IF(INDIRECT("'Ext Nontradable'!$B" &amp; CE$9)=$B33,INDIRECT("'Ext Nontradable'!$" &amp; 'Ext Nontradable'!$AZ$23 &amp; CE$9),"")</f>
        <v>0</v>
      </c>
      <c r="CF33" s="700">
        <f ca="1">IF(INDIRECT("'Ext Nontradable'!$B" &amp; CF$9)=$B33,INDIRECT("'Ext Nontradable'!$" &amp; 'Ext Nontradable'!$AZ$23 &amp; CF$9),"")</f>
        <v>0</v>
      </c>
      <c r="CG33" s="700">
        <f ca="1">IF(INDIRECT("'Ext Nontradable'!$B" &amp; CG$9)=$B33,INDIRECT("'Ext Nontradable'!$" &amp; 'Ext Nontradable'!$AZ$23 &amp; CG$9),"")</f>
        <v>0</v>
      </c>
      <c r="CH33" s="700">
        <f ca="1">IF(INDIRECT("'Ext Nontradable'!$B" &amp; CH$9)=$B33,INDIRECT("'Ext Nontradable'!$" &amp; 'Ext Nontradable'!$AZ$23 &amp; CH$9),"")</f>
        <v>0</v>
      </c>
      <c r="CI33" s="700">
        <f ca="1">IF(INDIRECT("'Ext Nontradable'!$B" &amp; CI$9)=$B33,INDIRECT("'Ext Nontradable'!$" &amp; 'Ext Nontradable'!$AZ$23 &amp; CI$9),"")</f>
        <v>0</v>
      </c>
      <c r="CJ33" s="700">
        <f ca="1">IF(INDIRECT("'Ext Nontradable'!$B" &amp; CJ$9)=$B33,INDIRECT("'Ext Nontradable'!$" &amp; 'Ext Nontradable'!$AZ$23 &amp; CJ$9),"")</f>
        <v>0</v>
      </c>
      <c r="CK33" s="700">
        <f ca="1">IF(INDIRECT("'Ext Nontradable'!$B" &amp; CK$9)=$B33,INDIRECT("'Ext Nontradable'!$" &amp; 'Ext Nontradable'!$AZ$23 &amp; CK$9),"")</f>
        <v>0</v>
      </c>
      <c r="CL33" s="700">
        <f ca="1">IF(INDIRECT("'Ext Nontradable'!$B" &amp; CL$9)=$B33,INDIRECT("'Ext Nontradable'!$" &amp; 'Ext Nontradable'!$AZ$23 &amp; CL$9),"")</f>
        <v>0</v>
      </c>
      <c r="CM33" s="700">
        <f ca="1">IF(INDIRECT("'Ext Nontradable'!$B" &amp; CM$9)=$B33,INDIRECT("'Ext Nontradable'!$" &amp; 'Ext Nontradable'!$AZ$23 &amp; CM$9),"")</f>
        <v>0</v>
      </c>
      <c r="CN33" s="700">
        <f ca="1">IF(INDIRECT("'Ext Nontradable'!$B" &amp; CN$9)=$B33,INDIRECT("'Ext Nontradable'!$" &amp; 'Ext Nontradable'!$AZ$23 &amp; CN$9),"")</f>
        <v>0</v>
      </c>
      <c r="CO33" s="700">
        <f ca="1">IF(INDIRECT("'Ext Nontradable'!$B" &amp; CO$9)=$B33,INDIRECT("'Ext Nontradable'!$" &amp; 'Ext Nontradable'!$AZ$23 &amp; CO$9),"")</f>
        <v>0</v>
      </c>
      <c r="CP33" s="700">
        <f ca="1">IF(INDIRECT("'Ext Nontradable'!$B" &amp; CP$9)=$B33,INDIRECT("'Ext Nontradable'!$" &amp; 'Ext Nontradable'!$AZ$23 &amp; CP$9),"")</f>
        <v>0</v>
      </c>
      <c r="CQ33" s="700">
        <f ca="1">IF(INDIRECT("'Ext Nontradable'!$B" &amp; CQ$9)=$B33,INDIRECT("'Ext Nontradable'!$" &amp; 'Ext Nontradable'!$AZ$23 &amp; CQ$9),"")</f>
        <v>0</v>
      </c>
      <c r="CR33" s="702" t="str">
        <f t="shared" ca="1" si="25"/>
        <v>000000000000000000000000000000</v>
      </c>
    </row>
    <row r="34" spans="1:96" ht="60" customHeight="1" x14ac:dyDescent="0.25">
      <c r="A34" s="705">
        <v>25</v>
      </c>
      <c r="B34" s="707" t="str">
        <f>'Ext Area Schedule'!AK40</f>
        <v/>
      </c>
      <c r="C34" s="707" t="str">
        <f>VLOOKUP($B34,'Ext Area Schedule'!$AK$16:$AO$65,3,FALSE)</f>
        <v/>
      </c>
      <c r="D34" s="792" t="str">
        <f>VLOOKUP($B34,'Ext Area Schedule'!$AK$16:$AO$65,4,FALSE)</f>
        <v/>
      </c>
      <c r="F34" s="792" t="str">
        <f>VLOOKUP($B34,'Ext Area Schedule'!$AK$16:$AO$65,5,FALSE)</f>
        <v/>
      </c>
      <c r="G34" s="792" t="str">
        <f>VLOOKUP($B34,'Ext Area Schedule'!$AK$16:$AO$65,5,FALSE)</f>
        <v/>
      </c>
      <c r="I34" s="703" t="str">
        <f t="shared" si="1"/>
        <v/>
      </c>
      <c r="K34" s="703" t="str">
        <f>IF($B34="","",SUMIFS('Ext Nontradable'!$M$26:$M$45,'Ext Nontradable'!$B$26:$B$45,$B34,'Ext Nontradable'!$U$26:$U$45,"New"))</f>
        <v/>
      </c>
      <c r="L34" s="703" t="str">
        <f>IF($B34="","",SUMIFS('Ext Nontradable'!$M$26:$M$45,'Ext Nontradable'!$B$26:$B$45,$B34,'Ext Nontradable'!$U$26:$U$45,""))</f>
        <v/>
      </c>
      <c r="M34" s="703" t="str">
        <f>IF($B34="","",SUMIFS('Ext Nontradable'!$K$26:$K$45,'Ext Nontradable'!$B$26:$B$45,$B34,'Ext Nontradable'!$U$26:$U$45,"New")+SUMIFS('Ext Nontradable'!$K$26:$K$45,'Ext Nontradable'!$B$26:$B$45,$B34,'Ext Nontradable'!$U$26:$U$45,""))</f>
        <v/>
      </c>
      <c r="N34" s="703" t="str">
        <f>IF($B34="","",SUMIFS('Ext Nontradable'!$M$26:$M$45,'Ext Nontradable'!$B$26:$B$45,$B34,'Ext Nontradable'!$U$26:$U$45,"Existing Remains"))</f>
        <v/>
      </c>
      <c r="O34" s="703" t="str">
        <f>IF($B34="","",SUMIFS('Ext Nontradable'!$M$26:$M$45,'Ext Nontradable'!$B$26:$B$45,$B34,'Ext Nontradable'!$U$26:$U$45,"Existing Removed"))</f>
        <v/>
      </c>
      <c r="P34" s="703" t="str">
        <f>IF($B34="","",SUMIFS('Ext Nontradable'!$K$26:$K$45,'Ext Nontradable'!$B$26:$B$45,$B34,'Ext Nontradable'!$U$26:$U$45,"Existing Removed"))</f>
        <v/>
      </c>
      <c r="Q34" s="703" t="str">
        <f t="shared" si="2"/>
        <v/>
      </c>
      <c r="R34" s="703" t="str">
        <f t="shared" si="7"/>
        <v/>
      </c>
      <c r="S34" s="703">
        <f t="shared" si="8"/>
        <v>0</v>
      </c>
      <c r="T34" s="954">
        <f t="shared" si="20"/>
        <v>0</v>
      </c>
      <c r="U34" s="954">
        <f t="shared" si="21"/>
        <v>0</v>
      </c>
      <c r="V34" s="1115" t="str">
        <f t="shared" si="22"/>
        <v/>
      </c>
      <c r="W34" s="712" t="str">
        <f t="shared" si="23"/>
        <v/>
      </c>
      <c r="X34" s="857"/>
      <c r="Y34" s="720" t="str">
        <f t="shared" si="24"/>
        <v/>
      </c>
      <c r="Z34" s="721" t="str">
        <f t="shared" si="9"/>
        <v/>
      </c>
      <c r="AA34" s="721" t="str">
        <f t="shared" si="10"/>
        <v/>
      </c>
      <c r="AB34" s="719" t="str">
        <f t="shared" si="4"/>
        <v/>
      </c>
      <c r="AC34" s="857"/>
      <c r="AD34" s="717" t="str">
        <f t="shared" si="11"/>
        <v/>
      </c>
      <c r="AE34" s="718" t="str">
        <f t="shared" si="12"/>
        <v/>
      </c>
      <c r="AF34" s="719" t="str">
        <f t="shared" si="5"/>
        <v/>
      </c>
      <c r="AG34" s="726"/>
      <c r="AH34" s="727" t="str">
        <f t="shared" si="13"/>
        <v/>
      </c>
      <c r="AI34" s="703" t="str">
        <f t="shared" si="14"/>
        <v/>
      </c>
      <c r="AJ34" s="703" t="str">
        <f t="shared" si="15"/>
        <v/>
      </c>
      <c r="AL34" s="1075" t="str">
        <f t="shared" si="16"/>
        <v/>
      </c>
      <c r="AM34" s="855" t="str">
        <f t="shared" si="18"/>
        <v/>
      </c>
      <c r="AN34" s="707" t="str">
        <f>IF(OR(AL34="Fail",AL34="Fail LPA",AL34=""),"",IF(AM34&lt;&gt;"#1",VLOOKUP(C34,'9.4.3 Tables'!B$156:O$164,14,FALSE),"No NEW controls required"))</f>
        <v/>
      </c>
      <c r="AO34" s="703">
        <f t="shared" si="19"/>
        <v>0</v>
      </c>
      <c r="AR34">
        <v>25</v>
      </c>
      <c r="AS34" s="15" t="str">
        <f t="shared" si="17"/>
        <v/>
      </c>
      <c r="AT34" s="700" t="str">
        <f ca="1">IF(INDIRECT("'Ext Nontradable'!$B" &amp; AT$9)=$B34,INDIRECT("'Ext Nontradable'!$" &amp; 'Ext Nontradable'!$AZ$23 &amp; AT$9),"")</f>
        <v/>
      </c>
      <c r="AU34" s="700" t="str">
        <f ca="1">IF(INDIRECT("'Ext Nontradable'!$B" &amp; AU$9)=$B34,INDIRECT("'Ext Nontradable'!$" &amp; 'Ext Nontradable'!$AZ$23 &amp; AU$9),"")</f>
        <v/>
      </c>
      <c r="AV34" s="700" t="str">
        <f ca="1">IF(INDIRECT("'Ext Nontradable'!$B" &amp; AV$9)=$B34,INDIRECT("'Ext Nontradable'!$" &amp; 'Ext Nontradable'!$AZ$23 &amp; AV$9),"")</f>
        <v/>
      </c>
      <c r="AW34" s="700" t="str">
        <f ca="1">IF(INDIRECT("'Ext Nontradable'!$B" &amp; AW$9)=$B34,INDIRECT("'Ext Nontradable'!$" &amp; 'Ext Nontradable'!$AZ$23 &amp; AW$9),"")</f>
        <v/>
      </c>
      <c r="AX34" s="700" t="str">
        <f ca="1">IF(INDIRECT("'Ext Nontradable'!$B" &amp; AX$9)=$B34,INDIRECT("'Ext Nontradable'!$" &amp; 'Ext Nontradable'!$AZ$23 &amp; AX$9),"")</f>
        <v/>
      </c>
      <c r="AY34" s="700" t="str">
        <f ca="1">IF(INDIRECT("'Ext Nontradable'!$B" &amp; AY$9)=$B34,INDIRECT("'Ext Nontradable'!$" &amp; 'Ext Nontradable'!$AZ$23 &amp; AY$9),"")</f>
        <v/>
      </c>
      <c r="AZ34" s="700" t="str">
        <f ca="1">IF(INDIRECT("'Ext Nontradable'!$B" &amp; AZ$9)=$B34,INDIRECT("'Ext Nontradable'!$" &amp; 'Ext Nontradable'!$AZ$23 &amp; AZ$9),"")</f>
        <v/>
      </c>
      <c r="BA34" s="700" t="str">
        <f ca="1">IF(INDIRECT("'Ext Nontradable'!$B" &amp; BA$9)=$B34,INDIRECT("'Ext Nontradable'!$" &amp; 'Ext Nontradable'!$AZ$23 &amp; BA$9),"")</f>
        <v/>
      </c>
      <c r="BB34" s="700" t="str">
        <f ca="1">IF(INDIRECT("'Ext Nontradable'!$B" &amp; BB$9)=$B34,INDIRECT("'Ext Nontradable'!$" &amp; 'Ext Nontradable'!$AZ$23 &amp; BB$9),"")</f>
        <v/>
      </c>
      <c r="BC34" s="700" t="str">
        <f ca="1">IF(INDIRECT("'Ext Nontradable'!$B" &amp; BC$9)=$B34,INDIRECT("'Ext Nontradable'!$" &amp; 'Ext Nontradable'!$AZ$23 &amp; BC$9),"")</f>
        <v/>
      </c>
      <c r="BD34" s="700" t="str">
        <f ca="1">IF(INDIRECT("'Ext Nontradable'!$B" &amp; BD$9)=$B34,INDIRECT("'Ext Nontradable'!$" &amp; 'Ext Nontradable'!$AZ$23 &amp; BD$9),"")</f>
        <v/>
      </c>
      <c r="BE34" s="700" t="str">
        <f ca="1">IF(INDIRECT("'Ext Nontradable'!$B" &amp; BE$9)=$B34,INDIRECT("'Ext Nontradable'!$" &amp; 'Ext Nontradable'!$AZ$23 &amp; BE$9),"")</f>
        <v/>
      </c>
      <c r="BF34" s="700" t="str">
        <f ca="1">IF(INDIRECT("'Ext Nontradable'!$B" &amp; BF$9)=$B34,INDIRECT("'Ext Nontradable'!$" &amp; 'Ext Nontradable'!$AZ$23 &amp; BF$9),"")</f>
        <v/>
      </c>
      <c r="BG34" s="700" t="str">
        <f ca="1">IF(INDIRECT("'Ext Nontradable'!$B" &amp; BG$9)=$B34,INDIRECT("'Ext Nontradable'!$" &amp; 'Ext Nontradable'!$AZ$23 &amp; BG$9),"")</f>
        <v/>
      </c>
      <c r="BH34" s="700" t="str">
        <f ca="1">IF(INDIRECT("'Ext Nontradable'!$B" &amp; BH$9)=$B34,INDIRECT("'Ext Nontradable'!$" &amp; 'Ext Nontradable'!$AZ$23 &amp; BH$9),"")</f>
        <v/>
      </c>
      <c r="BI34" s="700" t="str">
        <f ca="1">IF(INDIRECT("'Ext Nontradable'!$B" &amp; BI$9)=$B34,INDIRECT("'Ext Nontradable'!$" &amp; 'Ext Nontradable'!$AZ$23 &amp; BI$9),"")</f>
        <v/>
      </c>
      <c r="BJ34" s="700" t="str">
        <f ca="1">IF(INDIRECT("'Ext Nontradable'!$B" &amp; BJ$9)=$B34,INDIRECT("'Ext Nontradable'!$" &amp; 'Ext Nontradable'!$AZ$23 &amp; BJ$9),"")</f>
        <v/>
      </c>
      <c r="BK34" s="700" t="str">
        <f ca="1">IF(INDIRECT("'Ext Nontradable'!$B" &amp; BK$9)=$B34,INDIRECT("'Ext Nontradable'!$" &amp; 'Ext Nontradable'!$AZ$23 &amp; BK$9),"")</f>
        <v/>
      </c>
      <c r="BL34" s="700" t="str">
        <f ca="1">IF(INDIRECT("'Ext Nontradable'!$B" &amp; BL$9)=$B34,INDIRECT("'Ext Nontradable'!$" &amp; 'Ext Nontradable'!$AZ$23 &amp; BL$9),"")</f>
        <v/>
      </c>
      <c r="BM34" s="700" t="str">
        <f ca="1">IF(INDIRECT("'Ext Nontradable'!$B" &amp; BM$9)=$B34,INDIRECT("'Ext Nontradable'!$" &amp; 'Ext Nontradable'!$AZ$23 &amp; BM$9),"")</f>
        <v/>
      </c>
      <c r="BN34" s="700">
        <f ca="1">IF(INDIRECT("'Ext Nontradable'!$B" &amp; BN$9)=$B34,INDIRECT("'Ext Nontradable'!$" &amp; 'Ext Nontradable'!$AZ$23 &amp; BN$9),"")</f>
        <v>0</v>
      </c>
      <c r="BO34" s="700">
        <f ca="1">IF(INDIRECT("'Ext Nontradable'!$B" &amp; BO$9)=$B34,INDIRECT("'Ext Nontradable'!$" &amp; 'Ext Nontradable'!$AZ$23 &amp; BO$9),"")</f>
        <v>0</v>
      </c>
      <c r="BP34" s="700">
        <f ca="1">IF(INDIRECT("'Ext Nontradable'!$B" &amp; BP$9)=$B34,INDIRECT("'Ext Nontradable'!$" &amp; 'Ext Nontradable'!$AZ$23 &amp; BP$9),"")</f>
        <v>0</v>
      </c>
      <c r="BQ34" s="700">
        <f ca="1">IF(INDIRECT("'Ext Nontradable'!$B" &amp; BQ$9)=$B34,INDIRECT("'Ext Nontradable'!$" &amp; 'Ext Nontradable'!$AZ$23 &amp; BQ$9),"")</f>
        <v>0</v>
      </c>
      <c r="BR34" s="700">
        <f ca="1">IF(INDIRECT("'Ext Nontradable'!$B" &amp; BR$9)=$B34,INDIRECT("'Ext Nontradable'!$" &amp; 'Ext Nontradable'!$AZ$23 &amp; BR$9),"")</f>
        <v>0</v>
      </c>
      <c r="BS34" s="700">
        <f ca="1">IF(INDIRECT("'Ext Nontradable'!$B" &amp; BS$9)=$B34,INDIRECT("'Ext Nontradable'!$" &amp; 'Ext Nontradable'!$AZ$23 &amp; BS$9),"")</f>
        <v>0</v>
      </c>
      <c r="BT34" s="700">
        <f ca="1">IF(INDIRECT("'Ext Nontradable'!$B" &amp; BT$9)=$B34,INDIRECT("'Ext Nontradable'!$" &amp; 'Ext Nontradable'!$AZ$23 &amp; BT$9),"")</f>
        <v>0</v>
      </c>
      <c r="BU34" s="700">
        <f ca="1">IF(INDIRECT("'Ext Nontradable'!$B" &amp; BU$9)=$B34,INDIRECT("'Ext Nontradable'!$" &amp; 'Ext Nontradable'!$AZ$23 &amp; BU$9),"")</f>
        <v>0</v>
      </c>
      <c r="BV34" s="700">
        <f ca="1">IF(INDIRECT("'Ext Nontradable'!$B" &amp; BV$9)=$B34,INDIRECT("'Ext Nontradable'!$" &amp; 'Ext Nontradable'!$AZ$23 &amp; BV$9),"")</f>
        <v>0</v>
      </c>
      <c r="BW34" s="700">
        <f ca="1">IF(INDIRECT("'Ext Nontradable'!$B" &amp; BW$9)=$B34,INDIRECT("'Ext Nontradable'!$" &amp; 'Ext Nontradable'!$AZ$23 &amp; BW$9),"")</f>
        <v>0</v>
      </c>
      <c r="BX34" s="700">
        <f ca="1">IF(INDIRECT("'Ext Nontradable'!$B" &amp; BX$9)=$B34,INDIRECT("'Ext Nontradable'!$" &amp; 'Ext Nontradable'!$AZ$23 &amp; BX$9),"")</f>
        <v>0</v>
      </c>
      <c r="BY34" s="700">
        <f ca="1">IF(INDIRECT("'Ext Nontradable'!$B" &amp; BY$9)=$B34,INDIRECT("'Ext Nontradable'!$" &amp; 'Ext Nontradable'!$AZ$23 &amp; BY$9),"")</f>
        <v>0</v>
      </c>
      <c r="BZ34" s="700">
        <f ca="1">IF(INDIRECT("'Ext Nontradable'!$B" &amp; BZ$9)=$B34,INDIRECT("'Ext Nontradable'!$" &amp; 'Ext Nontradable'!$AZ$23 &amp; BZ$9),"")</f>
        <v>0</v>
      </c>
      <c r="CA34" s="700">
        <f ca="1">IF(INDIRECT("'Ext Nontradable'!$B" &amp; CA$9)=$B34,INDIRECT("'Ext Nontradable'!$" &amp; 'Ext Nontradable'!$AZ$23 &amp; CA$9),"")</f>
        <v>0</v>
      </c>
      <c r="CB34" s="700">
        <f ca="1">IF(INDIRECT("'Ext Nontradable'!$B" &amp; CB$9)=$B34,INDIRECT("'Ext Nontradable'!$" &amp; 'Ext Nontradable'!$AZ$23 &amp; CB$9),"")</f>
        <v>0</v>
      </c>
      <c r="CC34" s="700">
        <f ca="1">IF(INDIRECT("'Ext Nontradable'!$B" &amp; CC$9)=$B34,INDIRECT("'Ext Nontradable'!$" &amp; 'Ext Nontradable'!$AZ$23 &amp; CC$9),"")</f>
        <v>0</v>
      </c>
      <c r="CD34" s="700">
        <f ca="1">IF(INDIRECT("'Ext Nontradable'!$B" &amp; CD$9)=$B34,INDIRECT("'Ext Nontradable'!$" &amp; 'Ext Nontradable'!$AZ$23 &amp; CD$9),"")</f>
        <v>0</v>
      </c>
      <c r="CE34" s="700">
        <f ca="1">IF(INDIRECT("'Ext Nontradable'!$B" &amp; CE$9)=$B34,INDIRECT("'Ext Nontradable'!$" &amp; 'Ext Nontradable'!$AZ$23 &amp; CE$9),"")</f>
        <v>0</v>
      </c>
      <c r="CF34" s="700">
        <f ca="1">IF(INDIRECT("'Ext Nontradable'!$B" &amp; CF$9)=$B34,INDIRECT("'Ext Nontradable'!$" &amp; 'Ext Nontradable'!$AZ$23 &amp; CF$9),"")</f>
        <v>0</v>
      </c>
      <c r="CG34" s="700">
        <f ca="1">IF(INDIRECT("'Ext Nontradable'!$B" &amp; CG$9)=$B34,INDIRECT("'Ext Nontradable'!$" &amp; 'Ext Nontradable'!$AZ$23 &amp; CG$9),"")</f>
        <v>0</v>
      </c>
      <c r="CH34" s="700">
        <f ca="1">IF(INDIRECT("'Ext Nontradable'!$B" &amp; CH$9)=$B34,INDIRECT("'Ext Nontradable'!$" &amp; 'Ext Nontradable'!$AZ$23 &amp; CH$9),"")</f>
        <v>0</v>
      </c>
      <c r="CI34" s="700">
        <f ca="1">IF(INDIRECT("'Ext Nontradable'!$B" &amp; CI$9)=$B34,INDIRECT("'Ext Nontradable'!$" &amp; 'Ext Nontradable'!$AZ$23 &amp; CI$9),"")</f>
        <v>0</v>
      </c>
      <c r="CJ34" s="700">
        <f ca="1">IF(INDIRECT("'Ext Nontradable'!$B" &amp; CJ$9)=$B34,INDIRECT("'Ext Nontradable'!$" &amp; 'Ext Nontradable'!$AZ$23 &amp; CJ$9),"")</f>
        <v>0</v>
      </c>
      <c r="CK34" s="700">
        <f ca="1">IF(INDIRECT("'Ext Nontradable'!$B" &amp; CK$9)=$B34,INDIRECT("'Ext Nontradable'!$" &amp; 'Ext Nontradable'!$AZ$23 &amp; CK$9),"")</f>
        <v>0</v>
      </c>
      <c r="CL34" s="700">
        <f ca="1">IF(INDIRECT("'Ext Nontradable'!$B" &amp; CL$9)=$B34,INDIRECT("'Ext Nontradable'!$" &amp; 'Ext Nontradable'!$AZ$23 &amp; CL$9),"")</f>
        <v>0</v>
      </c>
      <c r="CM34" s="700">
        <f ca="1">IF(INDIRECT("'Ext Nontradable'!$B" &amp; CM$9)=$B34,INDIRECT("'Ext Nontradable'!$" &amp; 'Ext Nontradable'!$AZ$23 &amp; CM$9),"")</f>
        <v>0</v>
      </c>
      <c r="CN34" s="700">
        <f ca="1">IF(INDIRECT("'Ext Nontradable'!$B" &amp; CN$9)=$B34,INDIRECT("'Ext Nontradable'!$" &amp; 'Ext Nontradable'!$AZ$23 &amp; CN$9),"")</f>
        <v>0</v>
      </c>
      <c r="CO34" s="700">
        <f ca="1">IF(INDIRECT("'Ext Nontradable'!$B" &amp; CO$9)=$B34,INDIRECT("'Ext Nontradable'!$" &amp; 'Ext Nontradable'!$AZ$23 &amp; CO$9),"")</f>
        <v>0</v>
      </c>
      <c r="CP34" s="700">
        <f ca="1">IF(INDIRECT("'Ext Nontradable'!$B" &amp; CP$9)=$B34,INDIRECT("'Ext Nontradable'!$" &amp; 'Ext Nontradable'!$AZ$23 &amp; CP$9),"")</f>
        <v>0</v>
      </c>
      <c r="CQ34" s="700">
        <f ca="1">IF(INDIRECT("'Ext Nontradable'!$B" &amp; CQ$9)=$B34,INDIRECT("'Ext Nontradable'!$" &amp; 'Ext Nontradable'!$AZ$23 &amp; CQ$9),"")</f>
        <v>0</v>
      </c>
      <c r="CR34" s="702" t="str">
        <f t="shared" ca="1" si="25"/>
        <v>000000000000000000000000000000</v>
      </c>
    </row>
    <row r="35" spans="1:96" ht="60" customHeight="1" x14ac:dyDescent="0.25">
      <c r="A35" s="705">
        <v>26</v>
      </c>
      <c r="B35" s="707" t="str">
        <f>'Ext Area Schedule'!AK41</f>
        <v/>
      </c>
      <c r="C35" s="707" t="str">
        <f>VLOOKUP($B35,'Ext Area Schedule'!$AK$16:$AO$65,3,FALSE)</f>
        <v/>
      </c>
      <c r="D35" s="792" t="str">
        <f>VLOOKUP($B35,'Ext Area Schedule'!$AK$16:$AO$65,4,FALSE)</f>
        <v/>
      </c>
      <c r="F35" s="792" t="str">
        <f>VLOOKUP($B35,'Ext Area Schedule'!$AK$16:$AO$65,5,FALSE)</f>
        <v/>
      </c>
      <c r="G35" s="792" t="str">
        <f>VLOOKUP($B35,'Ext Area Schedule'!$AK$16:$AO$65,5,FALSE)</f>
        <v/>
      </c>
      <c r="I35" s="703" t="str">
        <f t="shared" si="1"/>
        <v/>
      </c>
      <c r="K35" s="703" t="str">
        <f>IF($B35="","",SUMIFS('Ext Nontradable'!$M$26:$M$45,'Ext Nontradable'!$B$26:$B$45,$B35,'Ext Nontradable'!$U$26:$U$45,"New"))</f>
        <v/>
      </c>
      <c r="L35" s="703" t="str">
        <f>IF($B35="","",SUMIFS('Ext Nontradable'!$M$26:$M$45,'Ext Nontradable'!$B$26:$B$45,$B35,'Ext Nontradable'!$U$26:$U$45,""))</f>
        <v/>
      </c>
      <c r="M35" s="703" t="str">
        <f>IF($B35="","",SUMIFS('Ext Nontradable'!$K$26:$K$45,'Ext Nontradable'!$B$26:$B$45,$B35,'Ext Nontradable'!$U$26:$U$45,"New")+SUMIFS('Ext Nontradable'!$K$26:$K$45,'Ext Nontradable'!$B$26:$B$45,$B35,'Ext Nontradable'!$U$26:$U$45,""))</f>
        <v/>
      </c>
      <c r="N35" s="703" t="str">
        <f>IF($B35="","",SUMIFS('Ext Nontradable'!$M$26:$M$45,'Ext Nontradable'!$B$26:$B$45,$B35,'Ext Nontradable'!$U$26:$U$45,"Existing Remains"))</f>
        <v/>
      </c>
      <c r="O35" s="703" t="str">
        <f>IF($B35="","",SUMIFS('Ext Nontradable'!$M$26:$M$45,'Ext Nontradable'!$B$26:$B$45,$B35,'Ext Nontradable'!$U$26:$U$45,"Existing Removed"))</f>
        <v/>
      </c>
      <c r="P35" s="703" t="str">
        <f>IF($B35="","",SUMIFS('Ext Nontradable'!$K$26:$K$45,'Ext Nontradable'!$B$26:$B$45,$B35,'Ext Nontradable'!$U$26:$U$45,"Existing Removed"))</f>
        <v/>
      </c>
      <c r="Q35" s="703" t="str">
        <f t="shared" si="2"/>
        <v/>
      </c>
      <c r="R35" s="703" t="str">
        <f t="shared" si="7"/>
        <v/>
      </c>
      <c r="S35" s="703">
        <f t="shared" si="8"/>
        <v>0</v>
      </c>
      <c r="T35" s="954">
        <f t="shared" si="20"/>
        <v>0</v>
      </c>
      <c r="U35" s="954">
        <f t="shared" si="21"/>
        <v>0</v>
      </c>
      <c r="V35" s="1115" t="str">
        <f t="shared" si="22"/>
        <v/>
      </c>
      <c r="W35" s="712" t="str">
        <f t="shared" si="23"/>
        <v/>
      </c>
      <c r="X35" s="857"/>
      <c r="Y35" s="720" t="str">
        <f t="shared" si="24"/>
        <v/>
      </c>
      <c r="Z35" s="721" t="str">
        <f t="shared" si="9"/>
        <v/>
      </c>
      <c r="AA35" s="721" t="str">
        <f t="shared" si="10"/>
        <v/>
      </c>
      <c r="AB35" s="719" t="str">
        <f t="shared" si="4"/>
        <v/>
      </c>
      <c r="AC35" s="857"/>
      <c r="AD35" s="717" t="str">
        <f t="shared" si="11"/>
        <v/>
      </c>
      <c r="AE35" s="718" t="str">
        <f t="shared" si="12"/>
        <v/>
      </c>
      <c r="AF35" s="719" t="str">
        <f t="shared" si="5"/>
        <v/>
      </c>
      <c r="AG35" s="726"/>
      <c r="AH35" s="727" t="str">
        <f t="shared" si="13"/>
        <v/>
      </c>
      <c r="AI35" s="703" t="str">
        <f t="shared" si="14"/>
        <v/>
      </c>
      <c r="AJ35" s="703" t="str">
        <f t="shared" si="15"/>
        <v/>
      </c>
      <c r="AL35" s="1075" t="str">
        <f t="shared" si="16"/>
        <v/>
      </c>
      <c r="AM35" s="855" t="str">
        <f t="shared" si="18"/>
        <v/>
      </c>
      <c r="AN35" s="707" t="str">
        <f>IF(OR(AL35="Fail",AL35="Fail LPA",AL35=""),"",IF(AM35&lt;&gt;"#1",VLOOKUP(C35,'9.4.3 Tables'!B$156:O$164,14,FALSE),"No NEW controls required"))</f>
        <v/>
      </c>
      <c r="AO35" s="703">
        <f t="shared" si="19"/>
        <v>0</v>
      </c>
      <c r="AR35">
        <v>26</v>
      </c>
      <c r="AS35" s="15" t="str">
        <f t="shared" si="17"/>
        <v/>
      </c>
      <c r="AT35" s="700" t="str">
        <f ca="1">IF(INDIRECT("'Ext Nontradable'!$B" &amp; AT$9)=$B35,INDIRECT("'Ext Nontradable'!$" &amp; 'Ext Nontradable'!$AZ$23 &amp; AT$9),"")</f>
        <v/>
      </c>
      <c r="AU35" s="700" t="str">
        <f ca="1">IF(INDIRECT("'Ext Nontradable'!$B" &amp; AU$9)=$B35,INDIRECT("'Ext Nontradable'!$" &amp; 'Ext Nontradable'!$AZ$23 &amp; AU$9),"")</f>
        <v/>
      </c>
      <c r="AV35" s="700" t="str">
        <f ca="1">IF(INDIRECT("'Ext Nontradable'!$B" &amp; AV$9)=$B35,INDIRECT("'Ext Nontradable'!$" &amp; 'Ext Nontradable'!$AZ$23 &amp; AV$9),"")</f>
        <v/>
      </c>
      <c r="AW35" s="700" t="str">
        <f ca="1">IF(INDIRECT("'Ext Nontradable'!$B" &amp; AW$9)=$B35,INDIRECT("'Ext Nontradable'!$" &amp; 'Ext Nontradable'!$AZ$23 &amp; AW$9),"")</f>
        <v/>
      </c>
      <c r="AX35" s="700" t="str">
        <f ca="1">IF(INDIRECT("'Ext Nontradable'!$B" &amp; AX$9)=$B35,INDIRECT("'Ext Nontradable'!$" &amp; 'Ext Nontradable'!$AZ$23 &amp; AX$9),"")</f>
        <v/>
      </c>
      <c r="AY35" s="700" t="str">
        <f ca="1">IF(INDIRECT("'Ext Nontradable'!$B" &amp; AY$9)=$B35,INDIRECT("'Ext Nontradable'!$" &amp; 'Ext Nontradable'!$AZ$23 &amp; AY$9),"")</f>
        <v/>
      </c>
      <c r="AZ35" s="700" t="str">
        <f ca="1">IF(INDIRECT("'Ext Nontradable'!$B" &amp; AZ$9)=$B35,INDIRECT("'Ext Nontradable'!$" &amp; 'Ext Nontradable'!$AZ$23 &amp; AZ$9),"")</f>
        <v/>
      </c>
      <c r="BA35" s="700" t="str">
        <f ca="1">IF(INDIRECT("'Ext Nontradable'!$B" &amp; BA$9)=$B35,INDIRECT("'Ext Nontradable'!$" &amp; 'Ext Nontradable'!$AZ$23 &amp; BA$9),"")</f>
        <v/>
      </c>
      <c r="BB35" s="700" t="str">
        <f ca="1">IF(INDIRECT("'Ext Nontradable'!$B" &amp; BB$9)=$B35,INDIRECT("'Ext Nontradable'!$" &amp; 'Ext Nontradable'!$AZ$23 &amp; BB$9),"")</f>
        <v/>
      </c>
      <c r="BC35" s="700" t="str">
        <f ca="1">IF(INDIRECT("'Ext Nontradable'!$B" &amp; BC$9)=$B35,INDIRECT("'Ext Nontradable'!$" &amp; 'Ext Nontradable'!$AZ$23 &amp; BC$9),"")</f>
        <v/>
      </c>
      <c r="BD35" s="700" t="str">
        <f ca="1">IF(INDIRECT("'Ext Nontradable'!$B" &amp; BD$9)=$B35,INDIRECT("'Ext Nontradable'!$" &amp; 'Ext Nontradable'!$AZ$23 &amp; BD$9),"")</f>
        <v/>
      </c>
      <c r="BE35" s="700" t="str">
        <f ca="1">IF(INDIRECT("'Ext Nontradable'!$B" &amp; BE$9)=$B35,INDIRECT("'Ext Nontradable'!$" &amp; 'Ext Nontradable'!$AZ$23 &amp; BE$9),"")</f>
        <v/>
      </c>
      <c r="BF35" s="700" t="str">
        <f ca="1">IF(INDIRECT("'Ext Nontradable'!$B" &amp; BF$9)=$B35,INDIRECT("'Ext Nontradable'!$" &amp; 'Ext Nontradable'!$AZ$23 &amp; BF$9),"")</f>
        <v/>
      </c>
      <c r="BG35" s="700" t="str">
        <f ca="1">IF(INDIRECT("'Ext Nontradable'!$B" &amp; BG$9)=$B35,INDIRECT("'Ext Nontradable'!$" &amp; 'Ext Nontradable'!$AZ$23 &amp; BG$9),"")</f>
        <v/>
      </c>
      <c r="BH35" s="700" t="str">
        <f ca="1">IF(INDIRECT("'Ext Nontradable'!$B" &amp; BH$9)=$B35,INDIRECT("'Ext Nontradable'!$" &amp; 'Ext Nontradable'!$AZ$23 &amp; BH$9),"")</f>
        <v/>
      </c>
      <c r="BI35" s="700" t="str">
        <f ca="1">IF(INDIRECT("'Ext Nontradable'!$B" &amp; BI$9)=$B35,INDIRECT("'Ext Nontradable'!$" &amp; 'Ext Nontradable'!$AZ$23 &amp; BI$9),"")</f>
        <v/>
      </c>
      <c r="BJ35" s="700" t="str">
        <f ca="1">IF(INDIRECT("'Ext Nontradable'!$B" &amp; BJ$9)=$B35,INDIRECT("'Ext Nontradable'!$" &amp; 'Ext Nontradable'!$AZ$23 &amp; BJ$9),"")</f>
        <v/>
      </c>
      <c r="BK35" s="700" t="str">
        <f ca="1">IF(INDIRECT("'Ext Nontradable'!$B" &amp; BK$9)=$B35,INDIRECT("'Ext Nontradable'!$" &amp; 'Ext Nontradable'!$AZ$23 &amp; BK$9),"")</f>
        <v/>
      </c>
      <c r="BL35" s="700" t="str">
        <f ca="1">IF(INDIRECT("'Ext Nontradable'!$B" &amp; BL$9)=$B35,INDIRECT("'Ext Nontradable'!$" &amp; 'Ext Nontradable'!$AZ$23 &amp; BL$9),"")</f>
        <v/>
      </c>
      <c r="BM35" s="700" t="str">
        <f ca="1">IF(INDIRECT("'Ext Nontradable'!$B" &amp; BM$9)=$B35,INDIRECT("'Ext Nontradable'!$" &amp; 'Ext Nontradable'!$AZ$23 &amp; BM$9),"")</f>
        <v/>
      </c>
      <c r="BN35" s="700">
        <f ca="1">IF(INDIRECT("'Ext Nontradable'!$B" &amp; BN$9)=$B35,INDIRECT("'Ext Nontradable'!$" &amp; 'Ext Nontradable'!$AZ$23 &amp; BN$9),"")</f>
        <v>0</v>
      </c>
      <c r="BO35" s="700">
        <f ca="1">IF(INDIRECT("'Ext Nontradable'!$B" &amp; BO$9)=$B35,INDIRECT("'Ext Nontradable'!$" &amp; 'Ext Nontradable'!$AZ$23 &amp; BO$9),"")</f>
        <v>0</v>
      </c>
      <c r="BP35" s="700">
        <f ca="1">IF(INDIRECT("'Ext Nontradable'!$B" &amp; BP$9)=$B35,INDIRECT("'Ext Nontradable'!$" &amp; 'Ext Nontradable'!$AZ$23 &amp; BP$9),"")</f>
        <v>0</v>
      </c>
      <c r="BQ35" s="700">
        <f ca="1">IF(INDIRECT("'Ext Nontradable'!$B" &amp; BQ$9)=$B35,INDIRECT("'Ext Nontradable'!$" &amp; 'Ext Nontradable'!$AZ$23 &amp; BQ$9),"")</f>
        <v>0</v>
      </c>
      <c r="BR35" s="700">
        <f ca="1">IF(INDIRECT("'Ext Nontradable'!$B" &amp; BR$9)=$B35,INDIRECT("'Ext Nontradable'!$" &amp; 'Ext Nontradable'!$AZ$23 &amp; BR$9),"")</f>
        <v>0</v>
      </c>
      <c r="BS35" s="700">
        <f ca="1">IF(INDIRECT("'Ext Nontradable'!$B" &amp; BS$9)=$B35,INDIRECT("'Ext Nontradable'!$" &amp; 'Ext Nontradable'!$AZ$23 &amp; BS$9),"")</f>
        <v>0</v>
      </c>
      <c r="BT35" s="700">
        <f ca="1">IF(INDIRECT("'Ext Nontradable'!$B" &amp; BT$9)=$B35,INDIRECT("'Ext Nontradable'!$" &amp; 'Ext Nontradable'!$AZ$23 &amp; BT$9),"")</f>
        <v>0</v>
      </c>
      <c r="BU35" s="700">
        <f ca="1">IF(INDIRECT("'Ext Nontradable'!$B" &amp; BU$9)=$B35,INDIRECT("'Ext Nontradable'!$" &amp; 'Ext Nontradable'!$AZ$23 &amp; BU$9),"")</f>
        <v>0</v>
      </c>
      <c r="BV35" s="700">
        <f ca="1">IF(INDIRECT("'Ext Nontradable'!$B" &amp; BV$9)=$B35,INDIRECT("'Ext Nontradable'!$" &amp; 'Ext Nontradable'!$AZ$23 &amp; BV$9),"")</f>
        <v>0</v>
      </c>
      <c r="BW35" s="700">
        <f ca="1">IF(INDIRECT("'Ext Nontradable'!$B" &amp; BW$9)=$B35,INDIRECT("'Ext Nontradable'!$" &amp; 'Ext Nontradable'!$AZ$23 &amp; BW$9),"")</f>
        <v>0</v>
      </c>
      <c r="BX35" s="700">
        <f ca="1">IF(INDIRECT("'Ext Nontradable'!$B" &amp; BX$9)=$B35,INDIRECT("'Ext Nontradable'!$" &amp; 'Ext Nontradable'!$AZ$23 &amp; BX$9),"")</f>
        <v>0</v>
      </c>
      <c r="BY35" s="700">
        <f ca="1">IF(INDIRECT("'Ext Nontradable'!$B" &amp; BY$9)=$B35,INDIRECT("'Ext Nontradable'!$" &amp; 'Ext Nontradable'!$AZ$23 &amp; BY$9),"")</f>
        <v>0</v>
      </c>
      <c r="BZ35" s="700">
        <f ca="1">IF(INDIRECT("'Ext Nontradable'!$B" &amp; BZ$9)=$B35,INDIRECT("'Ext Nontradable'!$" &amp; 'Ext Nontradable'!$AZ$23 &amp; BZ$9),"")</f>
        <v>0</v>
      </c>
      <c r="CA35" s="700">
        <f ca="1">IF(INDIRECT("'Ext Nontradable'!$B" &amp; CA$9)=$B35,INDIRECT("'Ext Nontradable'!$" &amp; 'Ext Nontradable'!$AZ$23 &amp; CA$9),"")</f>
        <v>0</v>
      </c>
      <c r="CB35" s="700">
        <f ca="1">IF(INDIRECT("'Ext Nontradable'!$B" &amp; CB$9)=$B35,INDIRECT("'Ext Nontradable'!$" &amp; 'Ext Nontradable'!$AZ$23 &amp; CB$9),"")</f>
        <v>0</v>
      </c>
      <c r="CC35" s="700">
        <f ca="1">IF(INDIRECT("'Ext Nontradable'!$B" &amp; CC$9)=$B35,INDIRECT("'Ext Nontradable'!$" &amp; 'Ext Nontradable'!$AZ$23 &amp; CC$9),"")</f>
        <v>0</v>
      </c>
      <c r="CD35" s="700">
        <f ca="1">IF(INDIRECT("'Ext Nontradable'!$B" &amp; CD$9)=$B35,INDIRECT("'Ext Nontradable'!$" &amp; 'Ext Nontradable'!$AZ$23 &amp; CD$9),"")</f>
        <v>0</v>
      </c>
      <c r="CE35" s="700">
        <f ca="1">IF(INDIRECT("'Ext Nontradable'!$B" &amp; CE$9)=$B35,INDIRECT("'Ext Nontradable'!$" &amp; 'Ext Nontradable'!$AZ$23 &amp; CE$9),"")</f>
        <v>0</v>
      </c>
      <c r="CF35" s="700">
        <f ca="1">IF(INDIRECT("'Ext Nontradable'!$B" &amp; CF$9)=$B35,INDIRECT("'Ext Nontradable'!$" &amp; 'Ext Nontradable'!$AZ$23 &amp; CF$9),"")</f>
        <v>0</v>
      </c>
      <c r="CG35" s="700">
        <f ca="1">IF(INDIRECT("'Ext Nontradable'!$B" &amp; CG$9)=$B35,INDIRECT("'Ext Nontradable'!$" &amp; 'Ext Nontradable'!$AZ$23 &amp; CG$9),"")</f>
        <v>0</v>
      </c>
      <c r="CH35" s="700">
        <f ca="1">IF(INDIRECT("'Ext Nontradable'!$B" &amp; CH$9)=$B35,INDIRECT("'Ext Nontradable'!$" &amp; 'Ext Nontradable'!$AZ$23 &amp; CH$9),"")</f>
        <v>0</v>
      </c>
      <c r="CI35" s="700">
        <f ca="1">IF(INDIRECT("'Ext Nontradable'!$B" &amp; CI$9)=$B35,INDIRECT("'Ext Nontradable'!$" &amp; 'Ext Nontradable'!$AZ$23 &amp; CI$9),"")</f>
        <v>0</v>
      </c>
      <c r="CJ35" s="700">
        <f ca="1">IF(INDIRECT("'Ext Nontradable'!$B" &amp; CJ$9)=$B35,INDIRECT("'Ext Nontradable'!$" &amp; 'Ext Nontradable'!$AZ$23 &amp; CJ$9),"")</f>
        <v>0</v>
      </c>
      <c r="CK35" s="700">
        <f ca="1">IF(INDIRECT("'Ext Nontradable'!$B" &amp; CK$9)=$B35,INDIRECT("'Ext Nontradable'!$" &amp; 'Ext Nontradable'!$AZ$23 &amp; CK$9),"")</f>
        <v>0</v>
      </c>
      <c r="CL35" s="700">
        <f ca="1">IF(INDIRECT("'Ext Nontradable'!$B" &amp; CL$9)=$B35,INDIRECT("'Ext Nontradable'!$" &amp; 'Ext Nontradable'!$AZ$23 &amp; CL$9),"")</f>
        <v>0</v>
      </c>
      <c r="CM35" s="700">
        <f ca="1">IF(INDIRECT("'Ext Nontradable'!$B" &amp; CM$9)=$B35,INDIRECT("'Ext Nontradable'!$" &amp; 'Ext Nontradable'!$AZ$23 &amp; CM$9),"")</f>
        <v>0</v>
      </c>
      <c r="CN35" s="700">
        <f ca="1">IF(INDIRECT("'Ext Nontradable'!$B" &amp; CN$9)=$B35,INDIRECT("'Ext Nontradable'!$" &amp; 'Ext Nontradable'!$AZ$23 &amp; CN$9),"")</f>
        <v>0</v>
      </c>
      <c r="CO35" s="700">
        <f ca="1">IF(INDIRECT("'Ext Nontradable'!$B" &amp; CO$9)=$B35,INDIRECT("'Ext Nontradable'!$" &amp; 'Ext Nontradable'!$AZ$23 &amp; CO$9),"")</f>
        <v>0</v>
      </c>
      <c r="CP35" s="700">
        <f ca="1">IF(INDIRECT("'Ext Nontradable'!$B" &amp; CP$9)=$B35,INDIRECT("'Ext Nontradable'!$" &amp; 'Ext Nontradable'!$AZ$23 &amp; CP$9),"")</f>
        <v>0</v>
      </c>
      <c r="CQ35" s="700">
        <f ca="1">IF(INDIRECT("'Ext Nontradable'!$B" &amp; CQ$9)=$B35,INDIRECT("'Ext Nontradable'!$" &amp; 'Ext Nontradable'!$AZ$23 &amp; CQ$9),"")</f>
        <v>0</v>
      </c>
      <c r="CR35" s="702" t="str">
        <f t="shared" ca="1" si="25"/>
        <v>000000000000000000000000000000</v>
      </c>
    </row>
    <row r="36" spans="1:96" ht="60" customHeight="1" x14ac:dyDescent="0.25">
      <c r="A36" s="705">
        <v>27</v>
      </c>
      <c r="B36" s="707" t="str">
        <f>'Ext Area Schedule'!AK42</f>
        <v/>
      </c>
      <c r="C36" s="707" t="str">
        <f>VLOOKUP($B36,'Ext Area Schedule'!$AK$16:$AO$65,3,FALSE)</f>
        <v/>
      </c>
      <c r="D36" s="792" t="str">
        <f>VLOOKUP($B36,'Ext Area Schedule'!$AK$16:$AO$65,4,FALSE)</f>
        <v/>
      </c>
      <c r="F36" s="792" t="str">
        <f>VLOOKUP($B36,'Ext Area Schedule'!$AK$16:$AO$65,5,FALSE)</f>
        <v/>
      </c>
      <c r="G36" s="792" t="str">
        <f>VLOOKUP($B36,'Ext Area Schedule'!$AK$16:$AO$65,5,FALSE)</f>
        <v/>
      </c>
      <c r="I36" s="703" t="str">
        <f t="shared" si="1"/>
        <v/>
      </c>
      <c r="K36" s="703" t="str">
        <f>IF($B36="","",SUMIFS('Ext Nontradable'!$M$26:$M$45,'Ext Nontradable'!$B$26:$B$45,$B36,'Ext Nontradable'!$U$26:$U$45,"New"))</f>
        <v/>
      </c>
      <c r="L36" s="703" t="str">
        <f>IF($B36="","",SUMIFS('Ext Nontradable'!$M$26:$M$45,'Ext Nontradable'!$B$26:$B$45,$B36,'Ext Nontradable'!$U$26:$U$45,""))</f>
        <v/>
      </c>
      <c r="M36" s="703" t="str">
        <f>IF($B36="","",SUMIFS('Ext Nontradable'!$K$26:$K$45,'Ext Nontradable'!$B$26:$B$45,$B36,'Ext Nontradable'!$U$26:$U$45,"New")+SUMIFS('Ext Nontradable'!$K$26:$K$45,'Ext Nontradable'!$B$26:$B$45,$B36,'Ext Nontradable'!$U$26:$U$45,""))</f>
        <v/>
      </c>
      <c r="N36" s="703" t="str">
        <f>IF($B36="","",SUMIFS('Ext Nontradable'!$M$26:$M$45,'Ext Nontradable'!$B$26:$B$45,$B36,'Ext Nontradable'!$U$26:$U$45,"Existing Remains"))</f>
        <v/>
      </c>
      <c r="O36" s="703" t="str">
        <f>IF($B36="","",SUMIFS('Ext Nontradable'!$M$26:$M$45,'Ext Nontradable'!$B$26:$B$45,$B36,'Ext Nontradable'!$U$26:$U$45,"Existing Removed"))</f>
        <v/>
      </c>
      <c r="P36" s="703" t="str">
        <f>IF($B36="","",SUMIFS('Ext Nontradable'!$K$26:$K$45,'Ext Nontradable'!$B$26:$B$45,$B36,'Ext Nontradable'!$U$26:$U$45,"Existing Removed"))</f>
        <v/>
      </c>
      <c r="Q36" s="703" t="str">
        <f t="shared" si="2"/>
        <v/>
      </c>
      <c r="R36" s="703" t="str">
        <f t="shared" si="7"/>
        <v/>
      </c>
      <c r="S36" s="703">
        <f t="shared" si="8"/>
        <v>0</v>
      </c>
      <c r="T36" s="954">
        <f t="shared" si="20"/>
        <v>0</v>
      </c>
      <c r="U36" s="954">
        <f t="shared" si="21"/>
        <v>0</v>
      </c>
      <c r="V36" s="1115" t="str">
        <f t="shared" si="22"/>
        <v/>
      </c>
      <c r="W36" s="712" t="str">
        <f t="shared" si="23"/>
        <v/>
      </c>
      <c r="X36" s="857"/>
      <c r="Y36" s="720" t="str">
        <f t="shared" si="24"/>
        <v/>
      </c>
      <c r="Z36" s="721" t="str">
        <f t="shared" si="9"/>
        <v/>
      </c>
      <c r="AA36" s="721" t="str">
        <f t="shared" si="10"/>
        <v/>
      </c>
      <c r="AB36" s="719" t="str">
        <f t="shared" si="4"/>
        <v/>
      </c>
      <c r="AC36" s="857"/>
      <c r="AD36" s="717" t="str">
        <f t="shared" si="11"/>
        <v/>
      </c>
      <c r="AE36" s="718" t="str">
        <f t="shared" si="12"/>
        <v/>
      </c>
      <c r="AF36" s="719" t="str">
        <f t="shared" si="5"/>
        <v/>
      </c>
      <c r="AG36" s="726"/>
      <c r="AH36" s="727" t="str">
        <f t="shared" si="13"/>
        <v/>
      </c>
      <c r="AI36" s="703" t="str">
        <f t="shared" si="14"/>
        <v/>
      </c>
      <c r="AJ36" s="703" t="str">
        <f t="shared" si="15"/>
        <v/>
      </c>
      <c r="AL36" s="1075" t="str">
        <f t="shared" si="16"/>
        <v/>
      </c>
      <c r="AM36" s="855" t="str">
        <f t="shared" si="18"/>
        <v/>
      </c>
      <c r="AN36" s="707" t="str">
        <f>IF(OR(AL36="Fail",AL36="Fail LPA",AL36=""),"",IF(AM36&lt;&gt;"#1",VLOOKUP(C36,'9.4.3 Tables'!B$156:O$164,14,FALSE),"No NEW controls required"))</f>
        <v/>
      </c>
      <c r="AO36" s="703">
        <f t="shared" si="19"/>
        <v>0</v>
      </c>
      <c r="AR36">
        <v>27</v>
      </c>
      <c r="AS36" s="15" t="str">
        <f t="shared" si="17"/>
        <v/>
      </c>
      <c r="AT36" s="700" t="str">
        <f ca="1">IF(INDIRECT("'Ext Nontradable'!$B" &amp; AT$9)=$B36,INDIRECT("'Ext Nontradable'!$" &amp; 'Ext Nontradable'!$AZ$23 &amp; AT$9),"")</f>
        <v/>
      </c>
      <c r="AU36" s="700" t="str">
        <f ca="1">IF(INDIRECT("'Ext Nontradable'!$B" &amp; AU$9)=$B36,INDIRECT("'Ext Nontradable'!$" &amp; 'Ext Nontradable'!$AZ$23 &amp; AU$9),"")</f>
        <v/>
      </c>
      <c r="AV36" s="700" t="str">
        <f ca="1">IF(INDIRECT("'Ext Nontradable'!$B" &amp; AV$9)=$B36,INDIRECT("'Ext Nontradable'!$" &amp; 'Ext Nontradable'!$AZ$23 &amp; AV$9),"")</f>
        <v/>
      </c>
      <c r="AW36" s="700" t="str">
        <f ca="1">IF(INDIRECT("'Ext Nontradable'!$B" &amp; AW$9)=$B36,INDIRECT("'Ext Nontradable'!$" &amp; 'Ext Nontradable'!$AZ$23 &amp; AW$9),"")</f>
        <v/>
      </c>
      <c r="AX36" s="700" t="str">
        <f ca="1">IF(INDIRECT("'Ext Nontradable'!$B" &amp; AX$9)=$B36,INDIRECT("'Ext Nontradable'!$" &amp; 'Ext Nontradable'!$AZ$23 &amp; AX$9),"")</f>
        <v/>
      </c>
      <c r="AY36" s="700" t="str">
        <f ca="1">IF(INDIRECT("'Ext Nontradable'!$B" &amp; AY$9)=$B36,INDIRECT("'Ext Nontradable'!$" &amp; 'Ext Nontradable'!$AZ$23 &amp; AY$9),"")</f>
        <v/>
      </c>
      <c r="AZ36" s="700" t="str">
        <f ca="1">IF(INDIRECT("'Ext Nontradable'!$B" &amp; AZ$9)=$B36,INDIRECT("'Ext Nontradable'!$" &amp; 'Ext Nontradable'!$AZ$23 &amp; AZ$9),"")</f>
        <v/>
      </c>
      <c r="BA36" s="700" t="str">
        <f ca="1">IF(INDIRECT("'Ext Nontradable'!$B" &amp; BA$9)=$B36,INDIRECT("'Ext Nontradable'!$" &amp; 'Ext Nontradable'!$AZ$23 &amp; BA$9),"")</f>
        <v/>
      </c>
      <c r="BB36" s="700" t="str">
        <f ca="1">IF(INDIRECT("'Ext Nontradable'!$B" &amp; BB$9)=$B36,INDIRECT("'Ext Nontradable'!$" &amp; 'Ext Nontradable'!$AZ$23 &amp; BB$9),"")</f>
        <v/>
      </c>
      <c r="BC36" s="700" t="str">
        <f ca="1">IF(INDIRECT("'Ext Nontradable'!$B" &amp; BC$9)=$B36,INDIRECT("'Ext Nontradable'!$" &amp; 'Ext Nontradable'!$AZ$23 &amp; BC$9),"")</f>
        <v/>
      </c>
      <c r="BD36" s="700" t="str">
        <f ca="1">IF(INDIRECT("'Ext Nontradable'!$B" &amp; BD$9)=$B36,INDIRECT("'Ext Nontradable'!$" &amp; 'Ext Nontradable'!$AZ$23 &amp; BD$9),"")</f>
        <v/>
      </c>
      <c r="BE36" s="700" t="str">
        <f ca="1">IF(INDIRECT("'Ext Nontradable'!$B" &amp; BE$9)=$B36,INDIRECT("'Ext Nontradable'!$" &amp; 'Ext Nontradable'!$AZ$23 &amp; BE$9),"")</f>
        <v/>
      </c>
      <c r="BF36" s="700" t="str">
        <f ca="1">IF(INDIRECT("'Ext Nontradable'!$B" &amp; BF$9)=$B36,INDIRECT("'Ext Nontradable'!$" &amp; 'Ext Nontradable'!$AZ$23 &amp; BF$9),"")</f>
        <v/>
      </c>
      <c r="BG36" s="700" t="str">
        <f ca="1">IF(INDIRECT("'Ext Nontradable'!$B" &amp; BG$9)=$B36,INDIRECT("'Ext Nontradable'!$" &amp; 'Ext Nontradable'!$AZ$23 &amp; BG$9),"")</f>
        <v/>
      </c>
      <c r="BH36" s="700" t="str">
        <f ca="1">IF(INDIRECT("'Ext Nontradable'!$B" &amp; BH$9)=$B36,INDIRECT("'Ext Nontradable'!$" &amp; 'Ext Nontradable'!$AZ$23 &amp; BH$9),"")</f>
        <v/>
      </c>
      <c r="BI36" s="700" t="str">
        <f ca="1">IF(INDIRECT("'Ext Nontradable'!$B" &amp; BI$9)=$B36,INDIRECT("'Ext Nontradable'!$" &amp; 'Ext Nontradable'!$AZ$23 &amp; BI$9),"")</f>
        <v/>
      </c>
      <c r="BJ36" s="700" t="str">
        <f ca="1">IF(INDIRECT("'Ext Nontradable'!$B" &amp; BJ$9)=$B36,INDIRECT("'Ext Nontradable'!$" &amp; 'Ext Nontradable'!$AZ$23 &amp; BJ$9),"")</f>
        <v/>
      </c>
      <c r="BK36" s="700" t="str">
        <f ca="1">IF(INDIRECT("'Ext Nontradable'!$B" &amp; BK$9)=$B36,INDIRECT("'Ext Nontradable'!$" &amp; 'Ext Nontradable'!$AZ$23 &amp; BK$9),"")</f>
        <v/>
      </c>
      <c r="BL36" s="700" t="str">
        <f ca="1">IF(INDIRECT("'Ext Nontradable'!$B" &amp; BL$9)=$B36,INDIRECT("'Ext Nontradable'!$" &amp; 'Ext Nontradable'!$AZ$23 &amp; BL$9),"")</f>
        <v/>
      </c>
      <c r="BM36" s="700" t="str">
        <f ca="1">IF(INDIRECT("'Ext Nontradable'!$B" &amp; BM$9)=$B36,INDIRECT("'Ext Nontradable'!$" &amp; 'Ext Nontradable'!$AZ$23 &amp; BM$9),"")</f>
        <v/>
      </c>
      <c r="BN36" s="700">
        <f ca="1">IF(INDIRECT("'Ext Nontradable'!$B" &amp; BN$9)=$B36,INDIRECT("'Ext Nontradable'!$" &amp; 'Ext Nontradable'!$AZ$23 &amp; BN$9),"")</f>
        <v>0</v>
      </c>
      <c r="BO36" s="700">
        <f ca="1">IF(INDIRECT("'Ext Nontradable'!$B" &amp; BO$9)=$B36,INDIRECT("'Ext Nontradable'!$" &amp; 'Ext Nontradable'!$AZ$23 &amp; BO$9),"")</f>
        <v>0</v>
      </c>
      <c r="BP36" s="700">
        <f ca="1">IF(INDIRECT("'Ext Nontradable'!$B" &amp; BP$9)=$B36,INDIRECT("'Ext Nontradable'!$" &amp; 'Ext Nontradable'!$AZ$23 &amp; BP$9),"")</f>
        <v>0</v>
      </c>
      <c r="BQ36" s="700">
        <f ca="1">IF(INDIRECT("'Ext Nontradable'!$B" &amp; BQ$9)=$B36,INDIRECT("'Ext Nontradable'!$" &amp; 'Ext Nontradable'!$AZ$23 &amp; BQ$9),"")</f>
        <v>0</v>
      </c>
      <c r="BR36" s="700">
        <f ca="1">IF(INDIRECT("'Ext Nontradable'!$B" &amp; BR$9)=$B36,INDIRECT("'Ext Nontradable'!$" &amp; 'Ext Nontradable'!$AZ$23 &amp; BR$9),"")</f>
        <v>0</v>
      </c>
      <c r="BS36" s="700">
        <f ca="1">IF(INDIRECT("'Ext Nontradable'!$B" &amp; BS$9)=$B36,INDIRECT("'Ext Nontradable'!$" &amp; 'Ext Nontradable'!$AZ$23 &amp; BS$9),"")</f>
        <v>0</v>
      </c>
      <c r="BT36" s="700">
        <f ca="1">IF(INDIRECT("'Ext Nontradable'!$B" &amp; BT$9)=$B36,INDIRECT("'Ext Nontradable'!$" &amp; 'Ext Nontradable'!$AZ$23 &amp; BT$9),"")</f>
        <v>0</v>
      </c>
      <c r="BU36" s="700">
        <f ca="1">IF(INDIRECT("'Ext Nontradable'!$B" &amp; BU$9)=$B36,INDIRECT("'Ext Nontradable'!$" &amp; 'Ext Nontradable'!$AZ$23 &amp; BU$9),"")</f>
        <v>0</v>
      </c>
      <c r="BV36" s="700">
        <f ca="1">IF(INDIRECT("'Ext Nontradable'!$B" &amp; BV$9)=$B36,INDIRECT("'Ext Nontradable'!$" &amp; 'Ext Nontradable'!$AZ$23 &amp; BV$9),"")</f>
        <v>0</v>
      </c>
      <c r="BW36" s="700">
        <f ca="1">IF(INDIRECT("'Ext Nontradable'!$B" &amp; BW$9)=$B36,INDIRECT("'Ext Nontradable'!$" &amp; 'Ext Nontradable'!$AZ$23 &amp; BW$9),"")</f>
        <v>0</v>
      </c>
      <c r="BX36" s="700">
        <f ca="1">IF(INDIRECT("'Ext Nontradable'!$B" &amp; BX$9)=$B36,INDIRECT("'Ext Nontradable'!$" &amp; 'Ext Nontradable'!$AZ$23 &amp; BX$9),"")</f>
        <v>0</v>
      </c>
      <c r="BY36" s="700">
        <f ca="1">IF(INDIRECT("'Ext Nontradable'!$B" &amp; BY$9)=$B36,INDIRECT("'Ext Nontradable'!$" &amp; 'Ext Nontradable'!$AZ$23 &amp; BY$9),"")</f>
        <v>0</v>
      </c>
      <c r="BZ36" s="700">
        <f ca="1">IF(INDIRECT("'Ext Nontradable'!$B" &amp; BZ$9)=$B36,INDIRECT("'Ext Nontradable'!$" &amp; 'Ext Nontradable'!$AZ$23 &amp; BZ$9),"")</f>
        <v>0</v>
      </c>
      <c r="CA36" s="700">
        <f ca="1">IF(INDIRECT("'Ext Nontradable'!$B" &amp; CA$9)=$B36,INDIRECT("'Ext Nontradable'!$" &amp; 'Ext Nontradable'!$AZ$23 &amp; CA$9),"")</f>
        <v>0</v>
      </c>
      <c r="CB36" s="700">
        <f ca="1">IF(INDIRECT("'Ext Nontradable'!$B" &amp; CB$9)=$B36,INDIRECT("'Ext Nontradable'!$" &amp; 'Ext Nontradable'!$AZ$23 &amp; CB$9),"")</f>
        <v>0</v>
      </c>
      <c r="CC36" s="700">
        <f ca="1">IF(INDIRECT("'Ext Nontradable'!$B" &amp; CC$9)=$B36,INDIRECT("'Ext Nontradable'!$" &amp; 'Ext Nontradable'!$AZ$23 &amp; CC$9),"")</f>
        <v>0</v>
      </c>
      <c r="CD36" s="700">
        <f ca="1">IF(INDIRECT("'Ext Nontradable'!$B" &amp; CD$9)=$B36,INDIRECT("'Ext Nontradable'!$" &amp; 'Ext Nontradable'!$AZ$23 &amp; CD$9),"")</f>
        <v>0</v>
      </c>
      <c r="CE36" s="700">
        <f ca="1">IF(INDIRECT("'Ext Nontradable'!$B" &amp; CE$9)=$B36,INDIRECT("'Ext Nontradable'!$" &amp; 'Ext Nontradable'!$AZ$23 &amp; CE$9),"")</f>
        <v>0</v>
      </c>
      <c r="CF36" s="700">
        <f ca="1">IF(INDIRECT("'Ext Nontradable'!$B" &amp; CF$9)=$B36,INDIRECT("'Ext Nontradable'!$" &amp; 'Ext Nontradable'!$AZ$23 &amp; CF$9),"")</f>
        <v>0</v>
      </c>
      <c r="CG36" s="700">
        <f ca="1">IF(INDIRECT("'Ext Nontradable'!$B" &amp; CG$9)=$B36,INDIRECT("'Ext Nontradable'!$" &amp; 'Ext Nontradable'!$AZ$23 &amp; CG$9),"")</f>
        <v>0</v>
      </c>
      <c r="CH36" s="700">
        <f ca="1">IF(INDIRECT("'Ext Nontradable'!$B" &amp; CH$9)=$B36,INDIRECT("'Ext Nontradable'!$" &amp; 'Ext Nontradable'!$AZ$23 &amp; CH$9),"")</f>
        <v>0</v>
      </c>
      <c r="CI36" s="700">
        <f ca="1">IF(INDIRECT("'Ext Nontradable'!$B" &amp; CI$9)=$B36,INDIRECT("'Ext Nontradable'!$" &amp; 'Ext Nontradable'!$AZ$23 &amp; CI$9),"")</f>
        <v>0</v>
      </c>
      <c r="CJ36" s="700">
        <f ca="1">IF(INDIRECT("'Ext Nontradable'!$B" &amp; CJ$9)=$B36,INDIRECT("'Ext Nontradable'!$" &amp; 'Ext Nontradable'!$AZ$23 &amp; CJ$9),"")</f>
        <v>0</v>
      </c>
      <c r="CK36" s="700">
        <f ca="1">IF(INDIRECT("'Ext Nontradable'!$B" &amp; CK$9)=$B36,INDIRECT("'Ext Nontradable'!$" &amp; 'Ext Nontradable'!$AZ$23 &amp; CK$9),"")</f>
        <v>0</v>
      </c>
      <c r="CL36" s="700">
        <f ca="1">IF(INDIRECT("'Ext Nontradable'!$B" &amp; CL$9)=$B36,INDIRECT("'Ext Nontradable'!$" &amp; 'Ext Nontradable'!$AZ$23 &amp; CL$9),"")</f>
        <v>0</v>
      </c>
      <c r="CM36" s="700">
        <f ca="1">IF(INDIRECT("'Ext Nontradable'!$B" &amp; CM$9)=$B36,INDIRECT("'Ext Nontradable'!$" &amp; 'Ext Nontradable'!$AZ$23 &amp; CM$9),"")</f>
        <v>0</v>
      </c>
      <c r="CN36" s="700">
        <f ca="1">IF(INDIRECT("'Ext Nontradable'!$B" &amp; CN$9)=$B36,INDIRECT("'Ext Nontradable'!$" &amp; 'Ext Nontradable'!$AZ$23 &amp; CN$9),"")</f>
        <v>0</v>
      </c>
      <c r="CO36" s="700">
        <f ca="1">IF(INDIRECT("'Ext Nontradable'!$B" &amp; CO$9)=$B36,INDIRECT("'Ext Nontradable'!$" &amp; 'Ext Nontradable'!$AZ$23 &amp; CO$9),"")</f>
        <v>0</v>
      </c>
      <c r="CP36" s="700">
        <f ca="1">IF(INDIRECT("'Ext Nontradable'!$B" &amp; CP$9)=$B36,INDIRECT("'Ext Nontradable'!$" &amp; 'Ext Nontradable'!$AZ$23 &amp; CP$9),"")</f>
        <v>0</v>
      </c>
      <c r="CQ36" s="700">
        <f ca="1">IF(INDIRECT("'Ext Nontradable'!$B" &amp; CQ$9)=$B36,INDIRECT("'Ext Nontradable'!$" &amp; 'Ext Nontradable'!$AZ$23 &amp; CQ$9),"")</f>
        <v>0</v>
      </c>
      <c r="CR36" s="702" t="str">
        <f t="shared" ca="1" si="25"/>
        <v>000000000000000000000000000000</v>
      </c>
    </row>
    <row r="37" spans="1:96" ht="60" customHeight="1" x14ac:dyDescent="0.25">
      <c r="A37" s="705">
        <v>28</v>
      </c>
      <c r="B37" s="707" t="str">
        <f>'Ext Area Schedule'!AK43</f>
        <v/>
      </c>
      <c r="C37" s="707" t="str">
        <f>VLOOKUP($B37,'Ext Area Schedule'!$AK$16:$AO$65,3,FALSE)</f>
        <v/>
      </c>
      <c r="D37" s="792" t="str">
        <f>VLOOKUP($B37,'Ext Area Schedule'!$AK$16:$AO$65,4,FALSE)</f>
        <v/>
      </c>
      <c r="F37" s="792" t="str">
        <f>VLOOKUP($B37,'Ext Area Schedule'!$AK$16:$AO$65,5,FALSE)</f>
        <v/>
      </c>
      <c r="G37" s="792" t="str">
        <f>VLOOKUP($B37,'Ext Area Schedule'!$AK$16:$AO$65,5,FALSE)</f>
        <v/>
      </c>
      <c r="I37" s="703" t="str">
        <f t="shared" si="1"/>
        <v/>
      </c>
      <c r="K37" s="703" t="str">
        <f>IF($B37="","",SUMIFS('Ext Nontradable'!$M$26:$M$45,'Ext Nontradable'!$B$26:$B$45,$B37,'Ext Nontradable'!$U$26:$U$45,"New"))</f>
        <v/>
      </c>
      <c r="L37" s="703" t="str">
        <f>IF($B37="","",SUMIFS('Ext Nontradable'!$M$26:$M$45,'Ext Nontradable'!$B$26:$B$45,$B37,'Ext Nontradable'!$U$26:$U$45,""))</f>
        <v/>
      </c>
      <c r="M37" s="703" t="str">
        <f>IF($B37="","",SUMIFS('Ext Nontradable'!$K$26:$K$45,'Ext Nontradable'!$B$26:$B$45,$B37,'Ext Nontradable'!$U$26:$U$45,"New")+SUMIFS('Ext Nontradable'!$K$26:$K$45,'Ext Nontradable'!$B$26:$B$45,$B37,'Ext Nontradable'!$U$26:$U$45,""))</f>
        <v/>
      </c>
      <c r="N37" s="703" t="str">
        <f>IF($B37="","",SUMIFS('Ext Nontradable'!$M$26:$M$45,'Ext Nontradable'!$B$26:$B$45,$B37,'Ext Nontradable'!$U$26:$U$45,"Existing Remains"))</f>
        <v/>
      </c>
      <c r="O37" s="703" t="str">
        <f>IF($B37="","",SUMIFS('Ext Nontradable'!$M$26:$M$45,'Ext Nontradable'!$B$26:$B$45,$B37,'Ext Nontradable'!$U$26:$U$45,"Existing Removed"))</f>
        <v/>
      </c>
      <c r="P37" s="703" t="str">
        <f>IF($B37="","",SUMIFS('Ext Nontradable'!$K$26:$K$45,'Ext Nontradable'!$B$26:$B$45,$B37,'Ext Nontradable'!$U$26:$U$45,"Existing Removed"))</f>
        <v/>
      </c>
      <c r="Q37" s="703" t="str">
        <f t="shared" si="2"/>
        <v/>
      </c>
      <c r="R37" s="703" t="str">
        <f t="shared" si="7"/>
        <v/>
      </c>
      <c r="S37" s="703">
        <f t="shared" si="8"/>
        <v>0</v>
      </c>
      <c r="T37" s="954">
        <f t="shared" si="20"/>
        <v>0</v>
      </c>
      <c r="U37" s="954">
        <f t="shared" si="21"/>
        <v>0</v>
      </c>
      <c r="V37" s="1115" t="str">
        <f t="shared" si="22"/>
        <v/>
      </c>
      <c r="W37" s="712" t="str">
        <f t="shared" si="23"/>
        <v/>
      </c>
      <c r="X37" s="857"/>
      <c r="Y37" s="720" t="str">
        <f t="shared" si="24"/>
        <v/>
      </c>
      <c r="Z37" s="721" t="str">
        <f t="shared" si="9"/>
        <v/>
      </c>
      <c r="AA37" s="721" t="str">
        <f t="shared" si="10"/>
        <v/>
      </c>
      <c r="AB37" s="719" t="str">
        <f t="shared" si="4"/>
        <v/>
      </c>
      <c r="AC37" s="857"/>
      <c r="AD37" s="717" t="str">
        <f t="shared" si="11"/>
        <v/>
      </c>
      <c r="AE37" s="718" t="str">
        <f t="shared" si="12"/>
        <v/>
      </c>
      <c r="AF37" s="719" t="str">
        <f t="shared" si="5"/>
        <v/>
      </c>
      <c r="AG37" s="726"/>
      <c r="AH37" s="727" t="str">
        <f t="shared" si="13"/>
        <v/>
      </c>
      <c r="AI37" s="703" t="str">
        <f t="shared" si="14"/>
        <v/>
      </c>
      <c r="AJ37" s="703" t="str">
        <f t="shared" si="15"/>
        <v/>
      </c>
      <c r="AL37" s="1075" t="str">
        <f t="shared" si="16"/>
        <v/>
      </c>
      <c r="AM37" s="855" t="str">
        <f t="shared" si="18"/>
        <v/>
      </c>
      <c r="AN37" s="707" t="str">
        <f>IF(OR(AL37="Fail",AL37="Fail LPA",AL37=""),"",IF(AM37&lt;&gt;"#1",VLOOKUP(C37,'9.4.3 Tables'!B$156:O$164,14,FALSE),"No NEW controls required"))</f>
        <v/>
      </c>
      <c r="AO37" s="703">
        <f t="shared" si="19"/>
        <v>0</v>
      </c>
      <c r="AR37">
        <v>28</v>
      </c>
      <c r="AS37" s="15" t="str">
        <f t="shared" si="17"/>
        <v/>
      </c>
      <c r="AT37" s="700" t="str">
        <f ca="1">IF(INDIRECT("'Ext Nontradable'!$B" &amp; AT$9)=$B37,INDIRECT("'Ext Nontradable'!$" &amp; 'Ext Nontradable'!$AZ$23 &amp; AT$9),"")</f>
        <v/>
      </c>
      <c r="AU37" s="700" t="str">
        <f ca="1">IF(INDIRECT("'Ext Nontradable'!$B" &amp; AU$9)=$B37,INDIRECT("'Ext Nontradable'!$" &amp; 'Ext Nontradable'!$AZ$23 &amp; AU$9),"")</f>
        <v/>
      </c>
      <c r="AV37" s="700" t="str">
        <f ca="1">IF(INDIRECT("'Ext Nontradable'!$B" &amp; AV$9)=$B37,INDIRECT("'Ext Nontradable'!$" &amp; 'Ext Nontradable'!$AZ$23 &amp; AV$9),"")</f>
        <v/>
      </c>
      <c r="AW37" s="700" t="str">
        <f ca="1">IF(INDIRECT("'Ext Nontradable'!$B" &amp; AW$9)=$B37,INDIRECT("'Ext Nontradable'!$" &amp; 'Ext Nontradable'!$AZ$23 &amp; AW$9),"")</f>
        <v/>
      </c>
      <c r="AX37" s="700" t="str">
        <f ca="1">IF(INDIRECT("'Ext Nontradable'!$B" &amp; AX$9)=$B37,INDIRECT("'Ext Nontradable'!$" &amp; 'Ext Nontradable'!$AZ$23 &amp; AX$9),"")</f>
        <v/>
      </c>
      <c r="AY37" s="700" t="str">
        <f ca="1">IF(INDIRECT("'Ext Nontradable'!$B" &amp; AY$9)=$B37,INDIRECT("'Ext Nontradable'!$" &amp; 'Ext Nontradable'!$AZ$23 &amp; AY$9),"")</f>
        <v/>
      </c>
      <c r="AZ37" s="700" t="str">
        <f ca="1">IF(INDIRECT("'Ext Nontradable'!$B" &amp; AZ$9)=$B37,INDIRECT("'Ext Nontradable'!$" &amp; 'Ext Nontradable'!$AZ$23 &amp; AZ$9),"")</f>
        <v/>
      </c>
      <c r="BA37" s="700" t="str">
        <f ca="1">IF(INDIRECT("'Ext Nontradable'!$B" &amp; BA$9)=$B37,INDIRECT("'Ext Nontradable'!$" &amp; 'Ext Nontradable'!$AZ$23 &amp; BA$9),"")</f>
        <v/>
      </c>
      <c r="BB37" s="700" t="str">
        <f ca="1">IF(INDIRECT("'Ext Nontradable'!$B" &amp; BB$9)=$B37,INDIRECT("'Ext Nontradable'!$" &amp; 'Ext Nontradable'!$AZ$23 &amp; BB$9),"")</f>
        <v/>
      </c>
      <c r="BC37" s="700" t="str">
        <f ca="1">IF(INDIRECT("'Ext Nontradable'!$B" &amp; BC$9)=$B37,INDIRECT("'Ext Nontradable'!$" &amp; 'Ext Nontradable'!$AZ$23 &amp; BC$9),"")</f>
        <v/>
      </c>
      <c r="BD37" s="700" t="str">
        <f ca="1">IF(INDIRECT("'Ext Nontradable'!$B" &amp; BD$9)=$B37,INDIRECT("'Ext Nontradable'!$" &amp; 'Ext Nontradable'!$AZ$23 &amp; BD$9),"")</f>
        <v/>
      </c>
      <c r="BE37" s="700" t="str">
        <f ca="1">IF(INDIRECT("'Ext Nontradable'!$B" &amp; BE$9)=$B37,INDIRECT("'Ext Nontradable'!$" &amp; 'Ext Nontradable'!$AZ$23 &amp; BE$9),"")</f>
        <v/>
      </c>
      <c r="BF37" s="700" t="str">
        <f ca="1">IF(INDIRECT("'Ext Nontradable'!$B" &amp; BF$9)=$B37,INDIRECT("'Ext Nontradable'!$" &amp; 'Ext Nontradable'!$AZ$23 &amp; BF$9),"")</f>
        <v/>
      </c>
      <c r="BG37" s="700" t="str">
        <f ca="1">IF(INDIRECT("'Ext Nontradable'!$B" &amp; BG$9)=$B37,INDIRECT("'Ext Nontradable'!$" &amp; 'Ext Nontradable'!$AZ$23 &amp; BG$9),"")</f>
        <v/>
      </c>
      <c r="BH37" s="700" t="str">
        <f ca="1">IF(INDIRECT("'Ext Nontradable'!$B" &amp; BH$9)=$B37,INDIRECT("'Ext Nontradable'!$" &amp; 'Ext Nontradable'!$AZ$23 &amp; BH$9),"")</f>
        <v/>
      </c>
      <c r="BI37" s="700" t="str">
        <f ca="1">IF(INDIRECT("'Ext Nontradable'!$B" &amp; BI$9)=$B37,INDIRECT("'Ext Nontradable'!$" &amp; 'Ext Nontradable'!$AZ$23 &amp; BI$9),"")</f>
        <v/>
      </c>
      <c r="BJ37" s="700" t="str">
        <f ca="1">IF(INDIRECT("'Ext Nontradable'!$B" &amp; BJ$9)=$B37,INDIRECT("'Ext Nontradable'!$" &amp; 'Ext Nontradable'!$AZ$23 &amp; BJ$9),"")</f>
        <v/>
      </c>
      <c r="BK37" s="700" t="str">
        <f ca="1">IF(INDIRECT("'Ext Nontradable'!$B" &amp; BK$9)=$B37,INDIRECT("'Ext Nontradable'!$" &amp; 'Ext Nontradable'!$AZ$23 &amp; BK$9),"")</f>
        <v/>
      </c>
      <c r="BL37" s="700" t="str">
        <f ca="1">IF(INDIRECT("'Ext Nontradable'!$B" &amp; BL$9)=$B37,INDIRECT("'Ext Nontradable'!$" &amp; 'Ext Nontradable'!$AZ$23 &amp; BL$9),"")</f>
        <v/>
      </c>
      <c r="BM37" s="700" t="str">
        <f ca="1">IF(INDIRECT("'Ext Nontradable'!$B" &amp; BM$9)=$B37,INDIRECT("'Ext Nontradable'!$" &amp; 'Ext Nontradable'!$AZ$23 &amp; BM$9),"")</f>
        <v/>
      </c>
      <c r="BN37" s="700">
        <f ca="1">IF(INDIRECT("'Ext Nontradable'!$B" &amp; BN$9)=$B37,INDIRECT("'Ext Nontradable'!$" &amp; 'Ext Nontradable'!$AZ$23 &amp; BN$9),"")</f>
        <v>0</v>
      </c>
      <c r="BO37" s="700">
        <f ca="1">IF(INDIRECT("'Ext Nontradable'!$B" &amp; BO$9)=$B37,INDIRECT("'Ext Nontradable'!$" &amp; 'Ext Nontradable'!$AZ$23 &amp; BO$9),"")</f>
        <v>0</v>
      </c>
      <c r="BP37" s="700">
        <f ca="1">IF(INDIRECT("'Ext Nontradable'!$B" &amp; BP$9)=$B37,INDIRECT("'Ext Nontradable'!$" &amp; 'Ext Nontradable'!$AZ$23 &amp; BP$9),"")</f>
        <v>0</v>
      </c>
      <c r="BQ37" s="700">
        <f ca="1">IF(INDIRECT("'Ext Nontradable'!$B" &amp; BQ$9)=$B37,INDIRECT("'Ext Nontradable'!$" &amp; 'Ext Nontradable'!$AZ$23 &amp; BQ$9),"")</f>
        <v>0</v>
      </c>
      <c r="BR37" s="700">
        <f ca="1">IF(INDIRECT("'Ext Nontradable'!$B" &amp; BR$9)=$B37,INDIRECT("'Ext Nontradable'!$" &amp; 'Ext Nontradable'!$AZ$23 &amp; BR$9),"")</f>
        <v>0</v>
      </c>
      <c r="BS37" s="700">
        <f ca="1">IF(INDIRECT("'Ext Nontradable'!$B" &amp; BS$9)=$B37,INDIRECT("'Ext Nontradable'!$" &amp; 'Ext Nontradable'!$AZ$23 &amp; BS$9),"")</f>
        <v>0</v>
      </c>
      <c r="BT37" s="700">
        <f ca="1">IF(INDIRECT("'Ext Nontradable'!$B" &amp; BT$9)=$B37,INDIRECT("'Ext Nontradable'!$" &amp; 'Ext Nontradable'!$AZ$23 &amp; BT$9),"")</f>
        <v>0</v>
      </c>
      <c r="BU37" s="700">
        <f ca="1">IF(INDIRECT("'Ext Nontradable'!$B" &amp; BU$9)=$B37,INDIRECT("'Ext Nontradable'!$" &amp; 'Ext Nontradable'!$AZ$23 &amp; BU$9),"")</f>
        <v>0</v>
      </c>
      <c r="BV37" s="700">
        <f ca="1">IF(INDIRECT("'Ext Nontradable'!$B" &amp; BV$9)=$B37,INDIRECT("'Ext Nontradable'!$" &amp; 'Ext Nontradable'!$AZ$23 &amp; BV$9),"")</f>
        <v>0</v>
      </c>
      <c r="BW37" s="700">
        <f ca="1">IF(INDIRECT("'Ext Nontradable'!$B" &amp; BW$9)=$B37,INDIRECT("'Ext Nontradable'!$" &amp; 'Ext Nontradable'!$AZ$23 &amp; BW$9),"")</f>
        <v>0</v>
      </c>
      <c r="BX37" s="700">
        <f ca="1">IF(INDIRECT("'Ext Nontradable'!$B" &amp; BX$9)=$B37,INDIRECT("'Ext Nontradable'!$" &amp; 'Ext Nontradable'!$AZ$23 &amp; BX$9),"")</f>
        <v>0</v>
      </c>
      <c r="BY37" s="700">
        <f ca="1">IF(INDIRECT("'Ext Nontradable'!$B" &amp; BY$9)=$B37,INDIRECT("'Ext Nontradable'!$" &amp; 'Ext Nontradable'!$AZ$23 &amp; BY$9),"")</f>
        <v>0</v>
      </c>
      <c r="BZ37" s="700">
        <f ca="1">IF(INDIRECT("'Ext Nontradable'!$B" &amp; BZ$9)=$B37,INDIRECT("'Ext Nontradable'!$" &amp; 'Ext Nontradable'!$AZ$23 &amp; BZ$9),"")</f>
        <v>0</v>
      </c>
      <c r="CA37" s="700">
        <f ca="1">IF(INDIRECT("'Ext Nontradable'!$B" &amp; CA$9)=$B37,INDIRECT("'Ext Nontradable'!$" &amp; 'Ext Nontradable'!$AZ$23 &amp; CA$9),"")</f>
        <v>0</v>
      </c>
      <c r="CB37" s="700">
        <f ca="1">IF(INDIRECT("'Ext Nontradable'!$B" &amp; CB$9)=$B37,INDIRECT("'Ext Nontradable'!$" &amp; 'Ext Nontradable'!$AZ$23 &amp; CB$9),"")</f>
        <v>0</v>
      </c>
      <c r="CC37" s="700">
        <f ca="1">IF(INDIRECT("'Ext Nontradable'!$B" &amp; CC$9)=$B37,INDIRECT("'Ext Nontradable'!$" &amp; 'Ext Nontradable'!$AZ$23 &amp; CC$9),"")</f>
        <v>0</v>
      </c>
      <c r="CD37" s="700">
        <f ca="1">IF(INDIRECT("'Ext Nontradable'!$B" &amp; CD$9)=$B37,INDIRECT("'Ext Nontradable'!$" &amp; 'Ext Nontradable'!$AZ$23 &amp; CD$9),"")</f>
        <v>0</v>
      </c>
      <c r="CE37" s="700">
        <f ca="1">IF(INDIRECT("'Ext Nontradable'!$B" &amp; CE$9)=$B37,INDIRECT("'Ext Nontradable'!$" &amp; 'Ext Nontradable'!$AZ$23 &amp; CE$9),"")</f>
        <v>0</v>
      </c>
      <c r="CF37" s="700">
        <f ca="1">IF(INDIRECT("'Ext Nontradable'!$B" &amp; CF$9)=$B37,INDIRECT("'Ext Nontradable'!$" &amp; 'Ext Nontradable'!$AZ$23 &amp; CF$9),"")</f>
        <v>0</v>
      </c>
      <c r="CG37" s="700">
        <f ca="1">IF(INDIRECT("'Ext Nontradable'!$B" &amp; CG$9)=$B37,INDIRECT("'Ext Nontradable'!$" &amp; 'Ext Nontradable'!$AZ$23 &amp; CG$9),"")</f>
        <v>0</v>
      </c>
      <c r="CH37" s="700">
        <f ca="1">IF(INDIRECT("'Ext Nontradable'!$B" &amp; CH$9)=$B37,INDIRECT("'Ext Nontradable'!$" &amp; 'Ext Nontradable'!$AZ$23 &amp; CH$9),"")</f>
        <v>0</v>
      </c>
      <c r="CI37" s="700">
        <f ca="1">IF(INDIRECT("'Ext Nontradable'!$B" &amp; CI$9)=$B37,INDIRECT("'Ext Nontradable'!$" &amp; 'Ext Nontradable'!$AZ$23 &amp; CI$9),"")</f>
        <v>0</v>
      </c>
      <c r="CJ37" s="700">
        <f ca="1">IF(INDIRECT("'Ext Nontradable'!$B" &amp; CJ$9)=$B37,INDIRECT("'Ext Nontradable'!$" &amp; 'Ext Nontradable'!$AZ$23 &amp; CJ$9),"")</f>
        <v>0</v>
      </c>
      <c r="CK37" s="700">
        <f ca="1">IF(INDIRECT("'Ext Nontradable'!$B" &amp; CK$9)=$B37,INDIRECT("'Ext Nontradable'!$" &amp; 'Ext Nontradable'!$AZ$23 &amp; CK$9),"")</f>
        <v>0</v>
      </c>
      <c r="CL37" s="700">
        <f ca="1">IF(INDIRECT("'Ext Nontradable'!$B" &amp; CL$9)=$B37,INDIRECT("'Ext Nontradable'!$" &amp; 'Ext Nontradable'!$AZ$23 &amp; CL$9),"")</f>
        <v>0</v>
      </c>
      <c r="CM37" s="700">
        <f ca="1">IF(INDIRECT("'Ext Nontradable'!$B" &amp; CM$9)=$B37,INDIRECT("'Ext Nontradable'!$" &amp; 'Ext Nontradable'!$AZ$23 &amp; CM$9),"")</f>
        <v>0</v>
      </c>
      <c r="CN37" s="700">
        <f ca="1">IF(INDIRECT("'Ext Nontradable'!$B" &amp; CN$9)=$B37,INDIRECT("'Ext Nontradable'!$" &amp; 'Ext Nontradable'!$AZ$23 &amp; CN$9),"")</f>
        <v>0</v>
      </c>
      <c r="CO37" s="700">
        <f ca="1">IF(INDIRECT("'Ext Nontradable'!$B" &amp; CO$9)=$B37,INDIRECT("'Ext Nontradable'!$" &amp; 'Ext Nontradable'!$AZ$23 &amp; CO$9),"")</f>
        <v>0</v>
      </c>
      <c r="CP37" s="700">
        <f ca="1">IF(INDIRECT("'Ext Nontradable'!$B" &amp; CP$9)=$B37,INDIRECT("'Ext Nontradable'!$" &amp; 'Ext Nontradable'!$AZ$23 &amp; CP$9),"")</f>
        <v>0</v>
      </c>
      <c r="CQ37" s="700">
        <f ca="1">IF(INDIRECT("'Ext Nontradable'!$B" &amp; CQ$9)=$B37,INDIRECT("'Ext Nontradable'!$" &amp; 'Ext Nontradable'!$AZ$23 &amp; CQ$9),"")</f>
        <v>0</v>
      </c>
      <c r="CR37" s="702" t="str">
        <f t="shared" ca="1" si="25"/>
        <v>000000000000000000000000000000</v>
      </c>
    </row>
    <row r="38" spans="1:96" ht="60" customHeight="1" x14ac:dyDescent="0.25">
      <c r="A38" s="705">
        <v>29</v>
      </c>
      <c r="B38" s="707" t="str">
        <f>'Ext Area Schedule'!AK44</f>
        <v/>
      </c>
      <c r="C38" s="707" t="str">
        <f>VLOOKUP($B38,'Ext Area Schedule'!$AK$16:$AO$65,3,FALSE)</f>
        <v/>
      </c>
      <c r="D38" s="792" t="str">
        <f>VLOOKUP($B38,'Ext Area Schedule'!$AK$16:$AO$65,4,FALSE)</f>
        <v/>
      </c>
      <c r="F38" s="792" t="str">
        <f>VLOOKUP($B38,'Ext Area Schedule'!$AK$16:$AO$65,5,FALSE)</f>
        <v/>
      </c>
      <c r="G38" s="792" t="str">
        <f>VLOOKUP($B38,'Ext Area Schedule'!$AK$16:$AO$65,5,FALSE)</f>
        <v/>
      </c>
      <c r="I38" s="703" t="str">
        <f t="shared" si="1"/>
        <v/>
      </c>
      <c r="K38" s="703" t="str">
        <f>IF($B38="","",SUMIFS('Ext Nontradable'!$M$26:$M$45,'Ext Nontradable'!$B$26:$B$45,$B38,'Ext Nontradable'!$U$26:$U$45,"New"))</f>
        <v/>
      </c>
      <c r="L38" s="703" t="str">
        <f>IF($B38="","",SUMIFS('Ext Nontradable'!$M$26:$M$45,'Ext Nontradable'!$B$26:$B$45,$B38,'Ext Nontradable'!$U$26:$U$45,""))</f>
        <v/>
      </c>
      <c r="M38" s="703" t="str">
        <f>IF($B38="","",SUMIFS('Ext Nontradable'!$K$26:$K$45,'Ext Nontradable'!$B$26:$B$45,$B38,'Ext Nontradable'!$U$26:$U$45,"New")+SUMIFS('Ext Nontradable'!$K$26:$K$45,'Ext Nontradable'!$B$26:$B$45,$B38,'Ext Nontradable'!$U$26:$U$45,""))</f>
        <v/>
      </c>
      <c r="N38" s="703" t="str">
        <f>IF($B38="","",SUMIFS('Ext Nontradable'!$M$26:$M$45,'Ext Nontradable'!$B$26:$B$45,$B38,'Ext Nontradable'!$U$26:$U$45,"Existing Remains"))</f>
        <v/>
      </c>
      <c r="O38" s="703" t="str">
        <f>IF($B38="","",SUMIFS('Ext Nontradable'!$M$26:$M$45,'Ext Nontradable'!$B$26:$B$45,$B38,'Ext Nontradable'!$U$26:$U$45,"Existing Removed"))</f>
        <v/>
      </c>
      <c r="P38" s="703" t="str">
        <f>IF($B38="","",SUMIFS('Ext Nontradable'!$K$26:$K$45,'Ext Nontradable'!$B$26:$B$45,$B38,'Ext Nontradable'!$U$26:$U$45,"Existing Removed"))</f>
        <v/>
      </c>
      <c r="Q38" s="703" t="str">
        <f t="shared" si="2"/>
        <v/>
      </c>
      <c r="R38" s="703" t="str">
        <f t="shared" si="7"/>
        <v/>
      </c>
      <c r="S38" s="703">
        <f t="shared" si="8"/>
        <v>0</v>
      </c>
      <c r="T38" s="954">
        <f t="shared" si="20"/>
        <v>0</v>
      </c>
      <c r="U38" s="954">
        <f t="shared" si="21"/>
        <v>0</v>
      </c>
      <c r="V38" s="1115" t="str">
        <f t="shared" si="22"/>
        <v/>
      </c>
      <c r="W38" s="712" t="str">
        <f t="shared" si="23"/>
        <v/>
      </c>
      <c r="X38" s="857"/>
      <c r="Y38" s="720" t="str">
        <f t="shared" si="24"/>
        <v/>
      </c>
      <c r="Z38" s="721" t="str">
        <f t="shared" si="9"/>
        <v/>
      </c>
      <c r="AA38" s="721" t="str">
        <f t="shared" si="10"/>
        <v/>
      </c>
      <c r="AB38" s="719" t="str">
        <f t="shared" si="4"/>
        <v/>
      </c>
      <c r="AC38" s="857"/>
      <c r="AD38" s="717" t="str">
        <f t="shared" si="11"/>
        <v/>
      </c>
      <c r="AE38" s="718" t="str">
        <f t="shared" si="12"/>
        <v/>
      </c>
      <c r="AF38" s="719" t="str">
        <f t="shared" si="5"/>
        <v/>
      </c>
      <c r="AG38" s="726"/>
      <c r="AH38" s="727" t="str">
        <f t="shared" si="13"/>
        <v/>
      </c>
      <c r="AI38" s="703" t="str">
        <f t="shared" si="14"/>
        <v/>
      </c>
      <c r="AJ38" s="703" t="str">
        <f t="shared" si="15"/>
        <v/>
      </c>
      <c r="AL38" s="1075" t="str">
        <f t="shared" si="16"/>
        <v/>
      </c>
      <c r="AM38" s="855" t="str">
        <f t="shared" si="18"/>
        <v/>
      </c>
      <c r="AN38" s="707" t="str">
        <f>IF(OR(AL38="Fail",AL38="Fail LPA",AL38=""),"",IF(AM38&lt;&gt;"#1",VLOOKUP(C38,'9.4.3 Tables'!B$156:O$164,14,FALSE),"No NEW controls required"))</f>
        <v/>
      </c>
      <c r="AO38" s="703">
        <f t="shared" si="19"/>
        <v>0</v>
      </c>
      <c r="AR38">
        <v>29</v>
      </c>
      <c r="AS38" s="15" t="str">
        <f t="shared" si="17"/>
        <v/>
      </c>
      <c r="AT38" s="700" t="str">
        <f ca="1">IF(INDIRECT("'Ext Nontradable'!$B" &amp; AT$9)=$B38,INDIRECT("'Ext Nontradable'!$" &amp; 'Ext Nontradable'!$AZ$23 &amp; AT$9),"")</f>
        <v/>
      </c>
      <c r="AU38" s="700" t="str">
        <f ca="1">IF(INDIRECT("'Ext Nontradable'!$B" &amp; AU$9)=$B38,INDIRECT("'Ext Nontradable'!$" &amp; 'Ext Nontradable'!$AZ$23 &amp; AU$9),"")</f>
        <v/>
      </c>
      <c r="AV38" s="700" t="str">
        <f ca="1">IF(INDIRECT("'Ext Nontradable'!$B" &amp; AV$9)=$B38,INDIRECT("'Ext Nontradable'!$" &amp; 'Ext Nontradable'!$AZ$23 &amp; AV$9),"")</f>
        <v/>
      </c>
      <c r="AW38" s="700" t="str">
        <f ca="1">IF(INDIRECT("'Ext Nontradable'!$B" &amp; AW$9)=$B38,INDIRECT("'Ext Nontradable'!$" &amp; 'Ext Nontradable'!$AZ$23 &amp; AW$9),"")</f>
        <v/>
      </c>
      <c r="AX38" s="700" t="str">
        <f ca="1">IF(INDIRECT("'Ext Nontradable'!$B" &amp; AX$9)=$B38,INDIRECT("'Ext Nontradable'!$" &amp; 'Ext Nontradable'!$AZ$23 &amp; AX$9),"")</f>
        <v/>
      </c>
      <c r="AY38" s="700" t="str">
        <f ca="1">IF(INDIRECT("'Ext Nontradable'!$B" &amp; AY$9)=$B38,INDIRECT("'Ext Nontradable'!$" &amp; 'Ext Nontradable'!$AZ$23 &amp; AY$9),"")</f>
        <v/>
      </c>
      <c r="AZ38" s="700" t="str">
        <f ca="1">IF(INDIRECT("'Ext Nontradable'!$B" &amp; AZ$9)=$B38,INDIRECT("'Ext Nontradable'!$" &amp; 'Ext Nontradable'!$AZ$23 &amp; AZ$9),"")</f>
        <v/>
      </c>
      <c r="BA38" s="700" t="str">
        <f ca="1">IF(INDIRECT("'Ext Nontradable'!$B" &amp; BA$9)=$B38,INDIRECT("'Ext Nontradable'!$" &amp; 'Ext Nontradable'!$AZ$23 &amp; BA$9),"")</f>
        <v/>
      </c>
      <c r="BB38" s="700" t="str">
        <f ca="1">IF(INDIRECT("'Ext Nontradable'!$B" &amp; BB$9)=$B38,INDIRECT("'Ext Nontradable'!$" &amp; 'Ext Nontradable'!$AZ$23 &amp; BB$9),"")</f>
        <v/>
      </c>
      <c r="BC38" s="700" t="str">
        <f ca="1">IF(INDIRECT("'Ext Nontradable'!$B" &amp; BC$9)=$B38,INDIRECT("'Ext Nontradable'!$" &amp; 'Ext Nontradable'!$AZ$23 &amp; BC$9),"")</f>
        <v/>
      </c>
      <c r="BD38" s="700" t="str">
        <f ca="1">IF(INDIRECT("'Ext Nontradable'!$B" &amp; BD$9)=$B38,INDIRECT("'Ext Nontradable'!$" &amp; 'Ext Nontradable'!$AZ$23 &amp; BD$9),"")</f>
        <v/>
      </c>
      <c r="BE38" s="700" t="str">
        <f ca="1">IF(INDIRECT("'Ext Nontradable'!$B" &amp; BE$9)=$B38,INDIRECT("'Ext Nontradable'!$" &amp; 'Ext Nontradable'!$AZ$23 &amp; BE$9),"")</f>
        <v/>
      </c>
      <c r="BF38" s="700" t="str">
        <f ca="1">IF(INDIRECT("'Ext Nontradable'!$B" &amp; BF$9)=$B38,INDIRECT("'Ext Nontradable'!$" &amp; 'Ext Nontradable'!$AZ$23 &amp; BF$9),"")</f>
        <v/>
      </c>
      <c r="BG38" s="700" t="str">
        <f ca="1">IF(INDIRECT("'Ext Nontradable'!$B" &amp; BG$9)=$B38,INDIRECT("'Ext Nontradable'!$" &amp; 'Ext Nontradable'!$AZ$23 &amp; BG$9),"")</f>
        <v/>
      </c>
      <c r="BH38" s="700" t="str">
        <f ca="1">IF(INDIRECT("'Ext Nontradable'!$B" &amp; BH$9)=$B38,INDIRECT("'Ext Nontradable'!$" &amp; 'Ext Nontradable'!$AZ$23 &amp; BH$9),"")</f>
        <v/>
      </c>
      <c r="BI38" s="700" t="str">
        <f ca="1">IF(INDIRECT("'Ext Nontradable'!$B" &amp; BI$9)=$B38,INDIRECT("'Ext Nontradable'!$" &amp; 'Ext Nontradable'!$AZ$23 &amp; BI$9),"")</f>
        <v/>
      </c>
      <c r="BJ38" s="700" t="str">
        <f ca="1">IF(INDIRECT("'Ext Nontradable'!$B" &amp; BJ$9)=$B38,INDIRECT("'Ext Nontradable'!$" &amp; 'Ext Nontradable'!$AZ$23 &amp; BJ$9),"")</f>
        <v/>
      </c>
      <c r="BK38" s="700" t="str">
        <f ca="1">IF(INDIRECT("'Ext Nontradable'!$B" &amp; BK$9)=$B38,INDIRECT("'Ext Nontradable'!$" &amp; 'Ext Nontradable'!$AZ$23 &amp; BK$9),"")</f>
        <v/>
      </c>
      <c r="BL38" s="700" t="str">
        <f ca="1">IF(INDIRECT("'Ext Nontradable'!$B" &amp; BL$9)=$B38,INDIRECT("'Ext Nontradable'!$" &amp; 'Ext Nontradable'!$AZ$23 &amp; BL$9),"")</f>
        <v/>
      </c>
      <c r="BM38" s="700" t="str">
        <f ca="1">IF(INDIRECT("'Ext Nontradable'!$B" &amp; BM$9)=$B38,INDIRECT("'Ext Nontradable'!$" &amp; 'Ext Nontradable'!$AZ$23 &amp; BM$9),"")</f>
        <v/>
      </c>
      <c r="BN38" s="700">
        <f ca="1">IF(INDIRECT("'Ext Nontradable'!$B" &amp; BN$9)=$B38,INDIRECT("'Ext Nontradable'!$" &amp; 'Ext Nontradable'!$AZ$23 &amp; BN$9),"")</f>
        <v>0</v>
      </c>
      <c r="BO38" s="700">
        <f ca="1">IF(INDIRECT("'Ext Nontradable'!$B" &amp; BO$9)=$B38,INDIRECT("'Ext Nontradable'!$" &amp; 'Ext Nontradable'!$AZ$23 &amp; BO$9),"")</f>
        <v>0</v>
      </c>
      <c r="BP38" s="700">
        <f ca="1">IF(INDIRECT("'Ext Nontradable'!$B" &amp; BP$9)=$B38,INDIRECT("'Ext Nontradable'!$" &amp; 'Ext Nontradable'!$AZ$23 &amp; BP$9),"")</f>
        <v>0</v>
      </c>
      <c r="BQ38" s="700">
        <f ca="1">IF(INDIRECT("'Ext Nontradable'!$B" &amp; BQ$9)=$B38,INDIRECT("'Ext Nontradable'!$" &amp; 'Ext Nontradable'!$AZ$23 &amp; BQ$9),"")</f>
        <v>0</v>
      </c>
      <c r="BR38" s="700">
        <f ca="1">IF(INDIRECT("'Ext Nontradable'!$B" &amp; BR$9)=$B38,INDIRECT("'Ext Nontradable'!$" &amp; 'Ext Nontradable'!$AZ$23 &amp; BR$9),"")</f>
        <v>0</v>
      </c>
      <c r="BS38" s="700">
        <f ca="1">IF(INDIRECT("'Ext Nontradable'!$B" &amp; BS$9)=$B38,INDIRECT("'Ext Nontradable'!$" &amp; 'Ext Nontradable'!$AZ$23 &amp; BS$9),"")</f>
        <v>0</v>
      </c>
      <c r="BT38" s="700">
        <f ca="1">IF(INDIRECT("'Ext Nontradable'!$B" &amp; BT$9)=$B38,INDIRECT("'Ext Nontradable'!$" &amp; 'Ext Nontradable'!$AZ$23 &amp; BT$9),"")</f>
        <v>0</v>
      </c>
      <c r="BU38" s="700">
        <f ca="1">IF(INDIRECT("'Ext Nontradable'!$B" &amp; BU$9)=$B38,INDIRECT("'Ext Nontradable'!$" &amp; 'Ext Nontradable'!$AZ$23 &amp; BU$9),"")</f>
        <v>0</v>
      </c>
      <c r="BV38" s="700">
        <f ca="1">IF(INDIRECT("'Ext Nontradable'!$B" &amp; BV$9)=$B38,INDIRECT("'Ext Nontradable'!$" &amp; 'Ext Nontradable'!$AZ$23 &amp; BV$9),"")</f>
        <v>0</v>
      </c>
      <c r="BW38" s="700">
        <f ca="1">IF(INDIRECT("'Ext Nontradable'!$B" &amp; BW$9)=$B38,INDIRECT("'Ext Nontradable'!$" &amp; 'Ext Nontradable'!$AZ$23 &amp; BW$9),"")</f>
        <v>0</v>
      </c>
      <c r="BX38" s="700">
        <f ca="1">IF(INDIRECT("'Ext Nontradable'!$B" &amp; BX$9)=$B38,INDIRECT("'Ext Nontradable'!$" &amp; 'Ext Nontradable'!$AZ$23 &amp; BX$9),"")</f>
        <v>0</v>
      </c>
      <c r="BY38" s="700">
        <f ca="1">IF(INDIRECT("'Ext Nontradable'!$B" &amp; BY$9)=$B38,INDIRECT("'Ext Nontradable'!$" &amp; 'Ext Nontradable'!$AZ$23 &amp; BY$9),"")</f>
        <v>0</v>
      </c>
      <c r="BZ38" s="700">
        <f ca="1">IF(INDIRECT("'Ext Nontradable'!$B" &amp; BZ$9)=$B38,INDIRECT("'Ext Nontradable'!$" &amp; 'Ext Nontradable'!$AZ$23 &amp; BZ$9),"")</f>
        <v>0</v>
      </c>
      <c r="CA38" s="700">
        <f ca="1">IF(INDIRECT("'Ext Nontradable'!$B" &amp; CA$9)=$B38,INDIRECT("'Ext Nontradable'!$" &amp; 'Ext Nontradable'!$AZ$23 &amp; CA$9),"")</f>
        <v>0</v>
      </c>
      <c r="CB38" s="700">
        <f ca="1">IF(INDIRECT("'Ext Nontradable'!$B" &amp; CB$9)=$B38,INDIRECT("'Ext Nontradable'!$" &amp; 'Ext Nontradable'!$AZ$23 &amp; CB$9),"")</f>
        <v>0</v>
      </c>
      <c r="CC38" s="700">
        <f ca="1">IF(INDIRECT("'Ext Nontradable'!$B" &amp; CC$9)=$B38,INDIRECT("'Ext Nontradable'!$" &amp; 'Ext Nontradable'!$AZ$23 &amp; CC$9),"")</f>
        <v>0</v>
      </c>
      <c r="CD38" s="700">
        <f ca="1">IF(INDIRECT("'Ext Nontradable'!$B" &amp; CD$9)=$B38,INDIRECT("'Ext Nontradable'!$" &amp; 'Ext Nontradable'!$AZ$23 &amp; CD$9),"")</f>
        <v>0</v>
      </c>
      <c r="CE38" s="700">
        <f ca="1">IF(INDIRECT("'Ext Nontradable'!$B" &amp; CE$9)=$B38,INDIRECT("'Ext Nontradable'!$" &amp; 'Ext Nontradable'!$AZ$23 &amp; CE$9),"")</f>
        <v>0</v>
      </c>
      <c r="CF38" s="700">
        <f ca="1">IF(INDIRECT("'Ext Nontradable'!$B" &amp; CF$9)=$B38,INDIRECT("'Ext Nontradable'!$" &amp; 'Ext Nontradable'!$AZ$23 &amp; CF$9),"")</f>
        <v>0</v>
      </c>
      <c r="CG38" s="700">
        <f ca="1">IF(INDIRECT("'Ext Nontradable'!$B" &amp; CG$9)=$B38,INDIRECT("'Ext Nontradable'!$" &amp; 'Ext Nontradable'!$AZ$23 &amp; CG$9),"")</f>
        <v>0</v>
      </c>
      <c r="CH38" s="700">
        <f ca="1">IF(INDIRECT("'Ext Nontradable'!$B" &amp; CH$9)=$B38,INDIRECT("'Ext Nontradable'!$" &amp; 'Ext Nontradable'!$AZ$23 &amp; CH$9),"")</f>
        <v>0</v>
      </c>
      <c r="CI38" s="700">
        <f ca="1">IF(INDIRECT("'Ext Nontradable'!$B" &amp; CI$9)=$B38,INDIRECT("'Ext Nontradable'!$" &amp; 'Ext Nontradable'!$AZ$23 &amp; CI$9),"")</f>
        <v>0</v>
      </c>
      <c r="CJ38" s="700">
        <f ca="1">IF(INDIRECT("'Ext Nontradable'!$B" &amp; CJ$9)=$B38,INDIRECT("'Ext Nontradable'!$" &amp; 'Ext Nontradable'!$AZ$23 &amp; CJ$9),"")</f>
        <v>0</v>
      </c>
      <c r="CK38" s="700">
        <f ca="1">IF(INDIRECT("'Ext Nontradable'!$B" &amp; CK$9)=$B38,INDIRECT("'Ext Nontradable'!$" &amp; 'Ext Nontradable'!$AZ$23 &amp; CK$9),"")</f>
        <v>0</v>
      </c>
      <c r="CL38" s="700">
        <f ca="1">IF(INDIRECT("'Ext Nontradable'!$B" &amp; CL$9)=$B38,INDIRECT("'Ext Nontradable'!$" &amp; 'Ext Nontradable'!$AZ$23 &amp; CL$9),"")</f>
        <v>0</v>
      </c>
      <c r="CM38" s="700">
        <f ca="1">IF(INDIRECT("'Ext Nontradable'!$B" &amp; CM$9)=$B38,INDIRECT("'Ext Nontradable'!$" &amp; 'Ext Nontradable'!$AZ$23 &amp; CM$9),"")</f>
        <v>0</v>
      </c>
      <c r="CN38" s="700">
        <f ca="1">IF(INDIRECT("'Ext Nontradable'!$B" &amp; CN$9)=$B38,INDIRECT("'Ext Nontradable'!$" &amp; 'Ext Nontradable'!$AZ$23 &amp; CN$9),"")</f>
        <v>0</v>
      </c>
      <c r="CO38" s="700">
        <f ca="1">IF(INDIRECT("'Ext Nontradable'!$B" &amp; CO$9)=$B38,INDIRECT("'Ext Nontradable'!$" &amp; 'Ext Nontradable'!$AZ$23 &amp; CO$9),"")</f>
        <v>0</v>
      </c>
      <c r="CP38" s="700">
        <f ca="1">IF(INDIRECT("'Ext Nontradable'!$B" &amp; CP$9)=$B38,INDIRECT("'Ext Nontradable'!$" &amp; 'Ext Nontradable'!$AZ$23 &amp; CP$9),"")</f>
        <v>0</v>
      </c>
      <c r="CQ38" s="700">
        <f ca="1">IF(INDIRECT("'Ext Nontradable'!$B" &amp; CQ$9)=$B38,INDIRECT("'Ext Nontradable'!$" &amp; 'Ext Nontradable'!$AZ$23 &amp; CQ$9),"")</f>
        <v>0</v>
      </c>
      <c r="CR38" s="702" t="str">
        <f t="shared" ca="1" si="25"/>
        <v>000000000000000000000000000000</v>
      </c>
    </row>
    <row r="39" spans="1:96" ht="60" customHeight="1" x14ac:dyDescent="0.25">
      <c r="A39" s="705">
        <v>30</v>
      </c>
      <c r="B39" s="707" t="str">
        <f>'Ext Area Schedule'!AK45</f>
        <v/>
      </c>
      <c r="C39" s="707" t="str">
        <f>VLOOKUP($B39,'Ext Area Schedule'!$AK$16:$AO$65,3,FALSE)</f>
        <v/>
      </c>
      <c r="D39" s="792" t="str">
        <f>VLOOKUP($B39,'Ext Area Schedule'!$AK$16:$AO$65,4,FALSE)</f>
        <v/>
      </c>
      <c r="F39" s="792" t="str">
        <f>VLOOKUP($B39,'Ext Area Schedule'!$AK$16:$AO$65,5,FALSE)</f>
        <v/>
      </c>
      <c r="G39" s="792" t="str">
        <f>VLOOKUP($B39,'Ext Area Schedule'!$AK$16:$AO$65,5,FALSE)</f>
        <v/>
      </c>
      <c r="I39" s="703" t="str">
        <f t="shared" si="1"/>
        <v/>
      </c>
      <c r="K39" s="703" t="str">
        <f>IF($B39="","",SUMIFS('Ext Nontradable'!$M$26:$M$45,'Ext Nontradable'!$B$26:$B$45,$B39,'Ext Nontradable'!$U$26:$U$45,"New"))</f>
        <v/>
      </c>
      <c r="L39" s="703" t="str">
        <f>IF($B39="","",SUMIFS('Ext Nontradable'!$M$26:$M$45,'Ext Nontradable'!$B$26:$B$45,$B39,'Ext Nontradable'!$U$26:$U$45,""))</f>
        <v/>
      </c>
      <c r="M39" s="703" t="str">
        <f>IF($B39="","",SUMIFS('Ext Nontradable'!$K$26:$K$45,'Ext Nontradable'!$B$26:$B$45,$B39,'Ext Nontradable'!$U$26:$U$45,"New")+SUMIFS('Ext Nontradable'!$K$26:$K$45,'Ext Nontradable'!$B$26:$B$45,$B39,'Ext Nontradable'!$U$26:$U$45,""))</f>
        <v/>
      </c>
      <c r="N39" s="703" t="str">
        <f>IF($B39="","",SUMIFS('Ext Nontradable'!$M$26:$M$45,'Ext Nontradable'!$B$26:$B$45,$B39,'Ext Nontradable'!$U$26:$U$45,"Existing Remains"))</f>
        <v/>
      </c>
      <c r="O39" s="703" t="str">
        <f>IF($B39="","",SUMIFS('Ext Nontradable'!$M$26:$M$45,'Ext Nontradable'!$B$26:$B$45,$B39,'Ext Nontradable'!$U$26:$U$45,"Existing Removed"))</f>
        <v/>
      </c>
      <c r="P39" s="703" t="str">
        <f>IF($B39="","",SUMIFS('Ext Nontradable'!$K$26:$K$45,'Ext Nontradable'!$B$26:$B$45,$B39,'Ext Nontradable'!$U$26:$U$45,"Existing Removed"))</f>
        <v/>
      </c>
      <c r="Q39" s="703" t="str">
        <f t="shared" si="2"/>
        <v/>
      </c>
      <c r="R39" s="703" t="str">
        <f t="shared" si="7"/>
        <v/>
      </c>
      <c r="S39" s="703">
        <f t="shared" si="8"/>
        <v>0</v>
      </c>
      <c r="T39" s="954">
        <f t="shared" si="20"/>
        <v>0</v>
      </c>
      <c r="U39" s="954">
        <f t="shared" si="21"/>
        <v>0</v>
      </c>
      <c r="V39" s="1115" t="str">
        <f t="shared" si="22"/>
        <v/>
      </c>
      <c r="W39" s="712" t="str">
        <f t="shared" si="23"/>
        <v/>
      </c>
      <c r="X39" s="857"/>
      <c r="Y39" s="720" t="str">
        <f t="shared" si="24"/>
        <v/>
      </c>
      <c r="Z39" s="721" t="str">
        <f t="shared" si="9"/>
        <v/>
      </c>
      <c r="AA39" s="721" t="str">
        <f t="shared" si="10"/>
        <v/>
      </c>
      <c r="AB39" s="719" t="str">
        <f t="shared" si="4"/>
        <v/>
      </c>
      <c r="AC39" s="857"/>
      <c r="AD39" s="717" t="str">
        <f t="shared" si="11"/>
        <v/>
      </c>
      <c r="AE39" s="718" t="str">
        <f t="shared" si="12"/>
        <v/>
      </c>
      <c r="AF39" s="719" t="str">
        <f t="shared" si="5"/>
        <v/>
      </c>
      <c r="AG39" s="726"/>
      <c r="AH39" s="727" t="str">
        <f t="shared" si="13"/>
        <v/>
      </c>
      <c r="AI39" s="703" t="str">
        <f t="shared" si="14"/>
        <v/>
      </c>
      <c r="AJ39" s="703" t="str">
        <f t="shared" si="15"/>
        <v/>
      </c>
      <c r="AL39" s="1075" t="str">
        <f t="shared" si="16"/>
        <v/>
      </c>
      <c r="AM39" s="855" t="str">
        <f t="shared" si="18"/>
        <v/>
      </c>
      <c r="AN39" s="707" t="str">
        <f>IF(OR(AL39="Fail",AL39="Fail LPA",AL39=""),"",IF(AM39&lt;&gt;"#1",VLOOKUP(C39,'9.4.3 Tables'!B$156:O$164,14,FALSE),"No NEW controls required"))</f>
        <v/>
      </c>
      <c r="AO39" s="703">
        <f t="shared" si="19"/>
        <v>0</v>
      </c>
      <c r="AR39">
        <v>30</v>
      </c>
      <c r="AS39" s="15" t="str">
        <f t="shared" si="17"/>
        <v/>
      </c>
      <c r="AT39" s="700" t="str">
        <f ca="1">IF(INDIRECT("'Ext Nontradable'!$B" &amp; AT$9)=$B39,INDIRECT("'Ext Nontradable'!$" &amp; 'Ext Nontradable'!$AZ$23 &amp; AT$9),"")</f>
        <v/>
      </c>
      <c r="AU39" s="700" t="str">
        <f ca="1">IF(INDIRECT("'Ext Nontradable'!$B" &amp; AU$9)=$B39,INDIRECT("'Ext Nontradable'!$" &amp; 'Ext Nontradable'!$AZ$23 &amp; AU$9),"")</f>
        <v/>
      </c>
      <c r="AV39" s="700" t="str">
        <f ca="1">IF(INDIRECT("'Ext Nontradable'!$B" &amp; AV$9)=$B39,INDIRECT("'Ext Nontradable'!$" &amp; 'Ext Nontradable'!$AZ$23 &amp; AV$9),"")</f>
        <v/>
      </c>
      <c r="AW39" s="700" t="str">
        <f ca="1">IF(INDIRECT("'Ext Nontradable'!$B" &amp; AW$9)=$B39,INDIRECT("'Ext Nontradable'!$" &amp; 'Ext Nontradable'!$AZ$23 &amp; AW$9),"")</f>
        <v/>
      </c>
      <c r="AX39" s="700" t="str">
        <f ca="1">IF(INDIRECT("'Ext Nontradable'!$B" &amp; AX$9)=$B39,INDIRECT("'Ext Nontradable'!$" &amp; 'Ext Nontradable'!$AZ$23 &amp; AX$9),"")</f>
        <v/>
      </c>
      <c r="AY39" s="700" t="str">
        <f ca="1">IF(INDIRECT("'Ext Nontradable'!$B" &amp; AY$9)=$B39,INDIRECT("'Ext Nontradable'!$" &amp; 'Ext Nontradable'!$AZ$23 &amp; AY$9),"")</f>
        <v/>
      </c>
      <c r="AZ39" s="700" t="str">
        <f ca="1">IF(INDIRECT("'Ext Nontradable'!$B" &amp; AZ$9)=$B39,INDIRECT("'Ext Nontradable'!$" &amp; 'Ext Nontradable'!$AZ$23 &amp; AZ$9),"")</f>
        <v/>
      </c>
      <c r="BA39" s="700" t="str">
        <f ca="1">IF(INDIRECT("'Ext Nontradable'!$B" &amp; BA$9)=$B39,INDIRECT("'Ext Nontradable'!$" &amp; 'Ext Nontradable'!$AZ$23 &amp; BA$9),"")</f>
        <v/>
      </c>
      <c r="BB39" s="700" t="str">
        <f ca="1">IF(INDIRECT("'Ext Nontradable'!$B" &amp; BB$9)=$B39,INDIRECT("'Ext Nontradable'!$" &amp; 'Ext Nontradable'!$AZ$23 &amp; BB$9),"")</f>
        <v/>
      </c>
      <c r="BC39" s="700" t="str">
        <f ca="1">IF(INDIRECT("'Ext Nontradable'!$B" &amp; BC$9)=$B39,INDIRECT("'Ext Nontradable'!$" &amp; 'Ext Nontradable'!$AZ$23 &amp; BC$9),"")</f>
        <v/>
      </c>
      <c r="BD39" s="700" t="str">
        <f ca="1">IF(INDIRECT("'Ext Nontradable'!$B" &amp; BD$9)=$B39,INDIRECT("'Ext Nontradable'!$" &amp; 'Ext Nontradable'!$AZ$23 &amp; BD$9),"")</f>
        <v/>
      </c>
      <c r="BE39" s="700" t="str">
        <f ca="1">IF(INDIRECT("'Ext Nontradable'!$B" &amp; BE$9)=$B39,INDIRECT("'Ext Nontradable'!$" &amp; 'Ext Nontradable'!$AZ$23 &amp; BE$9),"")</f>
        <v/>
      </c>
      <c r="BF39" s="700" t="str">
        <f ca="1">IF(INDIRECT("'Ext Nontradable'!$B" &amp; BF$9)=$B39,INDIRECT("'Ext Nontradable'!$" &amp; 'Ext Nontradable'!$AZ$23 &amp; BF$9),"")</f>
        <v/>
      </c>
      <c r="BG39" s="700" t="str">
        <f ca="1">IF(INDIRECT("'Ext Nontradable'!$B" &amp; BG$9)=$B39,INDIRECT("'Ext Nontradable'!$" &amp; 'Ext Nontradable'!$AZ$23 &amp; BG$9),"")</f>
        <v/>
      </c>
      <c r="BH39" s="700" t="str">
        <f ca="1">IF(INDIRECT("'Ext Nontradable'!$B" &amp; BH$9)=$B39,INDIRECT("'Ext Nontradable'!$" &amp; 'Ext Nontradable'!$AZ$23 &amp; BH$9),"")</f>
        <v/>
      </c>
      <c r="BI39" s="700" t="str">
        <f ca="1">IF(INDIRECT("'Ext Nontradable'!$B" &amp; BI$9)=$B39,INDIRECT("'Ext Nontradable'!$" &amp; 'Ext Nontradable'!$AZ$23 &amp; BI$9),"")</f>
        <v/>
      </c>
      <c r="BJ39" s="700" t="str">
        <f ca="1">IF(INDIRECT("'Ext Nontradable'!$B" &amp; BJ$9)=$B39,INDIRECT("'Ext Nontradable'!$" &amp; 'Ext Nontradable'!$AZ$23 &amp; BJ$9),"")</f>
        <v/>
      </c>
      <c r="BK39" s="700" t="str">
        <f ca="1">IF(INDIRECT("'Ext Nontradable'!$B" &amp; BK$9)=$B39,INDIRECT("'Ext Nontradable'!$" &amp; 'Ext Nontradable'!$AZ$23 &amp; BK$9),"")</f>
        <v/>
      </c>
      <c r="BL39" s="700" t="str">
        <f ca="1">IF(INDIRECT("'Ext Nontradable'!$B" &amp; BL$9)=$B39,INDIRECT("'Ext Nontradable'!$" &amp; 'Ext Nontradable'!$AZ$23 &amp; BL$9),"")</f>
        <v/>
      </c>
      <c r="BM39" s="700" t="str">
        <f ca="1">IF(INDIRECT("'Ext Nontradable'!$B" &amp; BM$9)=$B39,INDIRECT("'Ext Nontradable'!$" &amp; 'Ext Nontradable'!$AZ$23 &amp; BM$9),"")</f>
        <v/>
      </c>
      <c r="BN39" s="700">
        <f ca="1">IF(INDIRECT("'Ext Nontradable'!$B" &amp; BN$9)=$B39,INDIRECT("'Ext Nontradable'!$" &amp; 'Ext Nontradable'!$AZ$23 &amp; BN$9),"")</f>
        <v>0</v>
      </c>
      <c r="BO39" s="700">
        <f ca="1">IF(INDIRECT("'Ext Nontradable'!$B" &amp; BO$9)=$B39,INDIRECT("'Ext Nontradable'!$" &amp; 'Ext Nontradable'!$AZ$23 &amp; BO$9),"")</f>
        <v>0</v>
      </c>
      <c r="BP39" s="700">
        <f ca="1">IF(INDIRECT("'Ext Nontradable'!$B" &amp; BP$9)=$B39,INDIRECT("'Ext Nontradable'!$" &amp; 'Ext Nontradable'!$AZ$23 &amp; BP$9),"")</f>
        <v>0</v>
      </c>
      <c r="BQ39" s="700">
        <f ca="1">IF(INDIRECT("'Ext Nontradable'!$B" &amp; BQ$9)=$B39,INDIRECT("'Ext Nontradable'!$" &amp; 'Ext Nontradable'!$AZ$23 &amp; BQ$9),"")</f>
        <v>0</v>
      </c>
      <c r="BR39" s="700">
        <f ca="1">IF(INDIRECT("'Ext Nontradable'!$B" &amp; BR$9)=$B39,INDIRECT("'Ext Nontradable'!$" &amp; 'Ext Nontradable'!$AZ$23 &amp; BR$9),"")</f>
        <v>0</v>
      </c>
      <c r="BS39" s="700">
        <f ca="1">IF(INDIRECT("'Ext Nontradable'!$B" &amp; BS$9)=$B39,INDIRECT("'Ext Nontradable'!$" &amp; 'Ext Nontradable'!$AZ$23 &amp; BS$9),"")</f>
        <v>0</v>
      </c>
      <c r="BT39" s="700">
        <f ca="1">IF(INDIRECT("'Ext Nontradable'!$B" &amp; BT$9)=$B39,INDIRECT("'Ext Nontradable'!$" &amp; 'Ext Nontradable'!$AZ$23 &amp; BT$9),"")</f>
        <v>0</v>
      </c>
      <c r="BU39" s="700">
        <f ca="1">IF(INDIRECT("'Ext Nontradable'!$B" &amp; BU$9)=$B39,INDIRECT("'Ext Nontradable'!$" &amp; 'Ext Nontradable'!$AZ$23 &amp; BU$9),"")</f>
        <v>0</v>
      </c>
      <c r="BV39" s="700">
        <f ca="1">IF(INDIRECT("'Ext Nontradable'!$B" &amp; BV$9)=$B39,INDIRECT("'Ext Nontradable'!$" &amp; 'Ext Nontradable'!$AZ$23 &amp; BV$9),"")</f>
        <v>0</v>
      </c>
      <c r="BW39" s="700">
        <f ca="1">IF(INDIRECT("'Ext Nontradable'!$B" &amp; BW$9)=$B39,INDIRECT("'Ext Nontradable'!$" &amp; 'Ext Nontradable'!$AZ$23 &amp; BW$9),"")</f>
        <v>0</v>
      </c>
      <c r="BX39" s="700">
        <f ca="1">IF(INDIRECT("'Ext Nontradable'!$B" &amp; BX$9)=$B39,INDIRECT("'Ext Nontradable'!$" &amp; 'Ext Nontradable'!$AZ$23 &amp; BX$9),"")</f>
        <v>0</v>
      </c>
      <c r="BY39" s="700">
        <f ca="1">IF(INDIRECT("'Ext Nontradable'!$B" &amp; BY$9)=$B39,INDIRECT("'Ext Nontradable'!$" &amp; 'Ext Nontradable'!$AZ$23 &amp; BY$9),"")</f>
        <v>0</v>
      </c>
      <c r="BZ39" s="700">
        <f ca="1">IF(INDIRECT("'Ext Nontradable'!$B" &amp; BZ$9)=$B39,INDIRECT("'Ext Nontradable'!$" &amp; 'Ext Nontradable'!$AZ$23 &amp; BZ$9),"")</f>
        <v>0</v>
      </c>
      <c r="CA39" s="700">
        <f ca="1">IF(INDIRECT("'Ext Nontradable'!$B" &amp; CA$9)=$B39,INDIRECT("'Ext Nontradable'!$" &amp; 'Ext Nontradable'!$AZ$23 &amp; CA$9),"")</f>
        <v>0</v>
      </c>
      <c r="CB39" s="700">
        <f ca="1">IF(INDIRECT("'Ext Nontradable'!$B" &amp; CB$9)=$B39,INDIRECT("'Ext Nontradable'!$" &amp; 'Ext Nontradable'!$AZ$23 &amp; CB$9),"")</f>
        <v>0</v>
      </c>
      <c r="CC39" s="700">
        <f ca="1">IF(INDIRECT("'Ext Nontradable'!$B" &amp; CC$9)=$B39,INDIRECT("'Ext Nontradable'!$" &amp; 'Ext Nontradable'!$AZ$23 &amp; CC$9),"")</f>
        <v>0</v>
      </c>
      <c r="CD39" s="700">
        <f ca="1">IF(INDIRECT("'Ext Nontradable'!$B" &amp; CD$9)=$B39,INDIRECT("'Ext Nontradable'!$" &amp; 'Ext Nontradable'!$AZ$23 &amp; CD$9),"")</f>
        <v>0</v>
      </c>
      <c r="CE39" s="700">
        <f ca="1">IF(INDIRECT("'Ext Nontradable'!$B" &amp; CE$9)=$B39,INDIRECT("'Ext Nontradable'!$" &amp; 'Ext Nontradable'!$AZ$23 &amp; CE$9),"")</f>
        <v>0</v>
      </c>
      <c r="CF39" s="700">
        <f ca="1">IF(INDIRECT("'Ext Nontradable'!$B" &amp; CF$9)=$B39,INDIRECT("'Ext Nontradable'!$" &amp; 'Ext Nontradable'!$AZ$23 &amp; CF$9),"")</f>
        <v>0</v>
      </c>
      <c r="CG39" s="700">
        <f ca="1">IF(INDIRECT("'Ext Nontradable'!$B" &amp; CG$9)=$B39,INDIRECT("'Ext Nontradable'!$" &amp; 'Ext Nontradable'!$AZ$23 &amp; CG$9),"")</f>
        <v>0</v>
      </c>
      <c r="CH39" s="700">
        <f ca="1">IF(INDIRECT("'Ext Nontradable'!$B" &amp; CH$9)=$B39,INDIRECT("'Ext Nontradable'!$" &amp; 'Ext Nontradable'!$AZ$23 &amp; CH$9),"")</f>
        <v>0</v>
      </c>
      <c r="CI39" s="700">
        <f ca="1">IF(INDIRECT("'Ext Nontradable'!$B" &amp; CI$9)=$B39,INDIRECT("'Ext Nontradable'!$" &amp; 'Ext Nontradable'!$AZ$23 &amp; CI$9),"")</f>
        <v>0</v>
      </c>
      <c r="CJ39" s="700">
        <f ca="1">IF(INDIRECT("'Ext Nontradable'!$B" &amp; CJ$9)=$B39,INDIRECT("'Ext Nontradable'!$" &amp; 'Ext Nontradable'!$AZ$23 &amp; CJ$9),"")</f>
        <v>0</v>
      </c>
      <c r="CK39" s="700">
        <f ca="1">IF(INDIRECT("'Ext Nontradable'!$B" &amp; CK$9)=$B39,INDIRECT("'Ext Nontradable'!$" &amp; 'Ext Nontradable'!$AZ$23 &amp; CK$9),"")</f>
        <v>0</v>
      </c>
      <c r="CL39" s="700">
        <f ca="1">IF(INDIRECT("'Ext Nontradable'!$B" &amp; CL$9)=$B39,INDIRECT("'Ext Nontradable'!$" &amp; 'Ext Nontradable'!$AZ$23 &amp; CL$9),"")</f>
        <v>0</v>
      </c>
      <c r="CM39" s="700">
        <f ca="1">IF(INDIRECT("'Ext Nontradable'!$B" &amp; CM$9)=$B39,INDIRECT("'Ext Nontradable'!$" &amp; 'Ext Nontradable'!$AZ$23 &amp; CM$9),"")</f>
        <v>0</v>
      </c>
      <c r="CN39" s="700">
        <f ca="1">IF(INDIRECT("'Ext Nontradable'!$B" &amp; CN$9)=$B39,INDIRECT("'Ext Nontradable'!$" &amp; 'Ext Nontradable'!$AZ$23 &amp; CN$9),"")</f>
        <v>0</v>
      </c>
      <c r="CO39" s="700">
        <f ca="1">IF(INDIRECT("'Ext Nontradable'!$B" &amp; CO$9)=$B39,INDIRECT("'Ext Nontradable'!$" &amp; 'Ext Nontradable'!$AZ$23 &amp; CO$9),"")</f>
        <v>0</v>
      </c>
      <c r="CP39" s="700">
        <f ca="1">IF(INDIRECT("'Ext Nontradable'!$B" &amp; CP$9)=$B39,INDIRECT("'Ext Nontradable'!$" &amp; 'Ext Nontradable'!$AZ$23 &amp; CP$9),"")</f>
        <v>0</v>
      </c>
      <c r="CQ39" s="700">
        <f ca="1">IF(INDIRECT("'Ext Nontradable'!$B" &amp; CQ$9)=$B39,INDIRECT("'Ext Nontradable'!$" &amp; 'Ext Nontradable'!$AZ$23 &amp; CQ$9),"")</f>
        <v>0</v>
      </c>
      <c r="CR39" s="702" t="str">
        <f t="shared" ca="1" si="25"/>
        <v>000000000000000000000000000000</v>
      </c>
    </row>
    <row r="40" spans="1:96" ht="60" customHeight="1" x14ac:dyDescent="0.25">
      <c r="A40" s="705">
        <v>31</v>
      </c>
      <c r="B40" s="707" t="str">
        <f>'Ext Area Schedule'!AK46</f>
        <v/>
      </c>
      <c r="C40" s="707" t="str">
        <f>VLOOKUP($B40,'Ext Area Schedule'!$AK$16:$AO$65,3,FALSE)</f>
        <v/>
      </c>
      <c r="D40" s="792" t="str">
        <f>VLOOKUP($B40,'Ext Area Schedule'!$AK$16:$AO$65,4,FALSE)</f>
        <v/>
      </c>
      <c r="F40" s="792" t="str">
        <f>VLOOKUP($B40,'Ext Area Schedule'!$AK$16:$AO$65,5,FALSE)</f>
        <v/>
      </c>
      <c r="G40" s="792" t="str">
        <f>VLOOKUP($B40,'Ext Area Schedule'!$AK$16:$AO$65,5,FALSE)</f>
        <v/>
      </c>
      <c r="I40" s="703" t="str">
        <f t="shared" si="1"/>
        <v/>
      </c>
      <c r="K40" s="703" t="str">
        <f>IF($B40="","",SUMIFS('Ext Nontradable'!$M$26:$M$45,'Ext Nontradable'!$B$26:$B$45,$B40,'Ext Nontradable'!$U$26:$U$45,"New"))</f>
        <v/>
      </c>
      <c r="L40" s="703" t="str">
        <f>IF($B40="","",SUMIFS('Ext Nontradable'!$M$26:$M$45,'Ext Nontradable'!$B$26:$B$45,$B40,'Ext Nontradable'!$U$26:$U$45,""))</f>
        <v/>
      </c>
      <c r="M40" s="703" t="str">
        <f>IF($B40="","",SUMIFS('Ext Nontradable'!$K$26:$K$45,'Ext Nontradable'!$B$26:$B$45,$B40,'Ext Nontradable'!$U$26:$U$45,"New")+SUMIFS('Ext Nontradable'!$K$26:$K$45,'Ext Nontradable'!$B$26:$B$45,$B40,'Ext Nontradable'!$U$26:$U$45,""))</f>
        <v/>
      </c>
      <c r="N40" s="703" t="str">
        <f>IF($B40="","",SUMIFS('Ext Nontradable'!$M$26:$M$45,'Ext Nontradable'!$B$26:$B$45,$B40,'Ext Nontradable'!$U$26:$U$45,"Existing Remains"))</f>
        <v/>
      </c>
      <c r="O40" s="703" t="str">
        <f>IF($B40="","",SUMIFS('Ext Nontradable'!$M$26:$M$45,'Ext Nontradable'!$B$26:$B$45,$B40,'Ext Nontradable'!$U$26:$U$45,"Existing Removed"))</f>
        <v/>
      </c>
      <c r="P40" s="703" t="str">
        <f>IF($B40="","",SUMIFS('Ext Nontradable'!$K$26:$K$45,'Ext Nontradable'!$B$26:$B$45,$B40,'Ext Nontradable'!$U$26:$U$45,"Existing Removed"))</f>
        <v/>
      </c>
      <c r="Q40" s="703" t="str">
        <f t="shared" si="2"/>
        <v/>
      </c>
      <c r="R40" s="703" t="str">
        <f t="shared" si="7"/>
        <v/>
      </c>
      <c r="S40" s="703">
        <f t="shared" si="8"/>
        <v>0</v>
      </c>
      <c r="T40" s="954">
        <f t="shared" si="20"/>
        <v>0</v>
      </c>
      <c r="U40" s="954">
        <f t="shared" si="21"/>
        <v>0</v>
      </c>
      <c r="V40" s="1115" t="str">
        <f t="shared" si="22"/>
        <v/>
      </c>
      <c r="W40" s="712" t="str">
        <f t="shared" si="23"/>
        <v/>
      </c>
      <c r="X40" s="857"/>
      <c r="Y40" s="720" t="str">
        <f t="shared" si="24"/>
        <v/>
      </c>
      <c r="Z40" s="721" t="str">
        <f t="shared" si="9"/>
        <v/>
      </c>
      <c r="AA40" s="721" t="str">
        <f t="shared" si="10"/>
        <v/>
      </c>
      <c r="AB40" s="719" t="str">
        <f t="shared" si="4"/>
        <v/>
      </c>
      <c r="AC40" s="857"/>
      <c r="AD40" s="717" t="str">
        <f t="shared" si="11"/>
        <v/>
      </c>
      <c r="AE40" s="718" t="str">
        <f t="shared" si="12"/>
        <v/>
      </c>
      <c r="AF40" s="719" t="str">
        <f t="shared" si="5"/>
        <v/>
      </c>
      <c r="AG40" s="726"/>
      <c r="AH40" s="727" t="str">
        <f t="shared" si="13"/>
        <v/>
      </c>
      <c r="AI40" s="703" t="str">
        <f t="shared" si="14"/>
        <v/>
      </c>
      <c r="AJ40" s="703" t="str">
        <f t="shared" si="15"/>
        <v/>
      </c>
      <c r="AL40" s="1075" t="str">
        <f t="shared" si="16"/>
        <v/>
      </c>
      <c r="AM40" s="855" t="str">
        <f t="shared" si="18"/>
        <v/>
      </c>
      <c r="AN40" s="707" t="str">
        <f>IF(OR(AL40="Fail",AL40="Fail LPA",AL40=""),"",IF(AM40&lt;&gt;"#1",VLOOKUP(C40,'9.4.3 Tables'!B$156:O$164,14,FALSE),"No NEW controls required"))</f>
        <v/>
      </c>
      <c r="AO40" s="703">
        <f t="shared" si="19"/>
        <v>0</v>
      </c>
      <c r="AR40">
        <v>31</v>
      </c>
      <c r="AS40" s="15" t="str">
        <f t="shared" si="17"/>
        <v/>
      </c>
      <c r="AT40" s="700" t="str">
        <f ca="1">IF(INDIRECT("'Ext Nontradable'!$B" &amp; AT$9)=$B40,INDIRECT("'Ext Nontradable'!$" &amp; 'Ext Nontradable'!$AZ$23 &amp; AT$9),"")</f>
        <v/>
      </c>
      <c r="AU40" s="700" t="str">
        <f ca="1">IF(INDIRECT("'Ext Nontradable'!$B" &amp; AU$9)=$B40,INDIRECT("'Ext Nontradable'!$" &amp; 'Ext Nontradable'!$AZ$23 &amp; AU$9),"")</f>
        <v/>
      </c>
      <c r="AV40" s="700" t="str">
        <f ca="1">IF(INDIRECT("'Ext Nontradable'!$B" &amp; AV$9)=$B40,INDIRECT("'Ext Nontradable'!$" &amp; 'Ext Nontradable'!$AZ$23 &amp; AV$9),"")</f>
        <v/>
      </c>
      <c r="AW40" s="700" t="str">
        <f ca="1">IF(INDIRECT("'Ext Nontradable'!$B" &amp; AW$9)=$B40,INDIRECT("'Ext Nontradable'!$" &amp; 'Ext Nontradable'!$AZ$23 &amp; AW$9),"")</f>
        <v/>
      </c>
      <c r="AX40" s="700" t="str">
        <f ca="1">IF(INDIRECT("'Ext Nontradable'!$B" &amp; AX$9)=$B40,INDIRECT("'Ext Nontradable'!$" &amp; 'Ext Nontradable'!$AZ$23 &amp; AX$9),"")</f>
        <v/>
      </c>
      <c r="AY40" s="700" t="str">
        <f ca="1">IF(INDIRECT("'Ext Nontradable'!$B" &amp; AY$9)=$B40,INDIRECT("'Ext Nontradable'!$" &amp; 'Ext Nontradable'!$AZ$23 &amp; AY$9),"")</f>
        <v/>
      </c>
      <c r="AZ40" s="700" t="str">
        <f ca="1">IF(INDIRECT("'Ext Nontradable'!$B" &amp; AZ$9)=$B40,INDIRECT("'Ext Nontradable'!$" &amp; 'Ext Nontradable'!$AZ$23 &amp; AZ$9),"")</f>
        <v/>
      </c>
      <c r="BA40" s="700" t="str">
        <f ca="1">IF(INDIRECT("'Ext Nontradable'!$B" &amp; BA$9)=$B40,INDIRECT("'Ext Nontradable'!$" &amp; 'Ext Nontradable'!$AZ$23 &amp; BA$9),"")</f>
        <v/>
      </c>
      <c r="BB40" s="700" t="str">
        <f ca="1">IF(INDIRECT("'Ext Nontradable'!$B" &amp; BB$9)=$B40,INDIRECT("'Ext Nontradable'!$" &amp; 'Ext Nontradable'!$AZ$23 &amp; BB$9),"")</f>
        <v/>
      </c>
      <c r="BC40" s="700" t="str">
        <f ca="1">IF(INDIRECT("'Ext Nontradable'!$B" &amp; BC$9)=$B40,INDIRECT("'Ext Nontradable'!$" &amp; 'Ext Nontradable'!$AZ$23 &amp; BC$9),"")</f>
        <v/>
      </c>
      <c r="BD40" s="700" t="str">
        <f ca="1">IF(INDIRECT("'Ext Nontradable'!$B" &amp; BD$9)=$B40,INDIRECT("'Ext Nontradable'!$" &amp; 'Ext Nontradable'!$AZ$23 &amp; BD$9),"")</f>
        <v/>
      </c>
      <c r="BE40" s="700" t="str">
        <f ca="1">IF(INDIRECT("'Ext Nontradable'!$B" &amp; BE$9)=$B40,INDIRECT("'Ext Nontradable'!$" &amp; 'Ext Nontradable'!$AZ$23 &amp; BE$9),"")</f>
        <v/>
      </c>
      <c r="BF40" s="700" t="str">
        <f ca="1">IF(INDIRECT("'Ext Nontradable'!$B" &amp; BF$9)=$B40,INDIRECT("'Ext Nontradable'!$" &amp; 'Ext Nontradable'!$AZ$23 &amp; BF$9),"")</f>
        <v/>
      </c>
      <c r="BG40" s="700" t="str">
        <f ca="1">IF(INDIRECT("'Ext Nontradable'!$B" &amp; BG$9)=$B40,INDIRECT("'Ext Nontradable'!$" &amp; 'Ext Nontradable'!$AZ$23 &amp; BG$9),"")</f>
        <v/>
      </c>
      <c r="BH40" s="700" t="str">
        <f ca="1">IF(INDIRECT("'Ext Nontradable'!$B" &amp; BH$9)=$B40,INDIRECT("'Ext Nontradable'!$" &amp; 'Ext Nontradable'!$AZ$23 &amp; BH$9),"")</f>
        <v/>
      </c>
      <c r="BI40" s="700" t="str">
        <f ca="1">IF(INDIRECT("'Ext Nontradable'!$B" &amp; BI$9)=$B40,INDIRECT("'Ext Nontradable'!$" &amp; 'Ext Nontradable'!$AZ$23 &amp; BI$9),"")</f>
        <v/>
      </c>
      <c r="BJ40" s="700" t="str">
        <f ca="1">IF(INDIRECT("'Ext Nontradable'!$B" &amp; BJ$9)=$B40,INDIRECT("'Ext Nontradable'!$" &amp; 'Ext Nontradable'!$AZ$23 &amp; BJ$9),"")</f>
        <v/>
      </c>
      <c r="BK40" s="700" t="str">
        <f ca="1">IF(INDIRECT("'Ext Nontradable'!$B" &amp; BK$9)=$B40,INDIRECT("'Ext Nontradable'!$" &amp; 'Ext Nontradable'!$AZ$23 &amp; BK$9),"")</f>
        <v/>
      </c>
      <c r="BL40" s="700" t="str">
        <f ca="1">IF(INDIRECT("'Ext Nontradable'!$B" &amp; BL$9)=$B40,INDIRECT("'Ext Nontradable'!$" &amp; 'Ext Nontradable'!$AZ$23 &amp; BL$9),"")</f>
        <v/>
      </c>
      <c r="BM40" s="700" t="str">
        <f ca="1">IF(INDIRECT("'Ext Nontradable'!$B" &amp; BM$9)=$B40,INDIRECT("'Ext Nontradable'!$" &amp; 'Ext Nontradable'!$AZ$23 &amp; BM$9),"")</f>
        <v/>
      </c>
      <c r="BN40" s="700">
        <f ca="1">IF(INDIRECT("'Ext Nontradable'!$B" &amp; BN$9)=$B40,INDIRECT("'Ext Nontradable'!$" &amp; 'Ext Nontradable'!$AZ$23 &amp; BN$9),"")</f>
        <v>0</v>
      </c>
      <c r="BO40" s="700">
        <f ca="1">IF(INDIRECT("'Ext Nontradable'!$B" &amp; BO$9)=$B40,INDIRECT("'Ext Nontradable'!$" &amp; 'Ext Nontradable'!$AZ$23 &amp; BO$9),"")</f>
        <v>0</v>
      </c>
      <c r="BP40" s="700">
        <f ca="1">IF(INDIRECT("'Ext Nontradable'!$B" &amp; BP$9)=$B40,INDIRECT("'Ext Nontradable'!$" &amp; 'Ext Nontradable'!$AZ$23 &amp; BP$9),"")</f>
        <v>0</v>
      </c>
      <c r="BQ40" s="700">
        <f ca="1">IF(INDIRECT("'Ext Nontradable'!$B" &amp; BQ$9)=$B40,INDIRECT("'Ext Nontradable'!$" &amp; 'Ext Nontradable'!$AZ$23 &amp; BQ$9),"")</f>
        <v>0</v>
      </c>
      <c r="BR40" s="700">
        <f ca="1">IF(INDIRECT("'Ext Nontradable'!$B" &amp; BR$9)=$B40,INDIRECT("'Ext Nontradable'!$" &amp; 'Ext Nontradable'!$AZ$23 &amp; BR$9),"")</f>
        <v>0</v>
      </c>
      <c r="BS40" s="700">
        <f ca="1">IF(INDIRECT("'Ext Nontradable'!$B" &amp; BS$9)=$B40,INDIRECT("'Ext Nontradable'!$" &amp; 'Ext Nontradable'!$AZ$23 &amp; BS$9),"")</f>
        <v>0</v>
      </c>
      <c r="BT40" s="700">
        <f ca="1">IF(INDIRECT("'Ext Nontradable'!$B" &amp; BT$9)=$B40,INDIRECT("'Ext Nontradable'!$" &amp; 'Ext Nontradable'!$AZ$23 &amp; BT$9),"")</f>
        <v>0</v>
      </c>
      <c r="BU40" s="700">
        <f ca="1">IF(INDIRECT("'Ext Nontradable'!$B" &amp; BU$9)=$B40,INDIRECT("'Ext Nontradable'!$" &amp; 'Ext Nontradable'!$AZ$23 &amp; BU$9),"")</f>
        <v>0</v>
      </c>
      <c r="BV40" s="700">
        <f ca="1">IF(INDIRECT("'Ext Nontradable'!$B" &amp; BV$9)=$B40,INDIRECT("'Ext Nontradable'!$" &amp; 'Ext Nontradable'!$AZ$23 &amp; BV$9),"")</f>
        <v>0</v>
      </c>
      <c r="BW40" s="700">
        <f ca="1">IF(INDIRECT("'Ext Nontradable'!$B" &amp; BW$9)=$B40,INDIRECT("'Ext Nontradable'!$" &amp; 'Ext Nontradable'!$AZ$23 &amp; BW$9),"")</f>
        <v>0</v>
      </c>
      <c r="BX40" s="700">
        <f ca="1">IF(INDIRECT("'Ext Nontradable'!$B" &amp; BX$9)=$B40,INDIRECT("'Ext Nontradable'!$" &amp; 'Ext Nontradable'!$AZ$23 &amp; BX$9),"")</f>
        <v>0</v>
      </c>
      <c r="BY40" s="700">
        <f ca="1">IF(INDIRECT("'Ext Nontradable'!$B" &amp; BY$9)=$B40,INDIRECT("'Ext Nontradable'!$" &amp; 'Ext Nontradable'!$AZ$23 &amp; BY$9),"")</f>
        <v>0</v>
      </c>
      <c r="BZ40" s="700">
        <f ca="1">IF(INDIRECT("'Ext Nontradable'!$B" &amp; BZ$9)=$B40,INDIRECT("'Ext Nontradable'!$" &amp; 'Ext Nontradable'!$AZ$23 &amp; BZ$9),"")</f>
        <v>0</v>
      </c>
      <c r="CA40" s="700">
        <f ca="1">IF(INDIRECT("'Ext Nontradable'!$B" &amp; CA$9)=$B40,INDIRECT("'Ext Nontradable'!$" &amp; 'Ext Nontradable'!$AZ$23 &amp; CA$9),"")</f>
        <v>0</v>
      </c>
      <c r="CB40" s="700">
        <f ca="1">IF(INDIRECT("'Ext Nontradable'!$B" &amp; CB$9)=$B40,INDIRECT("'Ext Nontradable'!$" &amp; 'Ext Nontradable'!$AZ$23 &amp; CB$9),"")</f>
        <v>0</v>
      </c>
      <c r="CC40" s="700">
        <f ca="1">IF(INDIRECT("'Ext Nontradable'!$B" &amp; CC$9)=$B40,INDIRECT("'Ext Nontradable'!$" &amp; 'Ext Nontradable'!$AZ$23 &amp; CC$9),"")</f>
        <v>0</v>
      </c>
      <c r="CD40" s="700">
        <f ca="1">IF(INDIRECT("'Ext Nontradable'!$B" &amp; CD$9)=$B40,INDIRECT("'Ext Nontradable'!$" &amp; 'Ext Nontradable'!$AZ$23 &amp; CD$9),"")</f>
        <v>0</v>
      </c>
      <c r="CE40" s="700">
        <f ca="1">IF(INDIRECT("'Ext Nontradable'!$B" &amp; CE$9)=$B40,INDIRECT("'Ext Nontradable'!$" &amp; 'Ext Nontradable'!$AZ$23 &amp; CE$9),"")</f>
        <v>0</v>
      </c>
      <c r="CF40" s="700">
        <f ca="1">IF(INDIRECT("'Ext Nontradable'!$B" &amp; CF$9)=$B40,INDIRECT("'Ext Nontradable'!$" &amp; 'Ext Nontradable'!$AZ$23 &amp; CF$9),"")</f>
        <v>0</v>
      </c>
      <c r="CG40" s="700">
        <f ca="1">IF(INDIRECT("'Ext Nontradable'!$B" &amp; CG$9)=$B40,INDIRECT("'Ext Nontradable'!$" &amp; 'Ext Nontradable'!$AZ$23 &amp; CG$9),"")</f>
        <v>0</v>
      </c>
      <c r="CH40" s="700">
        <f ca="1">IF(INDIRECT("'Ext Nontradable'!$B" &amp; CH$9)=$B40,INDIRECT("'Ext Nontradable'!$" &amp; 'Ext Nontradable'!$AZ$23 &amp; CH$9),"")</f>
        <v>0</v>
      </c>
      <c r="CI40" s="700">
        <f ca="1">IF(INDIRECT("'Ext Nontradable'!$B" &amp; CI$9)=$B40,INDIRECT("'Ext Nontradable'!$" &amp; 'Ext Nontradable'!$AZ$23 &amp; CI$9),"")</f>
        <v>0</v>
      </c>
      <c r="CJ40" s="700">
        <f ca="1">IF(INDIRECT("'Ext Nontradable'!$B" &amp; CJ$9)=$B40,INDIRECT("'Ext Nontradable'!$" &amp; 'Ext Nontradable'!$AZ$23 &amp; CJ$9),"")</f>
        <v>0</v>
      </c>
      <c r="CK40" s="700">
        <f ca="1">IF(INDIRECT("'Ext Nontradable'!$B" &amp; CK$9)=$B40,INDIRECT("'Ext Nontradable'!$" &amp; 'Ext Nontradable'!$AZ$23 &amp; CK$9),"")</f>
        <v>0</v>
      </c>
      <c r="CL40" s="700">
        <f ca="1">IF(INDIRECT("'Ext Nontradable'!$B" &amp; CL$9)=$B40,INDIRECT("'Ext Nontradable'!$" &amp; 'Ext Nontradable'!$AZ$23 &amp; CL$9),"")</f>
        <v>0</v>
      </c>
      <c r="CM40" s="700">
        <f ca="1">IF(INDIRECT("'Ext Nontradable'!$B" &amp; CM$9)=$B40,INDIRECT("'Ext Nontradable'!$" &amp; 'Ext Nontradable'!$AZ$23 &amp; CM$9),"")</f>
        <v>0</v>
      </c>
      <c r="CN40" s="700">
        <f ca="1">IF(INDIRECT("'Ext Nontradable'!$B" &amp; CN$9)=$B40,INDIRECT("'Ext Nontradable'!$" &amp; 'Ext Nontradable'!$AZ$23 &amp; CN$9),"")</f>
        <v>0</v>
      </c>
      <c r="CO40" s="700">
        <f ca="1">IF(INDIRECT("'Ext Nontradable'!$B" &amp; CO$9)=$B40,INDIRECT("'Ext Nontradable'!$" &amp; 'Ext Nontradable'!$AZ$23 &amp; CO$9),"")</f>
        <v>0</v>
      </c>
      <c r="CP40" s="700">
        <f ca="1">IF(INDIRECT("'Ext Nontradable'!$B" &amp; CP$9)=$B40,INDIRECT("'Ext Nontradable'!$" &amp; 'Ext Nontradable'!$AZ$23 &amp; CP$9),"")</f>
        <v>0</v>
      </c>
      <c r="CQ40" s="700">
        <f ca="1">IF(INDIRECT("'Ext Nontradable'!$B" &amp; CQ$9)=$B40,INDIRECT("'Ext Nontradable'!$" &amp; 'Ext Nontradable'!$AZ$23 &amp; CQ$9),"")</f>
        <v>0</v>
      </c>
      <c r="CR40" s="702" t="str">
        <f t="shared" ca="1" si="25"/>
        <v>000000000000000000000000000000</v>
      </c>
    </row>
    <row r="41" spans="1:96" ht="60" customHeight="1" x14ac:dyDescent="0.25">
      <c r="A41" s="705">
        <v>32</v>
      </c>
      <c r="B41" s="707" t="str">
        <f>'Ext Area Schedule'!AK47</f>
        <v/>
      </c>
      <c r="C41" s="707" t="str">
        <f>VLOOKUP($B41,'Ext Area Schedule'!$AK$16:$AO$65,3,FALSE)</f>
        <v/>
      </c>
      <c r="D41" s="792" t="str">
        <f>VLOOKUP($B41,'Ext Area Schedule'!$AK$16:$AO$65,4,FALSE)</f>
        <v/>
      </c>
      <c r="F41" s="792" t="str">
        <f>VLOOKUP($B41,'Ext Area Schedule'!$AK$16:$AO$65,5,FALSE)</f>
        <v/>
      </c>
      <c r="G41" s="792" t="str">
        <f>VLOOKUP($B41,'Ext Area Schedule'!$AK$16:$AO$65,5,FALSE)</f>
        <v/>
      </c>
      <c r="I41" s="703" t="str">
        <f t="shared" si="1"/>
        <v/>
      </c>
      <c r="K41" s="703" t="str">
        <f>IF($B41="","",SUMIFS('Ext Nontradable'!$M$26:$M$45,'Ext Nontradable'!$B$26:$B$45,$B41,'Ext Nontradable'!$U$26:$U$45,"New"))</f>
        <v/>
      </c>
      <c r="L41" s="703" t="str">
        <f>IF($B41="","",SUMIFS('Ext Nontradable'!$M$26:$M$45,'Ext Nontradable'!$B$26:$B$45,$B41,'Ext Nontradable'!$U$26:$U$45,""))</f>
        <v/>
      </c>
      <c r="M41" s="703" t="str">
        <f>IF($B41="","",SUMIFS('Ext Nontradable'!$K$26:$K$45,'Ext Nontradable'!$B$26:$B$45,$B41,'Ext Nontradable'!$U$26:$U$45,"New")+SUMIFS('Ext Nontradable'!$K$26:$K$45,'Ext Nontradable'!$B$26:$B$45,$B41,'Ext Nontradable'!$U$26:$U$45,""))</f>
        <v/>
      </c>
      <c r="N41" s="703" t="str">
        <f>IF($B41="","",SUMIFS('Ext Nontradable'!$M$26:$M$45,'Ext Nontradable'!$B$26:$B$45,$B41,'Ext Nontradable'!$U$26:$U$45,"Existing Remains"))</f>
        <v/>
      </c>
      <c r="O41" s="703" t="str">
        <f>IF($B41="","",SUMIFS('Ext Nontradable'!$M$26:$M$45,'Ext Nontradable'!$B$26:$B$45,$B41,'Ext Nontradable'!$U$26:$U$45,"Existing Removed"))</f>
        <v/>
      </c>
      <c r="P41" s="703" t="str">
        <f>IF($B41="","",SUMIFS('Ext Nontradable'!$K$26:$K$45,'Ext Nontradable'!$B$26:$B$45,$B41,'Ext Nontradable'!$U$26:$U$45,"Existing Removed"))</f>
        <v/>
      </c>
      <c r="Q41" s="703" t="str">
        <f t="shared" si="2"/>
        <v/>
      </c>
      <c r="R41" s="703" t="str">
        <f t="shared" si="7"/>
        <v/>
      </c>
      <c r="S41" s="703">
        <f t="shared" si="8"/>
        <v>0</v>
      </c>
      <c r="T41" s="954">
        <f t="shared" si="20"/>
        <v>0</v>
      </c>
      <c r="U41" s="954">
        <f t="shared" si="21"/>
        <v>0</v>
      </c>
      <c r="V41" s="1115" t="str">
        <f t="shared" si="22"/>
        <v/>
      </c>
      <c r="W41" s="712" t="str">
        <f t="shared" si="23"/>
        <v/>
      </c>
      <c r="X41" s="857"/>
      <c r="Y41" s="720" t="str">
        <f t="shared" si="24"/>
        <v/>
      </c>
      <c r="Z41" s="721" t="str">
        <f t="shared" si="9"/>
        <v/>
      </c>
      <c r="AA41" s="721" t="str">
        <f t="shared" si="10"/>
        <v/>
      </c>
      <c r="AB41" s="719" t="str">
        <f t="shared" si="4"/>
        <v/>
      </c>
      <c r="AC41" s="857"/>
      <c r="AD41" s="717" t="str">
        <f t="shared" si="11"/>
        <v/>
      </c>
      <c r="AE41" s="718" t="str">
        <f t="shared" si="12"/>
        <v/>
      </c>
      <c r="AF41" s="719" t="str">
        <f t="shared" si="5"/>
        <v/>
      </c>
      <c r="AG41" s="726"/>
      <c r="AH41" s="727" t="str">
        <f t="shared" si="13"/>
        <v/>
      </c>
      <c r="AI41" s="703" t="str">
        <f t="shared" si="14"/>
        <v/>
      </c>
      <c r="AJ41" s="703" t="str">
        <f t="shared" si="15"/>
        <v/>
      </c>
      <c r="AL41" s="1075" t="str">
        <f t="shared" si="16"/>
        <v/>
      </c>
      <c r="AM41" s="855" t="str">
        <f t="shared" si="18"/>
        <v/>
      </c>
      <c r="AN41" s="707" t="str">
        <f>IF(OR(AL41="Fail",AL41="Fail LPA",AL41=""),"",IF(AM41&lt;&gt;"#1",VLOOKUP(C41,'9.4.3 Tables'!B$156:O$164,14,FALSE),"No NEW controls required"))</f>
        <v/>
      </c>
      <c r="AO41" s="703">
        <f t="shared" si="19"/>
        <v>0</v>
      </c>
      <c r="AR41">
        <v>32</v>
      </c>
      <c r="AS41" s="15" t="str">
        <f t="shared" si="17"/>
        <v/>
      </c>
      <c r="AT41" s="700" t="str">
        <f ca="1">IF(INDIRECT("'Ext Nontradable'!$B" &amp; AT$9)=$B41,INDIRECT("'Ext Nontradable'!$" &amp; 'Ext Nontradable'!$AZ$23 &amp; AT$9),"")</f>
        <v/>
      </c>
      <c r="AU41" s="700" t="str">
        <f ca="1">IF(INDIRECT("'Ext Nontradable'!$B" &amp; AU$9)=$B41,INDIRECT("'Ext Nontradable'!$" &amp; 'Ext Nontradable'!$AZ$23 &amp; AU$9),"")</f>
        <v/>
      </c>
      <c r="AV41" s="700" t="str">
        <f ca="1">IF(INDIRECT("'Ext Nontradable'!$B" &amp; AV$9)=$B41,INDIRECT("'Ext Nontradable'!$" &amp; 'Ext Nontradable'!$AZ$23 &amp; AV$9),"")</f>
        <v/>
      </c>
      <c r="AW41" s="700" t="str">
        <f ca="1">IF(INDIRECT("'Ext Nontradable'!$B" &amp; AW$9)=$B41,INDIRECT("'Ext Nontradable'!$" &amp; 'Ext Nontradable'!$AZ$23 &amp; AW$9),"")</f>
        <v/>
      </c>
      <c r="AX41" s="700" t="str">
        <f ca="1">IF(INDIRECT("'Ext Nontradable'!$B" &amp; AX$9)=$B41,INDIRECT("'Ext Nontradable'!$" &amp; 'Ext Nontradable'!$AZ$23 &amp; AX$9),"")</f>
        <v/>
      </c>
      <c r="AY41" s="700" t="str">
        <f ca="1">IF(INDIRECT("'Ext Nontradable'!$B" &amp; AY$9)=$B41,INDIRECT("'Ext Nontradable'!$" &amp; 'Ext Nontradable'!$AZ$23 &amp; AY$9),"")</f>
        <v/>
      </c>
      <c r="AZ41" s="700" t="str">
        <f ca="1">IF(INDIRECT("'Ext Nontradable'!$B" &amp; AZ$9)=$B41,INDIRECT("'Ext Nontradable'!$" &amp; 'Ext Nontradable'!$AZ$23 &amp; AZ$9),"")</f>
        <v/>
      </c>
      <c r="BA41" s="700" t="str">
        <f ca="1">IF(INDIRECT("'Ext Nontradable'!$B" &amp; BA$9)=$B41,INDIRECT("'Ext Nontradable'!$" &amp; 'Ext Nontradable'!$AZ$23 &amp; BA$9),"")</f>
        <v/>
      </c>
      <c r="BB41" s="700" t="str">
        <f ca="1">IF(INDIRECT("'Ext Nontradable'!$B" &amp; BB$9)=$B41,INDIRECT("'Ext Nontradable'!$" &amp; 'Ext Nontradable'!$AZ$23 &amp; BB$9),"")</f>
        <v/>
      </c>
      <c r="BC41" s="700" t="str">
        <f ca="1">IF(INDIRECT("'Ext Nontradable'!$B" &amp; BC$9)=$B41,INDIRECT("'Ext Nontradable'!$" &amp; 'Ext Nontradable'!$AZ$23 &amp; BC$9),"")</f>
        <v/>
      </c>
      <c r="BD41" s="700" t="str">
        <f ca="1">IF(INDIRECT("'Ext Nontradable'!$B" &amp; BD$9)=$B41,INDIRECT("'Ext Nontradable'!$" &amp; 'Ext Nontradable'!$AZ$23 &amp; BD$9),"")</f>
        <v/>
      </c>
      <c r="BE41" s="700" t="str">
        <f ca="1">IF(INDIRECT("'Ext Nontradable'!$B" &amp; BE$9)=$B41,INDIRECT("'Ext Nontradable'!$" &amp; 'Ext Nontradable'!$AZ$23 &amp; BE$9),"")</f>
        <v/>
      </c>
      <c r="BF41" s="700" t="str">
        <f ca="1">IF(INDIRECT("'Ext Nontradable'!$B" &amp; BF$9)=$B41,INDIRECT("'Ext Nontradable'!$" &amp; 'Ext Nontradable'!$AZ$23 &amp; BF$9),"")</f>
        <v/>
      </c>
      <c r="BG41" s="700" t="str">
        <f ca="1">IF(INDIRECT("'Ext Nontradable'!$B" &amp; BG$9)=$B41,INDIRECT("'Ext Nontradable'!$" &amp; 'Ext Nontradable'!$AZ$23 &amp; BG$9),"")</f>
        <v/>
      </c>
      <c r="BH41" s="700" t="str">
        <f ca="1">IF(INDIRECT("'Ext Nontradable'!$B" &amp; BH$9)=$B41,INDIRECT("'Ext Nontradable'!$" &amp; 'Ext Nontradable'!$AZ$23 &amp; BH$9),"")</f>
        <v/>
      </c>
      <c r="BI41" s="700" t="str">
        <f ca="1">IF(INDIRECT("'Ext Nontradable'!$B" &amp; BI$9)=$B41,INDIRECT("'Ext Nontradable'!$" &amp; 'Ext Nontradable'!$AZ$23 &amp; BI$9),"")</f>
        <v/>
      </c>
      <c r="BJ41" s="700" t="str">
        <f ca="1">IF(INDIRECT("'Ext Nontradable'!$B" &amp; BJ$9)=$B41,INDIRECT("'Ext Nontradable'!$" &amp; 'Ext Nontradable'!$AZ$23 &amp; BJ$9),"")</f>
        <v/>
      </c>
      <c r="BK41" s="700" t="str">
        <f ca="1">IF(INDIRECT("'Ext Nontradable'!$B" &amp; BK$9)=$B41,INDIRECT("'Ext Nontradable'!$" &amp; 'Ext Nontradable'!$AZ$23 &amp; BK$9),"")</f>
        <v/>
      </c>
      <c r="BL41" s="700" t="str">
        <f ca="1">IF(INDIRECT("'Ext Nontradable'!$B" &amp; BL$9)=$B41,INDIRECT("'Ext Nontradable'!$" &amp; 'Ext Nontradable'!$AZ$23 &amp; BL$9),"")</f>
        <v/>
      </c>
      <c r="BM41" s="700" t="str">
        <f ca="1">IF(INDIRECT("'Ext Nontradable'!$B" &amp; BM$9)=$B41,INDIRECT("'Ext Nontradable'!$" &amp; 'Ext Nontradable'!$AZ$23 &amp; BM$9),"")</f>
        <v/>
      </c>
      <c r="BN41" s="700">
        <f ca="1">IF(INDIRECT("'Ext Nontradable'!$B" &amp; BN$9)=$B41,INDIRECT("'Ext Nontradable'!$" &amp; 'Ext Nontradable'!$AZ$23 &amp; BN$9),"")</f>
        <v>0</v>
      </c>
      <c r="BO41" s="700">
        <f ca="1">IF(INDIRECT("'Ext Nontradable'!$B" &amp; BO$9)=$B41,INDIRECT("'Ext Nontradable'!$" &amp; 'Ext Nontradable'!$AZ$23 &amp; BO$9),"")</f>
        <v>0</v>
      </c>
      <c r="BP41" s="700">
        <f ca="1">IF(INDIRECT("'Ext Nontradable'!$B" &amp; BP$9)=$B41,INDIRECT("'Ext Nontradable'!$" &amp; 'Ext Nontradable'!$AZ$23 &amp; BP$9),"")</f>
        <v>0</v>
      </c>
      <c r="BQ41" s="700">
        <f ca="1">IF(INDIRECT("'Ext Nontradable'!$B" &amp; BQ$9)=$B41,INDIRECT("'Ext Nontradable'!$" &amp; 'Ext Nontradable'!$AZ$23 &amp; BQ$9),"")</f>
        <v>0</v>
      </c>
      <c r="BR41" s="700">
        <f ca="1">IF(INDIRECT("'Ext Nontradable'!$B" &amp; BR$9)=$B41,INDIRECT("'Ext Nontradable'!$" &amp; 'Ext Nontradable'!$AZ$23 &amp; BR$9),"")</f>
        <v>0</v>
      </c>
      <c r="BS41" s="700">
        <f ca="1">IF(INDIRECT("'Ext Nontradable'!$B" &amp; BS$9)=$B41,INDIRECT("'Ext Nontradable'!$" &amp; 'Ext Nontradable'!$AZ$23 &amp; BS$9),"")</f>
        <v>0</v>
      </c>
      <c r="BT41" s="700">
        <f ca="1">IF(INDIRECT("'Ext Nontradable'!$B" &amp; BT$9)=$B41,INDIRECT("'Ext Nontradable'!$" &amp; 'Ext Nontradable'!$AZ$23 &amp; BT$9),"")</f>
        <v>0</v>
      </c>
      <c r="BU41" s="700">
        <f ca="1">IF(INDIRECT("'Ext Nontradable'!$B" &amp; BU$9)=$B41,INDIRECT("'Ext Nontradable'!$" &amp; 'Ext Nontradable'!$AZ$23 &amp; BU$9),"")</f>
        <v>0</v>
      </c>
      <c r="BV41" s="700">
        <f ca="1">IF(INDIRECT("'Ext Nontradable'!$B" &amp; BV$9)=$B41,INDIRECT("'Ext Nontradable'!$" &amp; 'Ext Nontradable'!$AZ$23 &amp; BV$9),"")</f>
        <v>0</v>
      </c>
      <c r="BW41" s="700">
        <f ca="1">IF(INDIRECT("'Ext Nontradable'!$B" &amp; BW$9)=$B41,INDIRECT("'Ext Nontradable'!$" &amp; 'Ext Nontradable'!$AZ$23 &amp; BW$9),"")</f>
        <v>0</v>
      </c>
      <c r="BX41" s="700">
        <f ca="1">IF(INDIRECT("'Ext Nontradable'!$B" &amp; BX$9)=$B41,INDIRECT("'Ext Nontradable'!$" &amp; 'Ext Nontradable'!$AZ$23 &amp; BX$9),"")</f>
        <v>0</v>
      </c>
      <c r="BY41" s="700">
        <f ca="1">IF(INDIRECT("'Ext Nontradable'!$B" &amp; BY$9)=$B41,INDIRECT("'Ext Nontradable'!$" &amp; 'Ext Nontradable'!$AZ$23 &amp; BY$9),"")</f>
        <v>0</v>
      </c>
      <c r="BZ41" s="700">
        <f ca="1">IF(INDIRECT("'Ext Nontradable'!$B" &amp; BZ$9)=$B41,INDIRECT("'Ext Nontradable'!$" &amp; 'Ext Nontradable'!$AZ$23 &amp; BZ$9),"")</f>
        <v>0</v>
      </c>
      <c r="CA41" s="700">
        <f ca="1">IF(INDIRECT("'Ext Nontradable'!$B" &amp; CA$9)=$B41,INDIRECT("'Ext Nontradable'!$" &amp; 'Ext Nontradable'!$AZ$23 &amp; CA$9),"")</f>
        <v>0</v>
      </c>
      <c r="CB41" s="700">
        <f ca="1">IF(INDIRECT("'Ext Nontradable'!$B" &amp; CB$9)=$B41,INDIRECT("'Ext Nontradable'!$" &amp; 'Ext Nontradable'!$AZ$23 &amp; CB$9),"")</f>
        <v>0</v>
      </c>
      <c r="CC41" s="700">
        <f ca="1">IF(INDIRECT("'Ext Nontradable'!$B" &amp; CC$9)=$B41,INDIRECT("'Ext Nontradable'!$" &amp; 'Ext Nontradable'!$AZ$23 &amp; CC$9),"")</f>
        <v>0</v>
      </c>
      <c r="CD41" s="700">
        <f ca="1">IF(INDIRECT("'Ext Nontradable'!$B" &amp; CD$9)=$B41,INDIRECT("'Ext Nontradable'!$" &amp; 'Ext Nontradable'!$AZ$23 &amp; CD$9),"")</f>
        <v>0</v>
      </c>
      <c r="CE41" s="700">
        <f ca="1">IF(INDIRECT("'Ext Nontradable'!$B" &amp; CE$9)=$B41,INDIRECT("'Ext Nontradable'!$" &amp; 'Ext Nontradable'!$AZ$23 &amp; CE$9),"")</f>
        <v>0</v>
      </c>
      <c r="CF41" s="700">
        <f ca="1">IF(INDIRECT("'Ext Nontradable'!$B" &amp; CF$9)=$B41,INDIRECT("'Ext Nontradable'!$" &amp; 'Ext Nontradable'!$AZ$23 &amp; CF$9),"")</f>
        <v>0</v>
      </c>
      <c r="CG41" s="700">
        <f ca="1">IF(INDIRECT("'Ext Nontradable'!$B" &amp; CG$9)=$B41,INDIRECT("'Ext Nontradable'!$" &amp; 'Ext Nontradable'!$AZ$23 &amp; CG$9),"")</f>
        <v>0</v>
      </c>
      <c r="CH41" s="700">
        <f ca="1">IF(INDIRECT("'Ext Nontradable'!$B" &amp; CH$9)=$B41,INDIRECT("'Ext Nontradable'!$" &amp; 'Ext Nontradable'!$AZ$23 &amp; CH$9),"")</f>
        <v>0</v>
      </c>
      <c r="CI41" s="700">
        <f ca="1">IF(INDIRECT("'Ext Nontradable'!$B" &amp; CI$9)=$B41,INDIRECT("'Ext Nontradable'!$" &amp; 'Ext Nontradable'!$AZ$23 &amp; CI$9),"")</f>
        <v>0</v>
      </c>
      <c r="CJ41" s="700">
        <f ca="1">IF(INDIRECT("'Ext Nontradable'!$B" &amp; CJ$9)=$B41,INDIRECT("'Ext Nontradable'!$" &amp; 'Ext Nontradable'!$AZ$23 &amp; CJ$9),"")</f>
        <v>0</v>
      </c>
      <c r="CK41" s="700">
        <f ca="1">IF(INDIRECT("'Ext Nontradable'!$B" &amp; CK$9)=$B41,INDIRECT("'Ext Nontradable'!$" &amp; 'Ext Nontradable'!$AZ$23 &amp; CK$9),"")</f>
        <v>0</v>
      </c>
      <c r="CL41" s="700">
        <f ca="1">IF(INDIRECT("'Ext Nontradable'!$B" &amp; CL$9)=$B41,INDIRECT("'Ext Nontradable'!$" &amp; 'Ext Nontradable'!$AZ$23 &amp; CL$9),"")</f>
        <v>0</v>
      </c>
      <c r="CM41" s="700">
        <f ca="1">IF(INDIRECT("'Ext Nontradable'!$B" &amp; CM$9)=$B41,INDIRECT("'Ext Nontradable'!$" &amp; 'Ext Nontradable'!$AZ$23 &amp; CM$9),"")</f>
        <v>0</v>
      </c>
      <c r="CN41" s="700">
        <f ca="1">IF(INDIRECT("'Ext Nontradable'!$B" &amp; CN$9)=$B41,INDIRECT("'Ext Nontradable'!$" &amp; 'Ext Nontradable'!$AZ$23 &amp; CN$9),"")</f>
        <v>0</v>
      </c>
      <c r="CO41" s="700">
        <f ca="1">IF(INDIRECT("'Ext Nontradable'!$B" &amp; CO$9)=$B41,INDIRECT("'Ext Nontradable'!$" &amp; 'Ext Nontradable'!$AZ$23 &amp; CO$9),"")</f>
        <v>0</v>
      </c>
      <c r="CP41" s="700">
        <f ca="1">IF(INDIRECT("'Ext Nontradable'!$B" &amp; CP$9)=$B41,INDIRECT("'Ext Nontradable'!$" &amp; 'Ext Nontradable'!$AZ$23 &amp; CP$9),"")</f>
        <v>0</v>
      </c>
      <c r="CQ41" s="700">
        <f ca="1">IF(INDIRECT("'Ext Nontradable'!$B" &amp; CQ$9)=$B41,INDIRECT("'Ext Nontradable'!$" &amp; 'Ext Nontradable'!$AZ$23 &amp; CQ$9),"")</f>
        <v>0</v>
      </c>
      <c r="CR41" s="702" t="str">
        <f t="shared" ca="1" si="25"/>
        <v>000000000000000000000000000000</v>
      </c>
    </row>
    <row r="42" spans="1:96" ht="60" customHeight="1" x14ac:dyDescent="0.25">
      <c r="A42" s="705">
        <v>33</v>
      </c>
      <c r="B42" s="707" t="str">
        <f>'Ext Area Schedule'!AK48</f>
        <v/>
      </c>
      <c r="C42" s="707" t="str">
        <f>VLOOKUP($B42,'Ext Area Schedule'!$AK$16:$AO$65,3,FALSE)</f>
        <v/>
      </c>
      <c r="D42" s="792" t="str">
        <f>VLOOKUP($B42,'Ext Area Schedule'!$AK$16:$AO$65,4,FALSE)</f>
        <v/>
      </c>
      <c r="F42" s="792" t="str">
        <f>VLOOKUP($B42,'Ext Area Schedule'!$AK$16:$AO$65,5,FALSE)</f>
        <v/>
      </c>
      <c r="G42" s="792" t="str">
        <f>VLOOKUP($B42,'Ext Area Schedule'!$AK$16:$AO$65,5,FALSE)</f>
        <v/>
      </c>
      <c r="I42" s="703" t="str">
        <f t="shared" si="1"/>
        <v/>
      </c>
      <c r="K42" s="703" t="str">
        <f>IF($B42="","",SUMIFS('Ext Nontradable'!$M$26:$M$45,'Ext Nontradable'!$B$26:$B$45,$B42,'Ext Nontradable'!$U$26:$U$45,"New"))</f>
        <v/>
      </c>
      <c r="L42" s="703" t="str">
        <f>IF($B42="","",SUMIFS('Ext Nontradable'!$M$26:$M$45,'Ext Nontradable'!$B$26:$B$45,$B42,'Ext Nontradable'!$U$26:$U$45,""))</f>
        <v/>
      </c>
      <c r="M42" s="703" t="str">
        <f>IF($B42="","",SUMIFS('Ext Nontradable'!$K$26:$K$45,'Ext Nontradable'!$B$26:$B$45,$B42,'Ext Nontradable'!$U$26:$U$45,"New")+SUMIFS('Ext Nontradable'!$K$26:$K$45,'Ext Nontradable'!$B$26:$B$45,$B42,'Ext Nontradable'!$U$26:$U$45,""))</f>
        <v/>
      </c>
      <c r="N42" s="703" t="str">
        <f>IF($B42="","",SUMIFS('Ext Nontradable'!$M$26:$M$45,'Ext Nontradable'!$B$26:$B$45,$B42,'Ext Nontradable'!$U$26:$U$45,"Existing Remains"))</f>
        <v/>
      </c>
      <c r="O42" s="703" t="str">
        <f>IF($B42="","",SUMIFS('Ext Nontradable'!$M$26:$M$45,'Ext Nontradable'!$B$26:$B$45,$B42,'Ext Nontradable'!$U$26:$U$45,"Existing Removed"))</f>
        <v/>
      </c>
      <c r="P42" s="703" t="str">
        <f>IF($B42="","",SUMIFS('Ext Nontradable'!$K$26:$K$45,'Ext Nontradable'!$B$26:$B$45,$B42,'Ext Nontradable'!$U$26:$U$45,"Existing Removed"))</f>
        <v/>
      </c>
      <c r="Q42" s="703" t="str">
        <f t="shared" si="2"/>
        <v/>
      </c>
      <c r="R42" s="703" t="str">
        <f t="shared" si="7"/>
        <v/>
      </c>
      <c r="S42" s="703">
        <f t="shared" si="8"/>
        <v>0</v>
      </c>
      <c r="T42" s="954">
        <f t="shared" si="20"/>
        <v>0</v>
      </c>
      <c r="U42" s="954">
        <f t="shared" si="21"/>
        <v>0</v>
      </c>
      <c r="V42" s="1115" t="str">
        <f t="shared" si="22"/>
        <v/>
      </c>
      <c r="W42" s="712" t="str">
        <f t="shared" si="23"/>
        <v/>
      </c>
      <c r="X42" s="857"/>
      <c r="Y42" s="720" t="str">
        <f t="shared" si="24"/>
        <v/>
      </c>
      <c r="Z42" s="721" t="str">
        <f t="shared" si="9"/>
        <v/>
      </c>
      <c r="AA42" s="721" t="str">
        <f t="shared" si="10"/>
        <v/>
      </c>
      <c r="AB42" s="719" t="str">
        <f t="shared" si="4"/>
        <v/>
      </c>
      <c r="AC42" s="857"/>
      <c r="AD42" s="717" t="str">
        <f t="shared" si="11"/>
        <v/>
      </c>
      <c r="AE42" s="718" t="str">
        <f t="shared" si="12"/>
        <v/>
      </c>
      <c r="AF42" s="719" t="str">
        <f t="shared" si="5"/>
        <v/>
      </c>
      <c r="AG42" s="726"/>
      <c r="AH42" s="727" t="str">
        <f t="shared" si="13"/>
        <v/>
      </c>
      <c r="AI42" s="703" t="str">
        <f t="shared" si="14"/>
        <v/>
      </c>
      <c r="AJ42" s="703" t="str">
        <f t="shared" si="15"/>
        <v/>
      </c>
      <c r="AL42" s="1075" t="str">
        <f t="shared" si="16"/>
        <v/>
      </c>
      <c r="AM42" s="855" t="str">
        <f t="shared" si="18"/>
        <v/>
      </c>
      <c r="AN42" s="707" t="str">
        <f>IF(OR(AL42="Fail",AL42="Fail LPA",AL42=""),"",IF(AM42&lt;&gt;"#1",VLOOKUP(C42,'9.4.3 Tables'!B$156:O$164,14,FALSE),"No NEW controls required"))</f>
        <v/>
      </c>
      <c r="AO42" s="703">
        <f t="shared" si="19"/>
        <v>0</v>
      </c>
      <c r="AR42">
        <v>33</v>
      </c>
      <c r="AS42" s="15" t="str">
        <f t="shared" si="17"/>
        <v/>
      </c>
      <c r="AT42" s="700" t="str">
        <f ca="1">IF(INDIRECT("'Ext Nontradable'!$B" &amp; AT$9)=$B42,INDIRECT("'Ext Nontradable'!$" &amp; 'Ext Nontradable'!$AZ$23 &amp; AT$9),"")</f>
        <v/>
      </c>
      <c r="AU42" s="700" t="str">
        <f ca="1">IF(INDIRECT("'Ext Nontradable'!$B" &amp; AU$9)=$B42,INDIRECT("'Ext Nontradable'!$" &amp; 'Ext Nontradable'!$AZ$23 &amp; AU$9),"")</f>
        <v/>
      </c>
      <c r="AV42" s="700" t="str">
        <f ca="1">IF(INDIRECT("'Ext Nontradable'!$B" &amp; AV$9)=$B42,INDIRECT("'Ext Nontradable'!$" &amp; 'Ext Nontradable'!$AZ$23 &amp; AV$9),"")</f>
        <v/>
      </c>
      <c r="AW42" s="700" t="str">
        <f ca="1">IF(INDIRECT("'Ext Nontradable'!$B" &amp; AW$9)=$B42,INDIRECT("'Ext Nontradable'!$" &amp; 'Ext Nontradable'!$AZ$23 &amp; AW$9),"")</f>
        <v/>
      </c>
      <c r="AX42" s="700" t="str">
        <f ca="1">IF(INDIRECT("'Ext Nontradable'!$B" &amp; AX$9)=$B42,INDIRECT("'Ext Nontradable'!$" &amp; 'Ext Nontradable'!$AZ$23 &amp; AX$9),"")</f>
        <v/>
      </c>
      <c r="AY42" s="700" t="str">
        <f ca="1">IF(INDIRECT("'Ext Nontradable'!$B" &amp; AY$9)=$B42,INDIRECT("'Ext Nontradable'!$" &amp; 'Ext Nontradable'!$AZ$23 &amp; AY$9),"")</f>
        <v/>
      </c>
      <c r="AZ42" s="700" t="str">
        <f ca="1">IF(INDIRECT("'Ext Nontradable'!$B" &amp; AZ$9)=$B42,INDIRECT("'Ext Nontradable'!$" &amp; 'Ext Nontradable'!$AZ$23 &amp; AZ$9),"")</f>
        <v/>
      </c>
      <c r="BA42" s="700" t="str">
        <f ca="1">IF(INDIRECT("'Ext Nontradable'!$B" &amp; BA$9)=$B42,INDIRECT("'Ext Nontradable'!$" &amp; 'Ext Nontradable'!$AZ$23 &amp; BA$9),"")</f>
        <v/>
      </c>
      <c r="BB42" s="700" t="str">
        <f ca="1">IF(INDIRECT("'Ext Nontradable'!$B" &amp; BB$9)=$B42,INDIRECT("'Ext Nontradable'!$" &amp; 'Ext Nontradable'!$AZ$23 &amp; BB$9),"")</f>
        <v/>
      </c>
      <c r="BC42" s="700" t="str">
        <f ca="1">IF(INDIRECT("'Ext Nontradable'!$B" &amp; BC$9)=$B42,INDIRECT("'Ext Nontradable'!$" &amp; 'Ext Nontradable'!$AZ$23 &amp; BC$9),"")</f>
        <v/>
      </c>
      <c r="BD42" s="700" t="str">
        <f ca="1">IF(INDIRECT("'Ext Nontradable'!$B" &amp; BD$9)=$B42,INDIRECT("'Ext Nontradable'!$" &amp; 'Ext Nontradable'!$AZ$23 &amp; BD$9),"")</f>
        <v/>
      </c>
      <c r="BE42" s="700" t="str">
        <f ca="1">IF(INDIRECT("'Ext Nontradable'!$B" &amp; BE$9)=$B42,INDIRECT("'Ext Nontradable'!$" &amp; 'Ext Nontradable'!$AZ$23 &amp; BE$9),"")</f>
        <v/>
      </c>
      <c r="BF42" s="700" t="str">
        <f ca="1">IF(INDIRECT("'Ext Nontradable'!$B" &amp; BF$9)=$B42,INDIRECT("'Ext Nontradable'!$" &amp; 'Ext Nontradable'!$AZ$23 &amp; BF$9),"")</f>
        <v/>
      </c>
      <c r="BG42" s="700" t="str">
        <f ca="1">IF(INDIRECT("'Ext Nontradable'!$B" &amp; BG$9)=$B42,INDIRECT("'Ext Nontradable'!$" &amp; 'Ext Nontradable'!$AZ$23 &amp; BG$9),"")</f>
        <v/>
      </c>
      <c r="BH42" s="700" t="str">
        <f ca="1">IF(INDIRECT("'Ext Nontradable'!$B" &amp; BH$9)=$B42,INDIRECT("'Ext Nontradable'!$" &amp; 'Ext Nontradable'!$AZ$23 &amp; BH$9),"")</f>
        <v/>
      </c>
      <c r="BI42" s="700" t="str">
        <f ca="1">IF(INDIRECT("'Ext Nontradable'!$B" &amp; BI$9)=$B42,INDIRECT("'Ext Nontradable'!$" &amp; 'Ext Nontradable'!$AZ$23 &amp; BI$9),"")</f>
        <v/>
      </c>
      <c r="BJ42" s="700" t="str">
        <f ca="1">IF(INDIRECT("'Ext Nontradable'!$B" &amp; BJ$9)=$B42,INDIRECT("'Ext Nontradable'!$" &amp; 'Ext Nontradable'!$AZ$23 &amp; BJ$9),"")</f>
        <v/>
      </c>
      <c r="BK42" s="700" t="str">
        <f ca="1">IF(INDIRECT("'Ext Nontradable'!$B" &amp; BK$9)=$B42,INDIRECT("'Ext Nontradable'!$" &amp; 'Ext Nontradable'!$AZ$23 &amp; BK$9),"")</f>
        <v/>
      </c>
      <c r="BL42" s="700" t="str">
        <f ca="1">IF(INDIRECT("'Ext Nontradable'!$B" &amp; BL$9)=$B42,INDIRECT("'Ext Nontradable'!$" &amp; 'Ext Nontradable'!$AZ$23 &amp; BL$9),"")</f>
        <v/>
      </c>
      <c r="BM42" s="700" t="str">
        <f ca="1">IF(INDIRECT("'Ext Nontradable'!$B" &amp; BM$9)=$B42,INDIRECT("'Ext Nontradable'!$" &amp; 'Ext Nontradable'!$AZ$23 &amp; BM$9),"")</f>
        <v/>
      </c>
      <c r="BN42" s="700">
        <f ca="1">IF(INDIRECT("'Ext Nontradable'!$B" &amp; BN$9)=$B42,INDIRECT("'Ext Nontradable'!$" &amp; 'Ext Nontradable'!$AZ$23 &amp; BN$9),"")</f>
        <v>0</v>
      </c>
      <c r="BO42" s="700">
        <f ca="1">IF(INDIRECT("'Ext Nontradable'!$B" &amp; BO$9)=$B42,INDIRECT("'Ext Nontradable'!$" &amp; 'Ext Nontradable'!$AZ$23 &amp; BO$9),"")</f>
        <v>0</v>
      </c>
      <c r="BP42" s="700">
        <f ca="1">IF(INDIRECT("'Ext Nontradable'!$B" &amp; BP$9)=$B42,INDIRECT("'Ext Nontradable'!$" &amp; 'Ext Nontradable'!$AZ$23 &amp; BP$9),"")</f>
        <v>0</v>
      </c>
      <c r="BQ42" s="700">
        <f ca="1">IF(INDIRECT("'Ext Nontradable'!$B" &amp; BQ$9)=$B42,INDIRECT("'Ext Nontradable'!$" &amp; 'Ext Nontradable'!$AZ$23 &amp; BQ$9),"")</f>
        <v>0</v>
      </c>
      <c r="BR42" s="700">
        <f ca="1">IF(INDIRECT("'Ext Nontradable'!$B" &amp; BR$9)=$B42,INDIRECT("'Ext Nontradable'!$" &amp; 'Ext Nontradable'!$AZ$23 &amp; BR$9),"")</f>
        <v>0</v>
      </c>
      <c r="BS42" s="700">
        <f ca="1">IF(INDIRECT("'Ext Nontradable'!$B" &amp; BS$9)=$B42,INDIRECT("'Ext Nontradable'!$" &amp; 'Ext Nontradable'!$AZ$23 &amp; BS$9),"")</f>
        <v>0</v>
      </c>
      <c r="BT42" s="700">
        <f ca="1">IF(INDIRECT("'Ext Nontradable'!$B" &amp; BT$9)=$B42,INDIRECT("'Ext Nontradable'!$" &amp; 'Ext Nontradable'!$AZ$23 &amp; BT$9),"")</f>
        <v>0</v>
      </c>
      <c r="BU42" s="700">
        <f ca="1">IF(INDIRECT("'Ext Nontradable'!$B" &amp; BU$9)=$B42,INDIRECT("'Ext Nontradable'!$" &amp; 'Ext Nontradable'!$AZ$23 &amp; BU$9),"")</f>
        <v>0</v>
      </c>
      <c r="BV42" s="700">
        <f ca="1">IF(INDIRECT("'Ext Nontradable'!$B" &amp; BV$9)=$B42,INDIRECT("'Ext Nontradable'!$" &amp; 'Ext Nontradable'!$AZ$23 &amp; BV$9),"")</f>
        <v>0</v>
      </c>
      <c r="BW42" s="700">
        <f ca="1">IF(INDIRECT("'Ext Nontradable'!$B" &amp; BW$9)=$B42,INDIRECT("'Ext Nontradable'!$" &amp; 'Ext Nontradable'!$AZ$23 &amp; BW$9),"")</f>
        <v>0</v>
      </c>
      <c r="BX42" s="700">
        <f ca="1">IF(INDIRECT("'Ext Nontradable'!$B" &amp; BX$9)=$B42,INDIRECT("'Ext Nontradable'!$" &amp; 'Ext Nontradable'!$AZ$23 &amp; BX$9),"")</f>
        <v>0</v>
      </c>
      <c r="BY42" s="700">
        <f ca="1">IF(INDIRECT("'Ext Nontradable'!$B" &amp; BY$9)=$B42,INDIRECT("'Ext Nontradable'!$" &amp; 'Ext Nontradable'!$AZ$23 &amp; BY$9),"")</f>
        <v>0</v>
      </c>
      <c r="BZ42" s="700">
        <f ca="1">IF(INDIRECT("'Ext Nontradable'!$B" &amp; BZ$9)=$B42,INDIRECT("'Ext Nontradable'!$" &amp; 'Ext Nontradable'!$AZ$23 &amp; BZ$9),"")</f>
        <v>0</v>
      </c>
      <c r="CA42" s="700">
        <f ca="1">IF(INDIRECT("'Ext Nontradable'!$B" &amp; CA$9)=$B42,INDIRECT("'Ext Nontradable'!$" &amp; 'Ext Nontradable'!$AZ$23 &amp; CA$9),"")</f>
        <v>0</v>
      </c>
      <c r="CB42" s="700">
        <f ca="1">IF(INDIRECT("'Ext Nontradable'!$B" &amp; CB$9)=$B42,INDIRECT("'Ext Nontradable'!$" &amp; 'Ext Nontradable'!$AZ$23 &amp; CB$9),"")</f>
        <v>0</v>
      </c>
      <c r="CC42" s="700">
        <f ca="1">IF(INDIRECT("'Ext Nontradable'!$B" &amp; CC$9)=$B42,INDIRECT("'Ext Nontradable'!$" &amp; 'Ext Nontradable'!$AZ$23 &amp; CC$9),"")</f>
        <v>0</v>
      </c>
      <c r="CD42" s="700">
        <f ca="1">IF(INDIRECT("'Ext Nontradable'!$B" &amp; CD$9)=$B42,INDIRECT("'Ext Nontradable'!$" &amp; 'Ext Nontradable'!$AZ$23 &amp; CD$9),"")</f>
        <v>0</v>
      </c>
      <c r="CE42" s="700">
        <f ca="1">IF(INDIRECT("'Ext Nontradable'!$B" &amp; CE$9)=$B42,INDIRECT("'Ext Nontradable'!$" &amp; 'Ext Nontradable'!$AZ$23 &amp; CE$9),"")</f>
        <v>0</v>
      </c>
      <c r="CF42" s="700">
        <f ca="1">IF(INDIRECT("'Ext Nontradable'!$B" &amp; CF$9)=$B42,INDIRECT("'Ext Nontradable'!$" &amp; 'Ext Nontradable'!$AZ$23 &amp; CF$9),"")</f>
        <v>0</v>
      </c>
      <c r="CG42" s="700">
        <f ca="1">IF(INDIRECT("'Ext Nontradable'!$B" &amp; CG$9)=$B42,INDIRECT("'Ext Nontradable'!$" &amp; 'Ext Nontradable'!$AZ$23 &amp; CG$9),"")</f>
        <v>0</v>
      </c>
      <c r="CH42" s="700">
        <f ca="1">IF(INDIRECT("'Ext Nontradable'!$B" &amp; CH$9)=$B42,INDIRECT("'Ext Nontradable'!$" &amp; 'Ext Nontradable'!$AZ$23 &amp; CH$9),"")</f>
        <v>0</v>
      </c>
      <c r="CI42" s="700">
        <f ca="1">IF(INDIRECT("'Ext Nontradable'!$B" &amp; CI$9)=$B42,INDIRECT("'Ext Nontradable'!$" &amp; 'Ext Nontradable'!$AZ$23 &amp; CI$9),"")</f>
        <v>0</v>
      </c>
      <c r="CJ42" s="700">
        <f ca="1">IF(INDIRECT("'Ext Nontradable'!$B" &amp; CJ$9)=$B42,INDIRECT("'Ext Nontradable'!$" &amp; 'Ext Nontradable'!$AZ$23 &amp; CJ$9),"")</f>
        <v>0</v>
      </c>
      <c r="CK42" s="700">
        <f ca="1">IF(INDIRECT("'Ext Nontradable'!$B" &amp; CK$9)=$B42,INDIRECT("'Ext Nontradable'!$" &amp; 'Ext Nontradable'!$AZ$23 &amp; CK$9),"")</f>
        <v>0</v>
      </c>
      <c r="CL42" s="700">
        <f ca="1">IF(INDIRECT("'Ext Nontradable'!$B" &amp; CL$9)=$B42,INDIRECT("'Ext Nontradable'!$" &amp; 'Ext Nontradable'!$AZ$23 &amp; CL$9),"")</f>
        <v>0</v>
      </c>
      <c r="CM42" s="700">
        <f ca="1">IF(INDIRECT("'Ext Nontradable'!$B" &amp; CM$9)=$B42,INDIRECT("'Ext Nontradable'!$" &amp; 'Ext Nontradable'!$AZ$23 &amp; CM$9),"")</f>
        <v>0</v>
      </c>
      <c r="CN42" s="700">
        <f ca="1">IF(INDIRECT("'Ext Nontradable'!$B" &amp; CN$9)=$B42,INDIRECT("'Ext Nontradable'!$" &amp; 'Ext Nontradable'!$AZ$23 &amp; CN$9),"")</f>
        <v>0</v>
      </c>
      <c r="CO42" s="700">
        <f ca="1">IF(INDIRECT("'Ext Nontradable'!$B" &amp; CO$9)=$B42,INDIRECT("'Ext Nontradable'!$" &amp; 'Ext Nontradable'!$AZ$23 &amp; CO$9),"")</f>
        <v>0</v>
      </c>
      <c r="CP42" s="700">
        <f ca="1">IF(INDIRECT("'Ext Nontradable'!$B" &amp; CP$9)=$B42,INDIRECT("'Ext Nontradable'!$" &amp; 'Ext Nontradable'!$AZ$23 &amp; CP$9),"")</f>
        <v>0</v>
      </c>
      <c r="CQ42" s="700">
        <f ca="1">IF(INDIRECT("'Ext Nontradable'!$B" &amp; CQ$9)=$B42,INDIRECT("'Ext Nontradable'!$" &amp; 'Ext Nontradable'!$AZ$23 &amp; CQ$9),"")</f>
        <v>0</v>
      </c>
      <c r="CR42" s="702" t="str">
        <f t="shared" ca="1" si="25"/>
        <v>000000000000000000000000000000</v>
      </c>
    </row>
    <row r="43" spans="1:96" ht="60" customHeight="1" x14ac:dyDescent="0.25">
      <c r="A43" s="705">
        <v>34</v>
      </c>
      <c r="B43" s="707" t="str">
        <f>'Ext Area Schedule'!AK49</f>
        <v/>
      </c>
      <c r="C43" s="707" t="str">
        <f>VLOOKUP($B43,'Ext Area Schedule'!$AK$16:$AO$65,3,FALSE)</f>
        <v/>
      </c>
      <c r="D43" s="792" t="str">
        <f>VLOOKUP($B43,'Ext Area Schedule'!$AK$16:$AO$65,4,FALSE)</f>
        <v/>
      </c>
      <c r="F43" s="792" t="str">
        <f>VLOOKUP($B43,'Ext Area Schedule'!$AK$16:$AO$65,5,FALSE)</f>
        <v/>
      </c>
      <c r="G43" s="792" t="str">
        <f>VLOOKUP($B43,'Ext Area Schedule'!$AK$16:$AO$65,5,FALSE)</f>
        <v/>
      </c>
      <c r="I43" s="703" t="str">
        <f t="shared" si="1"/>
        <v/>
      </c>
      <c r="K43" s="703" t="str">
        <f>IF($B43="","",SUMIFS('Ext Nontradable'!$M$26:$M$45,'Ext Nontradable'!$B$26:$B$45,$B43,'Ext Nontradable'!$U$26:$U$45,"New"))</f>
        <v/>
      </c>
      <c r="L43" s="703" t="str">
        <f>IF($B43="","",SUMIFS('Ext Nontradable'!$M$26:$M$45,'Ext Nontradable'!$B$26:$B$45,$B43,'Ext Nontradable'!$U$26:$U$45,""))</f>
        <v/>
      </c>
      <c r="M43" s="703" t="str">
        <f>IF($B43="","",SUMIFS('Ext Nontradable'!$K$26:$K$45,'Ext Nontradable'!$B$26:$B$45,$B43,'Ext Nontradable'!$U$26:$U$45,"New")+SUMIFS('Ext Nontradable'!$K$26:$K$45,'Ext Nontradable'!$B$26:$B$45,$B43,'Ext Nontradable'!$U$26:$U$45,""))</f>
        <v/>
      </c>
      <c r="N43" s="703" t="str">
        <f>IF($B43="","",SUMIFS('Ext Nontradable'!$M$26:$M$45,'Ext Nontradable'!$B$26:$B$45,$B43,'Ext Nontradable'!$U$26:$U$45,"Existing Remains"))</f>
        <v/>
      </c>
      <c r="O43" s="703" t="str">
        <f>IF($B43="","",SUMIFS('Ext Nontradable'!$M$26:$M$45,'Ext Nontradable'!$B$26:$B$45,$B43,'Ext Nontradable'!$U$26:$U$45,"Existing Removed"))</f>
        <v/>
      </c>
      <c r="P43" s="703" t="str">
        <f>IF($B43="","",SUMIFS('Ext Nontradable'!$K$26:$K$45,'Ext Nontradable'!$B$26:$B$45,$B43,'Ext Nontradable'!$U$26:$U$45,"Existing Removed"))</f>
        <v/>
      </c>
      <c r="Q43" s="703" t="str">
        <f t="shared" si="2"/>
        <v/>
      </c>
      <c r="R43" s="703" t="str">
        <f t="shared" si="7"/>
        <v/>
      </c>
      <c r="S43" s="703">
        <f t="shared" si="8"/>
        <v>0</v>
      </c>
      <c r="T43" s="954">
        <f t="shared" si="20"/>
        <v>0</v>
      </c>
      <c r="U43" s="954">
        <f t="shared" si="21"/>
        <v>0</v>
      </c>
      <c r="V43" s="1115" t="str">
        <f t="shared" si="22"/>
        <v/>
      </c>
      <c r="W43" s="712" t="str">
        <f t="shared" si="23"/>
        <v/>
      </c>
      <c r="X43" s="857"/>
      <c r="Y43" s="720" t="str">
        <f t="shared" si="24"/>
        <v/>
      </c>
      <c r="Z43" s="721" t="str">
        <f t="shared" si="9"/>
        <v/>
      </c>
      <c r="AA43" s="721" t="str">
        <f t="shared" si="10"/>
        <v/>
      </c>
      <c r="AB43" s="719" t="str">
        <f t="shared" si="4"/>
        <v/>
      </c>
      <c r="AC43" s="857"/>
      <c r="AD43" s="717" t="str">
        <f t="shared" si="11"/>
        <v/>
      </c>
      <c r="AE43" s="718" t="str">
        <f t="shared" si="12"/>
        <v/>
      </c>
      <c r="AF43" s="719" t="str">
        <f t="shared" si="5"/>
        <v/>
      </c>
      <c r="AG43" s="726"/>
      <c r="AH43" s="727" t="str">
        <f t="shared" si="13"/>
        <v/>
      </c>
      <c r="AI43" s="703" t="str">
        <f t="shared" si="14"/>
        <v/>
      </c>
      <c r="AJ43" s="703" t="str">
        <f t="shared" si="15"/>
        <v/>
      </c>
      <c r="AL43" s="1075" t="str">
        <f t="shared" si="16"/>
        <v/>
      </c>
      <c r="AM43" s="855" t="str">
        <f t="shared" si="18"/>
        <v/>
      </c>
      <c r="AN43" s="707" t="str">
        <f>IF(OR(AL43="Fail",AL43="Fail LPA",AL43=""),"",IF(AM43&lt;&gt;"#1",VLOOKUP(C43,'9.4.3 Tables'!B$156:O$164,14,FALSE),"No NEW controls required"))</f>
        <v/>
      </c>
      <c r="AO43" s="703">
        <f t="shared" si="19"/>
        <v>0</v>
      </c>
      <c r="AR43">
        <v>34</v>
      </c>
      <c r="AS43" s="15" t="str">
        <f t="shared" si="17"/>
        <v/>
      </c>
      <c r="AT43" s="700" t="str">
        <f ca="1">IF(INDIRECT("'Ext Nontradable'!$B" &amp; AT$9)=$B43,INDIRECT("'Ext Nontradable'!$" &amp; 'Ext Nontradable'!$AZ$23 &amp; AT$9),"")</f>
        <v/>
      </c>
      <c r="AU43" s="700" t="str">
        <f ca="1">IF(INDIRECT("'Ext Nontradable'!$B" &amp; AU$9)=$B43,INDIRECT("'Ext Nontradable'!$" &amp; 'Ext Nontradable'!$AZ$23 &amp; AU$9),"")</f>
        <v/>
      </c>
      <c r="AV43" s="700" t="str">
        <f ca="1">IF(INDIRECT("'Ext Nontradable'!$B" &amp; AV$9)=$B43,INDIRECT("'Ext Nontradable'!$" &amp; 'Ext Nontradable'!$AZ$23 &amp; AV$9),"")</f>
        <v/>
      </c>
      <c r="AW43" s="700" t="str">
        <f ca="1">IF(INDIRECT("'Ext Nontradable'!$B" &amp; AW$9)=$B43,INDIRECT("'Ext Nontradable'!$" &amp; 'Ext Nontradable'!$AZ$23 &amp; AW$9),"")</f>
        <v/>
      </c>
      <c r="AX43" s="700" t="str">
        <f ca="1">IF(INDIRECT("'Ext Nontradable'!$B" &amp; AX$9)=$B43,INDIRECT("'Ext Nontradable'!$" &amp; 'Ext Nontradable'!$AZ$23 &amp; AX$9),"")</f>
        <v/>
      </c>
      <c r="AY43" s="700" t="str">
        <f ca="1">IF(INDIRECT("'Ext Nontradable'!$B" &amp; AY$9)=$B43,INDIRECT("'Ext Nontradable'!$" &amp; 'Ext Nontradable'!$AZ$23 &amp; AY$9),"")</f>
        <v/>
      </c>
      <c r="AZ43" s="700" t="str">
        <f ca="1">IF(INDIRECT("'Ext Nontradable'!$B" &amp; AZ$9)=$B43,INDIRECT("'Ext Nontradable'!$" &amp; 'Ext Nontradable'!$AZ$23 &amp; AZ$9),"")</f>
        <v/>
      </c>
      <c r="BA43" s="700" t="str">
        <f ca="1">IF(INDIRECT("'Ext Nontradable'!$B" &amp; BA$9)=$B43,INDIRECT("'Ext Nontradable'!$" &amp; 'Ext Nontradable'!$AZ$23 &amp; BA$9),"")</f>
        <v/>
      </c>
      <c r="BB43" s="700" t="str">
        <f ca="1">IF(INDIRECT("'Ext Nontradable'!$B" &amp; BB$9)=$B43,INDIRECT("'Ext Nontradable'!$" &amp; 'Ext Nontradable'!$AZ$23 &amp; BB$9),"")</f>
        <v/>
      </c>
      <c r="BC43" s="700" t="str">
        <f ca="1">IF(INDIRECT("'Ext Nontradable'!$B" &amp; BC$9)=$B43,INDIRECT("'Ext Nontradable'!$" &amp; 'Ext Nontradable'!$AZ$23 &amp; BC$9),"")</f>
        <v/>
      </c>
      <c r="BD43" s="700" t="str">
        <f ca="1">IF(INDIRECT("'Ext Nontradable'!$B" &amp; BD$9)=$B43,INDIRECT("'Ext Nontradable'!$" &amp; 'Ext Nontradable'!$AZ$23 &amp; BD$9),"")</f>
        <v/>
      </c>
      <c r="BE43" s="700" t="str">
        <f ca="1">IF(INDIRECT("'Ext Nontradable'!$B" &amp; BE$9)=$B43,INDIRECT("'Ext Nontradable'!$" &amp; 'Ext Nontradable'!$AZ$23 &amp; BE$9),"")</f>
        <v/>
      </c>
      <c r="BF43" s="700" t="str">
        <f ca="1">IF(INDIRECT("'Ext Nontradable'!$B" &amp; BF$9)=$B43,INDIRECT("'Ext Nontradable'!$" &amp; 'Ext Nontradable'!$AZ$23 &amp; BF$9),"")</f>
        <v/>
      </c>
      <c r="BG43" s="700" t="str">
        <f ca="1">IF(INDIRECT("'Ext Nontradable'!$B" &amp; BG$9)=$B43,INDIRECT("'Ext Nontradable'!$" &amp; 'Ext Nontradable'!$AZ$23 &amp; BG$9),"")</f>
        <v/>
      </c>
      <c r="BH43" s="700" t="str">
        <f ca="1">IF(INDIRECT("'Ext Nontradable'!$B" &amp; BH$9)=$B43,INDIRECT("'Ext Nontradable'!$" &amp; 'Ext Nontradable'!$AZ$23 &amp; BH$9),"")</f>
        <v/>
      </c>
      <c r="BI43" s="700" t="str">
        <f ca="1">IF(INDIRECT("'Ext Nontradable'!$B" &amp; BI$9)=$B43,INDIRECT("'Ext Nontradable'!$" &amp; 'Ext Nontradable'!$AZ$23 &amp; BI$9),"")</f>
        <v/>
      </c>
      <c r="BJ43" s="700" t="str">
        <f ca="1">IF(INDIRECT("'Ext Nontradable'!$B" &amp; BJ$9)=$B43,INDIRECT("'Ext Nontradable'!$" &amp; 'Ext Nontradable'!$AZ$23 &amp; BJ$9),"")</f>
        <v/>
      </c>
      <c r="BK43" s="700" t="str">
        <f ca="1">IF(INDIRECT("'Ext Nontradable'!$B" &amp; BK$9)=$B43,INDIRECT("'Ext Nontradable'!$" &amp; 'Ext Nontradable'!$AZ$23 &amp; BK$9),"")</f>
        <v/>
      </c>
      <c r="BL43" s="700" t="str">
        <f ca="1">IF(INDIRECT("'Ext Nontradable'!$B" &amp; BL$9)=$B43,INDIRECT("'Ext Nontradable'!$" &amp; 'Ext Nontradable'!$AZ$23 &amp; BL$9),"")</f>
        <v/>
      </c>
      <c r="BM43" s="700" t="str">
        <f ca="1">IF(INDIRECT("'Ext Nontradable'!$B" &amp; BM$9)=$B43,INDIRECT("'Ext Nontradable'!$" &amp; 'Ext Nontradable'!$AZ$23 &amp; BM$9),"")</f>
        <v/>
      </c>
      <c r="BN43" s="700">
        <f ca="1">IF(INDIRECT("'Ext Nontradable'!$B" &amp; BN$9)=$B43,INDIRECT("'Ext Nontradable'!$" &amp; 'Ext Nontradable'!$AZ$23 &amp; BN$9),"")</f>
        <v>0</v>
      </c>
      <c r="BO43" s="700">
        <f ca="1">IF(INDIRECT("'Ext Nontradable'!$B" &amp; BO$9)=$B43,INDIRECT("'Ext Nontradable'!$" &amp; 'Ext Nontradable'!$AZ$23 &amp; BO$9),"")</f>
        <v>0</v>
      </c>
      <c r="BP43" s="700">
        <f ca="1">IF(INDIRECT("'Ext Nontradable'!$B" &amp; BP$9)=$B43,INDIRECT("'Ext Nontradable'!$" &amp; 'Ext Nontradable'!$AZ$23 &amp; BP$9),"")</f>
        <v>0</v>
      </c>
      <c r="BQ43" s="700">
        <f ca="1">IF(INDIRECT("'Ext Nontradable'!$B" &amp; BQ$9)=$B43,INDIRECT("'Ext Nontradable'!$" &amp; 'Ext Nontradable'!$AZ$23 &amp; BQ$9),"")</f>
        <v>0</v>
      </c>
      <c r="BR43" s="700">
        <f ca="1">IF(INDIRECT("'Ext Nontradable'!$B" &amp; BR$9)=$B43,INDIRECT("'Ext Nontradable'!$" &amp; 'Ext Nontradable'!$AZ$23 &amp; BR$9),"")</f>
        <v>0</v>
      </c>
      <c r="BS43" s="700">
        <f ca="1">IF(INDIRECT("'Ext Nontradable'!$B" &amp; BS$9)=$B43,INDIRECT("'Ext Nontradable'!$" &amp; 'Ext Nontradable'!$AZ$23 &amp; BS$9),"")</f>
        <v>0</v>
      </c>
      <c r="BT43" s="700">
        <f ca="1">IF(INDIRECT("'Ext Nontradable'!$B" &amp; BT$9)=$B43,INDIRECT("'Ext Nontradable'!$" &amp; 'Ext Nontradable'!$AZ$23 &amp; BT$9),"")</f>
        <v>0</v>
      </c>
      <c r="BU43" s="700">
        <f ca="1">IF(INDIRECT("'Ext Nontradable'!$B" &amp; BU$9)=$B43,INDIRECT("'Ext Nontradable'!$" &amp; 'Ext Nontradable'!$AZ$23 &amp; BU$9),"")</f>
        <v>0</v>
      </c>
      <c r="BV43" s="700">
        <f ca="1">IF(INDIRECT("'Ext Nontradable'!$B" &amp; BV$9)=$B43,INDIRECT("'Ext Nontradable'!$" &amp; 'Ext Nontradable'!$AZ$23 &amp; BV$9),"")</f>
        <v>0</v>
      </c>
      <c r="BW43" s="700">
        <f ca="1">IF(INDIRECT("'Ext Nontradable'!$B" &amp; BW$9)=$B43,INDIRECT("'Ext Nontradable'!$" &amp; 'Ext Nontradable'!$AZ$23 &amp; BW$9),"")</f>
        <v>0</v>
      </c>
      <c r="BX43" s="700">
        <f ca="1">IF(INDIRECT("'Ext Nontradable'!$B" &amp; BX$9)=$B43,INDIRECT("'Ext Nontradable'!$" &amp; 'Ext Nontradable'!$AZ$23 &amp; BX$9),"")</f>
        <v>0</v>
      </c>
      <c r="BY43" s="700">
        <f ca="1">IF(INDIRECT("'Ext Nontradable'!$B" &amp; BY$9)=$B43,INDIRECT("'Ext Nontradable'!$" &amp; 'Ext Nontradable'!$AZ$23 &amp; BY$9),"")</f>
        <v>0</v>
      </c>
      <c r="BZ43" s="700">
        <f ca="1">IF(INDIRECT("'Ext Nontradable'!$B" &amp; BZ$9)=$B43,INDIRECT("'Ext Nontradable'!$" &amp; 'Ext Nontradable'!$AZ$23 &amp; BZ$9),"")</f>
        <v>0</v>
      </c>
      <c r="CA43" s="700">
        <f ca="1">IF(INDIRECT("'Ext Nontradable'!$B" &amp; CA$9)=$B43,INDIRECT("'Ext Nontradable'!$" &amp; 'Ext Nontradable'!$AZ$23 &amp; CA$9),"")</f>
        <v>0</v>
      </c>
      <c r="CB43" s="700">
        <f ca="1">IF(INDIRECT("'Ext Nontradable'!$B" &amp; CB$9)=$B43,INDIRECT("'Ext Nontradable'!$" &amp; 'Ext Nontradable'!$AZ$23 &amp; CB$9),"")</f>
        <v>0</v>
      </c>
      <c r="CC43" s="700">
        <f ca="1">IF(INDIRECT("'Ext Nontradable'!$B" &amp; CC$9)=$B43,INDIRECT("'Ext Nontradable'!$" &amp; 'Ext Nontradable'!$AZ$23 &amp; CC$9),"")</f>
        <v>0</v>
      </c>
      <c r="CD43" s="700">
        <f ca="1">IF(INDIRECT("'Ext Nontradable'!$B" &amp; CD$9)=$B43,INDIRECT("'Ext Nontradable'!$" &amp; 'Ext Nontradable'!$AZ$23 &amp; CD$9),"")</f>
        <v>0</v>
      </c>
      <c r="CE43" s="700">
        <f ca="1">IF(INDIRECT("'Ext Nontradable'!$B" &amp; CE$9)=$B43,INDIRECT("'Ext Nontradable'!$" &amp; 'Ext Nontradable'!$AZ$23 &amp; CE$9),"")</f>
        <v>0</v>
      </c>
      <c r="CF43" s="700">
        <f ca="1">IF(INDIRECT("'Ext Nontradable'!$B" &amp; CF$9)=$B43,INDIRECT("'Ext Nontradable'!$" &amp; 'Ext Nontradable'!$AZ$23 &amp; CF$9),"")</f>
        <v>0</v>
      </c>
      <c r="CG43" s="700">
        <f ca="1">IF(INDIRECT("'Ext Nontradable'!$B" &amp; CG$9)=$B43,INDIRECT("'Ext Nontradable'!$" &amp; 'Ext Nontradable'!$AZ$23 &amp; CG$9),"")</f>
        <v>0</v>
      </c>
      <c r="CH43" s="700">
        <f ca="1">IF(INDIRECT("'Ext Nontradable'!$B" &amp; CH$9)=$B43,INDIRECT("'Ext Nontradable'!$" &amp; 'Ext Nontradable'!$AZ$23 &amp; CH$9),"")</f>
        <v>0</v>
      </c>
      <c r="CI43" s="700">
        <f ca="1">IF(INDIRECT("'Ext Nontradable'!$B" &amp; CI$9)=$B43,INDIRECT("'Ext Nontradable'!$" &amp; 'Ext Nontradable'!$AZ$23 &amp; CI$9),"")</f>
        <v>0</v>
      </c>
      <c r="CJ43" s="700">
        <f ca="1">IF(INDIRECT("'Ext Nontradable'!$B" &amp; CJ$9)=$B43,INDIRECT("'Ext Nontradable'!$" &amp; 'Ext Nontradable'!$AZ$23 &amp; CJ$9),"")</f>
        <v>0</v>
      </c>
      <c r="CK43" s="700">
        <f ca="1">IF(INDIRECT("'Ext Nontradable'!$B" &amp; CK$9)=$B43,INDIRECT("'Ext Nontradable'!$" &amp; 'Ext Nontradable'!$AZ$23 &amp; CK$9),"")</f>
        <v>0</v>
      </c>
      <c r="CL43" s="700">
        <f ca="1">IF(INDIRECT("'Ext Nontradable'!$B" &amp; CL$9)=$B43,INDIRECT("'Ext Nontradable'!$" &amp; 'Ext Nontradable'!$AZ$23 &amp; CL$9),"")</f>
        <v>0</v>
      </c>
      <c r="CM43" s="700">
        <f ca="1">IF(INDIRECT("'Ext Nontradable'!$B" &amp; CM$9)=$B43,INDIRECT("'Ext Nontradable'!$" &amp; 'Ext Nontradable'!$AZ$23 &amp; CM$9),"")</f>
        <v>0</v>
      </c>
      <c r="CN43" s="700">
        <f ca="1">IF(INDIRECT("'Ext Nontradable'!$B" &amp; CN$9)=$B43,INDIRECT("'Ext Nontradable'!$" &amp; 'Ext Nontradable'!$AZ$23 &amp; CN$9),"")</f>
        <v>0</v>
      </c>
      <c r="CO43" s="700">
        <f ca="1">IF(INDIRECT("'Ext Nontradable'!$B" &amp; CO$9)=$B43,INDIRECT("'Ext Nontradable'!$" &amp; 'Ext Nontradable'!$AZ$23 &amp; CO$9),"")</f>
        <v>0</v>
      </c>
      <c r="CP43" s="700">
        <f ca="1">IF(INDIRECT("'Ext Nontradable'!$B" &amp; CP$9)=$B43,INDIRECT("'Ext Nontradable'!$" &amp; 'Ext Nontradable'!$AZ$23 &amp; CP$9),"")</f>
        <v>0</v>
      </c>
      <c r="CQ43" s="700">
        <f ca="1">IF(INDIRECT("'Ext Nontradable'!$B" &amp; CQ$9)=$B43,INDIRECT("'Ext Nontradable'!$" &amp; 'Ext Nontradable'!$AZ$23 &amp; CQ$9),"")</f>
        <v>0</v>
      </c>
      <c r="CR43" s="702" t="str">
        <f t="shared" ca="1" si="25"/>
        <v>000000000000000000000000000000</v>
      </c>
    </row>
    <row r="44" spans="1:96" ht="60" customHeight="1" x14ac:dyDescent="0.25">
      <c r="A44" s="705">
        <v>35</v>
      </c>
      <c r="B44" s="707" t="str">
        <f>'Ext Area Schedule'!AK50</f>
        <v/>
      </c>
      <c r="C44" s="707" t="str">
        <f>VLOOKUP($B44,'Ext Area Schedule'!$AK$16:$AO$65,3,FALSE)</f>
        <v/>
      </c>
      <c r="D44" s="792" t="str">
        <f>VLOOKUP($B44,'Ext Area Schedule'!$AK$16:$AO$65,4,FALSE)</f>
        <v/>
      </c>
      <c r="F44" s="792" t="str">
        <f>VLOOKUP($B44,'Ext Area Schedule'!$AK$16:$AO$65,5,FALSE)</f>
        <v/>
      </c>
      <c r="G44" s="792" t="str">
        <f>VLOOKUP($B44,'Ext Area Schedule'!$AK$16:$AO$65,5,FALSE)</f>
        <v/>
      </c>
      <c r="I44" s="703" t="str">
        <f t="shared" si="1"/>
        <v/>
      </c>
      <c r="K44" s="703" t="str">
        <f>IF($B44="","",SUMIFS('Ext Nontradable'!$M$26:$M$45,'Ext Nontradable'!$B$26:$B$45,$B44,'Ext Nontradable'!$U$26:$U$45,"New"))</f>
        <v/>
      </c>
      <c r="L44" s="703" t="str">
        <f>IF($B44="","",SUMIFS('Ext Nontradable'!$M$26:$M$45,'Ext Nontradable'!$B$26:$B$45,$B44,'Ext Nontradable'!$U$26:$U$45,""))</f>
        <v/>
      </c>
      <c r="M44" s="703" t="str">
        <f>IF($B44="","",SUMIFS('Ext Nontradable'!$K$26:$K$45,'Ext Nontradable'!$B$26:$B$45,$B44,'Ext Nontradable'!$U$26:$U$45,"New")+SUMIFS('Ext Nontradable'!$K$26:$K$45,'Ext Nontradable'!$B$26:$B$45,$B44,'Ext Nontradable'!$U$26:$U$45,""))</f>
        <v/>
      </c>
      <c r="N44" s="703" t="str">
        <f>IF($B44="","",SUMIFS('Ext Nontradable'!$M$26:$M$45,'Ext Nontradable'!$B$26:$B$45,$B44,'Ext Nontradable'!$U$26:$U$45,"Existing Remains"))</f>
        <v/>
      </c>
      <c r="O44" s="703" t="str">
        <f>IF($B44="","",SUMIFS('Ext Nontradable'!$M$26:$M$45,'Ext Nontradable'!$B$26:$B$45,$B44,'Ext Nontradable'!$U$26:$U$45,"Existing Removed"))</f>
        <v/>
      </c>
      <c r="P44" s="703" t="str">
        <f>IF($B44="","",SUMIFS('Ext Nontradable'!$K$26:$K$45,'Ext Nontradable'!$B$26:$B$45,$B44,'Ext Nontradable'!$U$26:$U$45,"Existing Removed"))</f>
        <v/>
      </c>
      <c r="Q44" s="703" t="str">
        <f t="shared" si="2"/>
        <v/>
      </c>
      <c r="R44" s="703" t="str">
        <f t="shared" si="7"/>
        <v/>
      </c>
      <c r="S44" s="703">
        <f t="shared" si="8"/>
        <v>0</v>
      </c>
      <c r="T44" s="954">
        <f t="shared" si="20"/>
        <v>0</v>
      </c>
      <c r="U44" s="954">
        <f t="shared" si="21"/>
        <v>0</v>
      </c>
      <c r="V44" s="1115" t="str">
        <f t="shared" si="22"/>
        <v/>
      </c>
      <c r="W44" s="712" t="str">
        <f t="shared" si="23"/>
        <v/>
      </c>
      <c r="X44" s="857"/>
      <c r="Y44" s="720" t="str">
        <f t="shared" si="24"/>
        <v/>
      </c>
      <c r="Z44" s="721" t="str">
        <f t="shared" si="9"/>
        <v/>
      </c>
      <c r="AA44" s="721" t="str">
        <f t="shared" si="10"/>
        <v/>
      </c>
      <c r="AB44" s="719" t="str">
        <f t="shared" si="4"/>
        <v/>
      </c>
      <c r="AC44" s="857"/>
      <c r="AD44" s="717" t="str">
        <f t="shared" si="11"/>
        <v/>
      </c>
      <c r="AE44" s="718" t="str">
        <f t="shared" si="12"/>
        <v/>
      </c>
      <c r="AF44" s="719" t="str">
        <f t="shared" si="5"/>
        <v/>
      </c>
      <c r="AG44" s="726"/>
      <c r="AH44" s="727" t="str">
        <f t="shared" si="13"/>
        <v/>
      </c>
      <c r="AI44" s="703" t="str">
        <f t="shared" si="14"/>
        <v/>
      </c>
      <c r="AJ44" s="703" t="str">
        <f t="shared" si="15"/>
        <v/>
      </c>
      <c r="AL44" s="1075" t="str">
        <f t="shared" si="16"/>
        <v/>
      </c>
      <c r="AM44" s="855" t="str">
        <f t="shared" si="18"/>
        <v/>
      </c>
      <c r="AN44" s="707" t="str">
        <f>IF(OR(AL44="Fail",AL44="Fail LPA",AL44=""),"",IF(AM44&lt;&gt;"#1",VLOOKUP(C44,'9.4.3 Tables'!B$156:O$164,14,FALSE),"No NEW controls required"))</f>
        <v/>
      </c>
      <c r="AO44" s="703">
        <f t="shared" si="19"/>
        <v>0</v>
      </c>
      <c r="AR44">
        <v>35</v>
      </c>
      <c r="AS44" s="15" t="str">
        <f t="shared" si="17"/>
        <v/>
      </c>
      <c r="AT44" s="700" t="str">
        <f ca="1">IF(INDIRECT("'Ext Nontradable'!$B" &amp; AT$9)=$B44,INDIRECT("'Ext Nontradable'!$" &amp; 'Ext Nontradable'!$AZ$23 &amp; AT$9),"")</f>
        <v/>
      </c>
      <c r="AU44" s="700" t="str">
        <f ca="1">IF(INDIRECT("'Ext Nontradable'!$B" &amp; AU$9)=$B44,INDIRECT("'Ext Nontradable'!$" &amp; 'Ext Nontradable'!$AZ$23 &amp; AU$9),"")</f>
        <v/>
      </c>
      <c r="AV44" s="700" t="str">
        <f ca="1">IF(INDIRECT("'Ext Nontradable'!$B" &amp; AV$9)=$B44,INDIRECT("'Ext Nontradable'!$" &amp; 'Ext Nontradable'!$AZ$23 &amp; AV$9),"")</f>
        <v/>
      </c>
      <c r="AW44" s="700" t="str">
        <f ca="1">IF(INDIRECT("'Ext Nontradable'!$B" &amp; AW$9)=$B44,INDIRECT("'Ext Nontradable'!$" &amp; 'Ext Nontradable'!$AZ$23 &amp; AW$9),"")</f>
        <v/>
      </c>
      <c r="AX44" s="700" t="str">
        <f ca="1">IF(INDIRECT("'Ext Nontradable'!$B" &amp; AX$9)=$B44,INDIRECT("'Ext Nontradable'!$" &amp; 'Ext Nontradable'!$AZ$23 &amp; AX$9),"")</f>
        <v/>
      </c>
      <c r="AY44" s="700" t="str">
        <f ca="1">IF(INDIRECT("'Ext Nontradable'!$B" &amp; AY$9)=$B44,INDIRECT("'Ext Nontradable'!$" &amp; 'Ext Nontradable'!$AZ$23 &amp; AY$9),"")</f>
        <v/>
      </c>
      <c r="AZ44" s="700" t="str">
        <f ca="1">IF(INDIRECT("'Ext Nontradable'!$B" &amp; AZ$9)=$B44,INDIRECT("'Ext Nontradable'!$" &amp; 'Ext Nontradable'!$AZ$23 &amp; AZ$9),"")</f>
        <v/>
      </c>
      <c r="BA44" s="700" t="str">
        <f ca="1">IF(INDIRECT("'Ext Nontradable'!$B" &amp; BA$9)=$B44,INDIRECT("'Ext Nontradable'!$" &amp; 'Ext Nontradable'!$AZ$23 &amp; BA$9),"")</f>
        <v/>
      </c>
      <c r="BB44" s="700" t="str">
        <f ca="1">IF(INDIRECT("'Ext Nontradable'!$B" &amp; BB$9)=$B44,INDIRECT("'Ext Nontradable'!$" &amp; 'Ext Nontradable'!$AZ$23 &amp; BB$9),"")</f>
        <v/>
      </c>
      <c r="BC44" s="700" t="str">
        <f ca="1">IF(INDIRECT("'Ext Nontradable'!$B" &amp; BC$9)=$B44,INDIRECT("'Ext Nontradable'!$" &amp; 'Ext Nontradable'!$AZ$23 &amp; BC$9),"")</f>
        <v/>
      </c>
      <c r="BD44" s="700" t="str">
        <f ca="1">IF(INDIRECT("'Ext Nontradable'!$B" &amp; BD$9)=$B44,INDIRECT("'Ext Nontradable'!$" &amp; 'Ext Nontradable'!$AZ$23 &amp; BD$9),"")</f>
        <v/>
      </c>
      <c r="BE44" s="700" t="str">
        <f ca="1">IF(INDIRECT("'Ext Nontradable'!$B" &amp; BE$9)=$B44,INDIRECT("'Ext Nontradable'!$" &amp; 'Ext Nontradable'!$AZ$23 &amp; BE$9),"")</f>
        <v/>
      </c>
      <c r="BF44" s="700" t="str">
        <f ca="1">IF(INDIRECT("'Ext Nontradable'!$B" &amp; BF$9)=$B44,INDIRECT("'Ext Nontradable'!$" &amp; 'Ext Nontradable'!$AZ$23 &amp; BF$9),"")</f>
        <v/>
      </c>
      <c r="BG44" s="700" t="str">
        <f ca="1">IF(INDIRECT("'Ext Nontradable'!$B" &amp; BG$9)=$B44,INDIRECT("'Ext Nontradable'!$" &amp; 'Ext Nontradable'!$AZ$23 &amp; BG$9),"")</f>
        <v/>
      </c>
      <c r="BH44" s="700" t="str">
        <f ca="1">IF(INDIRECT("'Ext Nontradable'!$B" &amp; BH$9)=$B44,INDIRECT("'Ext Nontradable'!$" &amp; 'Ext Nontradable'!$AZ$23 &amp; BH$9),"")</f>
        <v/>
      </c>
      <c r="BI44" s="700" t="str">
        <f ca="1">IF(INDIRECT("'Ext Nontradable'!$B" &amp; BI$9)=$B44,INDIRECT("'Ext Nontradable'!$" &amp; 'Ext Nontradable'!$AZ$23 &amp; BI$9),"")</f>
        <v/>
      </c>
      <c r="BJ44" s="700" t="str">
        <f ca="1">IF(INDIRECT("'Ext Nontradable'!$B" &amp; BJ$9)=$B44,INDIRECT("'Ext Nontradable'!$" &amp; 'Ext Nontradable'!$AZ$23 &amp; BJ$9),"")</f>
        <v/>
      </c>
      <c r="BK44" s="700" t="str">
        <f ca="1">IF(INDIRECT("'Ext Nontradable'!$B" &amp; BK$9)=$B44,INDIRECT("'Ext Nontradable'!$" &amp; 'Ext Nontradable'!$AZ$23 &amp; BK$9),"")</f>
        <v/>
      </c>
      <c r="BL44" s="700" t="str">
        <f ca="1">IF(INDIRECT("'Ext Nontradable'!$B" &amp; BL$9)=$B44,INDIRECT("'Ext Nontradable'!$" &amp; 'Ext Nontradable'!$AZ$23 &amp; BL$9),"")</f>
        <v/>
      </c>
      <c r="BM44" s="700" t="str">
        <f ca="1">IF(INDIRECT("'Ext Nontradable'!$B" &amp; BM$9)=$B44,INDIRECT("'Ext Nontradable'!$" &amp; 'Ext Nontradable'!$AZ$23 &amp; BM$9),"")</f>
        <v/>
      </c>
      <c r="BN44" s="700">
        <f ca="1">IF(INDIRECT("'Ext Nontradable'!$B" &amp; BN$9)=$B44,INDIRECT("'Ext Nontradable'!$" &amp; 'Ext Nontradable'!$AZ$23 &amp; BN$9),"")</f>
        <v>0</v>
      </c>
      <c r="BO44" s="700">
        <f ca="1">IF(INDIRECT("'Ext Nontradable'!$B" &amp; BO$9)=$B44,INDIRECT("'Ext Nontradable'!$" &amp; 'Ext Nontradable'!$AZ$23 &amp; BO$9),"")</f>
        <v>0</v>
      </c>
      <c r="BP44" s="700">
        <f ca="1">IF(INDIRECT("'Ext Nontradable'!$B" &amp; BP$9)=$B44,INDIRECT("'Ext Nontradable'!$" &amp; 'Ext Nontradable'!$AZ$23 &amp; BP$9),"")</f>
        <v>0</v>
      </c>
      <c r="BQ44" s="700">
        <f ca="1">IF(INDIRECT("'Ext Nontradable'!$B" &amp; BQ$9)=$B44,INDIRECT("'Ext Nontradable'!$" &amp; 'Ext Nontradable'!$AZ$23 &amp; BQ$9),"")</f>
        <v>0</v>
      </c>
      <c r="BR44" s="700">
        <f ca="1">IF(INDIRECT("'Ext Nontradable'!$B" &amp; BR$9)=$B44,INDIRECT("'Ext Nontradable'!$" &amp; 'Ext Nontradable'!$AZ$23 &amp; BR$9),"")</f>
        <v>0</v>
      </c>
      <c r="BS44" s="700">
        <f ca="1">IF(INDIRECT("'Ext Nontradable'!$B" &amp; BS$9)=$B44,INDIRECT("'Ext Nontradable'!$" &amp; 'Ext Nontradable'!$AZ$23 &amp; BS$9),"")</f>
        <v>0</v>
      </c>
      <c r="BT44" s="700">
        <f ca="1">IF(INDIRECT("'Ext Nontradable'!$B" &amp; BT$9)=$B44,INDIRECT("'Ext Nontradable'!$" &amp; 'Ext Nontradable'!$AZ$23 &amp; BT$9),"")</f>
        <v>0</v>
      </c>
      <c r="BU44" s="700">
        <f ca="1">IF(INDIRECT("'Ext Nontradable'!$B" &amp; BU$9)=$B44,INDIRECT("'Ext Nontradable'!$" &amp; 'Ext Nontradable'!$AZ$23 &amp; BU$9),"")</f>
        <v>0</v>
      </c>
      <c r="BV44" s="700">
        <f ca="1">IF(INDIRECT("'Ext Nontradable'!$B" &amp; BV$9)=$B44,INDIRECT("'Ext Nontradable'!$" &amp; 'Ext Nontradable'!$AZ$23 &amp; BV$9),"")</f>
        <v>0</v>
      </c>
      <c r="BW44" s="700">
        <f ca="1">IF(INDIRECT("'Ext Nontradable'!$B" &amp; BW$9)=$B44,INDIRECT("'Ext Nontradable'!$" &amp; 'Ext Nontradable'!$AZ$23 &amp; BW$9),"")</f>
        <v>0</v>
      </c>
      <c r="BX44" s="700">
        <f ca="1">IF(INDIRECT("'Ext Nontradable'!$B" &amp; BX$9)=$B44,INDIRECT("'Ext Nontradable'!$" &amp; 'Ext Nontradable'!$AZ$23 &amp; BX$9),"")</f>
        <v>0</v>
      </c>
      <c r="BY44" s="700">
        <f ca="1">IF(INDIRECT("'Ext Nontradable'!$B" &amp; BY$9)=$B44,INDIRECT("'Ext Nontradable'!$" &amp; 'Ext Nontradable'!$AZ$23 &amp; BY$9),"")</f>
        <v>0</v>
      </c>
      <c r="BZ44" s="700">
        <f ca="1">IF(INDIRECT("'Ext Nontradable'!$B" &amp; BZ$9)=$B44,INDIRECT("'Ext Nontradable'!$" &amp; 'Ext Nontradable'!$AZ$23 &amp; BZ$9),"")</f>
        <v>0</v>
      </c>
      <c r="CA44" s="700">
        <f ca="1">IF(INDIRECT("'Ext Nontradable'!$B" &amp; CA$9)=$B44,INDIRECT("'Ext Nontradable'!$" &amp; 'Ext Nontradable'!$AZ$23 &amp; CA$9),"")</f>
        <v>0</v>
      </c>
      <c r="CB44" s="700">
        <f ca="1">IF(INDIRECT("'Ext Nontradable'!$B" &amp; CB$9)=$B44,INDIRECT("'Ext Nontradable'!$" &amp; 'Ext Nontradable'!$AZ$23 &amp; CB$9),"")</f>
        <v>0</v>
      </c>
      <c r="CC44" s="700">
        <f ca="1">IF(INDIRECT("'Ext Nontradable'!$B" &amp; CC$9)=$B44,INDIRECT("'Ext Nontradable'!$" &amp; 'Ext Nontradable'!$AZ$23 &amp; CC$9),"")</f>
        <v>0</v>
      </c>
      <c r="CD44" s="700">
        <f ca="1">IF(INDIRECT("'Ext Nontradable'!$B" &amp; CD$9)=$B44,INDIRECT("'Ext Nontradable'!$" &amp; 'Ext Nontradable'!$AZ$23 &amp; CD$9),"")</f>
        <v>0</v>
      </c>
      <c r="CE44" s="700">
        <f ca="1">IF(INDIRECT("'Ext Nontradable'!$B" &amp; CE$9)=$B44,INDIRECT("'Ext Nontradable'!$" &amp; 'Ext Nontradable'!$AZ$23 &amp; CE$9),"")</f>
        <v>0</v>
      </c>
      <c r="CF44" s="700">
        <f ca="1">IF(INDIRECT("'Ext Nontradable'!$B" &amp; CF$9)=$B44,INDIRECT("'Ext Nontradable'!$" &amp; 'Ext Nontradable'!$AZ$23 &amp; CF$9),"")</f>
        <v>0</v>
      </c>
      <c r="CG44" s="700">
        <f ca="1">IF(INDIRECT("'Ext Nontradable'!$B" &amp; CG$9)=$B44,INDIRECT("'Ext Nontradable'!$" &amp; 'Ext Nontradable'!$AZ$23 &amp; CG$9),"")</f>
        <v>0</v>
      </c>
      <c r="CH44" s="700">
        <f ca="1">IF(INDIRECT("'Ext Nontradable'!$B" &amp; CH$9)=$B44,INDIRECT("'Ext Nontradable'!$" &amp; 'Ext Nontradable'!$AZ$23 &amp; CH$9),"")</f>
        <v>0</v>
      </c>
      <c r="CI44" s="700">
        <f ca="1">IF(INDIRECT("'Ext Nontradable'!$B" &amp; CI$9)=$B44,INDIRECT("'Ext Nontradable'!$" &amp; 'Ext Nontradable'!$AZ$23 &amp; CI$9),"")</f>
        <v>0</v>
      </c>
      <c r="CJ44" s="700">
        <f ca="1">IF(INDIRECT("'Ext Nontradable'!$B" &amp; CJ$9)=$B44,INDIRECT("'Ext Nontradable'!$" &amp; 'Ext Nontradable'!$AZ$23 &amp; CJ$9),"")</f>
        <v>0</v>
      </c>
      <c r="CK44" s="700">
        <f ca="1">IF(INDIRECT("'Ext Nontradable'!$B" &amp; CK$9)=$B44,INDIRECT("'Ext Nontradable'!$" &amp; 'Ext Nontradable'!$AZ$23 &amp; CK$9),"")</f>
        <v>0</v>
      </c>
      <c r="CL44" s="700">
        <f ca="1">IF(INDIRECT("'Ext Nontradable'!$B" &amp; CL$9)=$B44,INDIRECT("'Ext Nontradable'!$" &amp; 'Ext Nontradable'!$AZ$23 &amp; CL$9),"")</f>
        <v>0</v>
      </c>
      <c r="CM44" s="700">
        <f ca="1">IF(INDIRECT("'Ext Nontradable'!$B" &amp; CM$9)=$B44,INDIRECT("'Ext Nontradable'!$" &amp; 'Ext Nontradable'!$AZ$23 &amp; CM$9),"")</f>
        <v>0</v>
      </c>
      <c r="CN44" s="700">
        <f ca="1">IF(INDIRECT("'Ext Nontradable'!$B" &amp; CN$9)=$B44,INDIRECT("'Ext Nontradable'!$" &amp; 'Ext Nontradable'!$AZ$23 &amp; CN$9),"")</f>
        <v>0</v>
      </c>
      <c r="CO44" s="700">
        <f ca="1">IF(INDIRECT("'Ext Nontradable'!$B" &amp; CO$9)=$B44,INDIRECT("'Ext Nontradable'!$" &amp; 'Ext Nontradable'!$AZ$23 &amp; CO$9),"")</f>
        <v>0</v>
      </c>
      <c r="CP44" s="700">
        <f ca="1">IF(INDIRECT("'Ext Nontradable'!$B" &amp; CP$9)=$B44,INDIRECT("'Ext Nontradable'!$" &amp; 'Ext Nontradable'!$AZ$23 &amp; CP$9),"")</f>
        <v>0</v>
      </c>
      <c r="CQ44" s="700">
        <f ca="1">IF(INDIRECT("'Ext Nontradable'!$B" &amp; CQ$9)=$B44,INDIRECT("'Ext Nontradable'!$" &amp; 'Ext Nontradable'!$AZ$23 &amp; CQ$9),"")</f>
        <v>0</v>
      </c>
      <c r="CR44" s="702" t="str">
        <f t="shared" ca="1" si="25"/>
        <v>000000000000000000000000000000</v>
      </c>
    </row>
    <row r="45" spans="1:96" ht="60" customHeight="1" x14ac:dyDescent="0.25">
      <c r="A45" s="705">
        <v>36</v>
      </c>
      <c r="B45" s="707" t="str">
        <f>'Ext Area Schedule'!AK51</f>
        <v/>
      </c>
      <c r="C45" s="707" t="str">
        <f>VLOOKUP($B45,'Ext Area Schedule'!$AK$16:$AO$65,3,FALSE)</f>
        <v/>
      </c>
      <c r="D45" s="792" t="str">
        <f>VLOOKUP($B45,'Ext Area Schedule'!$AK$16:$AO$65,4,FALSE)</f>
        <v/>
      </c>
      <c r="F45" s="792" t="str">
        <f>VLOOKUP($B45,'Ext Area Schedule'!$AK$16:$AO$65,5,FALSE)</f>
        <v/>
      </c>
      <c r="G45" s="792" t="str">
        <f>VLOOKUP($B45,'Ext Area Schedule'!$AK$16:$AO$65,5,FALSE)</f>
        <v/>
      </c>
      <c r="I45" s="703" t="str">
        <f t="shared" si="1"/>
        <v/>
      </c>
      <c r="K45" s="703" t="str">
        <f>IF($B45="","",SUMIFS('Ext Nontradable'!$M$26:$M$45,'Ext Nontradable'!$B$26:$B$45,$B45,'Ext Nontradable'!$U$26:$U$45,"New"))</f>
        <v/>
      </c>
      <c r="L45" s="703" t="str">
        <f>IF($B45="","",SUMIFS('Ext Nontradable'!$M$26:$M$45,'Ext Nontradable'!$B$26:$B$45,$B45,'Ext Nontradable'!$U$26:$U$45,""))</f>
        <v/>
      </c>
      <c r="M45" s="703" t="str">
        <f>IF($B45="","",SUMIFS('Ext Nontradable'!$K$26:$K$45,'Ext Nontradable'!$B$26:$B$45,$B45,'Ext Nontradable'!$U$26:$U$45,"New")+SUMIFS('Ext Nontradable'!$K$26:$K$45,'Ext Nontradable'!$B$26:$B$45,$B45,'Ext Nontradable'!$U$26:$U$45,""))</f>
        <v/>
      </c>
      <c r="N45" s="703" t="str">
        <f>IF($B45="","",SUMIFS('Ext Nontradable'!$M$26:$M$45,'Ext Nontradable'!$B$26:$B$45,$B45,'Ext Nontradable'!$U$26:$U$45,"Existing Remains"))</f>
        <v/>
      </c>
      <c r="O45" s="703" t="str">
        <f>IF($B45="","",SUMIFS('Ext Nontradable'!$M$26:$M$45,'Ext Nontradable'!$B$26:$B$45,$B45,'Ext Nontradable'!$U$26:$U$45,"Existing Removed"))</f>
        <v/>
      </c>
      <c r="P45" s="703" t="str">
        <f>IF($B45="","",SUMIFS('Ext Nontradable'!$K$26:$K$45,'Ext Nontradable'!$B$26:$B$45,$B45,'Ext Nontradable'!$U$26:$U$45,"Existing Removed"))</f>
        <v/>
      </c>
      <c r="Q45" s="703" t="str">
        <f t="shared" si="2"/>
        <v/>
      </c>
      <c r="R45" s="703" t="str">
        <f t="shared" si="7"/>
        <v/>
      </c>
      <c r="S45" s="703">
        <f t="shared" si="8"/>
        <v>0</v>
      </c>
      <c r="T45" s="954">
        <f t="shared" si="20"/>
        <v>0</v>
      </c>
      <c r="U45" s="954">
        <f t="shared" si="21"/>
        <v>0</v>
      </c>
      <c r="V45" s="1115" t="str">
        <f t="shared" si="22"/>
        <v/>
      </c>
      <c r="W45" s="712" t="str">
        <f t="shared" si="23"/>
        <v/>
      </c>
      <c r="X45" s="857"/>
      <c r="Y45" s="720" t="str">
        <f t="shared" si="24"/>
        <v/>
      </c>
      <c r="Z45" s="721" t="str">
        <f t="shared" si="9"/>
        <v/>
      </c>
      <c r="AA45" s="721" t="str">
        <f t="shared" si="10"/>
        <v/>
      </c>
      <c r="AB45" s="719" t="str">
        <f t="shared" si="4"/>
        <v/>
      </c>
      <c r="AC45" s="857"/>
      <c r="AD45" s="717" t="str">
        <f t="shared" si="11"/>
        <v/>
      </c>
      <c r="AE45" s="718" t="str">
        <f t="shared" si="12"/>
        <v/>
      </c>
      <c r="AF45" s="719" t="str">
        <f t="shared" si="5"/>
        <v/>
      </c>
      <c r="AG45" s="726"/>
      <c r="AH45" s="727" t="str">
        <f t="shared" si="13"/>
        <v/>
      </c>
      <c r="AI45" s="703" t="str">
        <f t="shared" si="14"/>
        <v/>
      </c>
      <c r="AJ45" s="703" t="str">
        <f t="shared" si="15"/>
        <v/>
      </c>
      <c r="AL45" s="1075" t="str">
        <f t="shared" si="16"/>
        <v/>
      </c>
      <c r="AM45" s="855" t="str">
        <f t="shared" si="18"/>
        <v/>
      </c>
      <c r="AN45" s="707" t="str">
        <f>IF(OR(AL45="Fail",AL45="Fail LPA",AL45=""),"",IF(AM45&lt;&gt;"#1",VLOOKUP(C45,'9.4.3 Tables'!B$156:O$164,14,FALSE),"No NEW controls required"))</f>
        <v/>
      </c>
      <c r="AO45" s="703">
        <f t="shared" si="19"/>
        <v>0</v>
      </c>
      <c r="AR45">
        <v>36</v>
      </c>
      <c r="AS45" s="15" t="str">
        <f t="shared" si="17"/>
        <v/>
      </c>
      <c r="AT45" s="700" t="str">
        <f ca="1">IF(INDIRECT("'Ext Nontradable'!$B" &amp; AT$9)=$B45,INDIRECT("'Ext Nontradable'!$" &amp; 'Ext Nontradable'!$AZ$23 &amp; AT$9),"")</f>
        <v/>
      </c>
      <c r="AU45" s="700" t="str">
        <f ca="1">IF(INDIRECT("'Ext Nontradable'!$B" &amp; AU$9)=$B45,INDIRECT("'Ext Nontradable'!$" &amp; 'Ext Nontradable'!$AZ$23 &amp; AU$9),"")</f>
        <v/>
      </c>
      <c r="AV45" s="700" t="str">
        <f ca="1">IF(INDIRECT("'Ext Nontradable'!$B" &amp; AV$9)=$B45,INDIRECT("'Ext Nontradable'!$" &amp; 'Ext Nontradable'!$AZ$23 &amp; AV$9),"")</f>
        <v/>
      </c>
      <c r="AW45" s="700" t="str">
        <f ca="1">IF(INDIRECT("'Ext Nontradable'!$B" &amp; AW$9)=$B45,INDIRECT("'Ext Nontradable'!$" &amp; 'Ext Nontradable'!$AZ$23 &amp; AW$9),"")</f>
        <v/>
      </c>
      <c r="AX45" s="700" t="str">
        <f ca="1">IF(INDIRECT("'Ext Nontradable'!$B" &amp; AX$9)=$B45,INDIRECT("'Ext Nontradable'!$" &amp; 'Ext Nontradable'!$AZ$23 &amp; AX$9),"")</f>
        <v/>
      </c>
      <c r="AY45" s="700" t="str">
        <f ca="1">IF(INDIRECT("'Ext Nontradable'!$B" &amp; AY$9)=$B45,INDIRECT("'Ext Nontradable'!$" &amp; 'Ext Nontradable'!$AZ$23 &amp; AY$9),"")</f>
        <v/>
      </c>
      <c r="AZ45" s="700" t="str">
        <f ca="1">IF(INDIRECT("'Ext Nontradable'!$B" &amp; AZ$9)=$B45,INDIRECT("'Ext Nontradable'!$" &amp; 'Ext Nontradable'!$AZ$23 &amp; AZ$9),"")</f>
        <v/>
      </c>
      <c r="BA45" s="700" t="str">
        <f ca="1">IF(INDIRECT("'Ext Nontradable'!$B" &amp; BA$9)=$B45,INDIRECT("'Ext Nontradable'!$" &amp; 'Ext Nontradable'!$AZ$23 &amp; BA$9),"")</f>
        <v/>
      </c>
      <c r="BB45" s="700" t="str">
        <f ca="1">IF(INDIRECT("'Ext Nontradable'!$B" &amp; BB$9)=$B45,INDIRECT("'Ext Nontradable'!$" &amp; 'Ext Nontradable'!$AZ$23 &amp; BB$9),"")</f>
        <v/>
      </c>
      <c r="BC45" s="700" t="str">
        <f ca="1">IF(INDIRECT("'Ext Nontradable'!$B" &amp; BC$9)=$B45,INDIRECT("'Ext Nontradable'!$" &amp; 'Ext Nontradable'!$AZ$23 &amp; BC$9),"")</f>
        <v/>
      </c>
      <c r="BD45" s="700" t="str">
        <f ca="1">IF(INDIRECT("'Ext Nontradable'!$B" &amp; BD$9)=$B45,INDIRECT("'Ext Nontradable'!$" &amp; 'Ext Nontradable'!$AZ$23 &amp; BD$9),"")</f>
        <v/>
      </c>
      <c r="BE45" s="700" t="str">
        <f ca="1">IF(INDIRECT("'Ext Nontradable'!$B" &amp; BE$9)=$B45,INDIRECT("'Ext Nontradable'!$" &amp; 'Ext Nontradable'!$AZ$23 &amp; BE$9),"")</f>
        <v/>
      </c>
      <c r="BF45" s="700" t="str">
        <f ca="1">IF(INDIRECT("'Ext Nontradable'!$B" &amp; BF$9)=$B45,INDIRECT("'Ext Nontradable'!$" &amp; 'Ext Nontradable'!$AZ$23 &amp; BF$9),"")</f>
        <v/>
      </c>
      <c r="BG45" s="700" t="str">
        <f ca="1">IF(INDIRECT("'Ext Nontradable'!$B" &amp; BG$9)=$B45,INDIRECT("'Ext Nontradable'!$" &amp; 'Ext Nontradable'!$AZ$23 &amp; BG$9),"")</f>
        <v/>
      </c>
      <c r="BH45" s="700" t="str">
        <f ca="1">IF(INDIRECT("'Ext Nontradable'!$B" &amp; BH$9)=$B45,INDIRECT("'Ext Nontradable'!$" &amp; 'Ext Nontradable'!$AZ$23 &amp; BH$9),"")</f>
        <v/>
      </c>
      <c r="BI45" s="700" t="str">
        <f ca="1">IF(INDIRECT("'Ext Nontradable'!$B" &amp; BI$9)=$B45,INDIRECT("'Ext Nontradable'!$" &amp; 'Ext Nontradable'!$AZ$23 &amp; BI$9),"")</f>
        <v/>
      </c>
      <c r="BJ45" s="700" t="str">
        <f ca="1">IF(INDIRECT("'Ext Nontradable'!$B" &amp; BJ$9)=$B45,INDIRECT("'Ext Nontradable'!$" &amp; 'Ext Nontradable'!$AZ$23 &amp; BJ$9),"")</f>
        <v/>
      </c>
      <c r="BK45" s="700" t="str">
        <f ca="1">IF(INDIRECT("'Ext Nontradable'!$B" &amp; BK$9)=$B45,INDIRECT("'Ext Nontradable'!$" &amp; 'Ext Nontradable'!$AZ$23 &amp; BK$9),"")</f>
        <v/>
      </c>
      <c r="BL45" s="700" t="str">
        <f ca="1">IF(INDIRECT("'Ext Nontradable'!$B" &amp; BL$9)=$B45,INDIRECT("'Ext Nontradable'!$" &amp; 'Ext Nontradable'!$AZ$23 &amp; BL$9),"")</f>
        <v/>
      </c>
      <c r="BM45" s="700" t="str">
        <f ca="1">IF(INDIRECT("'Ext Nontradable'!$B" &amp; BM$9)=$B45,INDIRECT("'Ext Nontradable'!$" &amp; 'Ext Nontradable'!$AZ$23 &amp; BM$9),"")</f>
        <v/>
      </c>
      <c r="BN45" s="700">
        <f ca="1">IF(INDIRECT("'Ext Nontradable'!$B" &amp; BN$9)=$B45,INDIRECT("'Ext Nontradable'!$" &amp; 'Ext Nontradable'!$AZ$23 &amp; BN$9),"")</f>
        <v>0</v>
      </c>
      <c r="BO45" s="700">
        <f ca="1">IF(INDIRECT("'Ext Nontradable'!$B" &amp; BO$9)=$B45,INDIRECT("'Ext Nontradable'!$" &amp; 'Ext Nontradable'!$AZ$23 &amp; BO$9),"")</f>
        <v>0</v>
      </c>
      <c r="BP45" s="700">
        <f ca="1">IF(INDIRECT("'Ext Nontradable'!$B" &amp; BP$9)=$B45,INDIRECT("'Ext Nontradable'!$" &amp; 'Ext Nontradable'!$AZ$23 &amp; BP$9),"")</f>
        <v>0</v>
      </c>
      <c r="BQ45" s="700">
        <f ca="1">IF(INDIRECT("'Ext Nontradable'!$B" &amp; BQ$9)=$B45,INDIRECT("'Ext Nontradable'!$" &amp; 'Ext Nontradable'!$AZ$23 &amp; BQ$9),"")</f>
        <v>0</v>
      </c>
      <c r="BR45" s="700">
        <f ca="1">IF(INDIRECT("'Ext Nontradable'!$B" &amp; BR$9)=$B45,INDIRECT("'Ext Nontradable'!$" &amp; 'Ext Nontradable'!$AZ$23 &amp; BR$9),"")</f>
        <v>0</v>
      </c>
      <c r="BS45" s="700">
        <f ca="1">IF(INDIRECT("'Ext Nontradable'!$B" &amp; BS$9)=$B45,INDIRECT("'Ext Nontradable'!$" &amp; 'Ext Nontradable'!$AZ$23 &amp; BS$9),"")</f>
        <v>0</v>
      </c>
      <c r="BT45" s="700">
        <f ca="1">IF(INDIRECT("'Ext Nontradable'!$B" &amp; BT$9)=$B45,INDIRECT("'Ext Nontradable'!$" &amp; 'Ext Nontradable'!$AZ$23 &amp; BT$9),"")</f>
        <v>0</v>
      </c>
      <c r="BU45" s="700">
        <f ca="1">IF(INDIRECT("'Ext Nontradable'!$B" &amp; BU$9)=$B45,INDIRECT("'Ext Nontradable'!$" &amp; 'Ext Nontradable'!$AZ$23 &amp; BU$9),"")</f>
        <v>0</v>
      </c>
      <c r="BV45" s="700">
        <f ca="1">IF(INDIRECT("'Ext Nontradable'!$B" &amp; BV$9)=$B45,INDIRECT("'Ext Nontradable'!$" &amp; 'Ext Nontradable'!$AZ$23 &amp; BV$9),"")</f>
        <v>0</v>
      </c>
      <c r="BW45" s="700">
        <f ca="1">IF(INDIRECT("'Ext Nontradable'!$B" &amp; BW$9)=$B45,INDIRECT("'Ext Nontradable'!$" &amp; 'Ext Nontradable'!$AZ$23 &amp; BW$9),"")</f>
        <v>0</v>
      </c>
      <c r="BX45" s="700">
        <f ca="1">IF(INDIRECT("'Ext Nontradable'!$B" &amp; BX$9)=$B45,INDIRECT("'Ext Nontradable'!$" &amp; 'Ext Nontradable'!$AZ$23 &amp; BX$9),"")</f>
        <v>0</v>
      </c>
      <c r="BY45" s="700">
        <f ca="1">IF(INDIRECT("'Ext Nontradable'!$B" &amp; BY$9)=$B45,INDIRECT("'Ext Nontradable'!$" &amp; 'Ext Nontradable'!$AZ$23 &amp; BY$9),"")</f>
        <v>0</v>
      </c>
      <c r="BZ45" s="700">
        <f ca="1">IF(INDIRECT("'Ext Nontradable'!$B" &amp; BZ$9)=$B45,INDIRECT("'Ext Nontradable'!$" &amp; 'Ext Nontradable'!$AZ$23 &amp; BZ$9),"")</f>
        <v>0</v>
      </c>
      <c r="CA45" s="700">
        <f ca="1">IF(INDIRECT("'Ext Nontradable'!$B" &amp; CA$9)=$B45,INDIRECT("'Ext Nontradable'!$" &amp; 'Ext Nontradable'!$AZ$23 &amp; CA$9),"")</f>
        <v>0</v>
      </c>
      <c r="CB45" s="700">
        <f ca="1">IF(INDIRECT("'Ext Nontradable'!$B" &amp; CB$9)=$B45,INDIRECT("'Ext Nontradable'!$" &amp; 'Ext Nontradable'!$AZ$23 &amp; CB$9),"")</f>
        <v>0</v>
      </c>
      <c r="CC45" s="700">
        <f ca="1">IF(INDIRECT("'Ext Nontradable'!$B" &amp; CC$9)=$B45,INDIRECT("'Ext Nontradable'!$" &amp; 'Ext Nontradable'!$AZ$23 &amp; CC$9),"")</f>
        <v>0</v>
      </c>
      <c r="CD45" s="700">
        <f ca="1">IF(INDIRECT("'Ext Nontradable'!$B" &amp; CD$9)=$B45,INDIRECT("'Ext Nontradable'!$" &amp; 'Ext Nontradable'!$AZ$23 &amp; CD$9),"")</f>
        <v>0</v>
      </c>
      <c r="CE45" s="700">
        <f ca="1">IF(INDIRECT("'Ext Nontradable'!$B" &amp; CE$9)=$B45,INDIRECT("'Ext Nontradable'!$" &amp; 'Ext Nontradable'!$AZ$23 &amp; CE$9),"")</f>
        <v>0</v>
      </c>
      <c r="CF45" s="700">
        <f ca="1">IF(INDIRECT("'Ext Nontradable'!$B" &amp; CF$9)=$B45,INDIRECT("'Ext Nontradable'!$" &amp; 'Ext Nontradable'!$AZ$23 &amp; CF$9),"")</f>
        <v>0</v>
      </c>
      <c r="CG45" s="700">
        <f ca="1">IF(INDIRECT("'Ext Nontradable'!$B" &amp; CG$9)=$B45,INDIRECT("'Ext Nontradable'!$" &amp; 'Ext Nontradable'!$AZ$23 &amp; CG$9),"")</f>
        <v>0</v>
      </c>
      <c r="CH45" s="700">
        <f ca="1">IF(INDIRECT("'Ext Nontradable'!$B" &amp; CH$9)=$B45,INDIRECT("'Ext Nontradable'!$" &amp; 'Ext Nontradable'!$AZ$23 &amp; CH$9),"")</f>
        <v>0</v>
      </c>
      <c r="CI45" s="700">
        <f ca="1">IF(INDIRECT("'Ext Nontradable'!$B" &amp; CI$9)=$B45,INDIRECT("'Ext Nontradable'!$" &amp; 'Ext Nontradable'!$AZ$23 &amp; CI$9),"")</f>
        <v>0</v>
      </c>
      <c r="CJ45" s="700">
        <f ca="1">IF(INDIRECT("'Ext Nontradable'!$B" &amp; CJ$9)=$B45,INDIRECT("'Ext Nontradable'!$" &amp; 'Ext Nontradable'!$AZ$23 &amp; CJ$9),"")</f>
        <v>0</v>
      </c>
      <c r="CK45" s="700">
        <f ca="1">IF(INDIRECT("'Ext Nontradable'!$B" &amp; CK$9)=$B45,INDIRECT("'Ext Nontradable'!$" &amp; 'Ext Nontradable'!$AZ$23 &amp; CK$9),"")</f>
        <v>0</v>
      </c>
      <c r="CL45" s="700">
        <f ca="1">IF(INDIRECT("'Ext Nontradable'!$B" &amp; CL$9)=$B45,INDIRECT("'Ext Nontradable'!$" &amp; 'Ext Nontradable'!$AZ$23 &amp; CL$9),"")</f>
        <v>0</v>
      </c>
      <c r="CM45" s="700">
        <f ca="1">IF(INDIRECT("'Ext Nontradable'!$B" &amp; CM$9)=$B45,INDIRECT("'Ext Nontradable'!$" &amp; 'Ext Nontradable'!$AZ$23 &amp; CM$9),"")</f>
        <v>0</v>
      </c>
      <c r="CN45" s="700">
        <f ca="1">IF(INDIRECT("'Ext Nontradable'!$B" &amp; CN$9)=$B45,INDIRECT("'Ext Nontradable'!$" &amp; 'Ext Nontradable'!$AZ$23 &amp; CN$9),"")</f>
        <v>0</v>
      </c>
      <c r="CO45" s="700">
        <f ca="1">IF(INDIRECT("'Ext Nontradable'!$B" &amp; CO$9)=$B45,INDIRECT("'Ext Nontradable'!$" &amp; 'Ext Nontradable'!$AZ$23 &amp; CO$9),"")</f>
        <v>0</v>
      </c>
      <c r="CP45" s="700">
        <f ca="1">IF(INDIRECT("'Ext Nontradable'!$B" &amp; CP$9)=$B45,INDIRECT("'Ext Nontradable'!$" &amp; 'Ext Nontradable'!$AZ$23 &amp; CP$9),"")</f>
        <v>0</v>
      </c>
      <c r="CQ45" s="700">
        <f ca="1">IF(INDIRECT("'Ext Nontradable'!$B" &amp; CQ$9)=$B45,INDIRECT("'Ext Nontradable'!$" &amp; 'Ext Nontradable'!$AZ$23 &amp; CQ$9),"")</f>
        <v>0</v>
      </c>
      <c r="CR45" s="702" t="str">
        <f t="shared" ca="1" si="25"/>
        <v>000000000000000000000000000000</v>
      </c>
    </row>
    <row r="46" spans="1:96" ht="60" customHeight="1" x14ac:dyDescent="0.25">
      <c r="A46" s="705">
        <v>37</v>
      </c>
      <c r="B46" s="707" t="str">
        <f>'Ext Area Schedule'!AK52</f>
        <v/>
      </c>
      <c r="C46" s="707" t="str">
        <f>VLOOKUP($B46,'Ext Area Schedule'!$AK$16:$AO$65,3,FALSE)</f>
        <v/>
      </c>
      <c r="D46" s="792" t="str">
        <f>VLOOKUP($B46,'Ext Area Schedule'!$AK$16:$AO$65,4,FALSE)</f>
        <v/>
      </c>
      <c r="F46" s="792" t="str">
        <f>VLOOKUP($B46,'Ext Area Schedule'!$AK$16:$AO$65,5,FALSE)</f>
        <v/>
      </c>
      <c r="G46" s="792" t="str">
        <f>VLOOKUP($B46,'Ext Area Schedule'!$AK$16:$AO$65,5,FALSE)</f>
        <v/>
      </c>
      <c r="I46" s="703" t="str">
        <f t="shared" si="1"/>
        <v/>
      </c>
      <c r="K46" s="703" t="str">
        <f>IF($B46="","",SUMIFS('Ext Nontradable'!$M$26:$M$45,'Ext Nontradable'!$B$26:$B$45,$B46,'Ext Nontradable'!$U$26:$U$45,"New"))</f>
        <v/>
      </c>
      <c r="L46" s="703" t="str">
        <f>IF($B46="","",SUMIFS('Ext Nontradable'!$M$26:$M$45,'Ext Nontradable'!$B$26:$B$45,$B46,'Ext Nontradable'!$U$26:$U$45,""))</f>
        <v/>
      </c>
      <c r="M46" s="703" t="str">
        <f>IF($B46="","",SUMIFS('Ext Nontradable'!$K$26:$K$45,'Ext Nontradable'!$B$26:$B$45,$B46,'Ext Nontradable'!$U$26:$U$45,"New")+SUMIFS('Ext Nontradable'!$K$26:$K$45,'Ext Nontradable'!$B$26:$B$45,$B46,'Ext Nontradable'!$U$26:$U$45,""))</f>
        <v/>
      </c>
      <c r="N46" s="703" t="str">
        <f>IF($B46="","",SUMIFS('Ext Nontradable'!$M$26:$M$45,'Ext Nontradable'!$B$26:$B$45,$B46,'Ext Nontradable'!$U$26:$U$45,"Existing Remains"))</f>
        <v/>
      </c>
      <c r="O46" s="703" t="str">
        <f>IF($B46="","",SUMIFS('Ext Nontradable'!$M$26:$M$45,'Ext Nontradable'!$B$26:$B$45,$B46,'Ext Nontradable'!$U$26:$U$45,"Existing Removed"))</f>
        <v/>
      </c>
      <c r="P46" s="703" t="str">
        <f>IF($B46="","",SUMIFS('Ext Nontradable'!$K$26:$K$45,'Ext Nontradable'!$B$26:$B$45,$B46,'Ext Nontradable'!$U$26:$U$45,"Existing Removed"))</f>
        <v/>
      </c>
      <c r="Q46" s="703" t="str">
        <f t="shared" si="2"/>
        <v/>
      </c>
      <c r="R46" s="703" t="str">
        <f t="shared" si="7"/>
        <v/>
      </c>
      <c r="S46" s="703">
        <f t="shared" si="8"/>
        <v>0</v>
      </c>
      <c r="T46" s="954">
        <f t="shared" si="20"/>
        <v>0</v>
      </c>
      <c r="U46" s="954">
        <f t="shared" si="21"/>
        <v>0</v>
      </c>
      <c r="V46" s="1115" t="str">
        <f t="shared" si="22"/>
        <v/>
      </c>
      <c r="W46" s="712" t="str">
        <f t="shared" si="23"/>
        <v/>
      </c>
      <c r="X46" s="857"/>
      <c r="Y46" s="720" t="str">
        <f t="shared" si="24"/>
        <v/>
      </c>
      <c r="Z46" s="721" t="str">
        <f t="shared" si="9"/>
        <v/>
      </c>
      <c r="AA46" s="721" t="str">
        <f t="shared" si="10"/>
        <v/>
      </c>
      <c r="AB46" s="719" t="str">
        <f t="shared" si="4"/>
        <v/>
      </c>
      <c r="AC46" s="857"/>
      <c r="AD46" s="717" t="str">
        <f t="shared" si="11"/>
        <v/>
      </c>
      <c r="AE46" s="718" t="str">
        <f t="shared" si="12"/>
        <v/>
      </c>
      <c r="AF46" s="719" t="str">
        <f t="shared" si="5"/>
        <v/>
      </c>
      <c r="AG46" s="726"/>
      <c r="AH46" s="727" t="str">
        <f t="shared" si="13"/>
        <v/>
      </c>
      <c r="AI46" s="703" t="str">
        <f t="shared" si="14"/>
        <v/>
      </c>
      <c r="AJ46" s="703" t="str">
        <f t="shared" si="15"/>
        <v/>
      </c>
      <c r="AL46" s="1075" t="str">
        <f t="shared" si="16"/>
        <v/>
      </c>
      <c r="AM46" s="855" t="str">
        <f t="shared" si="18"/>
        <v/>
      </c>
      <c r="AN46" s="707" t="str">
        <f>IF(OR(AL46="Fail",AL46="Fail LPA",AL46=""),"",IF(AM46&lt;&gt;"#1",VLOOKUP(C46,'9.4.3 Tables'!B$156:O$164,14,FALSE),"No NEW controls required"))</f>
        <v/>
      </c>
      <c r="AO46" s="703">
        <f t="shared" si="19"/>
        <v>0</v>
      </c>
      <c r="AR46">
        <v>37</v>
      </c>
      <c r="AS46" s="15" t="str">
        <f t="shared" si="17"/>
        <v/>
      </c>
      <c r="AT46" s="700" t="str">
        <f ca="1">IF(INDIRECT("'Ext Nontradable'!$B" &amp; AT$9)=$B46,INDIRECT("'Ext Nontradable'!$" &amp; 'Ext Nontradable'!$AZ$23 &amp; AT$9),"")</f>
        <v/>
      </c>
      <c r="AU46" s="700" t="str">
        <f ca="1">IF(INDIRECT("'Ext Nontradable'!$B" &amp; AU$9)=$B46,INDIRECT("'Ext Nontradable'!$" &amp; 'Ext Nontradable'!$AZ$23 &amp; AU$9),"")</f>
        <v/>
      </c>
      <c r="AV46" s="700" t="str">
        <f ca="1">IF(INDIRECT("'Ext Nontradable'!$B" &amp; AV$9)=$B46,INDIRECT("'Ext Nontradable'!$" &amp; 'Ext Nontradable'!$AZ$23 &amp; AV$9),"")</f>
        <v/>
      </c>
      <c r="AW46" s="700" t="str">
        <f ca="1">IF(INDIRECT("'Ext Nontradable'!$B" &amp; AW$9)=$B46,INDIRECT("'Ext Nontradable'!$" &amp; 'Ext Nontradable'!$AZ$23 &amp; AW$9),"")</f>
        <v/>
      </c>
      <c r="AX46" s="700" t="str">
        <f ca="1">IF(INDIRECT("'Ext Nontradable'!$B" &amp; AX$9)=$B46,INDIRECT("'Ext Nontradable'!$" &amp; 'Ext Nontradable'!$AZ$23 &amp; AX$9),"")</f>
        <v/>
      </c>
      <c r="AY46" s="700" t="str">
        <f ca="1">IF(INDIRECT("'Ext Nontradable'!$B" &amp; AY$9)=$B46,INDIRECT("'Ext Nontradable'!$" &amp; 'Ext Nontradable'!$AZ$23 &amp; AY$9),"")</f>
        <v/>
      </c>
      <c r="AZ46" s="700" t="str">
        <f ca="1">IF(INDIRECT("'Ext Nontradable'!$B" &amp; AZ$9)=$B46,INDIRECT("'Ext Nontradable'!$" &amp; 'Ext Nontradable'!$AZ$23 &amp; AZ$9),"")</f>
        <v/>
      </c>
      <c r="BA46" s="700" t="str">
        <f ca="1">IF(INDIRECT("'Ext Nontradable'!$B" &amp; BA$9)=$B46,INDIRECT("'Ext Nontradable'!$" &amp; 'Ext Nontradable'!$AZ$23 &amp; BA$9),"")</f>
        <v/>
      </c>
      <c r="BB46" s="700" t="str">
        <f ca="1">IF(INDIRECT("'Ext Nontradable'!$B" &amp; BB$9)=$B46,INDIRECT("'Ext Nontradable'!$" &amp; 'Ext Nontradable'!$AZ$23 &amp; BB$9),"")</f>
        <v/>
      </c>
      <c r="BC46" s="700" t="str">
        <f ca="1">IF(INDIRECT("'Ext Nontradable'!$B" &amp; BC$9)=$B46,INDIRECT("'Ext Nontradable'!$" &amp; 'Ext Nontradable'!$AZ$23 &amp; BC$9),"")</f>
        <v/>
      </c>
      <c r="BD46" s="700" t="str">
        <f ca="1">IF(INDIRECT("'Ext Nontradable'!$B" &amp; BD$9)=$B46,INDIRECT("'Ext Nontradable'!$" &amp; 'Ext Nontradable'!$AZ$23 &amp; BD$9),"")</f>
        <v/>
      </c>
      <c r="BE46" s="700" t="str">
        <f ca="1">IF(INDIRECT("'Ext Nontradable'!$B" &amp; BE$9)=$B46,INDIRECT("'Ext Nontradable'!$" &amp; 'Ext Nontradable'!$AZ$23 &amp; BE$9),"")</f>
        <v/>
      </c>
      <c r="BF46" s="700" t="str">
        <f ca="1">IF(INDIRECT("'Ext Nontradable'!$B" &amp; BF$9)=$B46,INDIRECT("'Ext Nontradable'!$" &amp; 'Ext Nontradable'!$AZ$23 &amp; BF$9),"")</f>
        <v/>
      </c>
      <c r="BG46" s="700" t="str">
        <f ca="1">IF(INDIRECT("'Ext Nontradable'!$B" &amp; BG$9)=$B46,INDIRECT("'Ext Nontradable'!$" &amp; 'Ext Nontradable'!$AZ$23 &amp; BG$9),"")</f>
        <v/>
      </c>
      <c r="BH46" s="700" t="str">
        <f ca="1">IF(INDIRECT("'Ext Nontradable'!$B" &amp; BH$9)=$B46,INDIRECT("'Ext Nontradable'!$" &amp; 'Ext Nontradable'!$AZ$23 &amp; BH$9),"")</f>
        <v/>
      </c>
      <c r="BI46" s="700" t="str">
        <f ca="1">IF(INDIRECT("'Ext Nontradable'!$B" &amp; BI$9)=$B46,INDIRECT("'Ext Nontradable'!$" &amp; 'Ext Nontradable'!$AZ$23 &amp; BI$9),"")</f>
        <v/>
      </c>
      <c r="BJ46" s="700" t="str">
        <f ca="1">IF(INDIRECT("'Ext Nontradable'!$B" &amp; BJ$9)=$B46,INDIRECT("'Ext Nontradable'!$" &amp; 'Ext Nontradable'!$AZ$23 &amp; BJ$9),"")</f>
        <v/>
      </c>
      <c r="BK46" s="700" t="str">
        <f ca="1">IF(INDIRECT("'Ext Nontradable'!$B" &amp; BK$9)=$B46,INDIRECT("'Ext Nontradable'!$" &amp; 'Ext Nontradable'!$AZ$23 &amp; BK$9),"")</f>
        <v/>
      </c>
      <c r="BL46" s="700" t="str">
        <f ca="1">IF(INDIRECT("'Ext Nontradable'!$B" &amp; BL$9)=$B46,INDIRECT("'Ext Nontradable'!$" &amp; 'Ext Nontradable'!$AZ$23 &amp; BL$9),"")</f>
        <v/>
      </c>
      <c r="BM46" s="700" t="str">
        <f ca="1">IF(INDIRECT("'Ext Nontradable'!$B" &amp; BM$9)=$B46,INDIRECT("'Ext Nontradable'!$" &amp; 'Ext Nontradable'!$AZ$23 &amp; BM$9),"")</f>
        <v/>
      </c>
      <c r="BN46" s="700">
        <f ca="1">IF(INDIRECT("'Ext Nontradable'!$B" &amp; BN$9)=$B46,INDIRECT("'Ext Nontradable'!$" &amp; 'Ext Nontradable'!$AZ$23 &amp; BN$9),"")</f>
        <v>0</v>
      </c>
      <c r="BO46" s="700">
        <f ca="1">IF(INDIRECT("'Ext Nontradable'!$B" &amp; BO$9)=$B46,INDIRECT("'Ext Nontradable'!$" &amp; 'Ext Nontradable'!$AZ$23 &amp; BO$9),"")</f>
        <v>0</v>
      </c>
      <c r="BP46" s="700">
        <f ca="1">IF(INDIRECT("'Ext Nontradable'!$B" &amp; BP$9)=$B46,INDIRECT("'Ext Nontradable'!$" &amp; 'Ext Nontradable'!$AZ$23 &amp; BP$9),"")</f>
        <v>0</v>
      </c>
      <c r="BQ46" s="700">
        <f ca="1">IF(INDIRECT("'Ext Nontradable'!$B" &amp; BQ$9)=$B46,INDIRECT("'Ext Nontradable'!$" &amp; 'Ext Nontradable'!$AZ$23 &amp; BQ$9),"")</f>
        <v>0</v>
      </c>
      <c r="BR46" s="700">
        <f ca="1">IF(INDIRECT("'Ext Nontradable'!$B" &amp; BR$9)=$B46,INDIRECT("'Ext Nontradable'!$" &amp; 'Ext Nontradable'!$AZ$23 &amp; BR$9),"")</f>
        <v>0</v>
      </c>
      <c r="BS46" s="700">
        <f ca="1">IF(INDIRECT("'Ext Nontradable'!$B" &amp; BS$9)=$B46,INDIRECT("'Ext Nontradable'!$" &amp; 'Ext Nontradable'!$AZ$23 &amp; BS$9),"")</f>
        <v>0</v>
      </c>
      <c r="BT46" s="700">
        <f ca="1">IF(INDIRECT("'Ext Nontradable'!$B" &amp; BT$9)=$B46,INDIRECT("'Ext Nontradable'!$" &amp; 'Ext Nontradable'!$AZ$23 &amp; BT$9),"")</f>
        <v>0</v>
      </c>
      <c r="BU46" s="700">
        <f ca="1">IF(INDIRECT("'Ext Nontradable'!$B" &amp; BU$9)=$B46,INDIRECT("'Ext Nontradable'!$" &amp; 'Ext Nontradable'!$AZ$23 &amp; BU$9),"")</f>
        <v>0</v>
      </c>
      <c r="BV46" s="700">
        <f ca="1">IF(INDIRECT("'Ext Nontradable'!$B" &amp; BV$9)=$B46,INDIRECT("'Ext Nontradable'!$" &amp; 'Ext Nontradable'!$AZ$23 &amp; BV$9),"")</f>
        <v>0</v>
      </c>
      <c r="BW46" s="700">
        <f ca="1">IF(INDIRECT("'Ext Nontradable'!$B" &amp; BW$9)=$B46,INDIRECT("'Ext Nontradable'!$" &amp; 'Ext Nontradable'!$AZ$23 &amp; BW$9),"")</f>
        <v>0</v>
      </c>
      <c r="BX46" s="700">
        <f ca="1">IF(INDIRECT("'Ext Nontradable'!$B" &amp; BX$9)=$B46,INDIRECT("'Ext Nontradable'!$" &amp; 'Ext Nontradable'!$AZ$23 &amp; BX$9),"")</f>
        <v>0</v>
      </c>
      <c r="BY46" s="700">
        <f ca="1">IF(INDIRECT("'Ext Nontradable'!$B" &amp; BY$9)=$B46,INDIRECT("'Ext Nontradable'!$" &amp; 'Ext Nontradable'!$AZ$23 &amp; BY$9),"")</f>
        <v>0</v>
      </c>
      <c r="BZ46" s="700">
        <f ca="1">IF(INDIRECT("'Ext Nontradable'!$B" &amp; BZ$9)=$B46,INDIRECT("'Ext Nontradable'!$" &amp; 'Ext Nontradable'!$AZ$23 &amp; BZ$9),"")</f>
        <v>0</v>
      </c>
      <c r="CA46" s="700">
        <f ca="1">IF(INDIRECT("'Ext Nontradable'!$B" &amp; CA$9)=$B46,INDIRECT("'Ext Nontradable'!$" &amp; 'Ext Nontradable'!$AZ$23 &amp; CA$9),"")</f>
        <v>0</v>
      </c>
      <c r="CB46" s="700">
        <f ca="1">IF(INDIRECT("'Ext Nontradable'!$B" &amp; CB$9)=$B46,INDIRECT("'Ext Nontradable'!$" &amp; 'Ext Nontradable'!$AZ$23 &amp; CB$9),"")</f>
        <v>0</v>
      </c>
      <c r="CC46" s="700">
        <f ca="1">IF(INDIRECT("'Ext Nontradable'!$B" &amp; CC$9)=$B46,INDIRECT("'Ext Nontradable'!$" &amp; 'Ext Nontradable'!$AZ$23 &amp; CC$9),"")</f>
        <v>0</v>
      </c>
      <c r="CD46" s="700">
        <f ca="1">IF(INDIRECT("'Ext Nontradable'!$B" &amp; CD$9)=$B46,INDIRECT("'Ext Nontradable'!$" &amp; 'Ext Nontradable'!$AZ$23 &amp; CD$9),"")</f>
        <v>0</v>
      </c>
      <c r="CE46" s="700">
        <f ca="1">IF(INDIRECT("'Ext Nontradable'!$B" &amp; CE$9)=$B46,INDIRECT("'Ext Nontradable'!$" &amp; 'Ext Nontradable'!$AZ$23 &amp; CE$9),"")</f>
        <v>0</v>
      </c>
      <c r="CF46" s="700">
        <f ca="1">IF(INDIRECT("'Ext Nontradable'!$B" &amp; CF$9)=$B46,INDIRECT("'Ext Nontradable'!$" &amp; 'Ext Nontradable'!$AZ$23 &amp; CF$9),"")</f>
        <v>0</v>
      </c>
      <c r="CG46" s="700">
        <f ca="1">IF(INDIRECT("'Ext Nontradable'!$B" &amp; CG$9)=$B46,INDIRECT("'Ext Nontradable'!$" &amp; 'Ext Nontradable'!$AZ$23 &amp; CG$9),"")</f>
        <v>0</v>
      </c>
      <c r="CH46" s="700">
        <f ca="1">IF(INDIRECT("'Ext Nontradable'!$B" &amp; CH$9)=$B46,INDIRECT("'Ext Nontradable'!$" &amp; 'Ext Nontradable'!$AZ$23 &amp; CH$9),"")</f>
        <v>0</v>
      </c>
      <c r="CI46" s="700">
        <f ca="1">IF(INDIRECT("'Ext Nontradable'!$B" &amp; CI$9)=$B46,INDIRECT("'Ext Nontradable'!$" &amp; 'Ext Nontradable'!$AZ$23 &amp; CI$9),"")</f>
        <v>0</v>
      </c>
      <c r="CJ46" s="700">
        <f ca="1">IF(INDIRECT("'Ext Nontradable'!$B" &amp; CJ$9)=$B46,INDIRECT("'Ext Nontradable'!$" &amp; 'Ext Nontradable'!$AZ$23 &amp; CJ$9),"")</f>
        <v>0</v>
      </c>
      <c r="CK46" s="700">
        <f ca="1">IF(INDIRECT("'Ext Nontradable'!$B" &amp; CK$9)=$B46,INDIRECT("'Ext Nontradable'!$" &amp; 'Ext Nontradable'!$AZ$23 &amp; CK$9),"")</f>
        <v>0</v>
      </c>
      <c r="CL46" s="700">
        <f ca="1">IF(INDIRECT("'Ext Nontradable'!$B" &amp; CL$9)=$B46,INDIRECT("'Ext Nontradable'!$" &amp; 'Ext Nontradable'!$AZ$23 &amp; CL$9),"")</f>
        <v>0</v>
      </c>
      <c r="CM46" s="700">
        <f ca="1">IF(INDIRECT("'Ext Nontradable'!$B" &amp; CM$9)=$B46,INDIRECT("'Ext Nontradable'!$" &amp; 'Ext Nontradable'!$AZ$23 &amp; CM$9),"")</f>
        <v>0</v>
      </c>
      <c r="CN46" s="700">
        <f ca="1">IF(INDIRECT("'Ext Nontradable'!$B" &amp; CN$9)=$B46,INDIRECT("'Ext Nontradable'!$" &amp; 'Ext Nontradable'!$AZ$23 &amp; CN$9),"")</f>
        <v>0</v>
      </c>
      <c r="CO46" s="700">
        <f ca="1">IF(INDIRECT("'Ext Nontradable'!$B" &amp; CO$9)=$B46,INDIRECT("'Ext Nontradable'!$" &amp; 'Ext Nontradable'!$AZ$23 &amp; CO$9),"")</f>
        <v>0</v>
      </c>
      <c r="CP46" s="700">
        <f ca="1">IF(INDIRECT("'Ext Nontradable'!$B" &amp; CP$9)=$B46,INDIRECT("'Ext Nontradable'!$" &amp; 'Ext Nontradable'!$AZ$23 &amp; CP$9),"")</f>
        <v>0</v>
      </c>
      <c r="CQ46" s="700">
        <f ca="1">IF(INDIRECT("'Ext Nontradable'!$B" &amp; CQ$9)=$B46,INDIRECT("'Ext Nontradable'!$" &amp; 'Ext Nontradable'!$AZ$23 &amp; CQ$9),"")</f>
        <v>0</v>
      </c>
      <c r="CR46" s="702" t="str">
        <f t="shared" ca="1" si="25"/>
        <v>000000000000000000000000000000</v>
      </c>
    </row>
    <row r="47" spans="1:96" ht="60" customHeight="1" x14ac:dyDescent="0.25">
      <c r="A47" s="705">
        <v>38</v>
      </c>
      <c r="B47" s="707" t="str">
        <f>'Ext Area Schedule'!AK53</f>
        <v/>
      </c>
      <c r="C47" s="707" t="str">
        <f>VLOOKUP($B47,'Ext Area Schedule'!$AK$16:$AO$65,3,FALSE)</f>
        <v/>
      </c>
      <c r="D47" s="792" t="str">
        <f>VLOOKUP($B47,'Ext Area Schedule'!$AK$16:$AO$65,4,FALSE)</f>
        <v/>
      </c>
      <c r="F47" s="792" t="str">
        <f>VLOOKUP($B47,'Ext Area Schedule'!$AK$16:$AO$65,5,FALSE)</f>
        <v/>
      </c>
      <c r="G47" s="792" t="str">
        <f>VLOOKUP($B47,'Ext Area Schedule'!$AK$16:$AO$65,5,FALSE)</f>
        <v/>
      </c>
      <c r="I47" s="703" t="str">
        <f t="shared" si="1"/>
        <v/>
      </c>
      <c r="K47" s="703" t="str">
        <f>IF($B47="","",SUMIFS('Ext Nontradable'!$M$26:$M$45,'Ext Nontradable'!$B$26:$B$45,$B47,'Ext Nontradable'!$U$26:$U$45,"New"))</f>
        <v/>
      </c>
      <c r="L47" s="703" t="str">
        <f>IF($B47="","",SUMIFS('Ext Nontradable'!$M$26:$M$45,'Ext Nontradable'!$B$26:$B$45,$B47,'Ext Nontradable'!$U$26:$U$45,""))</f>
        <v/>
      </c>
      <c r="M47" s="703" t="str">
        <f>IF($B47="","",SUMIFS('Ext Nontradable'!$K$26:$K$45,'Ext Nontradable'!$B$26:$B$45,$B47,'Ext Nontradable'!$U$26:$U$45,"New")+SUMIFS('Ext Nontradable'!$K$26:$K$45,'Ext Nontradable'!$B$26:$B$45,$B47,'Ext Nontradable'!$U$26:$U$45,""))</f>
        <v/>
      </c>
      <c r="N47" s="703" t="str">
        <f>IF($B47="","",SUMIFS('Ext Nontradable'!$M$26:$M$45,'Ext Nontradable'!$B$26:$B$45,$B47,'Ext Nontradable'!$U$26:$U$45,"Existing Remains"))</f>
        <v/>
      </c>
      <c r="O47" s="703" t="str">
        <f>IF($B47="","",SUMIFS('Ext Nontradable'!$M$26:$M$45,'Ext Nontradable'!$B$26:$B$45,$B47,'Ext Nontradable'!$U$26:$U$45,"Existing Removed"))</f>
        <v/>
      </c>
      <c r="P47" s="703" t="str">
        <f>IF($B47="","",SUMIFS('Ext Nontradable'!$K$26:$K$45,'Ext Nontradable'!$B$26:$B$45,$B47,'Ext Nontradable'!$U$26:$U$45,"Existing Removed"))</f>
        <v/>
      </c>
      <c r="Q47" s="703" t="str">
        <f t="shared" si="2"/>
        <v/>
      </c>
      <c r="R47" s="703" t="str">
        <f t="shared" si="7"/>
        <v/>
      </c>
      <c r="S47" s="703">
        <f t="shared" si="8"/>
        <v>0</v>
      </c>
      <c r="T47" s="954">
        <f t="shared" si="20"/>
        <v>0</v>
      </c>
      <c r="U47" s="954">
        <f t="shared" si="21"/>
        <v>0</v>
      </c>
      <c r="V47" s="1115" t="str">
        <f t="shared" si="22"/>
        <v/>
      </c>
      <c r="W47" s="712" t="str">
        <f t="shared" si="23"/>
        <v/>
      </c>
      <c r="X47" s="857"/>
      <c r="Y47" s="720" t="str">
        <f t="shared" si="24"/>
        <v/>
      </c>
      <c r="Z47" s="721" t="str">
        <f t="shared" si="9"/>
        <v/>
      </c>
      <c r="AA47" s="721" t="str">
        <f t="shared" si="10"/>
        <v/>
      </c>
      <c r="AB47" s="719" t="str">
        <f t="shared" si="4"/>
        <v/>
      </c>
      <c r="AC47" s="857"/>
      <c r="AD47" s="717" t="str">
        <f t="shared" si="11"/>
        <v/>
      </c>
      <c r="AE47" s="718" t="str">
        <f t="shared" si="12"/>
        <v/>
      </c>
      <c r="AF47" s="719" t="str">
        <f t="shared" si="5"/>
        <v/>
      </c>
      <c r="AG47" s="726"/>
      <c r="AH47" s="727" t="str">
        <f t="shared" si="13"/>
        <v/>
      </c>
      <c r="AI47" s="703" t="str">
        <f t="shared" si="14"/>
        <v/>
      </c>
      <c r="AJ47" s="703" t="str">
        <f t="shared" si="15"/>
        <v/>
      </c>
      <c r="AL47" s="1075" t="str">
        <f t="shared" si="16"/>
        <v/>
      </c>
      <c r="AM47" s="855" t="str">
        <f t="shared" si="18"/>
        <v/>
      </c>
      <c r="AN47" s="707" t="str">
        <f>IF(OR(AL47="Fail",AL47="Fail LPA",AL47=""),"",IF(AM47&lt;&gt;"#1",VLOOKUP(C47,'9.4.3 Tables'!B$156:O$164,14,FALSE),"No NEW controls required"))</f>
        <v/>
      </c>
      <c r="AO47" s="703">
        <f t="shared" si="19"/>
        <v>0</v>
      </c>
      <c r="AR47">
        <v>38</v>
      </c>
      <c r="AS47" s="15" t="str">
        <f t="shared" si="17"/>
        <v/>
      </c>
      <c r="AT47" s="700" t="str">
        <f ca="1">IF(INDIRECT("'Ext Nontradable'!$B" &amp; AT$9)=$B47,INDIRECT("'Ext Nontradable'!$" &amp; 'Ext Nontradable'!$AZ$23 &amp; AT$9),"")</f>
        <v/>
      </c>
      <c r="AU47" s="700" t="str">
        <f ca="1">IF(INDIRECT("'Ext Nontradable'!$B" &amp; AU$9)=$B47,INDIRECT("'Ext Nontradable'!$" &amp; 'Ext Nontradable'!$AZ$23 &amp; AU$9),"")</f>
        <v/>
      </c>
      <c r="AV47" s="700" t="str">
        <f ca="1">IF(INDIRECT("'Ext Nontradable'!$B" &amp; AV$9)=$B47,INDIRECT("'Ext Nontradable'!$" &amp; 'Ext Nontradable'!$AZ$23 &amp; AV$9),"")</f>
        <v/>
      </c>
      <c r="AW47" s="700" t="str">
        <f ca="1">IF(INDIRECT("'Ext Nontradable'!$B" &amp; AW$9)=$B47,INDIRECT("'Ext Nontradable'!$" &amp; 'Ext Nontradable'!$AZ$23 &amp; AW$9),"")</f>
        <v/>
      </c>
      <c r="AX47" s="700" t="str">
        <f ca="1">IF(INDIRECT("'Ext Nontradable'!$B" &amp; AX$9)=$B47,INDIRECT("'Ext Nontradable'!$" &amp; 'Ext Nontradable'!$AZ$23 &amp; AX$9),"")</f>
        <v/>
      </c>
      <c r="AY47" s="700" t="str">
        <f ca="1">IF(INDIRECT("'Ext Nontradable'!$B" &amp; AY$9)=$B47,INDIRECT("'Ext Nontradable'!$" &amp; 'Ext Nontradable'!$AZ$23 &amp; AY$9),"")</f>
        <v/>
      </c>
      <c r="AZ47" s="700" t="str">
        <f ca="1">IF(INDIRECT("'Ext Nontradable'!$B" &amp; AZ$9)=$B47,INDIRECT("'Ext Nontradable'!$" &amp; 'Ext Nontradable'!$AZ$23 &amp; AZ$9),"")</f>
        <v/>
      </c>
      <c r="BA47" s="700" t="str">
        <f ca="1">IF(INDIRECT("'Ext Nontradable'!$B" &amp; BA$9)=$B47,INDIRECT("'Ext Nontradable'!$" &amp; 'Ext Nontradable'!$AZ$23 &amp; BA$9),"")</f>
        <v/>
      </c>
      <c r="BB47" s="700" t="str">
        <f ca="1">IF(INDIRECT("'Ext Nontradable'!$B" &amp; BB$9)=$B47,INDIRECT("'Ext Nontradable'!$" &amp; 'Ext Nontradable'!$AZ$23 &amp; BB$9),"")</f>
        <v/>
      </c>
      <c r="BC47" s="700" t="str">
        <f ca="1">IF(INDIRECT("'Ext Nontradable'!$B" &amp; BC$9)=$B47,INDIRECT("'Ext Nontradable'!$" &amp; 'Ext Nontradable'!$AZ$23 &amp; BC$9),"")</f>
        <v/>
      </c>
      <c r="BD47" s="700" t="str">
        <f ca="1">IF(INDIRECT("'Ext Nontradable'!$B" &amp; BD$9)=$B47,INDIRECT("'Ext Nontradable'!$" &amp; 'Ext Nontradable'!$AZ$23 &amp; BD$9),"")</f>
        <v/>
      </c>
      <c r="BE47" s="700" t="str">
        <f ca="1">IF(INDIRECT("'Ext Nontradable'!$B" &amp; BE$9)=$B47,INDIRECT("'Ext Nontradable'!$" &amp; 'Ext Nontradable'!$AZ$23 &amp; BE$9),"")</f>
        <v/>
      </c>
      <c r="BF47" s="700" t="str">
        <f ca="1">IF(INDIRECT("'Ext Nontradable'!$B" &amp; BF$9)=$B47,INDIRECT("'Ext Nontradable'!$" &amp; 'Ext Nontradable'!$AZ$23 &amp; BF$9),"")</f>
        <v/>
      </c>
      <c r="BG47" s="700" t="str">
        <f ca="1">IF(INDIRECT("'Ext Nontradable'!$B" &amp; BG$9)=$B47,INDIRECT("'Ext Nontradable'!$" &amp; 'Ext Nontradable'!$AZ$23 &amp; BG$9),"")</f>
        <v/>
      </c>
      <c r="BH47" s="700" t="str">
        <f ca="1">IF(INDIRECT("'Ext Nontradable'!$B" &amp; BH$9)=$B47,INDIRECT("'Ext Nontradable'!$" &amp; 'Ext Nontradable'!$AZ$23 &amp; BH$9),"")</f>
        <v/>
      </c>
      <c r="BI47" s="700" t="str">
        <f ca="1">IF(INDIRECT("'Ext Nontradable'!$B" &amp; BI$9)=$B47,INDIRECT("'Ext Nontradable'!$" &amp; 'Ext Nontradable'!$AZ$23 &amp; BI$9),"")</f>
        <v/>
      </c>
      <c r="BJ47" s="700" t="str">
        <f ca="1">IF(INDIRECT("'Ext Nontradable'!$B" &amp; BJ$9)=$B47,INDIRECT("'Ext Nontradable'!$" &amp; 'Ext Nontradable'!$AZ$23 &amp; BJ$9),"")</f>
        <v/>
      </c>
      <c r="BK47" s="700" t="str">
        <f ca="1">IF(INDIRECT("'Ext Nontradable'!$B" &amp; BK$9)=$B47,INDIRECT("'Ext Nontradable'!$" &amp; 'Ext Nontradable'!$AZ$23 &amp; BK$9),"")</f>
        <v/>
      </c>
      <c r="BL47" s="700" t="str">
        <f ca="1">IF(INDIRECT("'Ext Nontradable'!$B" &amp; BL$9)=$B47,INDIRECT("'Ext Nontradable'!$" &amp; 'Ext Nontradable'!$AZ$23 &amp; BL$9),"")</f>
        <v/>
      </c>
      <c r="BM47" s="700" t="str">
        <f ca="1">IF(INDIRECT("'Ext Nontradable'!$B" &amp; BM$9)=$B47,INDIRECT("'Ext Nontradable'!$" &amp; 'Ext Nontradable'!$AZ$23 &amp; BM$9),"")</f>
        <v/>
      </c>
      <c r="BN47" s="700">
        <f ca="1">IF(INDIRECT("'Ext Nontradable'!$B" &amp; BN$9)=$B47,INDIRECT("'Ext Nontradable'!$" &amp; 'Ext Nontradable'!$AZ$23 &amp; BN$9),"")</f>
        <v>0</v>
      </c>
      <c r="BO47" s="700">
        <f ca="1">IF(INDIRECT("'Ext Nontradable'!$B" &amp; BO$9)=$B47,INDIRECT("'Ext Nontradable'!$" &amp; 'Ext Nontradable'!$AZ$23 &amp; BO$9),"")</f>
        <v>0</v>
      </c>
      <c r="BP47" s="700">
        <f ca="1">IF(INDIRECT("'Ext Nontradable'!$B" &amp; BP$9)=$B47,INDIRECT("'Ext Nontradable'!$" &amp; 'Ext Nontradable'!$AZ$23 &amp; BP$9),"")</f>
        <v>0</v>
      </c>
      <c r="BQ47" s="700">
        <f ca="1">IF(INDIRECT("'Ext Nontradable'!$B" &amp; BQ$9)=$B47,INDIRECT("'Ext Nontradable'!$" &amp; 'Ext Nontradable'!$AZ$23 &amp; BQ$9),"")</f>
        <v>0</v>
      </c>
      <c r="BR47" s="700">
        <f ca="1">IF(INDIRECT("'Ext Nontradable'!$B" &amp; BR$9)=$B47,INDIRECT("'Ext Nontradable'!$" &amp; 'Ext Nontradable'!$AZ$23 &amp; BR$9),"")</f>
        <v>0</v>
      </c>
      <c r="BS47" s="700">
        <f ca="1">IF(INDIRECT("'Ext Nontradable'!$B" &amp; BS$9)=$B47,INDIRECT("'Ext Nontradable'!$" &amp; 'Ext Nontradable'!$AZ$23 &amp; BS$9),"")</f>
        <v>0</v>
      </c>
      <c r="BT47" s="700">
        <f ca="1">IF(INDIRECT("'Ext Nontradable'!$B" &amp; BT$9)=$B47,INDIRECT("'Ext Nontradable'!$" &amp; 'Ext Nontradable'!$AZ$23 &amp; BT$9),"")</f>
        <v>0</v>
      </c>
      <c r="BU47" s="700">
        <f ca="1">IF(INDIRECT("'Ext Nontradable'!$B" &amp; BU$9)=$B47,INDIRECT("'Ext Nontradable'!$" &amp; 'Ext Nontradable'!$AZ$23 &amp; BU$9),"")</f>
        <v>0</v>
      </c>
      <c r="BV47" s="700">
        <f ca="1">IF(INDIRECT("'Ext Nontradable'!$B" &amp; BV$9)=$B47,INDIRECT("'Ext Nontradable'!$" &amp; 'Ext Nontradable'!$AZ$23 &amp; BV$9),"")</f>
        <v>0</v>
      </c>
      <c r="BW47" s="700">
        <f ca="1">IF(INDIRECT("'Ext Nontradable'!$B" &amp; BW$9)=$B47,INDIRECT("'Ext Nontradable'!$" &amp; 'Ext Nontradable'!$AZ$23 &amp; BW$9),"")</f>
        <v>0</v>
      </c>
      <c r="BX47" s="700">
        <f ca="1">IF(INDIRECT("'Ext Nontradable'!$B" &amp; BX$9)=$B47,INDIRECT("'Ext Nontradable'!$" &amp; 'Ext Nontradable'!$AZ$23 &amp; BX$9),"")</f>
        <v>0</v>
      </c>
      <c r="BY47" s="700">
        <f ca="1">IF(INDIRECT("'Ext Nontradable'!$B" &amp; BY$9)=$B47,INDIRECT("'Ext Nontradable'!$" &amp; 'Ext Nontradable'!$AZ$23 &amp; BY$9),"")</f>
        <v>0</v>
      </c>
      <c r="BZ47" s="700">
        <f ca="1">IF(INDIRECT("'Ext Nontradable'!$B" &amp; BZ$9)=$B47,INDIRECT("'Ext Nontradable'!$" &amp; 'Ext Nontradable'!$AZ$23 &amp; BZ$9),"")</f>
        <v>0</v>
      </c>
      <c r="CA47" s="700">
        <f ca="1">IF(INDIRECT("'Ext Nontradable'!$B" &amp; CA$9)=$B47,INDIRECT("'Ext Nontradable'!$" &amp; 'Ext Nontradable'!$AZ$23 &amp; CA$9),"")</f>
        <v>0</v>
      </c>
      <c r="CB47" s="700">
        <f ca="1">IF(INDIRECT("'Ext Nontradable'!$B" &amp; CB$9)=$B47,INDIRECT("'Ext Nontradable'!$" &amp; 'Ext Nontradable'!$AZ$23 &amp; CB$9),"")</f>
        <v>0</v>
      </c>
      <c r="CC47" s="700">
        <f ca="1">IF(INDIRECT("'Ext Nontradable'!$B" &amp; CC$9)=$B47,INDIRECT("'Ext Nontradable'!$" &amp; 'Ext Nontradable'!$AZ$23 &amp; CC$9),"")</f>
        <v>0</v>
      </c>
      <c r="CD47" s="700">
        <f ca="1">IF(INDIRECT("'Ext Nontradable'!$B" &amp; CD$9)=$B47,INDIRECT("'Ext Nontradable'!$" &amp; 'Ext Nontradable'!$AZ$23 &amp; CD$9),"")</f>
        <v>0</v>
      </c>
      <c r="CE47" s="700">
        <f ca="1">IF(INDIRECT("'Ext Nontradable'!$B" &amp; CE$9)=$B47,INDIRECT("'Ext Nontradable'!$" &amp; 'Ext Nontradable'!$AZ$23 &amp; CE$9),"")</f>
        <v>0</v>
      </c>
      <c r="CF47" s="700">
        <f ca="1">IF(INDIRECT("'Ext Nontradable'!$B" &amp; CF$9)=$B47,INDIRECT("'Ext Nontradable'!$" &amp; 'Ext Nontradable'!$AZ$23 &amp; CF$9),"")</f>
        <v>0</v>
      </c>
      <c r="CG47" s="700">
        <f ca="1">IF(INDIRECT("'Ext Nontradable'!$B" &amp; CG$9)=$B47,INDIRECT("'Ext Nontradable'!$" &amp; 'Ext Nontradable'!$AZ$23 &amp; CG$9),"")</f>
        <v>0</v>
      </c>
      <c r="CH47" s="700">
        <f ca="1">IF(INDIRECT("'Ext Nontradable'!$B" &amp; CH$9)=$B47,INDIRECT("'Ext Nontradable'!$" &amp; 'Ext Nontradable'!$AZ$23 &amp; CH$9),"")</f>
        <v>0</v>
      </c>
      <c r="CI47" s="700">
        <f ca="1">IF(INDIRECT("'Ext Nontradable'!$B" &amp; CI$9)=$B47,INDIRECT("'Ext Nontradable'!$" &amp; 'Ext Nontradable'!$AZ$23 &amp; CI$9),"")</f>
        <v>0</v>
      </c>
      <c r="CJ47" s="700">
        <f ca="1">IF(INDIRECT("'Ext Nontradable'!$B" &amp; CJ$9)=$B47,INDIRECT("'Ext Nontradable'!$" &amp; 'Ext Nontradable'!$AZ$23 &amp; CJ$9),"")</f>
        <v>0</v>
      </c>
      <c r="CK47" s="700">
        <f ca="1">IF(INDIRECT("'Ext Nontradable'!$B" &amp; CK$9)=$B47,INDIRECT("'Ext Nontradable'!$" &amp; 'Ext Nontradable'!$AZ$23 &amp; CK$9),"")</f>
        <v>0</v>
      </c>
      <c r="CL47" s="700">
        <f ca="1">IF(INDIRECT("'Ext Nontradable'!$B" &amp; CL$9)=$B47,INDIRECT("'Ext Nontradable'!$" &amp; 'Ext Nontradable'!$AZ$23 &amp; CL$9),"")</f>
        <v>0</v>
      </c>
      <c r="CM47" s="700">
        <f ca="1">IF(INDIRECT("'Ext Nontradable'!$B" &amp; CM$9)=$B47,INDIRECT("'Ext Nontradable'!$" &amp; 'Ext Nontradable'!$AZ$23 &amp; CM$9),"")</f>
        <v>0</v>
      </c>
      <c r="CN47" s="700">
        <f ca="1">IF(INDIRECT("'Ext Nontradable'!$B" &amp; CN$9)=$B47,INDIRECT("'Ext Nontradable'!$" &amp; 'Ext Nontradable'!$AZ$23 &amp; CN$9),"")</f>
        <v>0</v>
      </c>
      <c r="CO47" s="700">
        <f ca="1">IF(INDIRECT("'Ext Nontradable'!$B" &amp; CO$9)=$B47,INDIRECT("'Ext Nontradable'!$" &amp; 'Ext Nontradable'!$AZ$23 &amp; CO$9),"")</f>
        <v>0</v>
      </c>
      <c r="CP47" s="700">
        <f ca="1">IF(INDIRECT("'Ext Nontradable'!$B" &amp; CP$9)=$B47,INDIRECT("'Ext Nontradable'!$" &amp; 'Ext Nontradable'!$AZ$23 &amp; CP$9),"")</f>
        <v>0</v>
      </c>
      <c r="CQ47" s="700">
        <f ca="1">IF(INDIRECT("'Ext Nontradable'!$B" &amp; CQ$9)=$B47,INDIRECT("'Ext Nontradable'!$" &amp; 'Ext Nontradable'!$AZ$23 &amp; CQ$9),"")</f>
        <v>0</v>
      </c>
      <c r="CR47" s="702" t="str">
        <f t="shared" ca="1" si="25"/>
        <v>000000000000000000000000000000</v>
      </c>
    </row>
    <row r="48" spans="1:96" ht="60" customHeight="1" x14ac:dyDescent="0.25">
      <c r="A48" s="705">
        <v>39</v>
      </c>
      <c r="B48" s="707" t="str">
        <f>'Ext Area Schedule'!AK54</f>
        <v/>
      </c>
      <c r="C48" s="707" t="str">
        <f>VLOOKUP($B48,'Ext Area Schedule'!$AK$16:$AO$65,3,FALSE)</f>
        <v/>
      </c>
      <c r="D48" s="792" t="str">
        <f>VLOOKUP($B48,'Ext Area Schedule'!$AK$16:$AO$65,4,FALSE)</f>
        <v/>
      </c>
      <c r="F48" s="792" t="str">
        <f>VLOOKUP($B48,'Ext Area Schedule'!$AK$16:$AO$65,5,FALSE)</f>
        <v/>
      </c>
      <c r="G48" s="792" t="str">
        <f>VLOOKUP($B48,'Ext Area Schedule'!$AK$16:$AO$65,5,FALSE)</f>
        <v/>
      </c>
      <c r="I48" s="703" t="str">
        <f t="shared" si="1"/>
        <v/>
      </c>
      <c r="K48" s="703" t="str">
        <f>IF($B48="","",SUMIFS('Ext Nontradable'!$M$26:$M$45,'Ext Nontradable'!$B$26:$B$45,$B48,'Ext Nontradable'!$U$26:$U$45,"New"))</f>
        <v/>
      </c>
      <c r="L48" s="703" t="str">
        <f>IF($B48="","",SUMIFS('Ext Nontradable'!$M$26:$M$45,'Ext Nontradable'!$B$26:$B$45,$B48,'Ext Nontradable'!$U$26:$U$45,""))</f>
        <v/>
      </c>
      <c r="M48" s="703" t="str">
        <f>IF($B48="","",SUMIFS('Ext Nontradable'!$K$26:$K$45,'Ext Nontradable'!$B$26:$B$45,$B48,'Ext Nontradable'!$U$26:$U$45,"New")+SUMIFS('Ext Nontradable'!$K$26:$K$45,'Ext Nontradable'!$B$26:$B$45,$B48,'Ext Nontradable'!$U$26:$U$45,""))</f>
        <v/>
      </c>
      <c r="N48" s="703" t="str">
        <f>IF($B48="","",SUMIFS('Ext Nontradable'!$M$26:$M$45,'Ext Nontradable'!$B$26:$B$45,$B48,'Ext Nontradable'!$U$26:$U$45,"Existing Remains"))</f>
        <v/>
      </c>
      <c r="O48" s="703" t="str">
        <f>IF($B48="","",SUMIFS('Ext Nontradable'!$M$26:$M$45,'Ext Nontradable'!$B$26:$B$45,$B48,'Ext Nontradable'!$U$26:$U$45,"Existing Removed"))</f>
        <v/>
      </c>
      <c r="P48" s="703" t="str">
        <f>IF($B48="","",SUMIFS('Ext Nontradable'!$K$26:$K$45,'Ext Nontradable'!$B$26:$B$45,$B48,'Ext Nontradable'!$U$26:$U$45,"Existing Removed"))</f>
        <v/>
      </c>
      <c r="Q48" s="703" t="str">
        <f t="shared" si="2"/>
        <v/>
      </c>
      <c r="R48" s="703" t="str">
        <f t="shared" si="7"/>
        <v/>
      </c>
      <c r="S48" s="703">
        <f t="shared" si="8"/>
        <v>0</v>
      </c>
      <c r="T48" s="954">
        <f t="shared" si="20"/>
        <v>0</v>
      </c>
      <c r="U48" s="954">
        <f t="shared" si="21"/>
        <v>0</v>
      </c>
      <c r="V48" s="1115" t="str">
        <f t="shared" si="22"/>
        <v/>
      </c>
      <c r="W48" s="712" t="str">
        <f t="shared" si="23"/>
        <v/>
      </c>
      <c r="X48" s="857"/>
      <c r="Y48" s="720" t="str">
        <f t="shared" si="24"/>
        <v/>
      </c>
      <c r="Z48" s="721" t="str">
        <f t="shared" si="9"/>
        <v/>
      </c>
      <c r="AA48" s="721" t="str">
        <f t="shared" si="10"/>
        <v/>
      </c>
      <c r="AB48" s="719" t="str">
        <f t="shared" si="4"/>
        <v/>
      </c>
      <c r="AC48" s="857"/>
      <c r="AD48" s="717" t="str">
        <f t="shared" si="11"/>
        <v/>
      </c>
      <c r="AE48" s="718" t="str">
        <f t="shared" si="12"/>
        <v/>
      </c>
      <c r="AF48" s="719" t="str">
        <f t="shared" si="5"/>
        <v/>
      </c>
      <c r="AG48" s="726"/>
      <c r="AH48" s="727" t="str">
        <f t="shared" si="13"/>
        <v/>
      </c>
      <c r="AI48" s="703" t="str">
        <f t="shared" si="14"/>
        <v/>
      </c>
      <c r="AJ48" s="703" t="str">
        <f t="shared" si="15"/>
        <v/>
      </c>
      <c r="AL48" s="1075" t="str">
        <f t="shared" si="16"/>
        <v/>
      </c>
      <c r="AM48" s="855" t="str">
        <f t="shared" si="18"/>
        <v/>
      </c>
      <c r="AN48" s="707" t="str">
        <f>IF(OR(AL48="Fail",AL48="Fail LPA",AL48=""),"",IF(AM48&lt;&gt;"#1",VLOOKUP(C48,'9.4.3 Tables'!B$156:O$164,14,FALSE),"No NEW controls required"))</f>
        <v/>
      </c>
      <c r="AO48" s="703">
        <f t="shared" si="19"/>
        <v>0</v>
      </c>
      <c r="AR48">
        <v>39</v>
      </c>
      <c r="AS48" s="15" t="str">
        <f t="shared" si="17"/>
        <v/>
      </c>
      <c r="AT48" s="700" t="str">
        <f ca="1">IF(INDIRECT("'Ext Nontradable'!$B" &amp; AT$9)=$B48,INDIRECT("'Ext Nontradable'!$" &amp; 'Ext Nontradable'!$AZ$23 &amp; AT$9),"")</f>
        <v/>
      </c>
      <c r="AU48" s="700" t="str">
        <f ca="1">IF(INDIRECT("'Ext Nontradable'!$B" &amp; AU$9)=$B48,INDIRECT("'Ext Nontradable'!$" &amp; 'Ext Nontradable'!$AZ$23 &amp; AU$9),"")</f>
        <v/>
      </c>
      <c r="AV48" s="700" t="str">
        <f ca="1">IF(INDIRECT("'Ext Nontradable'!$B" &amp; AV$9)=$B48,INDIRECT("'Ext Nontradable'!$" &amp; 'Ext Nontradable'!$AZ$23 &amp; AV$9),"")</f>
        <v/>
      </c>
      <c r="AW48" s="700" t="str">
        <f ca="1">IF(INDIRECT("'Ext Nontradable'!$B" &amp; AW$9)=$B48,INDIRECT("'Ext Nontradable'!$" &amp; 'Ext Nontradable'!$AZ$23 &amp; AW$9),"")</f>
        <v/>
      </c>
      <c r="AX48" s="700" t="str">
        <f ca="1">IF(INDIRECT("'Ext Nontradable'!$B" &amp; AX$9)=$B48,INDIRECT("'Ext Nontradable'!$" &amp; 'Ext Nontradable'!$AZ$23 &amp; AX$9),"")</f>
        <v/>
      </c>
      <c r="AY48" s="700" t="str">
        <f ca="1">IF(INDIRECT("'Ext Nontradable'!$B" &amp; AY$9)=$B48,INDIRECT("'Ext Nontradable'!$" &amp; 'Ext Nontradable'!$AZ$23 &amp; AY$9),"")</f>
        <v/>
      </c>
      <c r="AZ48" s="700" t="str">
        <f ca="1">IF(INDIRECT("'Ext Nontradable'!$B" &amp; AZ$9)=$B48,INDIRECT("'Ext Nontradable'!$" &amp; 'Ext Nontradable'!$AZ$23 &amp; AZ$9),"")</f>
        <v/>
      </c>
      <c r="BA48" s="700" t="str">
        <f ca="1">IF(INDIRECT("'Ext Nontradable'!$B" &amp; BA$9)=$B48,INDIRECT("'Ext Nontradable'!$" &amp; 'Ext Nontradable'!$AZ$23 &amp; BA$9),"")</f>
        <v/>
      </c>
      <c r="BB48" s="700" t="str">
        <f ca="1">IF(INDIRECT("'Ext Nontradable'!$B" &amp; BB$9)=$B48,INDIRECT("'Ext Nontradable'!$" &amp; 'Ext Nontradable'!$AZ$23 &amp; BB$9),"")</f>
        <v/>
      </c>
      <c r="BC48" s="700" t="str">
        <f ca="1">IF(INDIRECT("'Ext Nontradable'!$B" &amp; BC$9)=$B48,INDIRECT("'Ext Nontradable'!$" &amp; 'Ext Nontradable'!$AZ$23 &amp; BC$9),"")</f>
        <v/>
      </c>
      <c r="BD48" s="700" t="str">
        <f ca="1">IF(INDIRECT("'Ext Nontradable'!$B" &amp; BD$9)=$B48,INDIRECT("'Ext Nontradable'!$" &amp; 'Ext Nontradable'!$AZ$23 &amp; BD$9),"")</f>
        <v/>
      </c>
      <c r="BE48" s="700" t="str">
        <f ca="1">IF(INDIRECT("'Ext Nontradable'!$B" &amp; BE$9)=$B48,INDIRECT("'Ext Nontradable'!$" &amp; 'Ext Nontradable'!$AZ$23 &amp; BE$9),"")</f>
        <v/>
      </c>
      <c r="BF48" s="700" t="str">
        <f ca="1">IF(INDIRECT("'Ext Nontradable'!$B" &amp; BF$9)=$B48,INDIRECT("'Ext Nontradable'!$" &amp; 'Ext Nontradable'!$AZ$23 &amp; BF$9),"")</f>
        <v/>
      </c>
      <c r="BG48" s="700" t="str">
        <f ca="1">IF(INDIRECT("'Ext Nontradable'!$B" &amp; BG$9)=$B48,INDIRECT("'Ext Nontradable'!$" &amp; 'Ext Nontradable'!$AZ$23 &amp; BG$9),"")</f>
        <v/>
      </c>
      <c r="BH48" s="700" t="str">
        <f ca="1">IF(INDIRECT("'Ext Nontradable'!$B" &amp; BH$9)=$B48,INDIRECT("'Ext Nontradable'!$" &amp; 'Ext Nontradable'!$AZ$23 &amp; BH$9),"")</f>
        <v/>
      </c>
      <c r="BI48" s="700" t="str">
        <f ca="1">IF(INDIRECT("'Ext Nontradable'!$B" &amp; BI$9)=$B48,INDIRECT("'Ext Nontradable'!$" &amp; 'Ext Nontradable'!$AZ$23 &amp; BI$9),"")</f>
        <v/>
      </c>
      <c r="BJ48" s="700" t="str">
        <f ca="1">IF(INDIRECT("'Ext Nontradable'!$B" &amp; BJ$9)=$B48,INDIRECT("'Ext Nontradable'!$" &amp; 'Ext Nontradable'!$AZ$23 &amp; BJ$9),"")</f>
        <v/>
      </c>
      <c r="BK48" s="700" t="str">
        <f ca="1">IF(INDIRECT("'Ext Nontradable'!$B" &amp; BK$9)=$B48,INDIRECT("'Ext Nontradable'!$" &amp; 'Ext Nontradable'!$AZ$23 &amp; BK$9),"")</f>
        <v/>
      </c>
      <c r="BL48" s="700" t="str">
        <f ca="1">IF(INDIRECT("'Ext Nontradable'!$B" &amp; BL$9)=$B48,INDIRECT("'Ext Nontradable'!$" &amp; 'Ext Nontradable'!$AZ$23 &amp; BL$9),"")</f>
        <v/>
      </c>
      <c r="BM48" s="700" t="str">
        <f ca="1">IF(INDIRECT("'Ext Nontradable'!$B" &amp; BM$9)=$B48,INDIRECT("'Ext Nontradable'!$" &amp; 'Ext Nontradable'!$AZ$23 &amp; BM$9),"")</f>
        <v/>
      </c>
      <c r="BN48" s="700">
        <f ca="1">IF(INDIRECT("'Ext Nontradable'!$B" &amp; BN$9)=$B48,INDIRECT("'Ext Nontradable'!$" &amp; 'Ext Nontradable'!$AZ$23 &amp; BN$9),"")</f>
        <v>0</v>
      </c>
      <c r="BO48" s="700">
        <f ca="1">IF(INDIRECT("'Ext Nontradable'!$B" &amp; BO$9)=$B48,INDIRECT("'Ext Nontradable'!$" &amp; 'Ext Nontradable'!$AZ$23 &amp; BO$9),"")</f>
        <v>0</v>
      </c>
      <c r="BP48" s="700">
        <f ca="1">IF(INDIRECT("'Ext Nontradable'!$B" &amp; BP$9)=$B48,INDIRECT("'Ext Nontradable'!$" &amp; 'Ext Nontradable'!$AZ$23 &amp; BP$9),"")</f>
        <v>0</v>
      </c>
      <c r="BQ48" s="700">
        <f ca="1">IF(INDIRECT("'Ext Nontradable'!$B" &amp; BQ$9)=$B48,INDIRECT("'Ext Nontradable'!$" &amp; 'Ext Nontradable'!$AZ$23 &amp; BQ$9),"")</f>
        <v>0</v>
      </c>
      <c r="BR48" s="700">
        <f ca="1">IF(INDIRECT("'Ext Nontradable'!$B" &amp; BR$9)=$B48,INDIRECT("'Ext Nontradable'!$" &amp; 'Ext Nontradable'!$AZ$23 &amp; BR$9),"")</f>
        <v>0</v>
      </c>
      <c r="BS48" s="700">
        <f ca="1">IF(INDIRECT("'Ext Nontradable'!$B" &amp; BS$9)=$B48,INDIRECT("'Ext Nontradable'!$" &amp; 'Ext Nontradable'!$AZ$23 &amp; BS$9),"")</f>
        <v>0</v>
      </c>
      <c r="BT48" s="700">
        <f ca="1">IF(INDIRECT("'Ext Nontradable'!$B" &amp; BT$9)=$B48,INDIRECT("'Ext Nontradable'!$" &amp; 'Ext Nontradable'!$AZ$23 &amp; BT$9),"")</f>
        <v>0</v>
      </c>
      <c r="BU48" s="700">
        <f ca="1">IF(INDIRECT("'Ext Nontradable'!$B" &amp; BU$9)=$B48,INDIRECT("'Ext Nontradable'!$" &amp; 'Ext Nontradable'!$AZ$23 &amp; BU$9),"")</f>
        <v>0</v>
      </c>
      <c r="BV48" s="700">
        <f ca="1">IF(INDIRECT("'Ext Nontradable'!$B" &amp; BV$9)=$B48,INDIRECT("'Ext Nontradable'!$" &amp; 'Ext Nontradable'!$AZ$23 &amp; BV$9),"")</f>
        <v>0</v>
      </c>
      <c r="BW48" s="700">
        <f ca="1">IF(INDIRECT("'Ext Nontradable'!$B" &amp; BW$9)=$B48,INDIRECT("'Ext Nontradable'!$" &amp; 'Ext Nontradable'!$AZ$23 &amp; BW$9),"")</f>
        <v>0</v>
      </c>
      <c r="BX48" s="700">
        <f ca="1">IF(INDIRECT("'Ext Nontradable'!$B" &amp; BX$9)=$B48,INDIRECT("'Ext Nontradable'!$" &amp; 'Ext Nontradable'!$AZ$23 &amp; BX$9),"")</f>
        <v>0</v>
      </c>
      <c r="BY48" s="700">
        <f ca="1">IF(INDIRECT("'Ext Nontradable'!$B" &amp; BY$9)=$B48,INDIRECT("'Ext Nontradable'!$" &amp; 'Ext Nontradable'!$AZ$23 &amp; BY$9),"")</f>
        <v>0</v>
      </c>
      <c r="BZ48" s="700">
        <f ca="1">IF(INDIRECT("'Ext Nontradable'!$B" &amp; BZ$9)=$B48,INDIRECT("'Ext Nontradable'!$" &amp; 'Ext Nontradable'!$AZ$23 &amp; BZ$9),"")</f>
        <v>0</v>
      </c>
      <c r="CA48" s="700">
        <f ca="1">IF(INDIRECT("'Ext Nontradable'!$B" &amp; CA$9)=$B48,INDIRECT("'Ext Nontradable'!$" &amp; 'Ext Nontradable'!$AZ$23 &amp; CA$9),"")</f>
        <v>0</v>
      </c>
      <c r="CB48" s="700">
        <f ca="1">IF(INDIRECT("'Ext Nontradable'!$B" &amp; CB$9)=$B48,INDIRECT("'Ext Nontradable'!$" &amp; 'Ext Nontradable'!$AZ$23 &amp; CB$9),"")</f>
        <v>0</v>
      </c>
      <c r="CC48" s="700">
        <f ca="1">IF(INDIRECT("'Ext Nontradable'!$B" &amp; CC$9)=$B48,INDIRECT("'Ext Nontradable'!$" &amp; 'Ext Nontradable'!$AZ$23 &amp; CC$9),"")</f>
        <v>0</v>
      </c>
      <c r="CD48" s="700">
        <f ca="1">IF(INDIRECT("'Ext Nontradable'!$B" &amp; CD$9)=$B48,INDIRECT("'Ext Nontradable'!$" &amp; 'Ext Nontradable'!$AZ$23 &amp; CD$9),"")</f>
        <v>0</v>
      </c>
      <c r="CE48" s="700">
        <f ca="1">IF(INDIRECT("'Ext Nontradable'!$B" &amp; CE$9)=$B48,INDIRECT("'Ext Nontradable'!$" &amp; 'Ext Nontradable'!$AZ$23 &amp; CE$9),"")</f>
        <v>0</v>
      </c>
      <c r="CF48" s="700">
        <f ca="1">IF(INDIRECT("'Ext Nontradable'!$B" &amp; CF$9)=$B48,INDIRECT("'Ext Nontradable'!$" &amp; 'Ext Nontradable'!$AZ$23 &amp; CF$9),"")</f>
        <v>0</v>
      </c>
      <c r="CG48" s="700">
        <f ca="1">IF(INDIRECT("'Ext Nontradable'!$B" &amp; CG$9)=$B48,INDIRECT("'Ext Nontradable'!$" &amp; 'Ext Nontradable'!$AZ$23 &amp; CG$9),"")</f>
        <v>0</v>
      </c>
      <c r="CH48" s="700">
        <f ca="1">IF(INDIRECT("'Ext Nontradable'!$B" &amp; CH$9)=$B48,INDIRECT("'Ext Nontradable'!$" &amp; 'Ext Nontradable'!$AZ$23 &amp; CH$9),"")</f>
        <v>0</v>
      </c>
      <c r="CI48" s="700">
        <f ca="1">IF(INDIRECT("'Ext Nontradable'!$B" &amp; CI$9)=$B48,INDIRECT("'Ext Nontradable'!$" &amp; 'Ext Nontradable'!$AZ$23 &amp; CI$9),"")</f>
        <v>0</v>
      </c>
      <c r="CJ48" s="700">
        <f ca="1">IF(INDIRECT("'Ext Nontradable'!$B" &amp; CJ$9)=$B48,INDIRECT("'Ext Nontradable'!$" &amp; 'Ext Nontradable'!$AZ$23 &amp; CJ$9),"")</f>
        <v>0</v>
      </c>
      <c r="CK48" s="700">
        <f ca="1">IF(INDIRECT("'Ext Nontradable'!$B" &amp; CK$9)=$B48,INDIRECT("'Ext Nontradable'!$" &amp; 'Ext Nontradable'!$AZ$23 &amp; CK$9),"")</f>
        <v>0</v>
      </c>
      <c r="CL48" s="700">
        <f ca="1">IF(INDIRECT("'Ext Nontradable'!$B" &amp; CL$9)=$B48,INDIRECT("'Ext Nontradable'!$" &amp; 'Ext Nontradable'!$AZ$23 &amp; CL$9),"")</f>
        <v>0</v>
      </c>
      <c r="CM48" s="700">
        <f ca="1">IF(INDIRECT("'Ext Nontradable'!$B" &amp; CM$9)=$B48,INDIRECT("'Ext Nontradable'!$" &amp; 'Ext Nontradable'!$AZ$23 &amp; CM$9),"")</f>
        <v>0</v>
      </c>
      <c r="CN48" s="700">
        <f ca="1">IF(INDIRECT("'Ext Nontradable'!$B" &amp; CN$9)=$B48,INDIRECT("'Ext Nontradable'!$" &amp; 'Ext Nontradable'!$AZ$23 &amp; CN$9),"")</f>
        <v>0</v>
      </c>
      <c r="CO48" s="700">
        <f ca="1">IF(INDIRECT("'Ext Nontradable'!$B" &amp; CO$9)=$B48,INDIRECT("'Ext Nontradable'!$" &amp; 'Ext Nontradable'!$AZ$23 &amp; CO$9),"")</f>
        <v>0</v>
      </c>
      <c r="CP48" s="700">
        <f ca="1">IF(INDIRECT("'Ext Nontradable'!$B" &amp; CP$9)=$B48,INDIRECT("'Ext Nontradable'!$" &amp; 'Ext Nontradable'!$AZ$23 &amp; CP$9),"")</f>
        <v>0</v>
      </c>
      <c r="CQ48" s="700">
        <f ca="1">IF(INDIRECT("'Ext Nontradable'!$B" &amp; CQ$9)=$B48,INDIRECT("'Ext Nontradable'!$" &amp; 'Ext Nontradable'!$AZ$23 &amp; CQ$9),"")</f>
        <v>0</v>
      </c>
      <c r="CR48" s="702" t="str">
        <f t="shared" ca="1" si="25"/>
        <v>000000000000000000000000000000</v>
      </c>
    </row>
    <row r="49" spans="1:96" ht="60" customHeight="1" x14ac:dyDescent="0.25">
      <c r="A49" s="705">
        <v>40</v>
      </c>
      <c r="B49" s="707" t="str">
        <f>'Ext Area Schedule'!AK55</f>
        <v/>
      </c>
      <c r="C49" s="707" t="str">
        <f>VLOOKUP($B49,'Ext Area Schedule'!$AK$16:$AO$65,3,FALSE)</f>
        <v/>
      </c>
      <c r="D49" s="792" t="str">
        <f>VLOOKUP($B49,'Ext Area Schedule'!$AK$16:$AO$65,4,FALSE)</f>
        <v/>
      </c>
      <c r="F49" s="792" t="str">
        <f>VLOOKUP($B49,'Ext Area Schedule'!$AK$16:$AO$65,5,FALSE)</f>
        <v/>
      </c>
      <c r="G49" s="792" t="str">
        <f>VLOOKUP($B49,'Ext Area Schedule'!$AK$16:$AO$65,5,FALSE)</f>
        <v/>
      </c>
      <c r="I49" s="703" t="str">
        <f t="shared" si="1"/>
        <v/>
      </c>
      <c r="K49" s="703" t="str">
        <f>IF($B49="","",SUMIFS('Ext Nontradable'!$M$26:$M$45,'Ext Nontradable'!$B$26:$B$45,$B49,'Ext Nontradable'!$U$26:$U$45,"New"))</f>
        <v/>
      </c>
      <c r="L49" s="703" t="str">
        <f>IF($B49="","",SUMIFS('Ext Nontradable'!$M$26:$M$45,'Ext Nontradable'!$B$26:$B$45,$B49,'Ext Nontradable'!$U$26:$U$45,""))</f>
        <v/>
      </c>
      <c r="M49" s="703" t="str">
        <f>IF($B49="","",SUMIFS('Ext Nontradable'!$K$26:$K$45,'Ext Nontradable'!$B$26:$B$45,$B49,'Ext Nontradable'!$U$26:$U$45,"New")+SUMIFS('Ext Nontradable'!$K$26:$K$45,'Ext Nontradable'!$B$26:$B$45,$B49,'Ext Nontradable'!$U$26:$U$45,""))</f>
        <v/>
      </c>
      <c r="N49" s="703" t="str">
        <f>IF($B49="","",SUMIFS('Ext Nontradable'!$M$26:$M$45,'Ext Nontradable'!$B$26:$B$45,$B49,'Ext Nontradable'!$U$26:$U$45,"Existing Remains"))</f>
        <v/>
      </c>
      <c r="O49" s="703" t="str">
        <f>IF($B49="","",SUMIFS('Ext Nontradable'!$M$26:$M$45,'Ext Nontradable'!$B$26:$B$45,$B49,'Ext Nontradable'!$U$26:$U$45,"Existing Removed"))</f>
        <v/>
      </c>
      <c r="P49" s="703" t="str">
        <f>IF($B49="","",SUMIFS('Ext Nontradable'!$K$26:$K$45,'Ext Nontradable'!$B$26:$B$45,$B49,'Ext Nontradable'!$U$26:$U$45,"Existing Removed"))</f>
        <v/>
      </c>
      <c r="Q49" s="703" t="str">
        <f t="shared" si="2"/>
        <v/>
      </c>
      <c r="R49" s="703" t="str">
        <f t="shared" si="7"/>
        <v/>
      </c>
      <c r="S49" s="703">
        <f t="shared" si="8"/>
        <v>0</v>
      </c>
      <c r="T49" s="954">
        <f t="shared" si="20"/>
        <v>0</v>
      </c>
      <c r="U49" s="954">
        <f t="shared" si="21"/>
        <v>0</v>
      </c>
      <c r="V49" s="1115" t="str">
        <f t="shared" si="22"/>
        <v/>
      </c>
      <c r="W49" s="712" t="str">
        <f t="shared" si="23"/>
        <v/>
      </c>
      <c r="X49" s="857"/>
      <c r="Y49" s="720" t="str">
        <f t="shared" si="24"/>
        <v/>
      </c>
      <c r="Z49" s="721" t="str">
        <f t="shared" si="9"/>
        <v/>
      </c>
      <c r="AA49" s="721" t="str">
        <f t="shared" si="10"/>
        <v/>
      </c>
      <c r="AB49" s="719" t="str">
        <f t="shared" si="4"/>
        <v/>
      </c>
      <c r="AC49" s="857"/>
      <c r="AD49" s="717" t="str">
        <f t="shared" si="11"/>
        <v/>
      </c>
      <c r="AE49" s="718" t="str">
        <f t="shared" si="12"/>
        <v/>
      </c>
      <c r="AF49" s="719" t="str">
        <f t="shared" si="5"/>
        <v/>
      </c>
      <c r="AG49" s="726"/>
      <c r="AH49" s="727" t="str">
        <f t="shared" si="13"/>
        <v/>
      </c>
      <c r="AI49" s="703" t="str">
        <f t="shared" si="14"/>
        <v/>
      </c>
      <c r="AJ49" s="703" t="str">
        <f t="shared" si="15"/>
        <v/>
      </c>
      <c r="AL49" s="1075" t="str">
        <f t="shared" si="16"/>
        <v/>
      </c>
      <c r="AM49" s="855" t="str">
        <f t="shared" si="18"/>
        <v/>
      </c>
      <c r="AN49" s="707" t="str">
        <f>IF(OR(AL49="Fail",AL49="Fail LPA",AL49=""),"",IF(AM49&lt;&gt;"#1",VLOOKUP(C49,'9.4.3 Tables'!B$156:O$164,14,FALSE),"No NEW controls required"))</f>
        <v/>
      </c>
      <c r="AO49" s="703">
        <f t="shared" si="19"/>
        <v>0</v>
      </c>
      <c r="AR49">
        <v>40</v>
      </c>
      <c r="AS49" s="15" t="str">
        <f t="shared" si="17"/>
        <v/>
      </c>
      <c r="AT49" s="700" t="str">
        <f ca="1">IF(INDIRECT("'Ext Nontradable'!$B" &amp; AT$9)=$B49,INDIRECT("'Ext Nontradable'!$" &amp; 'Ext Nontradable'!$AZ$23 &amp; AT$9),"")</f>
        <v/>
      </c>
      <c r="AU49" s="700" t="str">
        <f ca="1">IF(INDIRECT("'Ext Nontradable'!$B" &amp; AU$9)=$B49,INDIRECT("'Ext Nontradable'!$" &amp; 'Ext Nontradable'!$AZ$23 &amp; AU$9),"")</f>
        <v/>
      </c>
      <c r="AV49" s="700" t="str">
        <f ca="1">IF(INDIRECT("'Ext Nontradable'!$B" &amp; AV$9)=$B49,INDIRECT("'Ext Nontradable'!$" &amp; 'Ext Nontradable'!$AZ$23 &amp; AV$9),"")</f>
        <v/>
      </c>
      <c r="AW49" s="700" t="str">
        <f ca="1">IF(INDIRECT("'Ext Nontradable'!$B" &amp; AW$9)=$B49,INDIRECT("'Ext Nontradable'!$" &amp; 'Ext Nontradable'!$AZ$23 &amp; AW$9),"")</f>
        <v/>
      </c>
      <c r="AX49" s="700" t="str">
        <f ca="1">IF(INDIRECT("'Ext Nontradable'!$B" &amp; AX$9)=$B49,INDIRECT("'Ext Nontradable'!$" &amp; 'Ext Nontradable'!$AZ$23 &amp; AX$9),"")</f>
        <v/>
      </c>
      <c r="AY49" s="700" t="str">
        <f ca="1">IF(INDIRECT("'Ext Nontradable'!$B" &amp; AY$9)=$B49,INDIRECT("'Ext Nontradable'!$" &amp; 'Ext Nontradable'!$AZ$23 &amp; AY$9),"")</f>
        <v/>
      </c>
      <c r="AZ49" s="700" t="str">
        <f ca="1">IF(INDIRECT("'Ext Nontradable'!$B" &amp; AZ$9)=$B49,INDIRECT("'Ext Nontradable'!$" &amp; 'Ext Nontradable'!$AZ$23 &amp; AZ$9),"")</f>
        <v/>
      </c>
      <c r="BA49" s="700" t="str">
        <f ca="1">IF(INDIRECT("'Ext Nontradable'!$B" &amp; BA$9)=$B49,INDIRECT("'Ext Nontradable'!$" &amp; 'Ext Nontradable'!$AZ$23 &amp; BA$9),"")</f>
        <v/>
      </c>
      <c r="BB49" s="700" t="str">
        <f ca="1">IF(INDIRECT("'Ext Nontradable'!$B" &amp; BB$9)=$B49,INDIRECT("'Ext Nontradable'!$" &amp; 'Ext Nontradable'!$AZ$23 &amp; BB$9),"")</f>
        <v/>
      </c>
      <c r="BC49" s="700" t="str">
        <f ca="1">IF(INDIRECT("'Ext Nontradable'!$B" &amp; BC$9)=$B49,INDIRECT("'Ext Nontradable'!$" &amp; 'Ext Nontradable'!$AZ$23 &amp; BC$9),"")</f>
        <v/>
      </c>
      <c r="BD49" s="700" t="str">
        <f ca="1">IF(INDIRECT("'Ext Nontradable'!$B" &amp; BD$9)=$B49,INDIRECT("'Ext Nontradable'!$" &amp; 'Ext Nontradable'!$AZ$23 &amp; BD$9),"")</f>
        <v/>
      </c>
      <c r="BE49" s="700" t="str">
        <f ca="1">IF(INDIRECT("'Ext Nontradable'!$B" &amp; BE$9)=$B49,INDIRECT("'Ext Nontradable'!$" &amp; 'Ext Nontradable'!$AZ$23 &amp; BE$9),"")</f>
        <v/>
      </c>
      <c r="BF49" s="700" t="str">
        <f ca="1">IF(INDIRECT("'Ext Nontradable'!$B" &amp; BF$9)=$B49,INDIRECT("'Ext Nontradable'!$" &amp; 'Ext Nontradable'!$AZ$23 &amp; BF$9),"")</f>
        <v/>
      </c>
      <c r="BG49" s="700" t="str">
        <f ca="1">IF(INDIRECT("'Ext Nontradable'!$B" &amp; BG$9)=$B49,INDIRECT("'Ext Nontradable'!$" &amp; 'Ext Nontradable'!$AZ$23 &amp; BG$9),"")</f>
        <v/>
      </c>
      <c r="BH49" s="700" t="str">
        <f ca="1">IF(INDIRECT("'Ext Nontradable'!$B" &amp; BH$9)=$B49,INDIRECT("'Ext Nontradable'!$" &amp; 'Ext Nontradable'!$AZ$23 &amp; BH$9),"")</f>
        <v/>
      </c>
      <c r="BI49" s="700" t="str">
        <f ca="1">IF(INDIRECT("'Ext Nontradable'!$B" &amp; BI$9)=$B49,INDIRECT("'Ext Nontradable'!$" &amp; 'Ext Nontradable'!$AZ$23 &amp; BI$9),"")</f>
        <v/>
      </c>
      <c r="BJ49" s="700" t="str">
        <f ca="1">IF(INDIRECT("'Ext Nontradable'!$B" &amp; BJ$9)=$B49,INDIRECT("'Ext Nontradable'!$" &amp; 'Ext Nontradable'!$AZ$23 &amp; BJ$9),"")</f>
        <v/>
      </c>
      <c r="BK49" s="700" t="str">
        <f ca="1">IF(INDIRECT("'Ext Nontradable'!$B" &amp; BK$9)=$B49,INDIRECT("'Ext Nontradable'!$" &amp; 'Ext Nontradable'!$AZ$23 &amp; BK$9),"")</f>
        <v/>
      </c>
      <c r="BL49" s="700" t="str">
        <f ca="1">IF(INDIRECT("'Ext Nontradable'!$B" &amp; BL$9)=$B49,INDIRECT("'Ext Nontradable'!$" &amp; 'Ext Nontradable'!$AZ$23 &amp; BL$9),"")</f>
        <v/>
      </c>
      <c r="BM49" s="700" t="str">
        <f ca="1">IF(INDIRECT("'Ext Nontradable'!$B" &amp; BM$9)=$B49,INDIRECT("'Ext Nontradable'!$" &amp; 'Ext Nontradable'!$AZ$23 &amp; BM$9),"")</f>
        <v/>
      </c>
      <c r="BN49" s="700">
        <f ca="1">IF(INDIRECT("'Ext Nontradable'!$B" &amp; BN$9)=$B49,INDIRECT("'Ext Nontradable'!$" &amp; 'Ext Nontradable'!$AZ$23 &amp; BN$9),"")</f>
        <v>0</v>
      </c>
      <c r="BO49" s="700">
        <f ca="1">IF(INDIRECT("'Ext Nontradable'!$B" &amp; BO$9)=$B49,INDIRECT("'Ext Nontradable'!$" &amp; 'Ext Nontradable'!$AZ$23 &amp; BO$9),"")</f>
        <v>0</v>
      </c>
      <c r="BP49" s="700">
        <f ca="1">IF(INDIRECT("'Ext Nontradable'!$B" &amp; BP$9)=$B49,INDIRECT("'Ext Nontradable'!$" &amp; 'Ext Nontradable'!$AZ$23 &amp; BP$9),"")</f>
        <v>0</v>
      </c>
      <c r="BQ49" s="700">
        <f ca="1">IF(INDIRECT("'Ext Nontradable'!$B" &amp; BQ$9)=$B49,INDIRECT("'Ext Nontradable'!$" &amp; 'Ext Nontradable'!$AZ$23 &amp; BQ$9),"")</f>
        <v>0</v>
      </c>
      <c r="BR49" s="700">
        <f ca="1">IF(INDIRECT("'Ext Nontradable'!$B" &amp; BR$9)=$B49,INDIRECT("'Ext Nontradable'!$" &amp; 'Ext Nontradable'!$AZ$23 &amp; BR$9),"")</f>
        <v>0</v>
      </c>
      <c r="BS49" s="700">
        <f ca="1">IF(INDIRECT("'Ext Nontradable'!$B" &amp; BS$9)=$B49,INDIRECT("'Ext Nontradable'!$" &amp; 'Ext Nontradable'!$AZ$23 &amp; BS$9),"")</f>
        <v>0</v>
      </c>
      <c r="BT49" s="700">
        <f ca="1">IF(INDIRECT("'Ext Nontradable'!$B" &amp; BT$9)=$B49,INDIRECT("'Ext Nontradable'!$" &amp; 'Ext Nontradable'!$AZ$23 &amp; BT$9),"")</f>
        <v>0</v>
      </c>
      <c r="BU49" s="700">
        <f ca="1">IF(INDIRECT("'Ext Nontradable'!$B" &amp; BU$9)=$B49,INDIRECT("'Ext Nontradable'!$" &amp; 'Ext Nontradable'!$AZ$23 &amp; BU$9),"")</f>
        <v>0</v>
      </c>
      <c r="BV49" s="700">
        <f ca="1">IF(INDIRECT("'Ext Nontradable'!$B" &amp; BV$9)=$B49,INDIRECT("'Ext Nontradable'!$" &amp; 'Ext Nontradable'!$AZ$23 &amp; BV$9),"")</f>
        <v>0</v>
      </c>
      <c r="BW49" s="700">
        <f ca="1">IF(INDIRECT("'Ext Nontradable'!$B" &amp; BW$9)=$B49,INDIRECT("'Ext Nontradable'!$" &amp; 'Ext Nontradable'!$AZ$23 &amp; BW$9),"")</f>
        <v>0</v>
      </c>
      <c r="BX49" s="700">
        <f ca="1">IF(INDIRECT("'Ext Nontradable'!$B" &amp; BX$9)=$B49,INDIRECT("'Ext Nontradable'!$" &amp; 'Ext Nontradable'!$AZ$23 &amp; BX$9),"")</f>
        <v>0</v>
      </c>
      <c r="BY49" s="700">
        <f ca="1">IF(INDIRECT("'Ext Nontradable'!$B" &amp; BY$9)=$B49,INDIRECT("'Ext Nontradable'!$" &amp; 'Ext Nontradable'!$AZ$23 &amp; BY$9),"")</f>
        <v>0</v>
      </c>
      <c r="BZ49" s="700">
        <f ca="1">IF(INDIRECT("'Ext Nontradable'!$B" &amp; BZ$9)=$B49,INDIRECT("'Ext Nontradable'!$" &amp; 'Ext Nontradable'!$AZ$23 &amp; BZ$9),"")</f>
        <v>0</v>
      </c>
      <c r="CA49" s="700">
        <f ca="1">IF(INDIRECT("'Ext Nontradable'!$B" &amp; CA$9)=$B49,INDIRECT("'Ext Nontradable'!$" &amp; 'Ext Nontradable'!$AZ$23 &amp; CA$9),"")</f>
        <v>0</v>
      </c>
      <c r="CB49" s="700">
        <f ca="1">IF(INDIRECT("'Ext Nontradable'!$B" &amp; CB$9)=$B49,INDIRECT("'Ext Nontradable'!$" &amp; 'Ext Nontradable'!$AZ$23 &amp; CB$9),"")</f>
        <v>0</v>
      </c>
      <c r="CC49" s="700">
        <f ca="1">IF(INDIRECT("'Ext Nontradable'!$B" &amp; CC$9)=$B49,INDIRECT("'Ext Nontradable'!$" &amp; 'Ext Nontradable'!$AZ$23 &amp; CC$9),"")</f>
        <v>0</v>
      </c>
      <c r="CD49" s="700">
        <f ca="1">IF(INDIRECT("'Ext Nontradable'!$B" &amp; CD$9)=$B49,INDIRECT("'Ext Nontradable'!$" &amp; 'Ext Nontradable'!$AZ$23 &amp; CD$9),"")</f>
        <v>0</v>
      </c>
      <c r="CE49" s="700">
        <f ca="1">IF(INDIRECT("'Ext Nontradable'!$B" &amp; CE$9)=$B49,INDIRECT("'Ext Nontradable'!$" &amp; 'Ext Nontradable'!$AZ$23 &amp; CE$9),"")</f>
        <v>0</v>
      </c>
      <c r="CF49" s="700">
        <f ca="1">IF(INDIRECT("'Ext Nontradable'!$B" &amp; CF$9)=$B49,INDIRECT("'Ext Nontradable'!$" &amp; 'Ext Nontradable'!$AZ$23 &amp; CF$9),"")</f>
        <v>0</v>
      </c>
      <c r="CG49" s="700">
        <f ca="1">IF(INDIRECT("'Ext Nontradable'!$B" &amp; CG$9)=$B49,INDIRECT("'Ext Nontradable'!$" &amp; 'Ext Nontradable'!$AZ$23 &amp; CG$9),"")</f>
        <v>0</v>
      </c>
      <c r="CH49" s="700">
        <f ca="1">IF(INDIRECT("'Ext Nontradable'!$B" &amp; CH$9)=$B49,INDIRECT("'Ext Nontradable'!$" &amp; 'Ext Nontradable'!$AZ$23 &amp; CH$9),"")</f>
        <v>0</v>
      </c>
      <c r="CI49" s="700">
        <f ca="1">IF(INDIRECT("'Ext Nontradable'!$B" &amp; CI$9)=$B49,INDIRECT("'Ext Nontradable'!$" &amp; 'Ext Nontradable'!$AZ$23 &amp; CI$9),"")</f>
        <v>0</v>
      </c>
      <c r="CJ49" s="700">
        <f ca="1">IF(INDIRECT("'Ext Nontradable'!$B" &amp; CJ$9)=$B49,INDIRECT("'Ext Nontradable'!$" &amp; 'Ext Nontradable'!$AZ$23 &amp; CJ$9),"")</f>
        <v>0</v>
      </c>
      <c r="CK49" s="700">
        <f ca="1">IF(INDIRECT("'Ext Nontradable'!$B" &amp; CK$9)=$B49,INDIRECT("'Ext Nontradable'!$" &amp; 'Ext Nontradable'!$AZ$23 &amp; CK$9),"")</f>
        <v>0</v>
      </c>
      <c r="CL49" s="700">
        <f ca="1">IF(INDIRECT("'Ext Nontradable'!$B" &amp; CL$9)=$B49,INDIRECT("'Ext Nontradable'!$" &amp; 'Ext Nontradable'!$AZ$23 &amp; CL$9),"")</f>
        <v>0</v>
      </c>
      <c r="CM49" s="700">
        <f ca="1">IF(INDIRECT("'Ext Nontradable'!$B" &amp; CM$9)=$B49,INDIRECT("'Ext Nontradable'!$" &amp; 'Ext Nontradable'!$AZ$23 &amp; CM$9),"")</f>
        <v>0</v>
      </c>
      <c r="CN49" s="700">
        <f ca="1">IF(INDIRECT("'Ext Nontradable'!$B" &amp; CN$9)=$B49,INDIRECT("'Ext Nontradable'!$" &amp; 'Ext Nontradable'!$AZ$23 &amp; CN$9),"")</f>
        <v>0</v>
      </c>
      <c r="CO49" s="700">
        <f ca="1">IF(INDIRECT("'Ext Nontradable'!$B" &amp; CO$9)=$B49,INDIRECT("'Ext Nontradable'!$" &amp; 'Ext Nontradable'!$AZ$23 &amp; CO$9),"")</f>
        <v>0</v>
      </c>
      <c r="CP49" s="700">
        <f ca="1">IF(INDIRECT("'Ext Nontradable'!$B" &amp; CP$9)=$B49,INDIRECT("'Ext Nontradable'!$" &amp; 'Ext Nontradable'!$AZ$23 &amp; CP$9),"")</f>
        <v>0</v>
      </c>
      <c r="CQ49" s="700">
        <f ca="1">IF(INDIRECT("'Ext Nontradable'!$B" &amp; CQ$9)=$B49,INDIRECT("'Ext Nontradable'!$" &amp; 'Ext Nontradable'!$AZ$23 &amp; CQ$9),"")</f>
        <v>0</v>
      </c>
      <c r="CR49" s="702" t="str">
        <f t="shared" ca="1" si="25"/>
        <v>000000000000000000000000000000</v>
      </c>
    </row>
    <row r="50" spans="1:96" ht="60" customHeight="1" x14ac:dyDescent="0.25">
      <c r="A50" s="705">
        <v>41</v>
      </c>
      <c r="B50" s="707" t="str">
        <f>'Ext Area Schedule'!AK56</f>
        <v/>
      </c>
      <c r="C50" s="707" t="str">
        <f>VLOOKUP($B50,'Ext Area Schedule'!$AK$16:$AO$65,3,FALSE)</f>
        <v/>
      </c>
      <c r="D50" s="792" t="str">
        <f>VLOOKUP($B50,'Ext Area Schedule'!$AK$16:$AO$65,4,FALSE)</f>
        <v/>
      </c>
      <c r="F50" s="792" t="str">
        <f>VLOOKUP($B50,'Ext Area Schedule'!$AK$16:$AO$65,5,FALSE)</f>
        <v/>
      </c>
      <c r="G50" s="792" t="str">
        <f>VLOOKUP($B50,'Ext Area Schedule'!$AK$16:$AO$65,5,FALSE)</f>
        <v/>
      </c>
      <c r="I50" s="703" t="str">
        <f t="shared" si="1"/>
        <v/>
      </c>
      <c r="K50" s="703" t="str">
        <f>IF($B50="","",SUMIFS('Ext Nontradable'!$M$26:$M$45,'Ext Nontradable'!$B$26:$B$45,$B50,'Ext Nontradable'!$U$26:$U$45,"New"))</f>
        <v/>
      </c>
      <c r="L50" s="703" t="str">
        <f>IF($B50="","",SUMIFS('Ext Nontradable'!$M$26:$M$45,'Ext Nontradable'!$B$26:$B$45,$B50,'Ext Nontradable'!$U$26:$U$45,""))</f>
        <v/>
      </c>
      <c r="M50" s="703" t="str">
        <f>IF($B50="","",SUMIFS('Ext Nontradable'!$K$26:$K$45,'Ext Nontradable'!$B$26:$B$45,$B50,'Ext Nontradable'!$U$26:$U$45,"New")+SUMIFS('Ext Nontradable'!$K$26:$K$45,'Ext Nontradable'!$B$26:$B$45,$B50,'Ext Nontradable'!$U$26:$U$45,""))</f>
        <v/>
      </c>
      <c r="N50" s="703" t="str">
        <f>IF($B50="","",SUMIFS('Ext Nontradable'!$M$26:$M$45,'Ext Nontradable'!$B$26:$B$45,$B50,'Ext Nontradable'!$U$26:$U$45,"Existing Remains"))</f>
        <v/>
      </c>
      <c r="O50" s="703" t="str">
        <f>IF($B50="","",SUMIFS('Ext Nontradable'!$M$26:$M$45,'Ext Nontradable'!$B$26:$B$45,$B50,'Ext Nontradable'!$U$26:$U$45,"Existing Removed"))</f>
        <v/>
      </c>
      <c r="P50" s="703" t="str">
        <f>IF($B50="","",SUMIFS('Ext Nontradable'!$K$26:$K$45,'Ext Nontradable'!$B$26:$B$45,$B50,'Ext Nontradable'!$U$26:$U$45,"Existing Removed"))</f>
        <v/>
      </c>
      <c r="Q50" s="703" t="str">
        <f t="shared" si="2"/>
        <v/>
      </c>
      <c r="R50" s="703" t="str">
        <f t="shared" si="7"/>
        <v/>
      </c>
      <c r="S50" s="703">
        <f t="shared" si="8"/>
        <v>0</v>
      </c>
      <c r="T50" s="954">
        <f t="shared" si="20"/>
        <v>0</v>
      </c>
      <c r="U50" s="954">
        <f t="shared" si="21"/>
        <v>0</v>
      </c>
      <c r="V50" s="1115" t="str">
        <f t="shared" si="22"/>
        <v/>
      </c>
      <c r="W50" s="712" t="str">
        <f t="shared" si="23"/>
        <v/>
      </c>
      <c r="X50" s="857"/>
      <c r="Y50" s="720" t="str">
        <f t="shared" si="24"/>
        <v/>
      </c>
      <c r="Z50" s="721" t="str">
        <f t="shared" si="9"/>
        <v/>
      </c>
      <c r="AA50" s="721" t="str">
        <f t="shared" si="10"/>
        <v/>
      </c>
      <c r="AB50" s="719" t="str">
        <f t="shared" si="4"/>
        <v/>
      </c>
      <c r="AC50" s="857"/>
      <c r="AD50" s="717" t="str">
        <f t="shared" si="11"/>
        <v/>
      </c>
      <c r="AE50" s="718" t="str">
        <f t="shared" si="12"/>
        <v/>
      </c>
      <c r="AF50" s="719" t="str">
        <f t="shared" si="5"/>
        <v/>
      </c>
      <c r="AG50" s="726"/>
      <c r="AH50" s="727" t="str">
        <f t="shared" si="13"/>
        <v/>
      </c>
      <c r="AI50" s="703" t="str">
        <f t="shared" si="14"/>
        <v/>
      </c>
      <c r="AJ50" s="703" t="str">
        <f t="shared" si="15"/>
        <v/>
      </c>
      <c r="AL50" s="1075" t="str">
        <f t="shared" si="16"/>
        <v/>
      </c>
      <c r="AM50" s="855" t="str">
        <f t="shared" si="18"/>
        <v/>
      </c>
      <c r="AN50" s="707" t="str">
        <f>IF(OR(AL50="Fail",AL50="Fail LPA",AL50=""),"",IF(AM50&lt;&gt;"#1",VLOOKUP(C50,'9.4.3 Tables'!B$156:O$164,14,FALSE),"No NEW controls required"))</f>
        <v/>
      </c>
      <c r="AO50" s="703">
        <f t="shared" si="19"/>
        <v>0</v>
      </c>
      <c r="AR50">
        <v>41</v>
      </c>
      <c r="AS50" s="15" t="str">
        <f t="shared" si="17"/>
        <v/>
      </c>
      <c r="AT50" s="700" t="str">
        <f ca="1">IF(INDIRECT("'Ext Nontradable'!$B" &amp; AT$9)=$B50,INDIRECT("'Ext Nontradable'!$" &amp; 'Ext Nontradable'!$AZ$23 &amp; AT$9),"")</f>
        <v/>
      </c>
      <c r="AU50" s="700" t="str">
        <f ca="1">IF(INDIRECT("'Ext Nontradable'!$B" &amp; AU$9)=$B50,INDIRECT("'Ext Nontradable'!$" &amp; 'Ext Nontradable'!$AZ$23 &amp; AU$9),"")</f>
        <v/>
      </c>
      <c r="AV50" s="700" t="str">
        <f ca="1">IF(INDIRECT("'Ext Nontradable'!$B" &amp; AV$9)=$B50,INDIRECT("'Ext Nontradable'!$" &amp; 'Ext Nontradable'!$AZ$23 &amp; AV$9),"")</f>
        <v/>
      </c>
      <c r="AW50" s="700" t="str">
        <f ca="1">IF(INDIRECT("'Ext Nontradable'!$B" &amp; AW$9)=$B50,INDIRECT("'Ext Nontradable'!$" &amp; 'Ext Nontradable'!$AZ$23 &amp; AW$9),"")</f>
        <v/>
      </c>
      <c r="AX50" s="700" t="str">
        <f ca="1">IF(INDIRECT("'Ext Nontradable'!$B" &amp; AX$9)=$B50,INDIRECT("'Ext Nontradable'!$" &amp; 'Ext Nontradable'!$AZ$23 &amp; AX$9),"")</f>
        <v/>
      </c>
      <c r="AY50" s="700" t="str">
        <f ca="1">IF(INDIRECT("'Ext Nontradable'!$B" &amp; AY$9)=$B50,INDIRECT("'Ext Nontradable'!$" &amp; 'Ext Nontradable'!$AZ$23 &amp; AY$9),"")</f>
        <v/>
      </c>
      <c r="AZ50" s="700" t="str">
        <f ca="1">IF(INDIRECT("'Ext Nontradable'!$B" &amp; AZ$9)=$B50,INDIRECT("'Ext Nontradable'!$" &amp; 'Ext Nontradable'!$AZ$23 &amp; AZ$9),"")</f>
        <v/>
      </c>
      <c r="BA50" s="700" t="str">
        <f ca="1">IF(INDIRECT("'Ext Nontradable'!$B" &amp; BA$9)=$B50,INDIRECT("'Ext Nontradable'!$" &amp; 'Ext Nontradable'!$AZ$23 &amp; BA$9),"")</f>
        <v/>
      </c>
      <c r="BB50" s="700" t="str">
        <f ca="1">IF(INDIRECT("'Ext Nontradable'!$B" &amp; BB$9)=$B50,INDIRECT("'Ext Nontradable'!$" &amp; 'Ext Nontradable'!$AZ$23 &amp; BB$9),"")</f>
        <v/>
      </c>
      <c r="BC50" s="700" t="str">
        <f ca="1">IF(INDIRECT("'Ext Nontradable'!$B" &amp; BC$9)=$B50,INDIRECT("'Ext Nontradable'!$" &amp; 'Ext Nontradable'!$AZ$23 &amp; BC$9),"")</f>
        <v/>
      </c>
      <c r="BD50" s="700" t="str">
        <f ca="1">IF(INDIRECT("'Ext Nontradable'!$B" &amp; BD$9)=$B50,INDIRECT("'Ext Nontradable'!$" &amp; 'Ext Nontradable'!$AZ$23 &amp; BD$9),"")</f>
        <v/>
      </c>
      <c r="BE50" s="700" t="str">
        <f ca="1">IF(INDIRECT("'Ext Nontradable'!$B" &amp; BE$9)=$B50,INDIRECT("'Ext Nontradable'!$" &amp; 'Ext Nontradable'!$AZ$23 &amp; BE$9),"")</f>
        <v/>
      </c>
      <c r="BF50" s="700" t="str">
        <f ca="1">IF(INDIRECT("'Ext Nontradable'!$B" &amp; BF$9)=$B50,INDIRECT("'Ext Nontradable'!$" &amp; 'Ext Nontradable'!$AZ$23 &amp; BF$9),"")</f>
        <v/>
      </c>
      <c r="BG50" s="700" t="str">
        <f ca="1">IF(INDIRECT("'Ext Nontradable'!$B" &amp; BG$9)=$B50,INDIRECT("'Ext Nontradable'!$" &amp; 'Ext Nontradable'!$AZ$23 &amp; BG$9),"")</f>
        <v/>
      </c>
      <c r="BH50" s="700" t="str">
        <f ca="1">IF(INDIRECT("'Ext Nontradable'!$B" &amp; BH$9)=$B50,INDIRECT("'Ext Nontradable'!$" &amp; 'Ext Nontradable'!$AZ$23 &amp; BH$9),"")</f>
        <v/>
      </c>
      <c r="BI50" s="700" t="str">
        <f ca="1">IF(INDIRECT("'Ext Nontradable'!$B" &amp; BI$9)=$B50,INDIRECT("'Ext Nontradable'!$" &amp; 'Ext Nontradable'!$AZ$23 &amp; BI$9),"")</f>
        <v/>
      </c>
      <c r="BJ50" s="700" t="str">
        <f ca="1">IF(INDIRECT("'Ext Nontradable'!$B" &amp; BJ$9)=$B50,INDIRECT("'Ext Nontradable'!$" &amp; 'Ext Nontradable'!$AZ$23 &amp; BJ$9),"")</f>
        <v/>
      </c>
      <c r="BK50" s="700" t="str">
        <f ca="1">IF(INDIRECT("'Ext Nontradable'!$B" &amp; BK$9)=$B50,INDIRECT("'Ext Nontradable'!$" &amp; 'Ext Nontradable'!$AZ$23 &amp; BK$9),"")</f>
        <v/>
      </c>
      <c r="BL50" s="700" t="str">
        <f ca="1">IF(INDIRECT("'Ext Nontradable'!$B" &amp; BL$9)=$B50,INDIRECT("'Ext Nontradable'!$" &amp; 'Ext Nontradable'!$AZ$23 &amp; BL$9),"")</f>
        <v/>
      </c>
      <c r="BM50" s="700" t="str">
        <f ca="1">IF(INDIRECT("'Ext Nontradable'!$B" &amp; BM$9)=$B50,INDIRECT("'Ext Nontradable'!$" &amp; 'Ext Nontradable'!$AZ$23 &amp; BM$9),"")</f>
        <v/>
      </c>
      <c r="BN50" s="700">
        <f ca="1">IF(INDIRECT("'Ext Nontradable'!$B" &amp; BN$9)=$B50,INDIRECT("'Ext Nontradable'!$" &amp; 'Ext Nontradable'!$AZ$23 &amp; BN$9),"")</f>
        <v>0</v>
      </c>
      <c r="BO50" s="700">
        <f ca="1">IF(INDIRECT("'Ext Nontradable'!$B" &amp; BO$9)=$B50,INDIRECT("'Ext Nontradable'!$" &amp; 'Ext Nontradable'!$AZ$23 &amp; BO$9),"")</f>
        <v>0</v>
      </c>
      <c r="BP50" s="700">
        <f ca="1">IF(INDIRECT("'Ext Nontradable'!$B" &amp; BP$9)=$B50,INDIRECT("'Ext Nontradable'!$" &amp; 'Ext Nontradable'!$AZ$23 &amp; BP$9),"")</f>
        <v>0</v>
      </c>
      <c r="BQ50" s="700">
        <f ca="1">IF(INDIRECT("'Ext Nontradable'!$B" &amp; BQ$9)=$B50,INDIRECT("'Ext Nontradable'!$" &amp; 'Ext Nontradable'!$AZ$23 &amp; BQ$9),"")</f>
        <v>0</v>
      </c>
      <c r="BR50" s="700">
        <f ca="1">IF(INDIRECT("'Ext Nontradable'!$B" &amp; BR$9)=$B50,INDIRECT("'Ext Nontradable'!$" &amp; 'Ext Nontradable'!$AZ$23 &amp; BR$9),"")</f>
        <v>0</v>
      </c>
      <c r="BS50" s="700">
        <f ca="1">IF(INDIRECT("'Ext Nontradable'!$B" &amp; BS$9)=$B50,INDIRECT("'Ext Nontradable'!$" &amp; 'Ext Nontradable'!$AZ$23 &amp; BS$9),"")</f>
        <v>0</v>
      </c>
      <c r="BT50" s="700">
        <f ca="1">IF(INDIRECT("'Ext Nontradable'!$B" &amp; BT$9)=$B50,INDIRECT("'Ext Nontradable'!$" &amp; 'Ext Nontradable'!$AZ$23 &amp; BT$9),"")</f>
        <v>0</v>
      </c>
      <c r="BU50" s="700">
        <f ca="1">IF(INDIRECT("'Ext Nontradable'!$B" &amp; BU$9)=$B50,INDIRECT("'Ext Nontradable'!$" &amp; 'Ext Nontradable'!$AZ$23 &amp; BU$9),"")</f>
        <v>0</v>
      </c>
      <c r="BV50" s="700">
        <f ca="1">IF(INDIRECT("'Ext Nontradable'!$B" &amp; BV$9)=$B50,INDIRECT("'Ext Nontradable'!$" &amp; 'Ext Nontradable'!$AZ$23 &amp; BV$9),"")</f>
        <v>0</v>
      </c>
      <c r="BW50" s="700">
        <f ca="1">IF(INDIRECT("'Ext Nontradable'!$B" &amp; BW$9)=$B50,INDIRECT("'Ext Nontradable'!$" &amp; 'Ext Nontradable'!$AZ$23 &amp; BW$9),"")</f>
        <v>0</v>
      </c>
      <c r="BX50" s="700">
        <f ca="1">IF(INDIRECT("'Ext Nontradable'!$B" &amp; BX$9)=$B50,INDIRECT("'Ext Nontradable'!$" &amp; 'Ext Nontradable'!$AZ$23 &amp; BX$9),"")</f>
        <v>0</v>
      </c>
      <c r="BY50" s="700">
        <f ca="1">IF(INDIRECT("'Ext Nontradable'!$B" &amp; BY$9)=$B50,INDIRECT("'Ext Nontradable'!$" &amp; 'Ext Nontradable'!$AZ$23 &amp; BY$9),"")</f>
        <v>0</v>
      </c>
      <c r="BZ50" s="700">
        <f ca="1">IF(INDIRECT("'Ext Nontradable'!$B" &amp; BZ$9)=$B50,INDIRECT("'Ext Nontradable'!$" &amp; 'Ext Nontradable'!$AZ$23 &amp; BZ$9),"")</f>
        <v>0</v>
      </c>
      <c r="CA50" s="700">
        <f ca="1">IF(INDIRECT("'Ext Nontradable'!$B" &amp; CA$9)=$B50,INDIRECT("'Ext Nontradable'!$" &amp; 'Ext Nontradable'!$AZ$23 &amp; CA$9),"")</f>
        <v>0</v>
      </c>
      <c r="CB50" s="700">
        <f ca="1">IF(INDIRECT("'Ext Nontradable'!$B" &amp; CB$9)=$B50,INDIRECT("'Ext Nontradable'!$" &amp; 'Ext Nontradable'!$AZ$23 &amp; CB$9),"")</f>
        <v>0</v>
      </c>
      <c r="CC50" s="700">
        <f ca="1">IF(INDIRECT("'Ext Nontradable'!$B" &amp; CC$9)=$B50,INDIRECT("'Ext Nontradable'!$" &amp; 'Ext Nontradable'!$AZ$23 &amp; CC$9),"")</f>
        <v>0</v>
      </c>
      <c r="CD50" s="700">
        <f ca="1">IF(INDIRECT("'Ext Nontradable'!$B" &amp; CD$9)=$B50,INDIRECT("'Ext Nontradable'!$" &amp; 'Ext Nontradable'!$AZ$23 &amp; CD$9),"")</f>
        <v>0</v>
      </c>
      <c r="CE50" s="700">
        <f ca="1">IF(INDIRECT("'Ext Nontradable'!$B" &amp; CE$9)=$B50,INDIRECT("'Ext Nontradable'!$" &amp; 'Ext Nontradable'!$AZ$23 &amp; CE$9),"")</f>
        <v>0</v>
      </c>
      <c r="CF50" s="700">
        <f ca="1">IF(INDIRECT("'Ext Nontradable'!$B" &amp; CF$9)=$B50,INDIRECT("'Ext Nontradable'!$" &amp; 'Ext Nontradable'!$AZ$23 &amp; CF$9),"")</f>
        <v>0</v>
      </c>
      <c r="CG50" s="700">
        <f ca="1">IF(INDIRECT("'Ext Nontradable'!$B" &amp; CG$9)=$B50,INDIRECT("'Ext Nontradable'!$" &amp; 'Ext Nontradable'!$AZ$23 &amp; CG$9),"")</f>
        <v>0</v>
      </c>
      <c r="CH50" s="700">
        <f ca="1">IF(INDIRECT("'Ext Nontradable'!$B" &amp; CH$9)=$B50,INDIRECT("'Ext Nontradable'!$" &amp; 'Ext Nontradable'!$AZ$23 &amp; CH$9),"")</f>
        <v>0</v>
      </c>
      <c r="CI50" s="700">
        <f ca="1">IF(INDIRECT("'Ext Nontradable'!$B" &amp; CI$9)=$B50,INDIRECT("'Ext Nontradable'!$" &amp; 'Ext Nontradable'!$AZ$23 &amp; CI$9),"")</f>
        <v>0</v>
      </c>
      <c r="CJ50" s="700">
        <f ca="1">IF(INDIRECT("'Ext Nontradable'!$B" &amp; CJ$9)=$B50,INDIRECT("'Ext Nontradable'!$" &amp; 'Ext Nontradable'!$AZ$23 &amp; CJ$9),"")</f>
        <v>0</v>
      </c>
      <c r="CK50" s="700">
        <f ca="1">IF(INDIRECT("'Ext Nontradable'!$B" &amp; CK$9)=$B50,INDIRECT("'Ext Nontradable'!$" &amp; 'Ext Nontradable'!$AZ$23 &amp; CK$9),"")</f>
        <v>0</v>
      </c>
      <c r="CL50" s="700">
        <f ca="1">IF(INDIRECT("'Ext Nontradable'!$B" &amp; CL$9)=$B50,INDIRECT("'Ext Nontradable'!$" &amp; 'Ext Nontradable'!$AZ$23 &amp; CL$9),"")</f>
        <v>0</v>
      </c>
      <c r="CM50" s="700">
        <f ca="1">IF(INDIRECT("'Ext Nontradable'!$B" &amp; CM$9)=$B50,INDIRECT("'Ext Nontradable'!$" &amp; 'Ext Nontradable'!$AZ$23 &amp; CM$9),"")</f>
        <v>0</v>
      </c>
      <c r="CN50" s="700">
        <f ca="1">IF(INDIRECT("'Ext Nontradable'!$B" &amp; CN$9)=$B50,INDIRECT("'Ext Nontradable'!$" &amp; 'Ext Nontradable'!$AZ$23 &amp; CN$9),"")</f>
        <v>0</v>
      </c>
      <c r="CO50" s="700">
        <f ca="1">IF(INDIRECT("'Ext Nontradable'!$B" &amp; CO$9)=$B50,INDIRECT("'Ext Nontradable'!$" &amp; 'Ext Nontradable'!$AZ$23 &amp; CO$9),"")</f>
        <v>0</v>
      </c>
      <c r="CP50" s="700">
        <f ca="1">IF(INDIRECT("'Ext Nontradable'!$B" &amp; CP$9)=$B50,INDIRECT("'Ext Nontradable'!$" &amp; 'Ext Nontradable'!$AZ$23 &amp; CP$9),"")</f>
        <v>0</v>
      </c>
      <c r="CQ50" s="700">
        <f ca="1">IF(INDIRECT("'Ext Nontradable'!$B" &amp; CQ$9)=$B50,INDIRECT("'Ext Nontradable'!$" &amp; 'Ext Nontradable'!$AZ$23 &amp; CQ$9),"")</f>
        <v>0</v>
      </c>
      <c r="CR50" s="702" t="str">
        <f t="shared" ca="1" si="25"/>
        <v>000000000000000000000000000000</v>
      </c>
    </row>
    <row r="51" spans="1:96" ht="60" customHeight="1" x14ac:dyDescent="0.25">
      <c r="A51" s="705">
        <v>42</v>
      </c>
      <c r="B51" s="707" t="str">
        <f>'Ext Area Schedule'!AK57</f>
        <v/>
      </c>
      <c r="C51" s="707" t="str">
        <f>VLOOKUP($B51,'Ext Area Schedule'!$AK$16:$AO$65,3,FALSE)</f>
        <v/>
      </c>
      <c r="D51" s="792" t="str">
        <f>VLOOKUP($B51,'Ext Area Schedule'!$AK$16:$AO$65,4,FALSE)</f>
        <v/>
      </c>
      <c r="F51" s="792" t="str">
        <f>VLOOKUP($B51,'Ext Area Schedule'!$AK$16:$AO$65,5,FALSE)</f>
        <v/>
      </c>
      <c r="G51" s="792" t="str">
        <f>VLOOKUP($B51,'Ext Area Schedule'!$AK$16:$AO$65,5,FALSE)</f>
        <v/>
      </c>
      <c r="I51" s="703" t="str">
        <f t="shared" si="1"/>
        <v/>
      </c>
      <c r="K51" s="703" t="str">
        <f>IF($B51="","",SUMIFS('Ext Nontradable'!$M$26:$M$45,'Ext Nontradable'!$B$26:$B$45,$B51,'Ext Nontradable'!$U$26:$U$45,"New"))</f>
        <v/>
      </c>
      <c r="L51" s="703" t="str">
        <f>IF($B51="","",SUMIFS('Ext Nontradable'!$M$26:$M$45,'Ext Nontradable'!$B$26:$B$45,$B51,'Ext Nontradable'!$U$26:$U$45,""))</f>
        <v/>
      </c>
      <c r="M51" s="703" t="str">
        <f>IF($B51="","",SUMIFS('Ext Nontradable'!$K$26:$K$45,'Ext Nontradable'!$B$26:$B$45,$B51,'Ext Nontradable'!$U$26:$U$45,"New")+SUMIFS('Ext Nontradable'!$K$26:$K$45,'Ext Nontradable'!$B$26:$B$45,$B51,'Ext Nontradable'!$U$26:$U$45,""))</f>
        <v/>
      </c>
      <c r="N51" s="703" t="str">
        <f>IF($B51="","",SUMIFS('Ext Nontradable'!$M$26:$M$45,'Ext Nontradable'!$B$26:$B$45,$B51,'Ext Nontradable'!$U$26:$U$45,"Existing Remains"))</f>
        <v/>
      </c>
      <c r="O51" s="703" t="str">
        <f>IF($B51="","",SUMIFS('Ext Nontradable'!$M$26:$M$45,'Ext Nontradable'!$B$26:$B$45,$B51,'Ext Nontradable'!$U$26:$U$45,"Existing Removed"))</f>
        <v/>
      </c>
      <c r="P51" s="703" t="str">
        <f>IF($B51="","",SUMIFS('Ext Nontradable'!$K$26:$K$45,'Ext Nontradable'!$B$26:$B$45,$B51,'Ext Nontradable'!$U$26:$U$45,"Existing Removed"))</f>
        <v/>
      </c>
      <c r="Q51" s="703" t="str">
        <f t="shared" si="2"/>
        <v/>
      </c>
      <c r="R51" s="703" t="str">
        <f t="shared" si="7"/>
        <v/>
      </c>
      <c r="S51" s="703">
        <f t="shared" si="8"/>
        <v>0</v>
      </c>
      <c r="T51" s="954">
        <f t="shared" si="20"/>
        <v>0</v>
      </c>
      <c r="U51" s="954">
        <f t="shared" si="21"/>
        <v>0</v>
      </c>
      <c r="V51" s="1115" t="str">
        <f t="shared" si="22"/>
        <v/>
      </c>
      <c r="W51" s="712" t="str">
        <f t="shared" si="23"/>
        <v/>
      </c>
      <c r="X51" s="857"/>
      <c r="Y51" s="720" t="str">
        <f t="shared" si="24"/>
        <v/>
      </c>
      <c r="Z51" s="721" t="str">
        <f t="shared" si="9"/>
        <v/>
      </c>
      <c r="AA51" s="721" t="str">
        <f t="shared" si="10"/>
        <v/>
      </c>
      <c r="AB51" s="719" t="str">
        <f t="shared" si="4"/>
        <v/>
      </c>
      <c r="AC51" s="857"/>
      <c r="AD51" s="717" t="str">
        <f t="shared" si="11"/>
        <v/>
      </c>
      <c r="AE51" s="718" t="str">
        <f t="shared" si="12"/>
        <v/>
      </c>
      <c r="AF51" s="719" t="str">
        <f t="shared" si="5"/>
        <v/>
      </c>
      <c r="AG51" s="726"/>
      <c r="AH51" s="727" t="str">
        <f t="shared" si="13"/>
        <v/>
      </c>
      <c r="AI51" s="703" t="str">
        <f t="shared" si="14"/>
        <v/>
      </c>
      <c r="AJ51" s="703" t="str">
        <f t="shared" si="15"/>
        <v/>
      </c>
      <c r="AL51" s="1075" t="str">
        <f t="shared" si="16"/>
        <v/>
      </c>
      <c r="AM51" s="855" t="str">
        <f t="shared" si="18"/>
        <v/>
      </c>
      <c r="AN51" s="707" t="str">
        <f>IF(OR(AL51="Fail",AL51="Fail LPA",AL51=""),"",IF(AM51&lt;&gt;"#1",VLOOKUP(C51,'9.4.3 Tables'!B$156:O$164,14,FALSE),"No NEW controls required"))</f>
        <v/>
      </c>
      <c r="AO51" s="703">
        <f t="shared" si="19"/>
        <v>0</v>
      </c>
      <c r="AR51">
        <v>42</v>
      </c>
      <c r="AS51" s="15" t="str">
        <f t="shared" si="17"/>
        <v/>
      </c>
      <c r="AT51" s="700" t="str">
        <f ca="1">IF(INDIRECT("'Ext Nontradable'!$B" &amp; AT$9)=$B51,INDIRECT("'Ext Nontradable'!$" &amp; 'Ext Nontradable'!$AZ$23 &amp; AT$9),"")</f>
        <v/>
      </c>
      <c r="AU51" s="700" t="str">
        <f ca="1">IF(INDIRECT("'Ext Nontradable'!$B" &amp; AU$9)=$B51,INDIRECT("'Ext Nontradable'!$" &amp; 'Ext Nontradable'!$AZ$23 &amp; AU$9),"")</f>
        <v/>
      </c>
      <c r="AV51" s="700" t="str">
        <f ca="1">IF(INDIRECT("'Ext Nontradable'!$B" &amp; AV$9)=$B51,INDIRECT("'Ext Nontradable'!$" &amp; 'Ext Nontradable'!$AZ$23 &amp; AV$9),"")</f>
        <v/>
      </c>
      <c r="AW51" s="700" t="str">
        <f ca="1">IF(INDIRECT("'Ext Nontradable'!$B" &amp; AW$9)=$B51,INDIRECT("'Ext Nontradable'!$" &amp; 'Ext Nontradable'!$AZ$23 &amp; AW$9),"")</f>
        <v/>
      </c>
      <c r="AX51" s="700" t="str">
        <f ca="1">IF(INDIRECT("'Ext Nontradable'!$B" &amp; AX$9)=$B51,INDIRECT("'Ext Nontradable'!$" &amp; 'Ext Nontradable'!$AZ$23 &amp; AX$9),"")</f>
        <v/>
      </c>
      <c r="AY51" s="700" t="str">
        <f ca="1">IF(INDIRECT("'Ext Nontradable'!$B" &amp; AY$9)=$B51,INDIRECT("'Ext Nontradable'!$" &amp; 'Ext Nontradable'!$AZ$23 &amp; AY$9),"")</f>
        <v/>
      </c>
      <c r="AZ51" s="700" t="str">
        <f ca="1">IF(INDIRECT("'Ext Nontradable'!$B" &amp; AZ$9)=$B51,INDIRECT("'Ext Nontradable'!$" &amp; 'Ext Nontradable'!$AZ$23 &amp; AZ$9),"")</f>
        <v/>
      </c>
      <c r="BA51" s="700" t="str">
        <f ca="1">IF(INDIRECT("'Ext Nontradable'!$B" &amp; BA$9)=$B51,INDIRECT("'Ext Nontradable'!$" &amp; 'Ext Nontradable'!$AZ$23 &amp; BA$9),"")</f>
        <v/>
      </c>
      <c r="BB51" s="700" t="str">
        <f ca="1">IF(INDIRECT("'Ext Nontradable'!$B" &amp; BB$9)=$B51,INDIRECT("'Ext Nontradable'!$" &amp; 'Ext Nontradable'!$AZ$23 &amp; BB$9),"")</f>
        <v/>
      </c>
      <c r="BC51" s="700" t="str">
        <f ca="1">IF(INDIRECT("'Ext Nontradable'!$B" &amp; BC$9)=$B51,INDIRECT("'Ext Nontradable'!$" &amp; 'Ext Nontradable'!$AZ$23 &amp; BC$9),"")</f>
        <v/>
      </c>
      <c r="BD51" s="700" t="str">
        <f ca="1">IF(INDIRECT("'Ext Nontradable'!$B" &amp; BD$9)=$B51,INDIRECT("'Ext Nontradable'!$" &amp; 'Ext Nontradable'!$AZ$23 &amp; BD$9),"")</f>
        <v/>
      </c>
      <c r="BE51" s="700" t="str">
        <f ca="1">IF(INDIRECT("'Ext Nontradable'!$B" &amp; BE$9)=$B51,INDIRECT("'Ext Nontradable'!$" &amp; 'Ext Nontradable'!$AZ$23 &amp; BE$9),"")</f>
        <v/>
      </c>
      <c r="BF51" s="700" t="str">
        <f ca="1">IF(INDIRECT("'Ext Nontradable'!$B" &amp; BF$9)=$B51,INDIRECT("'Ext Nontradable'!$" &amp; 'Ext Nontradable'!$AZ$23 &amp; BF$9),"")</f>
        <v/>
      </c>
      <c r="BG51" s="700" t="str">
        <f ca="1">IF(INDIRECT("'Ext Nontradable'!$B" &amp; BG$9)=$B51,INDIRECT("'Ext Nontradable'!$" &amp; 'Ext Nontradable'!$AZ$23 &amp; BG$9),"")</f>
        <v/>
      </c>
      <c r="BH51" s="700" t="str">
        <f ca="1">IF(INDIRECT("'Ext Nontradable'!$B" &amp; BH$9)=$B51,INDIRECT("'Ext Nontradable'!$" &amp; 'Ext Nontradable'!$AZ$23 &amp; BH$9),"")</f>
        <v/>
      </c>
      <c r="BI51" s="700" t="str">
        <f ca="1">IF(INDIRECT("'Ext Nontradable'!$B" &amp; BI$9)=$B51,INDIRECT("'Ext Nontradable'!$" &amp; 'Ext Nontradable'!$AZ$23 &amp; BI$9),"")</f>
        <v/>
      </c>
      <c r="BJ51" s="700" t="str">
        <f ca="1">IF(INDIRECT("'Ext Nontradable'!$B" &amp; BJ$9)=$B51,INDIRECT("'Ext Nontradable'!$" &amp; 'Ext Nontradable'!$AZ$23 &amp; BJ$9),"")</f>
        <v/>
      </c>
      <c r="BK51" s="700" t="str">
        <f ca="1">IF(INDIRECT("'Ext Nontradable'!$B" &amp; BK$9)=$B51,INDIRECT("'Ext Nontradable'!$" &amp; 'Ext Nontradable'!$AZ$23 &amp; BK$9),"")</f>
        <v/>
      </c>
      <c r="BL51" s="700" t="str">
        <f ca="1">IF(INDIRECT("'Ext Nontradable'!$B" &amp; BL$9)=$B51,INDIRECT("'Ext Nontradable'!$" &amp; 'Ext Nontradable'!$AZ$23 &amp; BL$9),"")</f>
        <v/>
      </c>
      <c r="BM51" s="700" t="str">
        <f ca="1">IF(INDIRECT("'Ext Nontradable'!$B" &amp; BM$9)=$B51,INDIRECT("'Ext Nontradable'!$" &amp; 'Ext Nontradable'!$AZ$23 &amp; BM$9),"")</f>
        <v/>
      </c>
      <c r="BN51" s="700">
        <f ca="1">IF(INDIRECT("'Ext Nontradable'!$B" &amp; BN$9)=$B51,INDIRECT("'Ext Nontradable'!$" &amp; 'Ext Nontradable'!$AZ$23 &amp; BN$9),"")</f>
        <v>0</v>
      </c>
      <c r="BO51" s="700">
        <f ca="1">IF(INDIRECT("'Ext Nontradable'!$B" &amp; BO$9)=$B51,INDIRECT("'Ext Nontradable'!$" &amp; 'Ext Nontradable'!$AZ$23 &amp; BO$9),"")</f>
        <v>0</v>
      </c>
      <c r="BP51" s="700">
        <f ca="1">IF(INDIRECT("'Ext Nontradable'!$B" &amp; BP$9)=$B51,INDIRECT("'Ext Nontradable'!$" &amp; 'Ext Nontradable'!$AZ$23 &amp; BP$9),"")</f>
        <v>0</v>
      </c>
      <c r="BQ51" s="700">
        <f ca="1">IF(INDIRECT("'Ext Nontradable'!$B" &amp; BQ$9)=$B51,INDIRECT("'Ext Nontradable'!$" &amp; 'Ext Nontradable'!$AZ$23 &amp; BQ$9),"")</f>
        <v>0</v>
      </c>
      <c r="BR51" s="700">
        <f ca="1">IF(INDIRECT("'Ext Nontradable'!$B" &amp; BR$9)=$B51,INDIRECT("'Ext Nontradable'!$" &amp; 'Ext Nontradable'!$AZ$23 &amp; BR$9),"")</f>
        <v>0</v>
      </c>
      <c r="BS51" s="700">
        <f ca="1">IF(INDIRECT("'Ext Nontradable'!$B" &amp; BS$9)=$B51,INDIRECT("'Ext Nontradable'!$" &amp; 'Ext Nontradable'!$AZ$23 &amp; BS$9),"")</f>
        <v>0</v>
      </c>
      <c r="BT51" s="700">
        <f ca="1">IF(INDIRECT("'Ext Nontradable'!$B" &amp; BT$9)=$B51,INDIRECT("'Ext Nontradable'!$" &amp; 'Ext Nontradable'!$AZ$23 &amp; BT$9),"")</f>
        <v>0</v>
      </c>
      <c r="BU51" s="700">
        <f ca="1">IF(INDIRECT("'Ext Nontradable'!$B" &amp; BU$9)=$B51,INDIRECT("'Ext Nontradable'!$" &amp; 'Ext Nontradable'!$AZ$23 &amp; BU$9),"")</f>
        <v>0</v>
      </c>
      <c r="BV51" s="700">
        <f ca="1">IF(INDIRECT("'Ext Nontradable'!$B" &amp; BV$9)=$B51,INDIRECT("'Ext Nontradable'!$" &amp; 'Ext Nontradable'!$AZ$23 &amp; BV$9),"")</f>
        <v>0</v>
      </c>
      <c r="BW51" s="700">
        <f ca="1">IF(INDIRECT("'Ext Nontradable'!$B" &amp; BW$9)=$B51,INDIRECT("'Ext Nontradable'!$" &amp; 'Ext Nontradable'!$AZ$23 &amp; BW$9),"")</f>
        <v>0</v>
      </c>
      <c r="BX51" s="700">
        <f ca="1">IF(INDIRECT("'Ext Nontradable'!$B" &amp; BX$9)=$B51,INDIRECT("'Ext Nontradable'!$" &amp; 'Ext Nontradable'!$AZ$23 &amp; BX$9),"")</f>
        <v>0</v>
      </c>
      <c r="BY51" s="700">
        <f ca="1">IF(INDIRECT("'Ext Nontradable'!$B" &amp; BY$9)=$B51,INDIRECT("'Ext Nontradable'!$" &amp; 'Ext Nontradable'!$AZ$23 &amp; BY$9),"")</f>
        <v>0</v>
      </c>
      <c r="BZ51" s="700">
        <f ca="1">IF(INDIRECT("'Ext Nontradable'!$B" &amp; BZ$9)=$B51,INDIRECT("'Ext Nontradable'!$" &amp; 'Ext Nontradable'!$AZ$23 &amp; BZ$9),"")</f>
        <v>0</v>
      </c>
      <c r="CA51" s="700">
        <f ca="1">IF(INDIRECT("'Ext Nontradable'!$B" &amp; CA$9)=$B51,INDIRECT("'Ext Nontradable'!$" &amp; 'Ext Nontradable'!$AZ$23 &amp; CA$9),"")</f>
        <v>0</v>
      </c>
      <c r="CB51" s="700">
        <f ca="1">IF(INDIRECT("'Ext Nontradable'!$B" &amp; CB$9)=$B51,INDIRECT("'Ext Nontradable'!$" &amp; 'Ext Nontradable'!$AZ$23 &amp; CB$9),"")</f>
        <v>0</v>
      </c>
      <c r="CC51" s="700">
        <f ca="1">IF(INDIRECT("'Ext Nontradable'!$B" &amp; CC$9)=$B51,INDIRECT("'Ext Nontradable'!$" &amp; 'Ext Nontradable'!$AZ$23 &amp; CC$9),"")</f>
        <v>0</v>
      </c>
      <c r="CD51" s="700">
        <f ca="1">IF(INDIRECT("'Ext Nontradable'!$B" &amp; CD$9)=$B51,INDIRECT("'Ext Nontradable'!$" &amp; 'Ext Nontradable'!$AZ$23 &amp; CD$9),"")</f>
        <v>0</v>
      </c>
      <c r="CE51" s="700">
        <f ca="1">IF(INDIRECT("'Ext Nontradable'!$B" &amp; CE$9)=$B51,INDIRECT("'Ext Nontradable'!$" &amp; 'Ext Nontradable'!$AZ$23 &amp; CE$9),"")</f>
        <v>0</v>
      </c>
      <c r="CF51" s="700">
        <f ca="1">IF(INDIRECT("'Ext Nontradable'!$B" &amp; CF$9)=$B51,INDIRECT("'Ext Nontradable'!$" &amp; 'Ext Nontradable'!$AZ$23 &amp; CF$9),"")</f>
        <v>0</v>
      </c>
      <c r="CG51" s="700">
        <f ca="1">IF(INDIRECT("'Ext Nontradable'!$B" &amp; CG$9)=$B51,INDIRECT("'Ext Nontradable'!$" &amp; 'Ext Nontradable'!$AZ$23 &amp; CG$9),"")</f>
        <v>0</v>
      </c>
      <c r="CH51" s="700">
        <f ca="1">IF(INDIRECT("'Ext Nontradable'!$B" &amp; CH$9)=$B51,INDIRECT("'Ext Nontradable'!$" &amp; 'Ext Nontradable'!$AZ$23 &amp; CH$9),"")</f>
        <v>0</v>
      </c>
      <c r="CI51" s="700">
        <f ca="1">IF(INDIRECT("'Ext Nontradable'!$B" &amp; CI$9)=$B51,INDIRECT("'Ext Nontradable'!$" &amp; 'Ext Nontradable'!$AZ$23 &amp; CI$9),"")</f>
        <v>0</v>
      </c>
      <c r="CJ51" s="700">
        <f ca="1">IF(INDIRECT("'Ext Nontradable'!$B" &amp; CJ$9)=$B51,INDIRECT("'Ext Nontradable'!$" &amp; 'Ext Nontradable'!$AZ$23 &amp; CJ$9),"")</f>
        <v>0</v>
      </c>
      <c r="CK51" s="700">
        <f ca="1">IF(INDIRECT("'Ext Nontradable'!$B" &amp; CK$9)=$B51,INDIRECT("'Ext Nontradable'!$" &amp; 'Ext Nontradable'!$AZ$23 &amp; CK$9),"")</f>
        <v>0</v>
      </c>
      <c r="CL51" s="700">
        <f ca="1">IF(INDIRECT("'Ext Nontradable'!$B" &amp; CL$9)=$B51,INDIRECT("'Ext Nontradable'!$" &amp; 'Ext Nontradable'!$AZ$23 &amp; CL$9),"")</f>
        <v>0</v>
      </c>
      <c r="CM51" s="700">
        <f ca="1">IF(INDIRECT("'Ext Nontradable'!$B" &amp; CM$9)=$B51,INDIRECT("'Ext Nontradable'!$" &amp; 'Ext Nontradable'!$AZ$23 &amp; CM$9),"")</f>
        <v>0</v>
      </c>
      <c r="CN51" s="700">
        <f ca="1">IF(INDIRECT("'Ext Nontradable'!$B" &amp; CN$9)=$B51,INDIRECT("'Ext Nontradable'!$" &amp; 'Ext Nontradable'!$AZ$23 &amp; CN$9),"")</f>
        <v>0</v>
      </c>
      <c r="CO51" s="700">
        <f ca="1">IF(INDIRECT("'Ext Nontradable'!$B" &amp; CO$9)=$B51,INDIRECT("'Ext Nontradable'!$" &amp; 'Ext Nontradable'!$AZ$23 &amp; CO$9),"")</f>
        <v>0</v>
      </c>
      <c r="CP51" s="700">
        <f ca="1">IF(INDIRECT("'Ext Nontradable'!$B" &amp; CP$9)=$B51,INDIRECT("'Ext Nontradable'!$" &amp; 'Ext Nontradable'!$AZ$23 &amp; CP$9),"")</f>
        <v>0</v>
      </c>
      <c r="CQ51" s="700">
        <f ca="1">IF(INDIRECT("'Ext Nontradable'!$B" &amp; CQ$9)=$B51,INDIRECT("'Ext Nontradable'!$" &amp; 'Ext Nontradable'!$AZ$23 &amp; CQ$9),"")</f>
        <v>0</v>
      </c>
      <c r="CR51" s="702" t="str">
        <f t="shared" ca="1" si="25"/>
        <v>000000000000000000000000000000</v>
      </c>
    </row>
    <row r="52" spans="1:96" ht="60" customHeight="1" x14ac:dyDescent="0.25">
      <c r="A52" s="705">
        <v>43</v>
      </c>
      <c r="B52" s="707" t="str">
        <f>'Ext Area Schedule'!AK58</f>
        <v/>
      </c>
      <c r="C52" s="707" t="str">
        <f>VLOOKUP($B52,'Ext Area Schedule'!$AK$16:$AO$65,3,FALSE)</f>
        <v/>
      </c>
      <c r="D52" s="792" t="str">
        <f>VLOOKUP($B52,'Ext Area Schedule'!$AK$16:$AO$65,4,FALSE)</f>
        <v/>
      </c>
      <c r="F52" s="792" t="str">
        <f>VLOOKUP($B52,'Ext Area Schedule'!$AK$16:$AO$65,5,FALSE)</f>
        <v/>
      </c>
      <c r="G52" s="792" t="str">
        <f>VLOOKUP($B52,'Ext Area Schedule'!$AK$16:$AO$65,5,FALSE)</f>
        <v/>
      </c>
      <c r="I52" s="703" t="str">
        <f t="shared" si="1"/>
        <v/>
      </c>
      <c r="K52" s="703" t="str">
        <f>IF($B52="","",SUMIFS('Ext Nontradable'!$M$26:$M$45,'Ext Nontradable'!$B$26:$B$45,$B52,'Ext Nontradable'!$U$26:$U$45,"New"))</f>
        <v/>
      </c>
      <c r="L52" s="703" t="str">
        <f>IF($B52="","",SUMIFS('Ext Nontradable'!$M$26:$M$45,'Ext Nontradable'!$B$26:$B$45,$B52,'Ext Nontradable'!$U$26:$U$45,""))</f>
        <v/>
      </c>
      <c r="M52" s="703" t="str">
        <f>IF($B52="","",SUMIFS('Ext Nontradable'!$K$26:$K$45,'Ext Nontradable'!$B$26:$B$45,$B52,'Ext Nontradable'!$U$26:$U$45,"New")+SUMIFS('Ext Nontradable'!$K$26:$K$45,'Ext Nontradable'!$B$26:$B$45,$B52,'Ext Nontradable'!$U$26:$U$45,""))</f>
        <v/>
      </c>
      <c r="N52" s="703" t="str">
        <f>IF($B52="","",SUMIFS('Ext Nontradable'!$M$26:$M$45,'Ext Nontradable'!$B$26:$B$45,$B52,'Ext Nontradable'!$U$26:$U$45,"Existing Remains"))</f>
        <v/>
      </c>
      <c r="O52" s="703" t="str">
        <f>IF($B52="","",SUMIFS('Ext Nontradable'!$M$26:$M$45,'Ext Nontradable'!$B$26:$B$45,$B52,'Ext Nontradable'!$U$26:$U$45,"Existing Removed"))</f>
        <v/>
      </c>
      <c r="P52" s="703" t="str">
        <f>IF($B52="","",SUMIFS('Ext Nontradable'!$K$26:$K$45,'Ext Nontradable'!$B$26:$B$45,$B52,'Ext Nontradable'!$U$26:$U$45,"Existing Removed"))</f>
        <v/>
      </c>
      <c r="Q52" s="703" t="str">
        <f t="shared" si="2"/>
        <v/>
      </c>
      <c r="R52" s="703" t="str">
        <f t="shared" si="7"/>
        <v/>
      </c>
      <c r="S52" s="703">
        <f t="shared" si="8"/>
        <v>0</v>
      </c>
      <c r="T52" s="954">
        <f t="shared" si="20"/>
        <v>0</v>
      </c>
      <c r="U52" s="954">
        <f t="shared" si="21"/>
        <v>0</v>
      </c>
      <c r="V52" s="1115" t="str">
        <f t="shared" si="22"/>
        <v/>
      </c>
      <c r="W52" s="712" t="str">
        <f t="shared" si="23"/>
        <v/>
      </c>
      <c r="X52" s="857"/>
      <c r="Y52" s="720" t="str">
        <f t="shared" si="24"/>
        <v/>
      </c>
      <c r="Z52" s="721" t="str">
        <f t="shared" si="9"/>
        <v/>
      </c>
      <c r="AA52" s="721" t="str">
        <f t="shared" si="10"/>
        <v/>
      </c>
      <c r="AB52" s="719" t="str">
        <f t="shared" si="4"/>
        <v/>
      </c>
      <c r="AC52" s="857"/>
      <c r="AD52" s="717" t="str">
        <f t="shared" si="11"/>
        <v/>
      </c>
      <c r="AE52" s="718" t="str">
        <f t="shared" si="12"/>
        <v/>
      </c>
      <c r="AF52" s="719" t="str">
        <f t="shared" si="5"/>
        <v/>
      </c>
      <c r="AG52" s="726"/>
      <c r="AH52" s="727" t="str">
        <f t="shared" si="13"/>
        <v/>
      </c>
      <c r="AI52" s="703" t="str">
        <f t="shared" si="14"/>
        <v/>
      </c>
      <c r="AJ52" s="703" t="str">
        <f t="shared" si="15"/>
        <v/>
      </c>
      <c r="AL52" s="1075" t="str">
        <f t="shared" si="16"/>
        <v/>
      </c>
      <c r="AM52" s="855" t="str">
        <f t="shared" si="18"/>
        <v/>
      </c>
      <c r="AN52" s="707" t="str">
        <f>IF(OR(AL52="Fail",AL52="Fail LPA",AL52=""),"",IF(AM52&lt;&gt;"#1",VLOOKUP(C52,'9.4.3 Tables'!B$156:O$164,14,FALSE),"No NEW controls required"))</f>
        <v/>
      </c>
      <c r="AO52" s="703">
        <f t="shared" si="19"/>
        <v>0</v>
      </c>
      <c r="AR52">
        <v>43</v>
      </c>
      <c r="AS52" s="15" t="str">
        <f t="shared" si="17"/>
        <v/>
      </c>
      <c r="AT52" s="700" t="str">
        <f ca="1">IF(INDIRECT("'Ext Nontradable'!$B" &amp; AT$9)=$B52,INDIRECT("'Ext Nontradable'!$" &amp; 'Ext Nontradable'!$AZ$23 &amp; AT$9),"")</f>
        <v/>
      </c>
      <c r="AU52" s="700" t="str">
        <f ca="1">IF(INDIRECT("'Ext Nontradable'!$B" &amp; AU$9)=$B52,INDIRECT("'Ext Nontradable'!$" &amp; 'Ext Nontradable'!$AZ$23 &amp; AU$9),"")</f>
        <v/>
      </c>
      <c r="AV52" s="700" t="str">
        <f ca="1">IF(INDIRECT("'Ext Nontradable'!$B" &amp; AV$9)=$B52,INDIRECT("'Ext Nontradable'!$" &amp; 'Ext Nontradable'!$AZ$23 &amp; AV$9),"")</f>
        <v/>
      </c>
      <c r="AW52" s="700" t="str">
        <f ca="1">IF(INDIRECT("'Ext Nontradable'!$B" &amp; AW$9)=$B52,INDIRECT("'Ext Nontradable'!$" &amp; 'Ext Nontradable'!$AZ$23 &amp; AW$9),"")</f>
        <v/>
      </c>
      <c r="AX52" s="700" t="str">
        <f ca="1">IF(INDIRECT("'Ext Nontradable'!$B" &amp; AX$9)=$B52,INDIRECT("'Ext Nontradable'!$" &amp; 'Ext Nontradable'!$AZ$23 &amp; AX$9),"")</f>
        <v/>
      </c>
      <c r="AY52" s="700" t="str">
        <f ca="1">IF(INDIRECT("'Ext Nontradable'!$B" &amp; AY$9)=$B52,INDIRECT("'Ext Nontradable'!$" &amp; 'Ext Nontradable'!$AZ$23 &amp; AY$9),"")</f>
        <v/>
      </c>
      <c r="AZ52" s="700" t="str">
        <f ca="1">IF(INDIRECT("'Ext Nontradable'!$B" &amp; AZ$9)=$B52,INDIRECT("'Ext Nontradable'!$" &amp; 'Ext Nontradable'!$AZ$23 &amp; AZ$9),"")</f>
        <v/>
      </c>
      <c r="BA52" s="700" t="str">
        <f ca="1">IF(INDIRECT("'Ext Nontradable'!$B" &amp; BA$9)=$B52,INDIRECT("'Ext Nontradable'!$" &amp; 'Ext Nontradable'!$AZ$23 &amp; BA$9),"")</f>
        <v/>
      </c>
      <c r="BB52" s="700" t="str">
        <f ca="1">IF(INDIRECT("'Ext Nontradable'!$B" &amp; BB$9)=$B52,INDIRECT("'Ext Nontradable'!$" &amp; 'Ext Nontradable'!$AZ$23 &amp; BB$9),"")</f>
        <v/>
      </c>
      <c r="BC52" s="700" t="str">
        <f ca="1">IF(INDIRECT("'Ext Nontradable'!$B" &amp; BC$9)=$B52,INDIRECT("'Ext Nontradable'!$" &amp; 'Ext Nontradable'!$AZ$23 &amp; BC$9),"")</f>
        <v/>
      </c>
      <c r="BD52" s="700" t="str">
        <f ca="1">IF(INDIRECT("'Ext Nontradable'!$B" &amp; BD$9)=$B52,INDIRECT("'Ext Nontradable'!$" &amp; 'Ext Nontradable'!$AZ$23 &amp; BD$9),"")</f>
        <v/>
      </c>
      <c r="BE52" s="700" t="str">
        <f ca="1">IF(INDIRECT("'Ext Nontradable'!$B" &amp; BE$9)=$B52,INDIRECT("'Ext Nontradable'!$" &amp; 'Ext Nontradable'!$AZ$23 &amp; BE$9),"")</f>
        <v/>
      </c>
      <c r="BF52" s="700" t="str">
        <f ca="1">IF(INDIRECT("'Ext Nontradable'!$B" &amp; BF$9)=$B52,INDIRECT("'Ext Nontradable'!$" &amp; 'Ext Nontradable'!$AZ$23 &amp; BF$9),"")</f>
        <v/>
      </c>
      <c r="BG52" s="700" t="str">
        <f ca="1">IF(INDIRECT("'Ext Nontradable'!$B" &amp; BG$9)=$B52,INDIRECT("'Ext Nontradable'!$" &amp; 'Ext Nontradable'!$AZ$23 &amp; BG$9),"")</f>
        <v/>
      </c>
      <c r="BH52" s="700" t="str">
        <f ca="1">IF(INDIRECT("'Ext Nontradable'!$B" &amp; BH$9)=$B52,INDIRECT("'Ext Nontradable'!$" &amp; 'Ext Nontradable'!$AZ$23 &amp; BH$9),"")</f>
        <v/>
      </c>
      <c r="BI52" s="700" t="str">
        <f ca="1">IF(INDIRECT("'Ext Nontradable'!$B" &amp; BI$9)=$B52,INDIRECT("'Ext Nontradable'!$" &amp; 'Ext Nontradable'!$AZ$23 &amp; BI$9),"")</f>
        <v/>
      </c>
      <c r="BJ52" s="700" t="str">
        <f ca="1">IF(INDIRECT("'Ext Nontradable'!$B" &amp; BJ$9)=$B52,INDIRECT("'Ext Nontradable'!$" &amp; 'Ext Nontradable'!$AZ$23 &amp; BJ$9),"")</f>
        <v/>
      </c>
      <c r="BK52" s="700" t="str">
        <f ca="1">IF(INDIRECT("'Ext Nontradable'!$B" &amp; BK$9)=$B52,INDIRECT("'Ext Nontradable'!$" &amp; 'Ext Nontradable'!$AZ$23 &amp; BK$9),"")</f>
        <v/>
      </c>
      <c r="BL52" s="700" t="str">
        <f ca="1">IF(INDIRECT("'Ext Nontradable'!$B" &amp; BL$9)=$B52,INDIRECT("'Ext Nontradable'!$" &amp; 'Ext Nontradable'!$AZ$23 &amp; BL$9),"")</f>
        <v/>
      </c>
      <c r="BM52" s="700" t="str">
        <f ca="1">IF(INDIRECT("'Ext Nontradable'!$B" &amp; BM$9)=$B52,INDIRECT("'Ext Nontradable'!$" &amp; 'Ext Nontradable'!$AZ$23 &amp; BM$9),"")</f>
        <v/>
      </c>
      <c r="BN52" s="700">
        <f ca="1">IF(INDIRECT("'Ext Nontradable'!$B" &amp; BN$9)=$B52,INDIRECT("'Ext Nontradable'!$" &amp; 'Ext Nontradable'!$AZ$23 &amp; BN$9),"")</f>
        <v>0</v>
      </c>
      <c r="BO52" s="700">
        <f ca="1">IF(INDIRECT("'Ext Nontradable'!$B" &amp; BO$9)=$B52,INDIRECT("'Ext Nontradable'!$" &amp; 'Ext Nontradable'!$AZ$23 &amp; BO$9),"")</f>
        <v>0</v>
      </c>
      <c r="BP52" s="700">
        <f ca="1">IF(INDIRECT("'Ext Nontradable'!$B" &amp; BP$9)=$B52,INDIRECT("'Ext Nontradable'!$" &amp; 'Ext Nontradable'!$AZ$23 &amp; BP$9),"")</f>
        <v>0</v>
      </c>
      <c r="BQ52" s="700">
        <f ca="1">IF(INDIRECT("'Ext Nontradable'!$B" &amp; BQ$9)=$B52,INDIRECT("'Ext Nontradable'!$" &amp; 'Ext Nontradable'!$AZ$23 &amp; BQ$9),"")</f>
        <v>0</v>
      </c>
      <c r="BR52" s="700">
        <f ca="1">IF(INDIRECT("'Ext Nontradable'!$B" &amp; BR$9)=$B52,INDIRECT("'Ext Nontradable'!$" &amp; 'Ext Nontradable'!$AZ$23 &amp; BR$9),"")</f>
        <v>0</v>
      </c>
      <c r="BS52" s="700">
        <f ca="1">IF(INDIRECT("'Ext Nontradable'!$B" &amp; BS$9)=$B52,INDIRECT("'Ext Nontradable'!$" &amp; 'Ext Nontradable'!$AZ$23 &amp; BS$9),"")</f>
        <v>0</v>
      </c>
      <c r="BT52" s="700">
        <f ca="1">IF(INDIRECT("'Ext Nontradable'!$B" &amp; BT$9)=$B52,INDIRECT("'Ext Nontradable'!$" &amp; 'Ext Nontradable'!$AZ$23 &amp; BT$9),"")</f>
        <v>0</v>
      </c>
      <c r="BU52" s="700">
        <f ca="1">IF(INDIRECT("'Ext Nontradable'!$B" &amp; BU$9)=$B52,INDIRECT("'Ext Nontradable'!$" &amp; 'Ext Nontradable'!$AZ$23 &amp; BU$9),"")</f>
        <v>0</v>
      </c>
      <c r="BV52" s="700">
        <f ca="1">IF(INDIRECT("'Ext Nontradable'!$B" &amp; BV$9)=$B52,INDIRECT("'Ext Nontradable'!$" &amp; 'Ext Nontradable'!$AZ$23 &amp; BV$9),"")</f>
        <v>0</v>
      </c>
      <c r="BW52" s="700">
        <f ca="1">IF(INDIRECT("'Ext Nontradable'!$B" &amp; BW$9)=$B52,INDIRECT("'Ext Nontradable'!$" &amp; 'Ext Nontradable'!$AZ$23 &amp; BW$9),"")</f>
        <v>0</v>
      </c>
      <c r="BX52" s="700">
        <f ca="1">IF(INDIRECT("'Ext Nontradable'!$B" &amp; BX$9)=$B52,INDIRECT("'Ext Nontradable'!$" &amp; 'Ext Nontradable'!$AZ$23 &amp; BX$9),"")</f>
        <v>0</v>
      </c>
      <c r="BY52" s="700">
        <f ca="1">IF(INDIRECT("'Ext Nontradable'!$B" &amp; BY$9)=$B52,INDIRECT("'Ext Nontradable'!$" &amp; 'Ext Nontradable'!$AZ$23 &amp; BY$9),"")</f>
        <v>0</v>
      </c>
      <c r="BZ52" s="700">
        <f ca="1">IF(INDIRECT("'Ext Nontradable'!$B" &amp; BZ$9)=$B52,INDIRECT("'Ext Nontradable'!$" &amp; 'Ext Nontradable'!$AZ$23 &amp; BZ$9),"")</f>
        <v>0</v>
      </c>
      <c r="CA52" s="700">
        <f ca="1">IF(INDIRECT("'Ext Nontradable'!$B" &amp; CA$9)=$B52,INDIRECT("'Ext Nontradable'!$" &amp; 'Ext Nontradable'!$AZ$23 &amp; CA$9),"")</f>
        <v>0</v>
      </c>
      <c r="CB52" s="700">
        <f ca="1">IF(INDIRECT("'Ext Nontradable'!$B" &amp; CB$9)=$B52,INDIRECT("'Ext Nontradable'!$" &amp; 'Ext Nontradable'!$AZ$23 &amp; CB$9),"")</f>
        <v>0</v>
      </c>
      <c r="CC52" s="700">
        <f ca="1">IF(INDIRECT("'Ext Nontradable'!$B" &amp; CC$9)=$B52,INDIRECT("'Ext Nontradable'!$" &amp; 'Ext Nontradable'!$AZ$23 &amp; CC$9),"")</f>
        <v>0</v>
      </c>
      <c r="CD52" s="700">
        <f ca="1">IF(INDIRECT("'Ext Nontradable'!$B" &amp; CD$9)=$B52,INDIRECT("'Ext Nontradable'!$" &amp; 'Ext Nontradable'!$AZ$23 &amp; CD$9),"")</f>
        <v>0</v>
      </c>
      <c r="CE52" s="700">
        <f ca="1">IF(INDIRECT("'Ext Nontradable'!$B" &amp; CE$9)=$B52,INDIRECT("'Ext Nontradable'!$" &amp; 'Ext Nontradable'!$AZ$23 &amp; CE$9),"")</f>
        <v>0</v>
      </c>
      <c r="CF52" s="700">
        <f ca="1">IF(INDIRECT("'Ext Nontradable'!$B" &amp; CF$9)=$B52,INDIRECT("'Ext Nontradable'!$" &amp; 'Ext Nontradable'!$AZ$23 &amp; CF$9),"")</f>
        <v>0</v>
      </c>
      <c r="CG52" s="700">
        <f ca="1">IF(INDIRECT("'Ext Nontradable'!$B" &amp; CG$9)=$B52,INDIRECT("'Ext Nontradable'!$" &amp; 'Ext Nontradable'!$AZ$23 &amp; CG$9),"")</f>
        <v>0</v>
      </c>
      <c r="CH52" s="700">
        <f ca="1">IF(INDIRECT("'Ext Nontradable'!$B" &amp; CH$9)=$B52,INDIRECT("'Ext Nontradable'!$" &amp; 'Ext Nontradable'!$AZ$23 &amp; CH$9),"")</f>
        <v>0</v>
      </c>
      <c r="CI52" s="700">
        <f ca="1">IF(INDIRECT("'Ext Nontradable'!$B" &amp; CI$9)=$B52,INDIRECT("'Ext Nontradable'!$" &amp; 'Ext Nontradable'!$AZ$23 &amp; CI$9),"")</f>
        <v>0</v>
      </c>
      <c r="CJ52" s="700">
        <f ca="1">IF(INDIRECT("'Ext Nontradable'!$B" &amp; CJ$9)=$B52,INDIRECT("'Ext Nontradable'!$" &amp; 'Ext Nontradable'!$AZ$23 &amp; CJ$9),"")</f>
        <v>0</v>
      </c>
      <c r="CK52" s="700">
        <f ca="1">IF(INDIRECT("'Ext Nontradable'!$B" &amp; CK$9)=$B52,INDIRECT("'Ext Nontradable'!$" &amp; 'Ext Nontradable'!$AZ$23 &amp; CK$9),"")</f>
        <v>0</v>
      </c>
      <c r="CL52" s="700">
        <f ca="1">IF(INDIRECT("'Ext Nontradable'!$B" &amp; CL$9)=$B52,INDIRECT("'Ext Nontradable'!$" &amp; 'Ext Nontradable'!$AZ$23 &amp; CL$9),"")</f>
        <v>0</v>
      </c>
      <c r="CM52" s="700">
        <f ca="1">IF(INDIRECT("'Ext Nontradable'!$B" &amp; CM$9)=$B52,INDIRECT("'Ext Nontradable'!$" &amp; 'Ext Nontradable'!$AZ$23 &amp; CM$9),"")</f>
        <v>0</v>
      </c>
      <c r="CN52" s="700">
        <f ca="1">IF(INDIRECT("'Ext Nontradable'!$B" &amp; CN$9)=$B52,INDIRECT("'Ext Nontradable'!$" &amp; 'Ext Nontradable'!$AZ$23 &amp; CN$9),"")</f>
        <v>0</v>
      </c>
      <c r="CO52" s="700">
        <f ca="1">IF(INDIRECT("'Ext Nontradable'!$B" &amp; CO$9)=$B52,INDIRECT("'Ext Nontradable'!$" &amp; 'Ext Nontradable'!$AZ$23 &amp; CO$9),"")</f>
        <v>0</v>
      </c>
      <c r="CP52" s="700">
        <f ca="1">IF(INDIRECT("'Ext Nontradable'!$B" &amp; CP$9)=$B52,INDIRECT("'Ext Nontradable'!$" &amp; 'Ext Nontradable'!$AZ$23 &amp; CP$9),"")</f>
        <v>0</v>
      </c>
      <c r="CQ52" s="700">
        <f ca="1">IF(INDIRECT("'Ext Nontradable'!$B" &amp; CQ$9)=$B52,INDIRECT("'Ext Nontradable'!$" &amp; 'Ext Nontradable'!$AZ$23 &amp; CQ$9),"")</f>
        <v>0</v>
      </c>
      <c r="CR52" s="702" t="str">
        <f t="shared" ca="1" si="25"/>
        <v>000000000000000000000000000000</v>
      </c>
    </row>
    <row r="53" spans="1:96" ht="60" customHeight="1" x14ac:dyDescent="0.25">
      <c r="A53" s="705">
        <v>44</v>
      </c>
      <c r="B53" s="707" t="str">
        <f>'Ext Area Schedule'!AK59</f>
        <v/>
      </c>
      <c r="C53" s="707" t="str">
        <f>VLOOKUP($B53,'Ext Area Schedule'!$AK$16:$AO$65,3,FALSE)</f>
        <v/>
      </c>
      <c r="D53" s="792" t="str">
        <f>VLOOKUP($B53,'Ext Area Schedule'!$AK$16:$AO$65,4,FALSE)</f>
        <v/>
      </c>
      <c r="F53" s="792" t="str">
        <f>VLOOKUP($B53,'Ext Area Schedule'!$AK$16:$AO$65,5,FALSE)</f>
        <v/>
      </c>
      <c r="G53" s="792" t="str">
        <f>VLOOKUP($B53,'Ext Area Schedule'!$AK$16:$AO$65,5,FALSE)</f>
        <v/>
      </c>
      <c r="I53" s="703" t="str">
        <f t="shared" si="1"/>
        <v/>
      </c>
      <c r="K53" s="703" t="str">
        <f>IF($B53="","",SUMIFS('Ext Nontradable'!$M$26:$M$45,'Ext Nontradable'!$B$26:$B$45,$B53,'Ext Nontradable'!$U$26:$U$45,"New"))</f>
        <v/>
      </c>
      <c r="L53" s="703" t="str">
        <f>IF($B53="","",SUMIFS('Ext Nontradable'!$M$26:$M$45,'Ext Nontradable'!$B$26:$B$45,$B53,'Ext Nontradable'!$U$26:$U$45,""))</f>
        <v/>
      </c>
      <c r="M53" s="703" t="str">
        <f>IF($B53="","",SUMIFS('Ext Nontradable'!$K$26:$K$45,'Ext Nontradable'!$B$26:$B$45,$B53,'Ext Nontradable'!$U$26:$U$45,"New")+SUMIFS('Ext Nontradable'!$K$26:$K$45,'Ext Nontradable'!$B$26:$B$45,$B53,'Ext Nontradable'!$U$26:$U$45,""))</f>
        <v/>
      </c>
      <c r="N53" s="703" t="str">
        <f>IF($B53="","",SUMIFS('Ext Nontradable'!$M$26:$M$45,'Ext Nontradable'!$B$26:$B$45,$B53,'Ext Nontradable'!$U$26:$U$45,"Existing Remains"))</f>
        <v/>
      </c>
      <c r="O53" s="703" t="str">
        <f>IF($B53="","",SUMIFS('Ext Nontradable'!$M$26:$M$45,'Ext Nontradable'!$B$26:$B$45,$B53,'Ext Nontradable'!$U$26:$U$45,"Existing Removed"))</f>
        <v/>
      </c>
      <c r="P53" s="703" t="str">
        <f>IF($B53="","",SUMIFS('Ext Nontradable'!$K$26:$K$45,'Ext Nontradable'!$B$26:$B$45,$B53,'Ext Nontradable'!$U$26:$U$45,"Existing Removed"))</f>
        <v/>
      </c>
      <c r="Q53" s="703" t="str">
        <f t="shared" si="2"/>
        <v/>
      </c>
      <c r="R53" s="703" t="str">
        <f t="shared" si="7"/>
        <v/>
      </c>
      <c r="S53" s="703">
        <f t="shared" si="8"/>
        <v>0</v>
      </c>
      <c r="T53" s="954">
        <f t="shared" si="20"/>
        <v>0</v>
      </c>
      <c r="U53" s="954">
        <f t="shared" si="21"/>
        <v>0</v>
      </c>
      <c r="V53" s="1115" t="str">
        <f t="shared" si="22"/>
        <v/>
      </c>
      <c r="W53" s="712" t="str">
        <f t="shared" si="23"/>
        <v/>
      </c>
      <c r="X53" s="857"/>
      <c r="Y53" s="720" t="str">
        <f t="shared" si="24"/>
        <v/>
      </c>
      <c r="Z53" s="721" t="str">
        <f t="shared" si="9"/>
        <v/>
      </c>
      <c r="AA53" s="721" t="str">
        <f t="shared" si="10"/>
        <v/>
      </c>
      <c r="AB53" s="719" t="str">
        <f t="shared" si="4"/>
        <v/>
      </c>
      <c r="AC53" s="857"/>
      <c r="AD53" s="717" t="str">
        <f t="shared" si="11"/>
        <v/>
      </c>
      <c r="AE53" s="718" t="str">
        <f t="shared" si="12"/>
        <v/>
      </c>
      <c r="AF53" s="719" t="str">
        <f t="shared" si="5"/>
        <v/>
      </c>
      <c r="AG53" s="726"/>
      <c r="AH53" s="727" t="str">
        <f t="shared" si="13"/>
        <v/>
      </c>
      <c r="AI53" s="703" t="str">
        <f t="shared" si="14"/>
        <v/>
      </c>
      <c r="AJ53" s="703" t="str">
        <f t="shared" si="15"/>
        <v/>
      </c>
      <c r="AL53" s="1075" t="str">
        <f t="shared" si="16"/>
        <v/>
      </c>
      <c r="AM53" s="855" t="str">
        <f t="shared" si="18"/>
        <v/>
      </c>
      <c r="AN53" s="707" t="str">
        <f>IF(OR(AL53="Fail",AL53="Fail LPA",AL53=""),"",IF(AM53&lt;&gt;"#1",VLOOKUP(C53,'9.4.3 Tables'!B$156:O$164,14,FALSE),"No NEW controls required"))</f>
        <v/>
      </c>
      <c r="AO53" s="703">
        <f t="shared" si="19"/>
        <v>0</v>
      </c>
      <c r="AR53">
        <v>44</v>
      </c>
      <c r="AS53" s="15" t="str">
        <f t="shared" si="17"/>
        <v/>
      </c>
      <c r="AT53" s="700" t="str">
        <f ca="1">IF(INDIRECT("'Ext Nontradable'!$B" &amp; AT$9)=$B53,INDIRECT("'Ext Nontradable'!$" &amp; 'Ext Nontradable'!$AZ$23 &amp; AT$9),"")</f>
        <v/>
      </c>
      <c r="AU53" s="700" t="str">
        <f ca="1">IF(INDIRECT("'Ext Nontradable'!$B" &amp; AU$9)=$B53,INDIRECT("'Ext Nontradable'!$" &amp; 'Ext Nontradable'!$AZ$23 &amp; AU$9),"")</f>
        <v/>
      </c>
      <c r="AV53" s="700" t="str">
        <f ca="1">IF(INDIRECT("'Ext Nontradable'!$B" &amp; AV$9)=$B53,INDIRECT("'Ext Nontradable'!$" &amp; 'Ext Nontradable'!$AZ$23 &amp; AV$9),"")</f>
        <v/>
      </c>
      <c r="AW53" s="700" t="str">
        <f ca="1">IF(INDIRECT("'Ext Nontradable'!$B" &amp; AW$9)=$B53,INDIRECT("'Ext Nontradable'!$" &amp; 'Ext Nontradable'!$AZ$23 &amp; AW$9),"")</f>
        <v/>
      </c>
      <c r="AX53" s="700" t="str">
        <f ca="1">IF(INDIRECT("'Ext Nontradable'!$B" &amp; AX$9)=$B53,INDIRECT("'Ext Nontradable'!$" &amp; 'Ext Nontradable'!$AZ$23 &amp; AX$9),"")</f>
        <v/>
      </c>
      <c r="AY53" s="700" t="str">
        <f ca="1">IF(INDIRECT("'Ext Nontradable'!$B" &amp; AY$9)=$B53,INDIRECT("'Ext Nontradable'!$" &amp; 'Ext Nontradable'!$AZ$23 &amp; AY$9),"")</f>
        <v/>
      </c>
      <c r="AZ53" s="700" t="str">
        <f ca="1">IF(INDIRECT("'Ext Nontradable'!$B" &amp; AZ$9)=$B53,INDIRECT("'Ext Nontradable'!$" &amp; 'Ext Nontradable'!$AZ$23 &amp; AZ$9),"")</f>
        <v/>
      </c>
      <c r="BA53" s="700" t="str">
        <f ca="1">IF(INDIRECT("'Ext Nontradable'!$B" &amp; BA$9)=$B53,INDIRECT("'Ext Nontradable'!$" &amp; 'Ext Nontradable'!$AZ$23 &amp; BA$9),"")</f>
        <v/>
      </c>
      <c r="BB53" s="700" t="str">
        <f ca="1">IF(INDIRECT("'Ext Nontradable'!$B" &amp; BB$9)=$B53,INDIRECT("'Ext Nontradable'!$" &amp; 'Ext Nontradable'!$AZ$23 &amp; BB$9),"")</f>
        <v/>
      </c>
      <c r="BC53" s="700" t="str">
        <f ca="1">IF(INDIRECT("'Ext Nontradable'!$B" &amp; BC$9)=$B53,INDIRECT("'Ext Nontradable'!$" &amp; 'Ext Nontradable'!$AZ$23 &amp; BC$9),"")</f>
        <v/>
      </c>
      <c r="BD53" s="700" t="str">
        <f ca="1">IF(INDIRECT("'Ext Nontradable'!$B" &amp; BD$9)=$B53,INDIRECT("'Ext Nontradable'!$" &amp; 'Ext Nontradable'!$AZ$23 &amp; BD$9),"")</f>
        <v/>
      </c>
      <c r="BE53" s="700" t="str">
        <f ca="1">IF(INDIRECT("'Ext Nontradable'!$B" &amp; BE$9)=$B53,INDIRECT("'Ext Nontradable'!$" &amp; 'Ext Nontradable'!$AZ$23 &amp; BE$9),"")</f>
        <v/>
      </c>
      <c r="BF53" s="700" t="str">
        <f ca="1">IF(INDIRECT("'Ext Nontradable'!$B" &amp; BF$9)=$B53,INDIRECT("'Ext Nontradable'!$" &amp; 'Ext Nontradable'!$AZ$23 &amp; BF$9),"")</f>
        <v/>
      </c>
      <c r="BG53" s="700" t="str">
        <f ca="1">IF(INDIRECT("'Ext Nontradable'!$B" &amp; BG$9)=$B53,INDIRECT("'Ext Nontradable'!$" &amp; 'Ext Nontradable'!$AZ$23 &amp; BG$9),"")</f>
        <v/>
      </c>
      <c r="BH53" s="700" t="str">
        <f ca="1">IF(INDIRECT("'Ext Nontradable'!$B" &amp; BH$9)=$B53,INDIRECT("'Ext Nontradable'!$" &amp; 'Ext Nontradable'!$AZ$23 &amp; BH$9),"")</f>
        <v/>
      </c>
      <c r="BI53" s="700" t="str">
        <f ca="1">IF(INDIRECT("'Ext Nontradable'!$B" &amp; BI$9)=$B53,INDIRECT("'Ext Nontradable'!$" &amp; 'Ext Nontradable'!$AZ$23 &amp; BI$9),"")</f>
        <v/>
      </c>
      <c r="BJ53" s="700" t="str">
        <f ca="1">IF(INDIRECT("'Ext Nontradable'!$B" &amp; BJ$9)=$B53,INDIRECT("'Ext Nontradable'!$" &amp; 'Ext Nontradable'!$AZ$23 &amp; BJ$9),"")</f>
        <v/>
      </c>
      <c r="BK53" s="700" t="str">
        <f ca="1">IF(INDIRECT("'Ext Nontradable'!$B" &amp; BK$9)=$B53,INDIRECT("'Ext Nontradable'!$" &amp; 'Ext Nontradable'!$AZ$23 &amp; BK$9),"")</f>
        <v/>
      </c>
      <c r="BL53" s="700" t="str">
        <f ca="1">IF(INDIRECT("'Ext Nontradable'!$B" &amp; BL$9)=$B53,INDIRECT("'Ext Nontradable'!$" &amp; 'Ext Nontradable'!$AZ$23 &amp; BL$9),"")</f>
        <v/>
      </c>
      <c r="BM53" s="700" t="str">
        <f ca="1">IF(INDIRECT("'Ext Nontradable'!$B" &amp; BM$9)=$B53,INDIRECT("'Ext Nontradable'!$" &amp; 'Ext Nontradable'!$AZ$23 &amp; BM$9),"")</f>
        <v/>
      </c>
      <c r="BN53" s="700">
        <f ca="1">IF(INDIRECT("'Ext Nontradable'!$B" &amp; BN$9)=$B53,INDIRECT("'Ext Nontradable'!$" &amp; 'Ext Nontradable'!$AZ$23 &amp; BN$9),"")</f>
        <v>0</v>
      </c>
      <c r="BO53" s="700">
        <f ca="1">IF(INDIRECT("'Ext Nontradable'!$B" &amp; BO$9)=$B53,INDIRECT("'Ext Nontradable'!$" &amp; 'Ext Nontradable'!$AZ$23 &amp; BO$9),"")</f>
        <v>0</v>
      </c>
      <c r="BP53" s="700">
        <f ca="1">IF(INDIRECT("'Ext Nontradable'!$B" &amp; BP$9)=$B53,INDIRECT("'Ext Nontradable'!$" &amp; 'Ext Nontradable'!$AZ$23 &amp; BP$9),"")</f>
        <v>0</v>
      </c>
      <c r="BQ53" s="700">
        <f ca="1">IF(INDIRECT("'Ext Nontradable'!$B" &amp; BQ$9)=$B53,INDIRECT("'Ext Nontradable'!$" &amp; 'Ext Nontradable'!$AZ$23 &amp; BQ$9),"")</f>
        <v>0</v>
      </c>
      <c r="BR53" s="700">
        <f ca="1">IF(INDIRECT("'Ext Nontradable'!$B" &amp; BR$9)=$B53,INDIRECT("'Ext Nontradable'!$" &amp; 'Ext Nontradable'!$AZ$23 &amp; BR$9),"")</f>
        <v>0</v>
      </c>
      <c r="BS53" s="700">
        <f ca="1">IF(INDIRECT("'Ext Nontradable'!$B" &amp; BS$9)=$B53,INDIRECT("'Ext Nontradable'!$" &amp; 'Ext Nontradable'!$AZ$23 &amp; BS$9),"")</f>
        <v>0</v>
      </c>
      <c r="BT53" s="700">
        <f ca="1">IF(INDIRECT("'Ext Nontradable'!$B" &amp; BT$9)=$B53,INDIRECT("'Ext Nontradable'!$" &amp; 'Ext Nontradable'!$AZ$23 &amp; BT$9),"")</f>
        <v>0</v>
      </c>
      <c r="BU53" s="700">
        <f ca="1">IF(INDIRECT("'Ext Nontradable'!$B" &amp; BU$9)=$B53,INDIRECT("'Ext Nontradable'!$" &amp; 'Ext Nontradable'!$AZ$23 &amp; BU$9),"")</f>
        <v>0</v>
      </c>
      <c r="BV53" s="700">
        <f ca="1">IF(INDIRECT("'Ext Nontradable'!$B" &amp; BV$9)=$B53,INDIRECT("'Ext Nontradable'!$" &amp; 'Ext Nontradable'!$AZ$23 &amp; BV$9),"")</f>
        <v>0</v>
      </c>
      <c r="BW53" s="700">
        <f ca="1">IF(INDIRECT("'Ext Nontradable'!$B" &amp; BW$9)=$B53,INDIRECT("'Ext Nontradable'!$" &amp; 'Ext Nontradable'!$AZ$23 &amp; BW$9),"")</f>
        <v>0</v>
      </c>
      <c r="BX53" s="700">
        <f ca="1">IF(INDIRECT("'Ext Nontradable'!$B" &amp; BX$9)=$B53,INDIRECT("'Ext Nontradable'!$" &amp; 'Ext Nontradable'!$AZ$23 &amp; BX$9),"")</f>
        <v>0</v>
      </c>
      <c r="BY53" s="700">
        <f ca="1">IF(INDIRECT("'Ext Nontradable'!$B" &amp; BY$9)=$B53,INDIRECT("'Ext Nontradable'!$" &amp; 'Ext Nontradable'!$AZ$23 &amp; BY$9),"")</f>
        <v>0</v>
      </c>
      <c r="BZ53" s="700">
        <f ca="1">IF(INDIRECT("'Ext Nontradable'!$B" &amp; BZ$9)=$B53,INDIRECT("'Ext Nontradable'!$" &amp; 'Ext Nontradable'!$AZ$23 &amp; BZ$9),"")</f>
        <v>0</v>
      </c>
      <c r="CA53" s="700">
        <f ca="1">IF(INDIRECT("'Ext Nontradable'!$B" &amp; CA$9)=$B53,INDIRECT("'Ext Nontradable'!$" &amp; 'Ext Nontradable'!$AZ$23 &amp; CA$9),"")</f>
        <v>0</v>
      </c>
      <c r="CB53" s="700">
        <f ca="1">IF(INDIRECT("'Ext Nontradable'!$B" &amp; CB$9)=$B53,INDIRECT("'Ext Nontradable'!$" &amp; 'Ext Nontradable'!$AZ$23 &amp; CB$9),"")</f>
        <v>0</v>
      </c>
      <c r="CC53" s="700">
        <f ca="1">IF(INDIRECT("'Ext Nontradable'!$B" &amp; CC$9)=$B53,INDIRECT("'Ext Nontradable'!$" &amp; 'Ext Nontradable'!$AZ$23 &amp; CC$9),"")</f>
        <v>0</v>
      </c>
      <c r="CD53" s="700">
        <f ca="1">IF(INDIRECT("'Ext Nontradable'!$B" &amp; CD$9)=$B53,INDIRECT("'Ext Nontradable'!$" &amp; 'Ext Nontradable'!$AZ$23 &amp; CD$9),"")</f>
        <v>0</v>
      </c>
      <c r="CE53" s="700">
        <f ca="1">IF(INDIRECT("'Ext Nontradable'!$B" &amp; CE$9)=$B53,INDIRECT("'Ext Nontradable'!$" &amp; 'Ext Nontradable'!$AZ$23 &amp; CE$9),"")</f>
        <v>0</v>
      </c>
      <c r="CF53" s="700">
        <f ca="1">IF(INDIRECT("'Ext Nontradable'!$B" &amp; CF$9)=$B53,INDIRECT("'Ext Nontradable'!$" &amp; 'Ext Nontradable'!$AZ$23 &amp; CF$9),"")</f>
        <v>0</v>
      </c>
      <c r="CG53" s="700">
        <f ca="1">IF(INDIRECT("'Ext Nontradable'!$B" &amp; CG$9)=$B53,INDIRECT("'Ext Nontradable'!$" &amp; 'Ext Nontradable'!$AZ$23 &amp; CG$9),"")</f>
        <v>0</v>
      </c>
      <c r="CH53" s="700">
        <f ca="1">IF(INDIRECT("'Ext Nontradable'!$B" &amp; CH$9)=$B53,INDIRECT("'Ext Nontradable'!$" &amp; 'Ext Nontradable'!$AZ$23 &amp; CH$9),"")</f>
        <v>0</v>
      </c>
      <c r="CI53" s="700">
        <f ca="1">IF(INDIRECT("'Ext Nontradable'!$B" &amp; CI$9)=$B53,INDIRECT("'Ext Nontradable'!$" &amp; 'Ext Nontradable'!$AZ$23 &amp; CI$9),"")</f>
        <v>0</v>
      </c>
      <c r="CJ53" s="700">
        <f ca="1">IF(INDIRECT("'Ext Nontradable'!$B" &amp; CJ$9)=$B53,INDIRECT("'Ext Nontradable'!$" &amp; 'Ext Nontradable'!$AZ$23 &amp; CJ$9),"")</f>
        <v>0</v>
      </c>
      <c r="CK53" s="700">
        <f ca="1">IF(INDIRECT("'Ext Nontradable'!$B" &amp; CK$9)=$B53,INDIRECT("'Ext Nontradable'!$" &amp; 'Ext Nontradable'!$AZ$23 &amp; CK$9),"")</f>
        <v>0</v>
      </c>
      <c r="CL53" s="700">
        <f ca="1">IF(INDIRECT("'Ext Nontradable'!$B" &amp; CL$9)=$B53,INDIRECT("'Ext Nontradable'!$" &amp; 'Ext Nontradable'!$AZ$23 &amp; CL$9),"")</f>
        <v>0</v>
      </c>
      <c r="CM53" s="700">
        <f ca="1">IF(INDIRECT("'Ext Nontradable'!$B" &amp; CM$9)=$B53,INDIRECT("'Ext Nontradable'!$" &amp; 'Ext Nontradable'!$AZ$23 &amp; CM$9),"")</f>
        <v>0</v>
      </c>
      <c r="CN53" s="700">
        <f ca="1">IF(INDIRECT("'Ext Nontradable'!$B" &amp; CN$9)=$B53,INDIRECT("'Ext Nontradable'!$" &amp; 'Ext Nontradable'!$AZ$23 &amp; CN$9),"")</f>
        <v>0</v>
      </c>
      <c r="CO53" s="700">
        <f ca="1">IF(INDIRECT("'Ext Nontradable'!$B" &amp; CO$9)=$B53,INDIRECT("'Ext Nontradable'!$" &amp; 'Ext Nontradable'!$AZ$23 &amp; CO$9),"")</f>
        <v>0</v>
      </c>
      <c r="CP53" s="700">
        <f ca="1">IF(INDIRECT("'Ext Nontradable'!$B" &amp; CP$9)=$B53,INDIRECT("'Ext Nontradable'!$" &amp; 'Ext Nontradable'!$AZ$23 &amp; CP$9),"")</f>
        <v>0</v>
      </c>
      <c r="CQ53" s="700">
        <f ca="1">IF(INDIRECT("'Ext Nontradable'!$B" &amp; CQ$9)=$B53,INDIRECT("'Ext Nontradable'!$" &amp; 'Ext Nontradable'!$AZ$23 &amp; CQ$9),"")</f>
        <v>0</v>
      </c>
      <c r="CR53" s="702" t="str">
        <f t="shared" ca="1" si="25"/>
        <v>000000000000000000000000000000</v>
      </c>
    </row>
    <row r="54" spans="1:96" ht="60" customHeight="1" x14ac:dyDescent="0.25">
      <c r="A54" s="705">
        <v>45</v>
      </c>
      <c r="B54" s="707" t="str">
        <f>'Ext Area Schedule'!AK60</f>
        <v/>
      </c>
      <c r="C54" s="707" t="str">
        <f>VLOOKUP($B54,'Ext Area Schedule'!$AK$16:$AO$65,3,FALSE)</f>
        <v/>
      </c>
      <c r="D54" s="792" t="str">
        <f>VLOOKUP($B54,'Ext Area Schedule'!$AK$16:$AO$65,4,FALSE)</f>
        <v/>
      </c>
      <c r="F54" s="792" t="str">
        <f>VLOOKUP($B54,'Ext Area Schedule'!$AK$16:$AO$65,5,FALSE)</f>
        <v/>
      </c>
      <c r="G54" s="792" t="str">
        <f>VLOOKUP($B54,'Ext Area Schedule'!$AK$16:$AO$65,5,FALSE)</f>
        <v/>
      </c>
      <c r="I54" s="703" t="str">
        <f t="shared" si="1"/>
        <v/>
      </c>
      <c r="K54" s="703" t="str">
        <f>IF($B54="","",SUMIFS('Ext Nontradable'!$M$26:$M$45,'Ext Nontradable'!$B$26:$B$45,$B54,'Ext Nontradable'!$U$26:$U$45,"New"))</f>
        <v/>
      </c>
      <c r="L54" s="703" t="str">
        <f>IF($B54="","",SUMIFS('Ext Nontradable'!$M$26:$M$45,'Ext Nontradable'!$B$26:$B$45,$B54,'Ext Nontradable'!$U$26:$U$45,""))</f>
        <v/>
      </c>
      <c r="M54" s="703" t="str">
        <f>IF($B54="","",SUMIFS('Ext Nontradable'!$K$26:$K$45,'Ext Nontradable'!$B$26:$B$45,$B54,'Ext Nontradable'!$U$26:$U$45,"New")+SUMIFS('Ext Nontradable'!$K$26:$K$45,'Ext Nontradable'!$B$26:$B$45,$B54,'Ext Nontradable'!$U$26:$U$45,""))</f>
        <v/>
      </c>
      <c r="N54" s="703" t="str">
        <f>IF($B54="","",SUMIFS('Ext Nontradable'!$M$26:$M$45,'Ext Nontradable'!$B$26:$B$45,$B54,'Ext Nontradable'!$U$26:$U$45,"Existing Remains"))</f>
        <v/>
      </c>
      <c r="O54" s="703" t="str">
        <f>IF($B54="","",SUMIFS('Ext Nontradable'!$M$26:$M$45,'Ext Nontradable'!$B$26:$B$45,$B54,'Ext Nontradable'!$U$26:$U$45,"Existing Removed"))</f>
        <v/>
      </c>
      <c r="P54" s="703" t="str">
        <f>IF($B54="","",SUMIFS('Ext Nontradable'!$K$26:$K$45,'Ext Nontradable'!$B$26:$B$45,$B54,'Ext Nontradable'!$U$26:$U$45,"Existing Removed"))</f>
        <v/>
      </c>
      <c r="Q54" s="703" t="str">
        <f t="shared" si="2"/>
        <v/>
      </c>
      <c r="R54" s="703" t="str">
        <f t="shared" si="7"/>
        <v/>
      </c>
      <c r="S54" s="703">
        <f t="shared" si="8"/>
        <v>0</v>
      </c>
      <c r="T54" s="954">
        <f t="shared" si="20"/>
        <v>0</v>
      </c>
      <c r="U54" s="954">
        <f t="shared" si="21"/>
        <v>0</v>
      </c>
      <c r="V54" s="1115" t="str">
        <f t="shared" si="22"/>
        <v/>
      </c>
      <c r="W54" s="712" t="str">
        <f t="shared" si="23"/>
        <v/>
      </c>
      <c r="X54" s="857"/>
      <c r="Y54" s="720" t="str">
        <f t="shared" si="24"/>
        <v/>
      </c>
      <c r="Z54" s="721" t="str">
        <f t="shared" si="9"/>
        <v/>
      </c>
      <c r="AA54" s="721" t="str">
        <f t="shared" si="10"/>
        <v/>
      </c>
      <c r="AB54" s="719" t="str">
        <f t="shared" si="4"/>
        <v/>
      </c>
      <c r="AC54" s="857"/>
      <c r="AD54" s="717" t="str">
        <f t="shared" si="11"/>
        <v/>
      </c>
      <c r="AE54" s="718" t="str">
        <f t="shared" si="12"/>
        <v/>
      </c>
      <c r="AF54" s="719" t="str">
        <f t="shared" si="5"/>
        <v/>
      </c>
      <c r="AG54" s="726"/>
      <c r="AH54" s="727" t="str">
        <f t="shared" si="13"/>
        <v/>
      </c>
      <c r="AI54" s="703" t="str">
        <f t="shared" si="14"/>
        <v/>
      </c>
      <c r="AJ54" s="703" t="str">
        <f t="shared" si="15"/>
        <v/>
      </c>
      <c r="AL54" s="1075" t="str">
        <f t="shared" si="16"/>
        <v/>
      </c>
      <c r="AM54" s="855" t="str">
        <f t="shared" si="18"/>
        <v/>
      </c>
      <c r="AN54" s="707" t="str">
        <f>IF(OR(AL54="Fail",AL54="Fail LPA",AL54=""),"",IF(AM54&lt;&gt;"#1",VLOOKUP(C54,'9.4.3 Tables'!B$156:O$164,14,FALSE),"No NEW controls required"))</f>
        <v/>
      </c>
      <c r="AO54" s="703">
        <f t="shared" si="19"/>
        <v>0</v>
      </c>
      <c r="AR54">
        <v>45</v>
      </c>
      <c r="AS54" s="15" t="str">
        <f t="shared" si="17"/>
        <v/>
      </c>
      <c r="AT54" s="700" t="str">
        <f ca="1">IF(INDIRECT("'Ext Nontradable'!$B" &amp; AT$9)=$B54,INDIRECT("'Ext Nontradable'!$" &amp; 'Ext Nontradable'!$AZ$23 &amp; AT$9),"")</f>
        <v/>
      </c>
      <c r="AU54" s="700" t="str">
        <f ca="1">IF(INDIRECT("'Ext Nontradable'!$B" &amp; AU$9)=$B54,INDIRECT("'Ext Nontradable'!$" &amp; 'Ext Nontradable'!$AZ$23 &amp; AU$9),"")</f>
        <v/>
      </c>
      <c r="AV54" s="700" t="str">
        <f ca="1">IF(INDIRECT("'Ext Nontradable'!$B" &amp; AV$9)=$B54,INDIRECT("'Ext Nontradable'!$" &amp; 'Ext Nontradable'!$AZ$23 &amp; AV$9),"")</f>
        <v/>
      </c>
      <c r="AW54" s="700" t="str">
        <f ca="1">IF(INDIRECT("'Ext Nontradable'!$B" &amp; AW$9)=$B54,INDIRECT("'Ext Nontradable'!$" &amp; 'Ext Nontradable'!$AZ$23 &amp; AW$9),"")</f>
        <v/>
      </c>
      <c r="AX54" s="700" t="str">
        <f ca="1">IF(INDIRECT("'Ext Nontradable'!$B" &amp; AX$9)=$B54,INDIRECT("'Ext Nontradable'!$" &amp; 'Ext Nontradable'!$AZ$23 &amp; AX$9),"")</f>
        <v/>
      </c>
      <c r="AY54" s="700" t="str">
        <f ca="1">IF(INDIRECT("'Ext Nontradable'!$B" &amp; AY$9)=$B54,INDIRECT("'Ext Nontradable'!$" &amp; 'Ext Nontradable'!$AZ$23 &amp; AY$9),"")</f>
        <v/>
      </c>
      <c r="AZ54" s="700" t="str">
        <f ca="1">IF(INDIRECT("'Ext Nontradable'!$B" &amp; AZ$9)=$B54,INDIRECT("'Ext Nontradable'!$" &amp; 'Ext Nontradable'!$AZ$23 &amp; AZ$9),"")</f>
        <v/>
      </c>
      <c r="BA54" s="700" t="str">
        <f ca="1">IF(INDIRECT("'Ext Nontradable'!$B" &amp; BA$9)=$B54,INDIRECT("'Ext Nontradable'!$" &amp; 'Ext Nontradable'!$AZ$23 &amp; BA$9),"")</f>
        <v/>
      </c>
      <c r="BB54" s="700" t="str">
        <f ca="1">IF(INDIRECT("'Ext Nontradable'!$B" &amp; BB$9)=$B54,INDIRECT("'Ext Nontradable'!$" &amp; 'Ext Nontradable'!$AZ$23 &amp; BB$9),"")</f>
        <v/>
      </c>
      <c r="BC54" s="700" t="str">
        <f ca="1">IF(INDIRECT("'Ext Nontradable'!$B" &amp; BC$9)=$B54,INDIRECT("'Ext Nontradable'!$" &amp; 'Ext Nontradable'!$AZ$23 &amp; BC$9),"")</f>
        <v/>
      </c>
      <c r="BD54" s="700" t="str">
        <f ca="1">IF(INDIRECT("'Ext Nontradable'!$B" &amp; BD$9)=$B54,INDIRECT("'Ext Nontradable'!$" &amp; 'Ext Nontradable'!$AZ$23 &amp; BD$9),"")</f>
        <v/>
      </c>
      <c r="BE54" s="700" t="str">
        <f ca="1">IF(INDIRECT("'Ext Nontradable'!$B" &amp; BE$9)=$B54,INDIRECT("'Ext Nontradable'!$" &amp; 'Ext Nontradable'!$AZ$23 &amp; BE$9),"")</f>
        <v/>
      </c>
      <c r="BF54" s="700" t="str">
        <f ca="1">IF(INDIRECT("'Ext Nontradable'!$B" &amp; BF$9)=$B54,INDIRECT("'Ext Nontradable'!$" &amp; 'Ext Nontradable'!$AZ$23 &amp; BF$9),"")</f>
        <v/>
      </c>
      <c r="BG54" s="700" t="str">
        <f ca="1">IF(INDIRECT("'Ext Nontradable'!$B" &amp; BG$9)=$B54,INDIRECT("'Ext Nontradable'!$" &amp; 'Ext Nontradable'!$AZ$23 &amp; BG$9),"")</f>
        <v/>
      </c>
      <c r="BH54" s="700" t="str">
        <f ca="1">IF(INDIRECT("'Ext Nontradable'!$B" &amp; BH$9)=$B54,INDIRECT("'Ext Nontradable'!$" &amp; 'Ext Nontradable'!$AZ$23 &amp; BH$9),"")</f>
        <v/>
      </c>
      <c r="BI54" s="700" t="str">
        <f ca="1">IF(INDIRECT("'Ext Nontradable'!$B" &amp; BI$9)=$B54,INDIRECT("'Ext Nontradable'!$" &amp; 'Ext Nontradable'!$AZ$23 &amp; BI$9),"")</f>
        <v/>
      </c>
      <c r="BJ54" s="700" t="str">
        <f ca="1">IF(INDIRECT("'Ext Nontradable'!$B" &amp; BJ$9)=$B54,INDIRECT("'Ext Nontradable'!$" &amp; 'Ext Nontradable'!$AZ$23 &amp; BJ$9),"")</f>
        <v/>
      </c>
      <c r="BK54" s="700" t="str">
        <f ca="1">IF(INDIRECT("'Ext Nontradable'!$B" &amp; BK$9)=$B54,INDIRECT("'Ext Nontradable'!$" &amp; 'Ext Nontradable'!$AZ$23 &amp; BK$9),"")</f>
        <v/>
      </c>
      <c r="BL54" s="700" t="str">
        <f ca="1">IF(INDIRECT("'Ext Nontradable'!$B" &amp; BL$9)=$B54,INDIRECT("'Ext Nontradable'!$" &amp; 'Ext Nontradable'!$AZ$23 &amp; BL$9),"")</f>
        <v/>
      </c>
      <c r="BM54" s="700" t="str">
        <f ca="1">IF(INDIRECT("'Ext Nontradable'!$B" &amp; BM$9)=$B54,INDIRECT("'Ext Nontradable'!$" &amp; 'Ext Nontradable'!$AZ$23 &amp; BM$9),"")</f>
        <v/>
      </c>
      <c r="BN54" s="700">
        <f ca="1">IF(INDIRECT("'Ext Nontradable'!$B" &amp; BN$9)=$B54,INDIRECT("'Ext Nontradable'!$" &amp; 'Ext Nontradable'!$AZ$23 &amp; BN$9),"")</f>
        <v>0</v>
      </c>
      <c r="BO54" s="700">
        <f ca="1">IF(INDIRECT("'Ext Nontradable'!$B" &amp; BO$9)=$B54,INDIRECT("'Ext Nontradable'!$" &amp; 'Ext Nontradable'!$AZ$23 &amp; BO$9),"")</f>
        <v>0</v>
      </c>
      <c r="BP54" s="700">
        <f ca="1">IF(INDIRECT("'Ext Nontradable'!$B" &amp; BP$9)=$B54,INDIRECT("'Ext Nontradable'!$" &amp; 'Ext Nontradable'!$AZ$23 &amp; BP$9),"")</f>
        <v>0</v>
      </c>
      <c r="BQ54" s="700">
        <f ca="1">IF(INDIRECT("'Ext Nontradable'!$B" &amp; BQ$9)=$B54,INDIRECT("'Ext Nontradable'!$" &amp; 'Ext Nontradable'!$AZ$23 &amp; BQ$9),"")</f>
        <v>0</v>
      </c>
      <c r="BR54" s="700">
        <f ca="1">IF(INDIRECT("'Ext Nontradable'!$B" &amp; BR$9)=$B54,INDIRECT("'Ext Nontradable'!$" &amp; 'Ext Nontradable'!$AZ$23 &amp; BR$9),"")</f>
        <v>0</v>
      </c>
      <c r="BS54" s="700">
        <f ca="1">IF(INDIRECT("'Ext Nontradable'!$B" &amp; BS$9)=$B54,INDIRECT("'Ext Nontradable'!$" &amp; 'Ext Nontradable'!$AZ$23 &amp; BS$9),"")</f>
        <v>0</v>
      </c>
      <c r="BT54" s="700">
        <f ca="1">IF(INDIRECT("'Ext Nontradable'!$B" &amp; BT$9)=$B54,INDIRECT("'Ext Nontradable'!$" &amp; 'Ext Nontradable'!$AZ$23 &amp; BT$9),"")</f>
        <v>0</v>
      </c>
      <c r="BU54" s="700">
        <f ca="1">IF(INDIRECT("'Ext Nontradable'!$B" &amp; BU$9)=$B54,INDIRECT("'Ext Nontradable'!$" &amp; 'Ext Nontradable'!$AZ$23 &amp; BU$9),"")</f>
        <v>0</v>
      </c>
      <c r="BV54" s="700">
        <f ca="1">IF(INDIRECT("'Ext Nontradable'!$B" &amp; BV$9)=$B54,INDIRECT("'Ext Nontradable'!$" &amp; 'Ext Nontradable'!$AZ$23 &amp; BV$9),"")</f>
        <v>0</v>
      </c>
      <c r="BW54" s="700">
        <f ca="1">IF(INDIRECT("'Ext Nontradable'!$B" &amp; BW$9)=$B54,INDIRECT("'Ext Nontradable'!$" &amp; 'Ext Nontradable'!$AZ$23 &amp; BW$9),"")</f>
        <v>0</v>
      </c>
      <c r="BX54" s="700">
        <f ca="1">IF(INDIRECT("'Ext Nontradable'!$B" &amp; BX$9)=$B54,INDIRECT("'Ext Nontradable'!$" &amp; 'Ext Nontradable'!$AZ$23 &amp; BX$9),"")</f>
        <v>0</v>
      </c>
      <c r="BY54" s="700">
        <f ca="1">IF(INDIRECT("'Ext Nontradable'!$B" &amp; BY$9)=$B54,INDIRECT("'Ext Nontradable'!$" &amp; 'Ext Nontradable'!$AZ$23 &amp; BY$9),"")</f>
        <v>0</v>
      </c>
      <c r="BZ54" s="700">
        <f ca="1">IF(INDIRECT("'Ext Nontradable'!$B" &amp; BZ$9)=$B54,INDIRECT("'Ext Nontradable'!$" &amp; 'Ext Nontradable'!$AZ$23 &amp; BZ$9),"")</f>
        <v>0</v>
      </c>
      <c r="CA54" s="700">
        <f ca="1">IF(INDIRECT("'Ext Nontradable'!$B" &amp; CA$9)=$B54,INDIRECT("'Ext Nontradable'!$" &amp; 'Ext Nontradable'!$AZ$23 &amp; CA$9),"")</f>
        <v>0</v>
      </c>
      <c r="CB54" s="700">
        <f ca="1">IF(INDIRECT("'Ext Nontradable'!$B" &amp; CB$9)=$B54,INDIRECT("'Ext Nontradable'!$" &amp; 'Ext Nontradable'!$AZ$23 &amp; CB$9),"")</f>
        <v>0</v>
      </c>
      <c r="CC54" s="700">
        <f ca="1">IF(INDIRECT("'Ext Nontradable'!$B" &amp; CC$9)=$B54,INDIRECT("'Ext Nontradable'!$" &amp; 'Ext Nontradable'!$AZ$23 &amp; CC$9),"")</f>
        <v>0</v>
      </c>
      <c r="CD54" s="700">
        <f ca="1">IF(INDIRECT("'Ext Nontradable'!$B" &amp; CD$9)=$B54,INDIRECT("'Ext Nontradable'!$" &amp; 'Ext Nontradable'!$AZ$23 &amp; CD$9),"")</f>
        <v>0</v>
      </c>
      <c r="CE54" s="700">
        <f ca="1">IF(INDIRECT("'Ext Nontradable'!$B" &amp; CE$9)=$B54,INDIRECT("'Ext Nontradable'!$" &amp; 'Ext Nontradable'!$AZ$23 &amp; CE$9),"")</f>
        <v>0</v>
      </c>
      <c r="CF54" s="700">
        <f ca="1">IF(INDIRECT("'Ext Nontradable'!$B" &amp; CF$9)=$B54,INDIRECT("'Ext Nontradable'!$" &amp; 'Ext Nontradable'!$AZ$23 &amp; CF$9),"")</f>
        <v>0</v>
      </c>
      <c r="CG54" s="700">
        <f ca="1">IF(INDIRECT("'Ext Nontradable'!$B" &amp; CG$9)=$B54,INDIRECT("'Ext Nontradable'!$" &amp; 'Ext Nontradable'!$AZ$23 &amp; CG$9),"")</f>
        <v>0</v>
      </c>
      <c r="CH54" s="700">
        <f ca="1">IF(INDIRECT("'Ext Nontradable'!$B" &amp; CH$9)=$B54,INDIRECT("'Ext Nontradable'!$" &amp; 'Ext Nontradable'!$AZ$23 &amp; CH$9),"")</f>
        <v>0</v>
      </c>
      <c r="CI54" s="700">
        <f ca="1">IF(INDIRECT("'Ext Nontradable'!$B" &amp; CI$9)=$B54,INDIRECT("'Ext Nontradable'!$" &amp; 'Ext Nontradable'!$AZ$23 &amp; CI$9),"")</f>
        <v>0</v>
      </c>
      <c r="CJ54" s="700">
        <f ca="1">IF(INDIRECT("'Ext Nontradable'!$B" &amp; CJ$9)=$B54,INDIRECT("'Ext Nontradable'!$" &amp; 'Ext Nontradable'!$AZ$23 &amp; CJ$9),"")</f>
        <v>0</v>
      </c>
      <c r="CK54" s="700">
        <f ca="1">IF(INDIRECT("'Ext Nontradable'!$B" &amp; CK$9)=$B54,INDIRECT("'Ext Nontradable'!$" &amp; 'Ext Nontradable'!$AZ$23 &amp; CK$9),"")</f>
        <v>0</v>
      </c>
      <c r="CL54" s="700">
        <f ca="1">IF(INDIRECT("'Ext Nontradable'!$B" &amp; CL$9)=$B54,INDIRECT("'Ext Nontradable'!$" &amp; 'Ext Nontradable'!$AZ$23 &amp; CL$9),"")</f>
        <v>0</v>
      </c>
      <c r="CM54" s="700">
        <f ca="1">IF(INDIRECT("'Ext Nontradable'!$B" &amp; CM$9)=$B54,INDIRECT("'Ext Nontradable'!$" &amp; 'Ext Nontradable'!$AZ$23 &amp; CM$9),"")</f>
        <v>0</v>
      </c>
      <c r="CN54" s="700">
        <f ca="1">IF(INDIRECT("'Ext Nontradable'!$B" &amp; CN$9)=$B54,INDIRECT("'Ext Nontradable'!$" &amp; 'Ext Nontradable'!$AZ$23 &amp; CN$9),"")</f>
        <v>0</v>
      </c>
      <c r="CO54" s="700">
        <f ca="1">IF(INDIRECT("'Ext Nontradable'!$B" &amp; CO$9)=$B54,INDIRECT("'Ext Nontradable'!$" &amp; 'Ext Nontradable'!$AZ$23 &amp; CO$9),"")</f>
        <v>0</v>
      </c>
      <c r="CP54" s="700">
        <f ca="1">IF(INDIRECT("'Ext Nontradable'!$B" &amp; CP$9)=$B54,INDIRECT("'Ext Nontradable'!$" &amp; 'Ext Nontradable'!$AZ$23 &amp; CP$9),"")</f>
        <v>0</v>
      </c>
      <c r="CQ54" s="700">
        <f ca="1">IF(INDIRECT("'Ext Nontradable'!$B" &amp; CQ$9)=$B54,INDIRECT("'Ext Nontradable'!$" &amp; 'Ext Nontradable'!$AZ$23 &amp; CQ$9),"")</f>
        <v>0</v>
      </c>
      <c r="CR54" s="702" t="str">
        <f t="shared" ca="1" si="25"/>
        <v>000000000000000000000000000000</v>
      </c>
    </row>
    <row r="55" spans="1:96" ht="60" customHeight="1" x14ac:dyDescent="0.25">
      <c r="A55" s="705">
        <v>46</v>
      </c>
      <c r="B55" s="707" t="str">
        <f>'Ext Area Schedule'!AK61</f>
        <v/>
      </c>
      <c r="C55" s="707" t="str">
        <f>VLOOKUP($B55,'Ext Area Schedule'!$AK$16:$AO$65,3,FALSE)</f>
        <v/>
      </c>
      <c r="D55" s="792" t="str">
        <f>VLOOKUP($B55,'Ext Area Schedule'!$AK$16:$AO$65,4,FALSE)</f>
        <v/>
      </c>
      <c r="F55" s="792" t="str">
        <f>VLOOKUP($B55,'Ext Area Schedule'!$AK$16:$AO$65,5,FALSE)</f>
        <v/>
      </c>
      <c r="G55" s="792" t="str">
        <f>VLOOKUP($B55,'Ext Area Schedule'!$AK$16:$AO$65,5,FALSE)</f>
        <v/>
      </c>
      <c r="I55" s="703" t="str">
        <f t="shared" si="1"/>
        <v/>
      </c>
      <c r="K55" s="703" t="str">
        <f>IF($B55="","",SUMIFS('Ext Nontradable'!$M$26:$M$45,'Ext Nontradable'!$B$26:$B$45,$B55,'Ext Nontradable'!$U$26:$U$45,"New"))</f>
        <v/>
      </c>
      <c r="L55" s="703" t="str">
        <f>IF($B55="","",SUMIFS('Ext Nontradable'!$M$26:$M$45,'Ext Nontradable'!$B$26:$B$45,$B55,'Ext Nontradable'!$U$26:$U$45,""))</f>
        <v/>
      </c>
      <c r="M55" s="703" t="str">
        <f>IF($B55="","",SUMIFS('Ext Nontradable'!$K$26:$K$45,'Ext Nontradable'!$B$26:$B$45,$B55,'Ext Nontradable'!$U$26:$U$45,"New")+SUMIFS('Ext Nontradable'!$K$26:$K$45,'Ext Nontradable'!$B$26:$B$45,$B55,'Ext Nontradable'!$U$26:$U$45,""))</f>
        <v/>
      </c>
      <c r="N55" s="703" t="str">
        <f>IF($B55="","",SUMIFS('Ext Nontradable'!$M$26:$M$45,'Ext Nontradable'!$B$26:$B$45,$B55,'Ext Nontradable'!$U$26:$U$45,"Existing Remains"))</f>
        <v/>
      </c>
      <c r="O55" s="703" t="str">
        <f>IF($B55="","",SUMIFS('Ext Nontradable'!$M$26:$M$45,'Ext Nontradable'!$B$26:$B$45,$B55,'Ext Nontradable'!$U$26:$U$45,"Existing Removed"))</f>
        <v/>
      </c>
      <c r="P55" s="703" t="str">
        <f>IF($B55="","",SUMIFS('Ext Nontradable'!$K$26:$K$45,'Ext Nontradable'!$B$26:$B$45,$B55,'Ext Nontradable'!$U$26:$U$45,"Existing Removed"))</f>
        <v/>
      </c>
      <c r="Q55" s="703" t="str">
        <f t="shared" si="2"/>
        <v/>
      </c>
      <c r="R55" s="703" t="str">
        <f t="shared" si="7"/>
        <v/>
      </c>
      <c r="S55" s="703">
        <f t="shared" si="8"/>
        <v>0</v>
      </c>
      <c r="T55" s="954">
        <f t="shared" si="20"/>
        <v>0</v>
      </c>
      <c r="U55" s="954">
        <f t="shared" si="21"/>
        <v>0</v>
      </c>
      <c r="V55" s="1115" t="str">
        <f t="shared" si="22"/>
        <v/>
      </c>
      <c r="W55" s="712" t="str">
        <f t="shared" si="23"/>
        <v/>
      </c>
      <c r="X55" s="857"/>
      <c r="Y55" s="720" t="str">
        <f t="shared" si="24"/>
        <v/>
      </c>
      <c r="Z55" s="721" t="str">
        <f t="shared" si="9"/>
        <v/>
      </c>
      <c r="AA55" s="721" t="str">
        <f t="shared" si="10"/>
        <v/>
      </c>
      <c r="AB55" s="719" t="str">
        <f t="shared" si="4"/>
        <v/>
      </c>
      <c r="AC55" s="857"/>
      <c r="AD55" s="717" t="str">
        <f t="shared" si="11"/>
        <v/>
      </c>
      <c r="AE55" s="718" t="str">
        <f t="shared" si="12"/>
        <v/>
      </c>
      <c r="AF55" s="719" t="str">
        <f t="shared" si="5"/>
        <v/>
      </c>
      <c r="AG55" s="726"/>
      <c r="AH55" s="727" t="str">
        <f t="shared" si="13"/>
        <v/>
      </c>
      <c r="AI55" s="703" t="str">
        <f t="shared" si="14"/>
        <v/>
      </c>
      <c r="AJ55" s="703" t="str">
        <f t="shared" si="15"/>
        <v/>
      </c>
      <c r="AL55" s="1075" t="str">
        <f t="shared" si="16"/>
        <v/>
      </c>
      <c r="AM55" s="855" t="str">
        <f t="shared" si="18"/>
        <v/>
      </c>
      <c r="AN55" s="707" t="str">
        <f>IF(OR(AL55="Fail",AL55="Fail LPA",AL55=""),"",IF(AM55&lt;&gt;"#1",VLOOKUP(C55,'9.4.3 Tables'!B$156:O$164,14,FALSE),"No NEW controls required"))</f>
        <v/>
      </c>
      <c r="AO55" s="703">
        <f t="shared" si="19"/>
        <v>0</v>
      </c>
      <c r="AR55">
        <v>46</v>
      </c>
      <c r="AS55" s="15" t="str">
        <f t="shared" si="17"/>
        <v/>
      </c>
      <c r="AT55" s="700" t="str">
        <f ca="1">IF(INDIRECT("'Ext Nontradable'!$B" &amp; AT$9)=$B55,INDIRECT("'Ext Nontradable'!$" &amp; 'Ext Nontradable'!$AZ$23 &amp; AT$9),"")</f>
        <v/>
      </c>
      <c r="AU55" s="700" t="str">
        <f ca="1">IF(INDIRECT("'Ext Nontradable'!$B" &amp; AU$9)=$B55,INDIRECT("'Ext Nontradable'!$" &amp; 'Ext Nontradable'!$AZ$23 &amp; AU$9),"")</f>
        <v/>
      </c>
      <c r="AV55" s="700" t="str">
        <f ca="1">IF(INDIRECT("'Ext Nontradable'!$B" &amp; AV$9)=$B55,INDIRECT("'Ext Nontradable'!$" &amp; 'Ext Nontradable'!$AZ$23 &amp; AV$9),"")</f>
        <v/>
      </c>
      <c r="AW55" s="700" t="str">
        <f ca="1">IF(INDIRECT("'Ext Nontradable'!$B" &amp; AW$9)=$B55,INDIRECT("'Ext Nontradable'!$" &amp; 'Ext Nontradable'!$AZ$23 &amp; AW$9),"")</f>
        <v/>
      </c>
      <c r="AX55" s="700" t="str">
        <f ca="1">IF(INDIRECT("'Ext Nontradable'!$B" &amp; AX$9)=$B55,INDIRECT("'Ext Nontradable'!$" &amp; 'Ext Nontradable'!$AZ$23 &amp; AX$9),"")</f>
        <v/>
      </c>
      <c r="AY55" s="700" t="str">
        <f ca="1">IF(INDIRECT("'Ext Nontradable'!$B" &amp; AY$9)=$B55,INDIRECT("'Ext Nontradable'!$" &amp; 'Ext Nontradable'!$AZ$23 &amp; AY$9),"")</f>
        <v/>
      </c>
      <c r="AZ55" s="700" t="str">
        <f ca="1">IF(INDIRECT("'Ext Nontradable'!$B" &amp; AZ$9)=$B55,INDIRECT("'Ext Nontradable'!$" &amp; 'Ext Nontradable'!$AZ$23 &amp; AZ$9),"")</f>
        <v/>
      </c>
      <c r="BA55" s="700" t="str">
        <f ca="1">IF(INDIRECT("'Ext Nontradable'!$B" &amp; BA$9)=$B55,INDIRECT("'Ext Nontradable'!$" &amp; 'Ext Nontradable'!$AZ$23 &amp; BA$9),"")</f>
        <v/>
      </c>
      <c r="BB55" s="700" t="str">
        <f ca="1">IF(INDIRECT("'Ext Nontradable'!$B" &amp; BB$9)=$B55,INDIRECT("'Ext Nontradable'!$" &amp; 'Ext Nontradable'!$AZ$23 &amp; BB$9),"")</f>
        <v/>
      </c>
      <c r="BC55" s="700" t="str">
        <f ca="1">IF(INDIRECT("'Ext Nontradable'!$B" &amp; BC$9)=$B55,INDIRECT("'Ext Nontradable'!$" &amp; 'Ext Nontradable'!$AZ$23 &amp; BC$9),"")</f>
        <v/>
      </c>
      <c r="BD55" s="700" t="str">
        <f ca="1">IF(INDIRECT("'Ext Nontradable'!$B" &amp; BD$9)=$B55,INDIRECT("'Ext Nontradable'!$" &amp; 'Ext Nontradable'!$AZ$23 &amp; BD$9),"")</f>
        <v/>
      </c>
      <c r="BE55" s="700" t="str">
        <f ca="1">IF(INDIRECT("'Ext Nontradable'!$B" &amp; BE$9)=$B55,INDIRECT("'Ext Nontradable'!$" &amp; 'Ext Nontradable'!$AZ$23 &amp; BE$9),"")</f>
        <v/>
      </c>
      <c r="BF55" s="700" t="str">
        <f ca="1">IF(INDIRECT("'Ext Nontradable'!$B" &amp; BF$9)=$B55,INDIRECT("'Ext Nontradable'!$" &amp; 'Ext Nontradable'!$AZ$23 &amp; BF$9),"")</f>
        <v/>
      </c>
      <c r="BG55" s="700" t="str">
        <f ca="1">IF(INDIRECT("'Ext Nontradable'!$B" &amp; BG$9)=$B55,INDIRECT("'Ext Nontradable'!$" &amp; 'Ext Nontradable'!$AZ$23 &amp; BG$9),"")</f>
        <v/>
      </c>
      <c r="BH55" s="700" t="str">
        <f ca="1">IF(INDIRECT("'Ext Nontradable'!$B" &amp; BH$9)=$B55,INDIRECT("'Ext Nontradable'!$" &amp; 'Ext Nontradable'!$AZ$23 &amp; BH$9),"")</f>
        <v/>
      </c>
      <c r="BI55" s="700" t="str">
        <f ca="1">IF(INDIRECT("'Ext Nontradable'!$B" &amp; BI$9)=$B55,INDIRECT("'Ext Nontradable'!$" &amp; 'Ext Nontradable'!$AZ$23 &amp; BI$9),"")</f>
        <v/>
      </c>
      <c r="BJ55" s="700" t="str">
        <f ca="1">IF(INDIRECT("'Ext Nontradable'!$B" &amp; BJ$9)=$B55,INDIRECT("'Ext Nontradable'!$" &amp; 'Ext Nontradable'!$AZ$23 &amp; BJ$9),"")</f>
        <v/>
      </c>
      <c r="BK55" s="700" t="str">
        <f ca="1">IF(INDIRECT("'Ext Nontradable'!$B" &amp; BK$9)=$B55,INDIRECT("'Ext Nontradable'!$" &amp; 'Ext Nontradable'!$AZ$23 &amp; BK$9),"")</f>
        <v/>
      </c>
      <c r="BL55" s="700" t="str">
        <f ca="1">IF(INDIRECT("'Ext Nontradable'!$B" &amp; BL$9)=$B55,INDIRECT("'Ext Nontradable'!$" &amp; 'Ext Nontradable'!$AZ$23 &amp; BL$9),"")</f>
        <v/>
      </c>
      <c r="BM55" s="700" t="str">
        <f ca="1">IF(INDIRECT("'Ext Nontradable'!$B" &amp; BM$9)=$B55,INDIRECT("'Ext Nontradable'!$" &amp; 'Ext Nontradable'!$AZ$23 &amp; BM$9),"")</f>
        <v/>
      </c>
      <c r="BN55" s="700">
        <f ca="1">IF(INDIRECT("'Ext Nontradable'!$B" &amp; BN$9)=$B55,INDIRECT("'Ext Nontradable'!$" &amp; 'Ext Nontradable'!$AZ$23 &amp; BN$9),"")</f>
        <v>0</v>
      </c>
      <c r="BO55" s="700">
        <f ca="1">IF(INDIRECT("'Ext Nontradable'!$B" &amp; BO$9)=$B55,INDIRECT("'Ext Nontradable'!$" &amp; 'Ext Nontradable'!$AZ$23 &amp; BO$9),"")</f>
        <v>0</v>
      </c>
      <c r="BP55" s="700">
        <f ca="1">IF(INDIRECT("'Ext Nontradable'!$B" &amp; BP$9)=$B55,INDIRECT("'Ext Nontradable'!$" &amp; 'Ext Nontradable'!$AZ$23 &amp; BP$9),"")</f>
        <v>0</v>
      </c>
      <c r="BQ55" s="700">
        <f ca="1">IF(INDIRECT("'Ext Nontradable'!$B" &amp; BQ$9)=$B55,INDIRECT("'Ext Nontradable'!$" &amp; 'Ext Nontradable'!$AZ$23 &amp; BQ$9),"")</f>
        <v>0</v>
      </c>
      <c r="BR55" s="700">
        <f ca="1">IF(INDIRECT("'Ext Nontradable'!$B" &amp; BR$9)=$B55,INDIRECT("'Ext Nontradable'!$" &amp; 'Ext Nontradable'!$AZ$23 &amp; BR$9),"")</f>
        <v>0</v>
      </c>
      <c r="BS55" s="700">
        <f ca="1">IF(INDIRECT("'Ext Nontradable'!$B" &amp; BS$9)=$B55,INDIRECT("'Ext Nontradable'!$" &amp; 'Ext Nontradable'!$AZ$23 &amp; BS$9),"")</f>
        <v>0</v>
      </c>
      <c r="BT55" s="700">
        <f ca="1">IF(INDIRECT("'Ext Nontradable'!$B" &amp; BT$9)=$B55,INDIRECT("'Ext Nontradable'!$" &amp; 'Ext Nontradable'!$AZ$23 &amp; BT$9),"")</f>
        <v>0</v>
      </c>
      <c r="BU55" s="700">
        <f ca="1">IF(INDIRECT("'Ext Nontradable'!$B" &amp; BU$9)=$B55,INDIRECT("'Ext Nontradable'!$" &amp; 'Ext Nontradable'!$AZ$23 &amp; BU$9),"")</f>
        <v>0</v>
      </c>
      <c r="BV55" s="700">
        <f ca="1">IF(INDIRECT("'Ext Nontradable'!$B" &amp; BV$9)=$B55,INDIRECT("'Ext Nontradable'!$" &amp; 'Ext Nontradable'!$AZ$23 &amp; BV$9),"")</f>
        <v>0</v>
      </c>
      <c r="BW55" s="700">
        <f ca="1">IF(INDIRECT("'Ext Nontradable'!$B" &amp; BW$9)=$B55,INDIRECT("'Ext Nontradable'!$" &amp; 'Ext Nontradable'!$AZ$23 &amp; BW$9),"")</f>
        <v>0</v>
      </c>
      <c r="BX55" s="700">
        <f ca="1">IF(INDIRECT("'Ext Nontradable'!$B" &amp; BX$9)=$B55,INDIRECT("'Ext Nontradable'!$" &amp; 'Ext Nontradable'!$AZ$23 &amp; BX$9),"")</f>
        <v>0</v>
      </c>
      <c r="BY55" s="700">
        <f ca="1">IF(INDIRECT("'Ext Nontradable'!$B" &amp; BY$9)=$B55,INDIRECT("'Ext Nontradable'!$" &amp; 'Ext Nontradable'!$AZ$23 &amp; BY$9),"")</f>
        <v>0</v>
      </c>
      <c r="BZ55" s="700">
        <f ca="1">IF(INDIRECT("'Ext Nontradable'!$B" &amp; BZ$9)=$B55,INDIRECT("'Ext Nontradable'!$" &amp; 'Ext Nontradable'!$AZ$23 &amp; BZ$9),"")</f>
        <v>0</v>
      </c>
      <c r="CA55" s="700">
        <f ca="1">IF(INDIRECT("'Ext Nontradable'!$B" &amp; CA$9)=$B55,INDIRECT("'Ext Nontradable'!$" &amp; 'Ext Nontradable'!$AZ$23 &amp; CA$9),"")</f>
        <v>0</v>
      </c>
      <c r="CB55" s="700">
        <f ca="1">IF(INDIRECT("'Ext Nontradable'!$B" &amp; CB$9)=$B55,INDIRECT("'Ext Nontradable'!$" &amp; 'Ext Nontradable'!$AZ$23 &amp; CB$9),"")</f>
        <v>0</v>
      </c>
      <c r="CC55" s="700">
        <f ca="1">IF(INDIRECT("'Ext Nontradable'!$B" &amp; CC$9)=$B55,INDIRECT("'Ext Nontradable'!$" &amp; 'Ext Nontradable'!$AZ$23 &amp; CC$9),"")</f>
        <v>0</v>
      </c>
      <c r="CD55" s="700">
        <f ca="1">IF(INDIRECT("'Ext Nontradable'!$B" &amp; CD$9)=$B55,INDIRECT("'Ext Nontradable'!$" &amp; 'Ext Nontradable'!$AZ$23 &amp; CD$9),"")</f>
        <v>0</v>
      </c>
      <c r="CE55" s="700">
        <f ca="1">IF(INDIRECT("'Ext Nontradable'!$B" &amp; CE$9)=$B55,INDIRECT("'Ext Nontradable'!$" &amp; 'Ext Nontradable'!$AZ$23 &amp; CE$9),"")</f>
        <v>0</v>
      </c>
      <c r="CF55" s="700">
        <f ca="1">IF(INDIRECT("'Ext Nontradable'!$B" &amp; CF$9)=$B55,INDIRECT("'Ext Nontradable'!$" &amp; 'Ext Nontradable'!$AZ$23 &amp; CF$9),"")</f>
        <v>0</v>
      </c>
      <c r="CG55" s="700">
        <f ca="1">IF(INDIRECT("'Ext Nontradable'!$B" &amp; CG$9)=$B55,INDIRECT("'Ext Nontradable'!$" &amp; 'Ext Nontradable'!$AZ$23 &amp; CG$9),"")</f>
        <v>0</v>
      </c>
      <c r="CH55" s="700">
        <f ca="1">IF(INDIRECT("'Ext Nontradable'!$B" &amp; CH$9)=$B55,INDIRECT("'Ext Nontradable'!$" &amp; 'Ext Nontradable'!$AZ$23 &amp; CH$9),"")</f>
        <v>0</v>
      </c>
      <c r="CI55" s="700">
        <f ca="1">IF(INDIRECT("'Ext Nontradable'!$B" &amp; CI$9)=$B55,INDIRECT("'Ext Nontradable'!$" &amp; 'Ext Nontradable'!$AZ$23 &amp; CI$9),"")</f>
        <v>0</v>
      </c>
      <c r="CJ55" s="700">
        <f ca="1">IF(INDIRECT("'Ext Nontradable'!$B" &amp; CJ$9)=$B55,INDIRECT("'Ext Nontradable'!$" &amp; 'Ext Nontradable'!$AZ$23 &amp; CJ$9),"")</f>
        <v>0</v>
      </c>
      <c r="CK55" s="700">
        <f ca="1">IF(INDIRECT("'Ext Nontradable'!$B" &amp; CK$9)=$B55,INDIRECT("'Ext Nontradable'!$" &amp; 'Ext Nontradable'!$AZ$23 &amp; CK$9),"")</f>
        <v>0</v>
      </c>
      <c r="CL55" s="700">
        <f ca="1">IF(INDIRECT("'Ext Nontradable'!$B" &amp; CL$9)=$B55,INDIRECT("'Ext Nontradable'!$" &amp; 'Ext Nontradable'!$AZ$23 &amp; CL$9),"")</f>
        <v>0</v>
      </c>
      <c r="CM55" s="700">
        <f ca="1">IF(INDIRECT("'Ext Nontradable'!$B" &amp; CM$9)=$B55,INDIRECT("'Ext Nontradable'!$" &amp; 'Ext Nontradable'!$AZ$23 &amp; CM$9),"")</f>
        <v>0</v>
      </c>
      <c r="CN55" s="700">
        <f ca="1">IF(INDIRECT("'Ext Nontradable'!$B" &amp; CN$9)=$B55,INDIRECT("'Ext Nontradable'!$" &amp; 'Ext Nontradable'!$AZ$23 &amp; CN$9),"")</f>
        <v>0</v>
      </c>
      <c r="CO55" s="700">
        <f ca="1">IF(INDIRECT("'Ext Nontradable'!$B" &amp; CO$9)=$B55,INDIRECT("'Ext Nontradable'!$" &amp; 'Ext Nontradable'!$AZ$23 &amp; CO$9),"")</f>
        <v>0</v>
      </c>
      <c r="CP55" s="700">
        <f ca="1">IF(INDIRECT("'Ext Nontradable'!$B" &amp; CP$9)=$B55,INDIRECT("'Ext Nontradable'!$" &amp; 'Ext Nontradable'!$AZ$23 &amp; CP$9),"")</f>
        <v>0</v>
      </c>
      <c r="CQ55" s="700">
        <f ca="1">IF(INDIRECT("'Ext Nontradable'!$B" &amp; CQ$9)=$B55,INDIRECT("'Ext Nontradable'!$" &amp; 'Ext Nontradable'!$AZ$23 &amp; CQ$9),"")</f>
        <v>0</v>
      </c>
      <c r="CR55" s="702" t="str">
        <f t="shared" ca="1" si="25"/>
        <v>000000000000000000000000000000</v>
      </c>
    </row>
    <row r="56" spans="1:96" ht="60" customHeight="1" x14ac:dyDescent="0.25">
      <c r="A56" s="705">
        <v>47</v>
      </c>
      <c r="B56" s="707" t="str">
        <f>'Ext Area Schedule'!AK62</f>
        <v/>
      </c>
      <c r="C56" s="707" t="str">
        <f>VLOOKUP($B56,'Ext Area Schedule'!$AK$16:$AO$65,3,FALSE)</f>
        <v/>
      </c>
      <c r="D56" s="792" t="str">
        <f>VLOOKUP($B56,'Ext Area Schedule'!$AK$16:$AO$65,4,FALSE)</f>
        <v/>
      </c>
      <c r="F56" s="792" t="str">
        <f>VLOOKUP($B56,'Ext Area Schedule'!$AK$16:$AO$65,5,FALSE)</f>
        <v/>
      </c>
      <c r="G56" s="792" t="str">
        <f>VLOOKUP($B56,'Ext Area Schedule'!$AK$16:$AO$65,5,FALSE)</f>
        <v/>
      </c>
      <c r="I56" s="703" t="str">
        <f t="shared" si="1"/>
        <v/>
      </c>
      <c r="K56" s="703" t="str">
        <f>IF($B56="","",SUMIFS('Ext Nontradable'!$M$26:$M$45,'Ext Nontradable'!$B$26:$B$45,$B56,'Ext Nontradable'!$U$26:$U$45,"New"))</f>
        <v/>
      </c>
      <c r="L56" s="703" t="str">
        <f>IF($B56="","",SUMIFS('Ext Nontradable'!$M$26:$M$45,'Ext Nontradable'!$B$26:$B$45,$B56,'Ext Nontradable'!$U$26:$U$45,""))</f>
        <v/>
      </c>
      <c r="M56" s="703" t="str">
        <f>IF($B56="","",SUMIFS('Ext Nontradable'!$K$26:$K$45,'Ext Nontradable'!$B$26:$B$45,$B56,'Ext Nontradable'!$U$26:$U$45,"New")+SUMIFS('Ext Nontradable'!$K$26:$K$45,'Ext Nontradable'!$B$26:$B$45,$B56,'Ext Nontradable'!$U$26:$U$45,""))</f>
        <v/>
      </c>
      <c r="N56" s="703" t="str">
        <f>IF($B56="","",SUMIFS('Ext Nontradable'!$M$26:$M$45,'Ext Nontradable'!$B$26:$B$45,$B56,'Ext Nontradable'!$U$26:$U$45,"Existing Remains"))</f>
        <v/>
      </c>
      <c r="O56" s="703" t="str">
        <f>IF($B56="","",SUMIFS('Ext Nontradable'!$M$26:$M$45,'Ext Nontradable'!$B$26:$B$45,$B56,'Ext Nontradable'!$U$26:$U$45,"Existing Removed"))</f>
        <v/>
      </c>
      <c r="P56" s="703" t="str">
        <f>IF($B56="","",SUMIFS('Ext Nontradable'!$K$26:$K$45,'Ext Nontradable'!$B$26:$B$45,$B56,'Ext Nontradable'!$U$26:$U$45,"Existing Removed"))</f>
        <v/>
      </c>
      <c r="Q56" s="703" t="str">
        <f t="shared" si="2"/>
        <v/>
      </c>
      <c r="R56" s="703" t="str">
        <f t="shared" si="7"/>
        <v/>
      </c>
      <c r="S56" s="703">
        <f t="shared" si="8"/>
        <v>0</v>
      </c>
      <c r="T56" s="954">
        <f t="shared" si="20"/>
        <v>0</v>
      </c>
      <c r="U56" s="954">
        <f t="shared" si="21"/>
        <v>0</v>
      </c>
      <c r="V56" s="1115" t="str">
        <f t="shared" si="22"/>
        <v/>
      </c>
      <c r="W56" s="712" t="str">
        <f t="shared" si="23"/>
        <v/>
      </c>
      <c r="X56" s="857"/>
      <c r="Y56" s="720" t="str">
        <f t="shared" si="24"/>
        <v/>
      </c>
      <c r="Z56" s="721" t="str">
        <f t="shared" si="9"/>
        <v/>
      </c>
      <c r="AA56" s="721" t="str">
        <f t="shared" si="10"/>
        <v/>
      </c>
      <c r="AB56" s="719" t="str">
        <f t="shared" si="4"/>
        <v/>
      </c>
      <c r="AC56" s="857"/>
      <c r="AD56" s="717" t="str">
        <f t="shared" si="11"/>
        <v/>
      </c>
      <c r="AE56" s="718" t="str">
        <f t="shared" si="12"/>
        <v/>
      </c>
      <c r="AF56" s="719" t="str">
        <f t="shared" si="5"/>
        <v/>
      </c>
      <c r="AG56" s="726"/>
      <c r="AH56" s="727" t="str">
        <f t="shared" si="13"/>
        <v/>
      </c>
      <c r="AI56" s="703" t="str">
        <f t="shared" si="14"/>
        <v/>
      </c>
      <c r="AJ56" s="703" t="str">
        <f t="shared" si="15"/>
        <v/>
      </c>
      <c r="AL56" s="1075" t="str">
        <f t="shared" si="16"/>
        <v/>
      </c>
      <c r="AM56" s="855" t="str">
        <f t="shared" si="18"/>
        <v/>
      </c>
      <c r="AN56" s="707" t="str">
        <f>IF(OR(AL56="Fail",AL56="Fail LPA",AL56=""),"",IF(AM56&lt;&gt;"#1",VLOOKUP(C56,'9.4.3 Tables'!B$156:O$164,14,FALSE),"No NEW controls required"))</f>
        <v/>
      </c>
      <c r="AO56" s="703">
        <f t="shared" si="19"/>
        <v>0</v>
      </c>
      <c r="AR56">
        <v>47</v>
      </c>
      <c r="AS56" s="15" t="str">
        <f t="shared" si="17"/>
        <v/>
      </c>
      <c r="AT56" s="700" t="str">
        <f ca="1">IF(INDIRECT("'Ext Nontradable'!$B" &amp; AT$9)=$B56,INDIRECT("'Ext Nontradable'!$" &amp; 'Ext Nontradable'!$AZ$23 &amp; AT$9),"")</f>
        <v/>
      </c>
      <c r="AU56" s="700" t="str">
        <f ca="1">IF(INDIRECT("'Ext Nontradable'!$B" &amp; AU$9)=$B56,INDIRECT("'Ext Nontradable'!$" &amp; 'Ext Nontradable'!$AZ$23 &amp; AU$9),"")</f>
        <v/>
      </c>
      <c r="AV56" s="700" t="str">
        <f ca="1">IF(INDIRECT("'Ext Nontradable'!$B" &amp; AV$9)=$B56,INDIRECT("'Ext Nontradable'!$" &amp; 'Ext Nontradable'!$AZ$23 &amp; AV$9),"")</f>
        <v/>
      </c>
      <c r="AW56" s="700" t="str">
        <f ca="1">IF(INDIRECT("'Ext Nontradable'!$B" &amp; AW$9)=$B56,INDIRECT("'Ext Nontradable'!$" &amp; 'Ext Nontradable'!$AZ$23 &amp; AW$9),"")</f>
        <v/>
      </c>
      <c r="AX56" s="700" t="str">
        <f ca="1">IF(INDIRECT("'Ext Nontradable'!$B" &amp; AX$9)=$B56,INDIRECT("'Ext Nontradable'!$" &amp; 'Ext Nontradable'!$AZ$23 &amp; AX$9),"")</f>
        <v/>
      </c>
      <c r="AY56" s="700" t="str">
        <f ca="1">IF(INDIRECT("'Ext Nontradable'!$B" &amp; AY$9)=$B56,INDIRECT("'Ext Nontradable'!$" &amp; 'Ext Nontradable'!$AZ$23 &amp; AY$9),"")</f>
        <v/>
      </c>
      <c r="AZ56" s="700" t="str">
        <f ca="1">IF(INDIRECT("'Ext Nontradable'!$B" &amp; AZ$9)=$B56,INDIRECT("'Ext Nontradable'!$" &amp; 'Ext Nontradable'!$AZ$23 &amp; AZ$9),"")</f>
        <v/>
      </c>
      <c r="BA56" s="700" t="str">
        <f ca="1">IF(INDIRECT("'Ext Nontradable'!$B" &amp; BA$9)=$B56,INDIRECT("'Ext Nontradable'!$" &amp; 'Ext Nontradable'!$AZ$23 &amp; BA$9),"")</f>
        <v/>
      </c>
      <c r="BB56" s="700" t="str">
        <f ca="1">IF(INDIRECT("'Ext Nontradable'!$B" &amp; BB$9)=$B56,INDIRECT("'Ext Nontradable'!$" &amp; 'Ext Nontradable'!$AZ$23 &amp; BB$9),"")</f>
        <v/>
      </c>
      <c r="BC56" s="700" t="str">
        <f ca="1">IF(INDIRECT("'Ext Nontradable'!$B" &amp; BC$9)=$B56,INDIRECT("'Ext Nontradable'!$" &amp; 'Ext Nontradable'!$AZ$23 &amp; BC$9),"")</f>
        <v/>
      </c>
      <c r="BD56" s="700" t="str">
        <f ca="1">IF(INDIRECT("'Ext Nontradable'!$B" &amp; BD$9)=$B56,INDIRECT("'Ext Nontradable'!$" &amp; 'Ext Nontradable'!$AZ$23 &amp; BD$9),"")</f>
        <v/>
      </c>
      <c r="BE56" s="700" t="str">
        <f ca="1">IF(INDIRECT("'Ext Nontradable'!$B" &amp; BE$9)=$B56,INDIRECT("'Ext Nontradable'!$" &amp; 'Ext Nontradable'!$AZ$23 &amp; BE$9),"")</f>
        <v/>
      </c>
      <c r="BF56" s="700" t="str">
        <f ca="1">IF(INDIRECT("'Ext Nontradable'!$B" &amp; BF$9)=$B56,INDIRECT("'Ext Nontradable'!$" &amp; 'Ext Nontradable'!$AZ$23 &amp; BF$9),"")</f>
        <v/>
      </c>
      <c r="BG56" s="700" t="str">
        <f ca="1">IF(INDIRECT("'Ext Nontradable'!$B" &amp; BG$9)=$B56,INDIRECT("'Ext Nontradable'!$" &amp; 'Ext Nontradable'!$AZ$23 &amp; BG$9),"")</f>
        <v/>
      </c>
      <c r="BH56" s="700" t="str">
        <f ca="1">IF(INDIRECT("'Ext Nontradable'!$B" &amp; BH$9)=$B56,INDIRECT("'Ext Nontradable'!$" &amp; 'Ext Nontradable'!$AZ$23 &amp; BH$9),"")</f>
        <v/>
      </c>
      <c r="BI56" s="700" t="str">
        <f ca="1">IF(INDIRECT("'Ext Nontradable'!$B" &amp; BI$9)=$B56,INDIRECT("'Ext Nontradable'!$" &amp; 'Ext Nontradable'!$AZ$23 &amp; BI$9),"")</f>
        <v/>
      </c>
      <c r="BJ56" s="700" t="str">
        <f ca="1">IF(INDIRECT("'Ext Nontradable'!$B" &amp; BJ$9)=$B56,INDIRECT("'Ext Nontradable'!$" &amp; 'Ext Nontradable'!$AZ$23 &amp; BJ$9),"")</f>
        <v/>
      </c>
      <c r="BK56" s="700" t="str">
        <f ca="1">IF(INDIRECT("'Ext Nontradable'!$B" &amp; BK$9)=$B56,INDIRECT("'Ext Nontradable'!$" &amp; 'Ext Nontradable'!$AZ$23 &amp; BK$9),"")</f>
        <v/>
      </c>
      <c r="BL56" s="700" t="str">
        <f ca="1">IF(INDIRECT("'Ext Nontradable'!$B" &amp; BL$9)=$B56,INDIRECT("'Ext Nontradable'!$" &amp; 'Ext Nontradable'!$AZ$23 &amp; BL$9),"")</f>
        <v/>
      </c>
      <c r="BM56" s="700" t="str">
        <f ca="1">IF(INDIRECT("'Ext Nontradable'!$B" &amp; BM$9)=$B56,INDIRECT("'Ext Nontradable'!$" &amp; 'Ext Nontradable'!$AZ$23 &amp; BM$9),"")</f>
        <v/>
      </c>
      <c r="BN56" s="700">
        <f ca="1">IF(INDIRECT("'Ext Nontradable'!$B" &amp; BN$9)=$B56,INDIRECT("'Ext Nontradable'!$" &amp; 'Ext Nontradable'!$AZ$23 &amp; BN$9),"")</f>
        <v>0</v>
      </c>
      <c r="BO56" s="700">
        <f ca="1">IF(INDIRECT("'Ext Nontradable'!$B" &amp; BO$9)=$B56,INDIRECT("'Ext Nontradable'!$" &amp; 'Ext Nontradable'!$AZ$23 &amp; BO$9),"")</f>
        <v>0</v>
      </c>
      <c r="BP56" s="700">
        <f ca="1">IF(INDIRECT("'Ext Nontradable'!$B" &amp; BP$9)=$B56,INDIRECT("'Ext Nontradable'!$" &amp; 'Ext Nontradable'!$AZ$23 &amp; BP$9),"")</f>
        <v>0</v>
      </c>
      <c r="BQ56" s="700">
        <f ca="1">IF(INDIRECT("'Ext Nontradable'!$B" &amp; BQ$9)=$B56,INDIRECT("'Ext Nontradable'!$" &amp; 'Ext Nontradable'!$AZ$23 &amp; BQ$9),"")</f>
        <v>0</v>
      </c>
      <c r="BR56" s="700">
        <f ca="1">IF(INDIRECT("'Ext Nontradable'!$B" &amp; BR$9)=$B56,INDIRECT("'Ext Nontradable'!$" &amp; 'Ext Nontradable'!$AZ$23 &amp; BR$9),"")</f>
        <v>0</v>
      </c>
      <c r="BS56" s="700">
        <f ca="1">IF(INDIRECT("'Ext Nontradable'!$B" &amp; BS$9)=$B56,INDIRECT("'Ext Nontradable'!$" &amp; 'Ext Nontradable'!$AZ$23 &amp; BS$9),"")</f>
        <v>0</v>
      </c>
      <c r="BT56" s="700">
        <f ca="1">IF(INDIRECT("'Ext Nontradable'!$B" &amp; BT$9)=$B56,INDIRECT("'Ext Nontradable'!$" &amp; 'Ext Nontradable'!$AZ$23 &amp; BT$9),"")</f>
        <v>0</v>
      </c>
      <c r="BU56" s="700">
        <f ca="1">IF(INDIRECT("'Ext Nontradable'!$B" &amp; BU$9)=$B56,INDIRECT("'Ext Nontradable'!$" &amp; 'Ext Nontradable'!$AZ$23 &amp; BU$9),"")</f>
        <v>0</v>
      </c>
      <c r="BV56" s="700">
        <f ca="1">IF(INDIRECT("'Ext Nontradable'!$B" &amp; BV$9)=$B56,INDIRECT("'Ext Nontradable'!$" &amp; 'Ext Nontradable'!$AZ$23 &amp; BV$9),"")</f>
        <v>0</v>
      </c>
      <c r="BW56" s="700">
        <f ca="1">IF(INDIRECT("'Ext Nontradable'!$B" &amp; BW$9)=$B56,INDIRECT("'Ext Nontradable'!$" &amp; 'Ext Nontradable'!$AZ$23 &amp; BW$9),"")</f>
        <v>0</v>
      </c>
      <c r="BX56" s="700">
        <f ca="1">IF(INDIRECT("'Ext Nontradable'!$B" &amp; BX$9)=$B56,INDIRECT("'Ext Nontradable'!$" &amp; 'Ext Nontradable'!$AZ$23 &amp; BX$9),"")</f>
        <v>0</v>
      </c>
      <c r="BY56" s="700">
        <f ca="1">IF(INDIRECT("'Ext Nontradable'!$B" &amp; BY$9)=$B56,INDIRECT("'Ext Nontradable'!$" &amp; 'Ext Nontradable'!$AZ$23 &amp; BY$9),"")</f>
        <v>0</v>
      </c>
      <c r="BZ56" s="700">
        <f ca="1">IF(INDIRECT("'Ext Nontradable'!$B" &amp; BZ$9)=$B56,INDIRECT("'Ext Nontradable'!$" &amp; 'Ext Nontradable'!$AZ$23 &amp; BZ$9),"")</f>
        <v>0</v>
      </c>
      <c r="CA56" s="700">
        <f ca="1">IF(INDIRECT("'Ext Nontradable'!$B" &amp; CA$9)=$B56,INDIRECT("'Ext Nontradable'!$" &amp; 'Ext Nontradable'!$AZ$23 &amp; CA$9),"")</f>
        <v>0</v>
      </c>
      <c r="CB56" s="700">
        <f ca="1">IF(INDIRECT("'Ext Nontradable'!$B" &amp; CB$9)=$B56,INDIRECT("'Ext Nontradable'!$" &amp; 'Ext Nontradable'!$AZ$23 &amp; CB$9),"")</f>
        <v>0</v>
      </c>
      <c r="CC56" s="700">
        <f ca="1">IF(INDIRECT("'Ext Nontradable'!$B" &amp; CC$9)=$B56,INDIRECT("'Ext Nontradable'!$" &amp; 'Ext Nontradable'!$AZ$23 &amp; CC$9),"")</f>
        <v>0</v>
      </c>
      <c r="CD56" s="700">
        <f ca="1">IF(INDIRECT("'Ext Nontradable'!$B" &amp; CD$9)=$B56,INDIRECT("'Ext Nontradable'!$" &amp; 'Ext Nontradable'!$AZ$23 &amp; CD$9),"")</f>
        <v>0</v>
      </c>
      <c r="CE56" s="700">
        <f ca="1">IF(INDIRECT("'Ext Nontradable'!$B" &amp; CE$9)=$B56,INDIRECT("'Ext Nontradable'!$" &amp; 'Ext Nontradable'!$AZ$23 &amp; CE$9),"")</f>
        <v>0</v>
      </c>
      <c r="CF56" s="700">
        <f ca="1">IF(INDIRECT("'Ext Nontradable'!$B" &amp; CF$9)=$B56,INDIRECT("'Ext Nontradable'!$" &amp; 'Ext Nontradable'!$AZ$23 &amp; CF$9),"")</f>
        <v>0</v>
      </c>
      <c r="CG56" s="700">
        <f ca="1">IF(INDIRECT("'Ext Nontradable'!$B" &amp; CG$9)=$B56,INDIRECT("'Ext Nontradable'!$" &amp; 'Ext Nontradable'!$AZ$23 &amp; CG$9),"")</f>
        <v>0</v>
      </c>
      <c r="CH56" s="700">
        <f ca="1">IF(INDIRECT("'Ext Nontradable'!$B" &amp; CH$9)=$B56,INDIRECT("'Ext Nontradable'!$" &amp; 'Ext Nontradable'!$AZ$23 &amp; CH$9),"")</f>
        <v>0</v>
      </c>
      <c r="CI56" s="700">
        <f ca="1">IF(INDIRECT("'Ext Nontradable'!$B" &amp; CI$9)=$B56,INDIRECT("'Ext Nontradable'!$" &amp; 'Ext Nontradable'!$AZ$23 &amp; CI$9),"")</f>
        <v>0</v>
      </c>
      <c r="CJ56" s="700">
        <f ca="1">IF(INDIRECT("'Ext Nontradable'!$B" &amp; CJ$9)=$B56,INDIRECT("'Ext Nontradable'!$" &amp; 'Ext Nontradable'!$AZ$23 &amp; CJ$9),"")</f>
        <v>0</v>
      </c>
      <c r="CK56" s="700">
        <f ca="1">IF(INDIRECT("'Ext Nontradable'!$B" &amp; CK$9)=$B56,INDIRECT("'Ext Nontradable'!$" &amp; 'Ext Nontradable'!$AZ$23 &amp; CK$9),"")</f>
        <v>0</v>
      </c>
      <c r="CL56" s="700">
        <f ca="1">IF(INDIRECT("'Ext Nontradable'!$B" &amp; CL$9)=$B56,INDIRECT("'Ext Nontradable'!$" &amp; 'Ext Nontradable'!$AZ$23 &amp; CL$9),"")</f>
        <v>0</v>
      </c>
      <c r="CM56" s="700">
        <f ca="1">IF(INDIRECT("'Ext Nontradable'!$B" &amp; CM$9)=$B56,INDIRECT("'Ext Nontradable'!$" &amp; 'Ext Nontradable'!$AZ$23 &amp; CM$9),"")</f>
        <v>0</v>
      </c>
      <c r="CN56" s="700">
        <f ca="1">IF(INDIRECT("'Ext Nontradable'!$B" &amp; CN$9)=$B56,INDIRECT("'Ext Nontradable'!$" &amp; 'Ext Nontradable'!$AZ$23 &amp; CN$9),"")</f>
        <v>0</v>
      </c>
      <c r="CO56" s="700">
        <f ca="1">IF(INDIRECT("'Ext Nontradable'!$B" &amp; CO$9)=$B56,INDIRECT("'Ext Nontradable'!$" &amp; 'Ext Nontradable'!$AZ$23 &amp; CO$9),"")</f>
        <v>0</v>
      </c>
      <c r="CP56" s="700">
        <f ca="1">IF(INDIRECT("'Ext Nontradable'!$B" &amp; CP$9)=$B56,INDIRECT("'Ext Nontradable'!$" &amp; 'Ext Nontradable'!$AZ$23 &amp; CP$9),"")</f>
        <v>0</v>
      </c>
      <c r="CQ56" s="700">
        <f ca="1">IF(INDIRECT("'Ext Nontradable'!$B" &amp; CQ$9)=$B56,INDIRECT("'Ext Nontradable'!$" &amp; 'Ext Nontradable'!$AZ$23 &amp; CQ$9),"")</f>
        <v>0</v>
      </c>
      <c r="CR56" s="702" t="str">
        <f t="shared" ca="1" si="25"/>
        <v>000000000000000000000000000000</v>
      </c>
    </row>
    <row r="57" spans="1:96" ht="60" customHeight="1" x14ac:dyDescent="0.25">
      <c r="A57" s="705">
        <v>48</v>
      </c>
      <c r="B57" s="707" t="str">
        <f>'Ext Area Schedule'!AK63</f>
        <v/>
      </c>
      <c r="C57" s="707" t="str">
        <f>VLOOKUP($B57,'Ext Area Schedule'!$AK$16:$AO$65,3,FALSE)</f>
        <v/>
      </c>
      <c r="D57" s="792" t="str">
        <f>VLOOKUP($B57,'Ext Area Schedule'!$AK$16:$AO$65,4,FALSE)</f>
        <v/>
      </c>
      <c r="F57" s="792" t="str">
        <f>VLOOKUP($B57,'Ext Area Schedule'!$AK$16:$AO$65,5,FALSE)</f>
        <v/>
      </c>
      <c r="G57" s="792" t="str">
        <f>VLOOKUP($B57,'Ext Area Schedule'!$AK$16:$AO$65,5,FALSE)</f>
        <v/>
      </c>
      <c r="I57" s="703" t="str">
        <f t="shared" si="1"/>
        <v/>
      </c>
      <c r="K57" s="703" t="str">
        <f>IF($B57="","",SUMIFS('Ext Nontradable'!$M$26:$M$45,'Ext Nontradable'!$B$26:$B$45,$B57,'Ext Nontradable'!$U$26:$U$45,"New"))</f>
        <v/>
      </c>
      <c r="L57" s="703" t="str">
        <f>IF($B57="","",SUMIFS('Ext Nontradable'!$M$26:$M$45,'Ext Nontradable'!$B$26:$B$45,$B57,'Ext Nontradable'!$U$26:$U$45,""))</f>
        <v/>
      </c>
      <c r="M57" s="703" t="str">
        <f>IF($B57="","",SUMIFS('Ext Nontradable'!$K$26:$K$45,'Ext Nontradable'!$B$26:$B$45,$B57,'Ext Nontradable'!$U$26:$U$45,"New")+SUMIFS('Ext Nontradable'!$K$26:$K$45,'Ext Nontradable'!$B$26:$B$45,$B57,'Ext Nontradable'!$U$26:$U$45,""))</f>
        <v/>
      </c>
      <c r="N57" s="703" t="str">
        <f>IF($B57="","",SUMIFS('Ext Nontradable'!$M$26:$M$45,'Ext Nontradable'!$B$26:$B$45,$B57,'Ext Nontradable'!$U$26:$U$45,"Existing Remains"))</f>
        <v/>
      </c>
      <c r="O57" s="703" t="str">
        <f>IF($B57="","",SUMIFS('Ext Nontradable'!$M$26:$M$45,'Ext Nontradable'!$B$26:$B$45,$B57,'Ext Nontradable'!$U$26:$U$45,"Existing Removed"))</f>
        <v/>
      </c>
      <c r="P57" s="703" t="str">
        <f>IF($B57="","",SUMIFS('Ext Nontradable'!$K$26:$K$45,'Ext Nontradable'!$B$26:$B$45,$B57,'Ext Nontradable'!$U$26:$U$45,"Existing Removed"))</f>
        <v/>
      </c>
      <c r="Q57" s="703" t="str">
        <f t="shared" si="2"/>
        <v/>
      </c>
      <c r="R57" s="703" t="str">
        <f t="shared" si="7"/>
        <v/>
      </c>
      <c r="S57" s="703">
        <f t="shared" si="8"/>
        <v>0</v>
      </c>
      <c r="T57" s="954">
        <f t="shared" si="20"/>
        <v>0</v>
      </c>
      <c r="U57" s="954">
        <f t="shared" si="21"/>
        <v>0</v>
      </c>
      <c r="V57" s="1115" t="str">
        <f t="shared" si="22"/>
        <v/>
      </c>
      <c r="W57" s="712" t="str">
        <f t="shared" si="23"/>
        <v/>
      </c>
      <c r="X57" s="857"/>
      <c r="Y57" s="720" t="str">
        <f t="shared" si="24"/>
        <v/>
      </c>
      <c r="Z57" s="721" t="str">
        <f t="shared" si="9"/>
        <v/>
      </c>
      <c r="AA57" s="721" t="str">
        <f t="shared" si="10"/>
        <v/>
      </c>
      <c r="AB57" s="719" t="str">
        <f t="shared" si="4"/>
        <v/>
      </c>
      <c r="AC57" s="857"/>
      <c r="AD57" s="717" t="str">
        <f t="shared" si="11"/>
        <v/>
      </c>
      <c r="AE57" s="718" t="str">
        <f t="shared" si="12"/>
        <v/>
      </c>
      <c r="AF57" s="719" t="str">
        <f t="shared" si="5"/>
        <v/>
      </c>
      <c r="AG57" s="726"/>
      <c r="AH57" s="727" t="str">
        <f t="shared" si="13"/>
        <v/>
      </c>
      <c r="AI57" s="703" t="str">
        <f t="shared" si="14"/>
        <v/>
      </c>
      <c r="AJ57" s="703" t="str">
        <f t="shared" si="15"/>
        <v/>
      </c>
      <c r="AL57" s="1075" t="str">
        <f t="shared" si="16"/>
        <v/>
      </c>
      <c r="AM57" s="855" t="str">
        <f t="shared" si="18"/>
        <v/>
      </c>
      <c r="AN57" s="707" t="str">
        <f>IF(OR(AL57="Fail",AL57="Fail LPA",AL57=""),"",IF(AM57&lt;&gt;"#1",VLOOKUP(C57,'9.4.3 Tables'!B$156:O$164,14,FALSE),"No NEW controls required"))</f>
        <v/>
      </c>
      <c r="AO57" s="703">
        <f t="shared" si="19"/>
        <v>0</v>
      </c>
      <c r="AR57">
        <v>48</v>
      </c>
      <c r="AS57" s="15" t="str">
        <f t="shared" si="17"/>
        <v/>
      </c>
      <c r="AT57" s="700" t="str">
        <f ca="1">IF(INDIRECT("'Ext Nontradable'!$B" &amp; AT$9)=$B57,INDIRECT("'Ext Nontradable'!$" &amp; 'Ext Nontradable'!$AZ$23 &amp; AT$9),"")</f>
        <v/>
      </c>
      <c r="AU57" s="700" t="str">
        <f ca="1">IF(INDIRECT("'Ext Nontradable'!$B" &amp; AU$9)=$B57,INDIRECT("'Ext Nontradable'!$" &amp; 'Ext Nontradable'!$AZ$23 &amp; AU$9),"")</f>
        <v/>
      </c>
      <c r="AV57" s="700" t="str">
        <f ca="1">IF(INDIRECT("'Ext Nontradable'!$B" &amp; AV$9)=$B57,INDIRECT("'Ext Nontradable'!$" &amp; 'Ext Nontradable'!$AZ$23 &amp; AV$9),"")</f>
        <v/>
      </c>
      <c r="AW57" s="700" t="str">
        <f ca="1">IF(INDIRECT("'Ext Nontradable'!$B" &amp; AW$9)=$B57,INDIRECT("'Ext Nontradable'!$" &amp; 'Ext Nontradable'!$AZ$23 &amp; AW$9),"")</f>
        <v/>
      </c>
      <c r="AX57" s="700" t="str">
        <f ca="1">IF(INDIRECT("'Ext Nontradable'!$B" &amp; AX$9)=$B57,INDIRECT("'Ext Nontradable'!$" &amp; 'Ext Nontradable'!$AZ$23 &amp; AX$9),"")</f>
        <v/>
      </c>
      <c r="AY57" s="700" t="str">
        <f ca="1">IF(INDIRECT("'Ext Nontradable'!$B" &amp; AY$9)=$B57,INDIRECT("'Ext Nontradable'!$" &amp; 'Ext Nontradable'!$AZ$23 &amp; AY$9),"")</f>
        <v/>
      </c>
      <c r="AZ57" s="700" t="str">
        <f ca="1">IF(INDIRECT("'Ext Nontradable'!$B" &amp; AZ$9)=$B57,INDIRECT("'Ext Nontradable'!$" &amp; 'Ext Nontradable'!$AZ$23 &amp; AZ$9),"")</f>
        <v/>
      </c>
      <c r="BA57" s="700" t="str">
        <f ca="1">IF(INDIRECT("'Ext Nontradable'!$B" &amp; BA$9)=$B57,INDIRECT("'Ext Nontradable'!$" &amp; 'Ext Nontradable'!$AZ$23 &amp; BA$9),"")</f>
        <v/>
      </c>
      <c r="BB57" s="700" t="str">
        <f ca="1">IF(INDIRECT("'Ext Nontradable'!$B" &amp; BB$9)=$B57,INDIRECT("'Ext Nontradable'!$" &amp; 'Ext Nontradable'!$AZ$23 &amp; BB$9),"")</f>
        <v/>
      </c>
      <c r="BC57" s="700" t="str">
        <f ca="1">IF(INDIRECT("'Ext Nontradable'!$B" &amp; BC$9)=$B57,INDIRECT("'Ext Nontradable'!$" &amp; 'Ext Nontradable'!$AZ$23 &amp; BC$9),"")</f>
        <v/>
      </c>
      <c r="BD57" s="700" t="str">
        <f ca="1">IF(INDIRECT("'Ext Nontradable'!$B" &amp; BD$9)=$B57,INDIRECT("'Ext Nontradable'!$" &amp; 'Ext Nontradable'!$AZ$23 &amp; BD$9),"")</f>
        <v/>
      </c>
      <c r="BE57" s="700" t="str">
        <f ca="1">IF(INDIRECT("'Ext Nontradable'!$B" &amp; BE$9)=$B57,INDIRECT("'Ext Nontradable'!$" &amp; 'Ext Nontradable'!$AZ$23 &amp; BE$9),"")</f>
        <v/>
      </c>
      <c r="BF57" s="700" t="str">
        <f ca="1">IF(INDIRECT("'Ext Nontradable'!$B" &amp; BF$9)=$B57,INDIRECT("'Ext Nontradable'!$" &amp; 'Ext Nontradable'!$AZ$23 &amp; BF$9),"")</f>
        <v/>
      </c>
      <c r="BG57" s="700" t="str">
        <f ca="1">IF(INDIRECT("'Ext Nontradable'!$B" &amp; BG$9)=$B57,INDIRECT("'Ext Nontradable'!$" &amp; 'Ext Nontradable'!$AZ$23 &amp; BG$9),"")</f>
        <v/>
      </c>
      <c r="BH57" s="700" t="str">
        <f ca="1">IF(INDIRECT("'Ext Nontradable'!$B" &amp; BH$9)=$B57,INDIRECT("'Ext Nontradable'!$" &amp; 'Ext Nontradable'!$AZ$23 &amp; BH$9),"")</f>
        <v/>
      </c>
      <c r="BI57" s="700" t="str">
        <f ca="1">IF(INDIRECT("'Ext Nontradable'!$B" &amp; BI$9)=$B57,INDIRECT("'Ext Nontradable'!$" &amp; 'Ext Nontradable'!$AZ$23 &amp; BI$9),"")</f>
        <v/>
      </c>
      <c r="BJ57" s="700" t="str">
        <f ca="1">IF(INDIRECT("'Ext Nontradable'!$B" &amp; BJ$9)=$B57,INDIRECT("'Ext Nontradable'!$" &amp; 'Ext Nontradable'!$AZ$23 &amp; BJ$9),"")</f>
        <v/>
      </c>
      <c r="BK57" s="700" t="str">
        <f ca="1">IF(INDIRECT("'Ext Nontradable'!$B" &amp; BK$9)=$B57,INDIRECT("'Ext Nontradable'!$" &amp; 'Ext Nontradable'!$AZ$23 &amp; BK$9),"")</f>
        <v/>
      </c>
      <c r="BL57" s="700" t="str">
        <f ca="1">IF(INDIRECT("'Ext Nontradable'!$B" &amp; BL$9)=$B57,INDIRECT("'Ext Nontradable'!$" &amp; 'Ext Nontradable'!$AZ$23 &amp; BL$9),"")</f>
        <v/>
      </c>
      <c r="BM57" s="700" t="str">
        <f ca="1">IF(INDIRECT("'Ext Nontradable'!$B" &amp; BM$9)=$B57,INDIRECT("'Ext Nontradable'!$" &amp; 'Ext Nontradable'!$AZ$23 &amp; BM$9),"")</f>
        <v/>
      </c>
      <c r="BN57" s="700">
        <f ca="1">IF(INDIRECT("'Ext Nontradable'!$B" &amp; BN$9)=$B57,INDIRECT("'Ext Nontradable'!$" &amp; 'Ext Nontradable'!$AZ$23 &amp; BN$9),"")</f>
        <v>0</v>
      </c>
      <c r="BO57" s="700">
        <f ca="1">IF(INDIRECT("'Ext Nontradable'!$B" &amp; BO$9)=$B57,INDIRECT("'Ext Nontradable'!$" &amp; 'Ext Nontradable'!$AZ$23 &amp; BO$9),"")</f>
        <v>0</v>
      </c>
      <c r="BP57" s="700">
        <f ca="1">IF(INDIRECT("'Ext Nontradable'!$B" &amp; BP$9)=$B57,INDIRECT("'Ext Nontradable'!$" &amp; 'Ext Nontradable'!$AZ$23 &amp; BP$9),"")</f>
        <v>0</v>
      </c>
      <c r="BQ57" s="700">
        <f ca="1">IF(INDIRECT("'Ext Nontradable'!$B" &amp; BQ$9)=$B57,INDIRECT("'Ext Nontradable'!$" &amp; 'Ext Nontradable'!$AZ$23 &amp; BQ$9),"")</f>
        <v>0</v>
      </c>
      <c r="BR57" s="700">
        <f ca="1">IF(INDIRECT("'Ext Nontradable'!$B" &amp; BR$9)=$B57,INDIRECT("'Ext Nontradable'!$" &amp; 'Ext Nontradable'!$AZ$23 &amp; BR$9),"")</f>
        <v>0</v>
      </c>
      <c r="BS57" s="700">
        <f ca="1">IF(INDIRECT("'Ext Nontradable'!$B" &amp; BS$9)=$B57,INDIRECT("'Ext Nontradable'!$" &amp; 'Ext Nontradable'!$AZ$23 &amp; BS$9),"")</f>
        <v>0</v>
      </c>
      <c r="BT57" s="700">
        <f ca="1">IF(INDIRECT("'Ext Nontradable'!$B" &amp; BT$9)=$B57,INDIRECT("'Ext Nontradable'!$" &amp; 'Ext Nontradable'!$AZ$23 &amp; BT$9),"")</f>
        <v>0</v>
      </c>
      <c r="BU57" s="700">
        <f ca="1">IF(INDIRECT("'Ext Nontradable'!$B" &amp; BU$9)=$B57,INDIRECT("'Ext Nontradable'!$" &amp; 'Ext Nontradable'!$AZ$23 &amp; BU$9),"")</f>
        <v>0</v>
      </c>
      <c r="BV57" s="700">
        <f ca="1">IF(INDIRECT("'Ext Nontradable'!$B" &amp; BV$9)=$B57,INDIRECT("'Ext Nontradable'!$" &amp; 'Ext Nontradable'!$AZ$23 &amp; BV$9),"")</f>
        <v>0</v>
      </c>
      <c r="BW57" s="700">
        <f ca="1">IF(INDIRECT("'Ext Nontradable'!$B" &amp; BW$9)=$B57,INDIRECT("'Ext Nontradable'!$" &amp; 'Ext Nontradable'!$AZ$23 &amp; BW$9),"")</f>
        <v>0</v>
      </c>
      <c r="BX57" s="700">
        <f ca="1">IF(INDIRECT("'Ext Nontradable'!$B" &amp; BX$9)=$B57,INDIRECT("'Ext Nontradable'!$" &amp; 'Ext Nontradable'!$AZ$23 &amp; BX$9),"")</f>
        <v>0</v>
      </c>
      <c r="BY57" s="700">
        <f ca="1">IF(INDIRECT("'Ext Nontradable'!$B" &amp; BY$9)=$B57,INDIRECT("'Ext Nontradable'!$" &amp; 'Ext Nontradable'!$AZ$23 &amp; BY$9),"")</f>
        <v>0</v>
      </c>
      <c r="BZ57" s="700">
        <f ca="1">IF(INDIRECT("'Ext Nontradable'!$B" &amp; BZ$9)=$B57,INDIRECT("'Ext Nontradable'!$" &amp; 'Ext Nontradable'!$AZ$23 &amp; BZ$9),"")</f>
        <v>0</v>
      </c>
      <c r="CA57" s="700">
        <f ca="1">IF(INDIRECT("'Ext Nontradable'!$B" &amp; CA$9)=$B57,INDIRECT("'Ext Nontradable'!$" &amp; 'Ext Nontradable'!$AZ$23 &amp; CA$9),"")</f>
        <v>0</v>
      </c>
      <c r="CB57" s="700">
        <f ca="1">IF(INDIRECT("'Ext Nontradable'!$B" &amp; CB$9)=$B57,INDIRECT("'Ext Nontradable'!$" &amp; 'Ext Nontradable'!$AZ$23 &amp; CB$9),"")</f>
        <v>0</v>
      </c>
      <c r="CC57" s="700">
        <f ca="1">IF(INDIRECT("'Ext Nontradable'!$B" &amp; CC$9)=$B57,INDIRECT("'Ext Nontradable'!$" &amp; 'Ext Nontradable'!$AZ$23 &amp; CC$9),"")</f>
        <v>0</v>
      </c>
      <c r="CD57" s="700">
        <f ca="1">IF(INDIRECT("'Ext Nontradable'!$B" &amp; CD$9)=$B57,INDIRECT("'Ext Nontradable'!$" &amp; 'Ext Nontradable'!$AZ$23 &amp; CD$9),"")</f>
        <v>0</v>
      </c>
      <c r="CE57" s="700">
        <f ca="1">IF(INDIRECT("'Ext Nontradable'!$B" &amp; CE$9)=$B57,INDIRECT("'Ext Nontradable'!$" &amp; 'Ext Nontradable'!$AZ$23 &amp; CE$9),"")</f>
        <v>0</v>
      </c>
      <c r="CF57" s="700">
        <f ca="1">IF(INDIRECT("'Ext Nontradable'!$B" &amp; CF$9)=$B57,INDIRECT("'Ext Nontradable'!$" &amp; 'Ext Nontradable'!$AZ$23 &amp; CF$9),"")</f>
        <v>0</v>
      </c>
      <c r="CG57" s="700">
        <f ca="1">IF(INDIRECT("'Ext Nontradable'!$B" &amp; CG$9)=$B57,INDIRECT("'Ext Nontradable'!$" &amp; 'Ext Nontradable'!$AZ$23 &amp; CG$9),"")</f>
        <v>0</v>
      </c>
      <c r="CH57" s="700">
        <f ca="1">IF(INDIRECT("'Ext Nontradable'!$B" &amp; CH$9)=$B57,INDIRECT("'Ext Nontradable'!$" &amp; 'Ext Nontradable'!$AZ$23 &amp; CH$9),"")</f>
        <v>0</v>
      </c>
      <c r="CI57" s="700">
        <f ca="1">IF(INDIRECT("'Ext Nontradable'!$B" &amp; CI$9)=$B57,INDIRECT("'Ext Nontradable'!$" &amp; 'Ext Nontradable'!$AZ$23 &amp; CI$9),"")</f>
        <v>0</v>
      </c>
      <c r="CJ57" s="700">
        <f ca="1">IF(INDIRECT("'Ext Nontradable'!$B" &amp; CJ$9)=$B57,INDIRECT("'Ext Nontradable'!$" &amp; 'Ext Nontradable'!$AZ$23 &amp; CJ$9),"")</f>
        <v>0</v>
      </c>
      <c r="CK57" s="700">
        <f ca="1">IF(INDIRECT("'Ext Nontradable'!$B" &amp; CK$9)=$B57,INDIRECT("'Ext Nontradable'!$" &amp; 'Ext Nontradable'!$AZ$23 &amp; CK$9),"")</f>
        <v>0</v>
      </c>
      <c r="CL57" s="700">
        <f ca="1">IF(INDIRECT("'Ext Nontradable'!$B" &amp; CL$9)=$B57,INDIRECT("'Ext Nontradable'!$" &amp; 'Ext Nontradable'!$AZ$23 &amp; CL$9),"")</f>
        <v>0</v>
      </c>
      <c r="CM57" s="700">
        <f ca="1">IF(INDIRECT("'Ext Nontradable'!$B" &amp; CM$9)=$B57,INDIRECT("'Ext Nontradable'!$" &amp; 'Ext Nontradable'!$AZ$23 &amp; CM$9),"")</f>
        <v>0</v>
      </c>
      <c r="CN57" s="700">
        <f ca="1">IF(INDIRECT("'Ext Nontradable'!$B" &amp; CN$9)=$B57,INDIRECT("'Ext Nontradable'!$" &amp; 'Ext Nontradable'!$AZ$23 &amp; CN$9),"")</f>
        <v>0</v>
      </c>
      <c r="CO57" s="700">
        <f ca="1">IF(INDIRECT("'Ext Nontradable'!$B" &amp; CO$9)=$B57,INDIRECT("'Ext Nontradable'!$" &amp; 'Ext Nontradable'!$AZ$23 &amp; CO$9),"")</f>
        <v>0</v>
      </c>
      <c r="CP57" s="700">
        <f ca="1">IF(INDIRECT("'Ext Nontradable'!$B" &amp; CP$9)=$B57,INDIRECT("'Ext Nontradable'!$" &amp; 'Ext Nontradable'!$AZ$23 &amp; CP$9),"")</f>
        <v>0</v>
      </c>
      <c r="CQ57" s="700">
        <f ca="1">IF(INDIRECT("'Ext Nontradable'!$B" &amp; CQ$9)=$B57,INDIRECT("'Ext Nontradable'!$" &amp; 'Ext Nontradable'!$AZ$23 &amp; CQ$9),"")</f>
        <v>0</v>
      </c>
      <c r="CR57" s="702" t="str">
        <f t="shared" ca="1" si="25"/>
        <v>000000000000000000000000000000</v>
      </c>
    </row>
    <row r="58" spans="1:96" ht="60" customHeight="1" x14ac:dyDescent="0.25">
      <c r="A58" s="705">
        <v>49</v>
      </c>
      <c r="B58" s="707" t="str">
        <f>'Ext Area Schedule'!AK64</f>
        <v/>
      </c>
      <c r="C58" s="707" t="str">
        <f>VLOOKUP($B58,'Ext Area Schedule'!$AK$16:$AO$65,3,FALSE)</f>
        <v/>
      </c>
      <c r="D58" s="792" t="str">
        <f>VLOOKUP($B58,'Ext Area Schedule'!$AK$16:$AO$65,4,FALSE)</f>
        <v/>
      </c>
      <c r="F58" s="792" t="str">
        <f>VLOOKUP($B58,'Ext Area Schedule'!$AK$16:$AO$65,5,FALSE)</f>
        <v/>
      </c>
      <c r="G58" s="792" t="str">
        <f>VLOOKUP($B58,'Ext Area Schedule'!$AK$16:$AO$65,5,FALSE)</f>
        <v/>
      </c>
      <c r="I58" s="703" t="str">
        <f t="shared" si="1"/>
        <v/>
      </c>
      <c r="K58" s="703" t="str">
        <f>IF($B58="","",SUMIFS('Ext Nontradable'!$M$26:$M$45,'Ext Nontradable'!$B$26:$B$45,$B58,'Ext Nontradable'!$U$26:$U$45,"New"))</f>
        <v/>
      </c>
      <c r="L58" s="703" t="str">
        <f>IF($B58="","",SUMIFS('Ext Nontradable'!$M$26:$M$45,'Ext Nontradable'!$B$26:$B$45,$B58,'Ext Nontradable'!$U$26:$U$45,""))</f>
        <v/>
      </c>
      <c r="M58" s="703" t="str">
        <f>IF($B58="","",SUMIFS('Ext Nontradable'!$K$26:$K$45,'Ext Nontradable'!$B$26:$B$45,$B58,'Ext Nontradable'!$U$26:$U$45,"New")+SUMIFS('Ext Nontradable'!$K$26:$K$45,'Ext Nontradable'!$B$26:$B$45,$B58,'Ext Nontradable'!$U$26:$U$45,""))</f>
        <v/>
      </c>
      <c r="N58" s="703" t="str">
        <f>IF($B58="","",SUMIFS('Ext Nontradable'!$M$26:$M$45,'Ext Nontradable'!$B$26:$B$45,$B58,'Ext Nontradable'!$U$26:$U$45,"Existing Remains"))</f>
        <v/>
      </c>
      <c r="O58" s="703" t="str">
        <f>IF($B58="","",SUMIFS('Ext Nontradable'!$M$26:$M$45,'Ext Nontradable'!$B$26:$B$45,$B58,'Ext Nontradable'!$U$26:$U$45,"Existing Removed"))</f>
        <v/>
      </c>
      <c r="P58" s="703" t="str">
        <f>IF($B58="","",SUMIFS('Ext Nontradable'!$K$26:$K$45,'Ext Nontradable'!$B$26:$B$45,$B58,'Ext Nontradable'!$U$26:$U$45,"Existing Removed"))</f>
        <v/>
      </c>
      <c r="Q58" s="703" t="str">
        <f t="shared" si="2"/>
        <v/>
      </c>
      <c r="R58" s="703" t="str">
        <f t="shared" si="7"/>
        <v/>
      </c>
      <c r="S58" s="703">
        <f t="shared" si="8"/>
        <v>0</v>
      </c>
      <c r="T58" s="954">
        <f t="shared" si="20"/>
        <v>0</v>
      </c>
      <c r="U58" s="954">
        <f t="shared" si="21"/>
        <v>0</v>
      </c>
      <c r="V58" s="1115" t="str">
        <f t="shared" si="22"/>
        <v/>
      </c>
      <c r="W58" s="712" t="str">
        <f t="shared" si="23"/>
        <v/>
      </c>
      <c r="X58" s="857"/>
      <c r="Y58" s="720" t="str">
        <f t="shared" si="24"/>
        <v/>
      </c>
      <c r="Z58" s="721" t="str">
        <f t="shared" si="9"/>
        <v/>
      </c>
      <c r="AA58" s="721" t="str">
        <f t="shared" si="10"/>
        <v/>
      </c>
      <c r="AB58" s="719" t="str">
        <f t="shared" si="4"/>
        <v/>
      </c>
      <c r="AC58" s="857"/>
      <c r="AD58" s="717" t="str">
        <f t="shared" si="11"/>
        <v/>
      </c>
      <c r="AE58" s="718" t="str">
        <f t="shared" si="12"/>
        <v/>
      </c>
      <c r="AF58" s="719" t="str">
        <f t="shared" si="5"/>
        <v/>
      </c>
      <c r="AG58" s="726"/>
      <c r="AH58" s="727" t="str">
        <f t="shared" si="13"/>
        <v/>
      </c>
      <c r="AI58" s="703" t="str">
        <f t="shared" si="14"/>
        <v/>
      </c>
      <c r="AJ58" s="703" t="str">
        <f t="shared" si="15"/>
        <v/>
      </c>
      <c r="AL58" s="1075" t="str">
        <f t="shared" si="16"/>
        <v/>
      </c>
      <c r="AM58" s="855" t="str">
        <f t="shared" si="18"/>
        <v/>
      </c>
      <c r="AN58" s="707" t="str">
        <f>IF(OR(AL58="Fail",AL58="Fail LPA",AL58=""),"",IF(AM58&lt;&gt;"#1",VLOOKUP(C58,'9.4.3 Tables'!B$156:O$164,14,FALSE),"No NEW controls required"))</f>
        <v/>
      </c>
      <c r="AO58" s="703">
        <f t="shared" si="19"/>
        <v>0</v>
      </c>
      <c r="AR58">
        <v>49</v>
      </c>
      <c r="AS58" s="15" t="str">
        <f t="shared" si="17"/>
        <v/>
      </c>
      <c r="AT58" s="700" t="str">
        <f ca="1">IF(INDIRECT("'Ext Nontradable'!$B" &amp; AT$9)=$B58,INDIRECT("'Ext Nontradable'!$" &amp; 'Ext Nontradable'!$AZ$23 &amp; AT$9),"")</f>
        <v/>
      </c>
      <c r="AU58" s="700" t="str">
        <f ca="1">IF(INDIRECT("'Ext Nontradable'!$B" &amp; AU$9)=$B58,INDIRECT("'Ext Nontradable'!$" &amp; 'Ext Nontradable'!$AZ$23 &amp; AU$9),"")</f>
        <v/>
      </c>
      <c r="AV58" s="700" t="str">
        <f ca="1">IF(INDIRECT("'Ext Nontradable'!$B" &amp; AV$9)=$B58,INDIRECT("'Ext Nontradable'!$" &amp; 'Ext Nontradable'!$AZ$23 &amp; AV$9),"")</f>
        <v/>
      </c>
      <c r="AW58" s="700" t="str">
        <f ca="1">IF(INDIRECT("'Ext Nontradable'!$B" &amp; AW$9)=$B58,INDIRECT("'Ext Nontradable'!$" &amp; 'Ext Nontradable'!$AZ$23 &amp; AW$9),"")</f>
        <v/>
      </c>
      <c r="AX58" s="700" t="str">
        <f ca="1">IF(INDIRECT("'Ext Nontradable'!$B" &amp; AX$9)=$B58,INDIRECT("'Ext Nontradable'!$" &amp; 'Ext Nontradable'!$AZ$23 &amp; AX$9),"")</f>
        <v/>
      </c>
      <c r="AY58" s="700" t="str">
        <f ca="1">IF(INDIRECT("'Ext Nontradable'!$B" &amp; AY$9)=$B58,INDIRECT("'Ext Nontradable'!$" &amp; 'Ext Nontradable'!$AZ$23 &amp; AY$9),"")</f>
        <v/>
      </c>
      <c r="AZ58" s="700" t="str">
        <f ca="1">IF(INDIRECT("'Ext Nontradable'!$B" &amp; AZ$9)=$B58,INDIRECT("'Ext Nontradable'!$" &amp; 'Ext Nontradable'!$AZ$23 &amp; AZ$9),"")</f>
        <v/>
      </c>
      <c r="BA58" s="700" t="str">
        <f ca="1">IF(INDIRECT("'Ext Nontradable'!$B" &amp; BA$9)=$B58,INDIRECT("'Ext Nontradable'!$" &amp; 'Ext Nontradable'!$AZ$23 &amp; BA$9),"")</f>
        <v/>
      </c>
      <c r="BB58" s="700" t="str">
        <f ca="1">IF(INDIRECT("'Ext Nontradable'!$B" &amp; BB$9)=$B58,INDIRECT("'Ext Nontradable'!$" &amp; 'Ext Nontradable'!$AZ$23 &amp; BB$9),"")</f>
        <v/>
      </c>
      <c r="BC58" s="700" t="str">
        <f ca="1">IF(INDIRECT("'Ext Nontradable'!$B" &amp; BC$9)=$B58,INDIRECT("'Ext Nontradable'!$" &amp; 'Ext Nontradable'!$AZ$23 &amp; BC$9),"")</f>
        <v/>
      </c>
      <c r="BD58" s="700" t="str">
        <f ca="1">IF(INDIRECT("'Ext Nontradable'!$B" &amp; BD$9)=$B58,INDIRECT("'Ext Nontradable'!$" &amp; 'Ext Nontradable'!$AZ$23 &amp; BD$9),"")</f>
        <v/>
      </c>
      <c r="BE58" s="700" t="str">
        <f ca="1">IF(INDIRECT("'Ext Nontradable'!$B" &amp; BE$9)=$B58,INDIRECT("'Ext Nontradable'!$" &amp; 'Ext Nontradable'!$AZ$23 &amp; BE$9),"")</f>
        <v/>
      </c>
      <c r="BF58" s="700" t="str">
        <f ca="1">IF(INDIRECT("'Ext Nontradable'!$B" &amp; BF$9)=$B58,INDIRECT("'Ext Nontradable'!$" &amp; 'Ext Nontradable'!$AZ$23 &amp; BF$9),"")</f>
        <v/>
      </c>
      <c r="BG58" s="700" t="str">
        <f ca="1">IF(INDIRECT("'Ext Nontradable'!$B" &amp; BG$9)=$B58,INDIRECT("'Ext Nontradable'!$" &amp; 'Ext Nontradable'!$AZ$23 &amp; BG$9),"")</f>
        <v/>
      </c>
      <c r="BH58" s="700" t="str">
        <f ca="1">IF(INDIRECT("'Ext Nontradable'!$B" &amp; BH$9)=$B58,INDIRECT("'Ext Nontradable'!$" &amp; 'Ext Nontradable'!$AZ$23 &amp; BH$9),"")</f>
        <v/>
      </c>
      <c r="BI58" s="700" t="str">
        <f ca="1">IF(INDIRECT("'Ext Nontradable'!$B" &amp; BI$9)=$B58,INDIRECT("'Ext Nontradable'!$" &amp; 'Ext Nontradable'!$AZ$23 &amp; BI$9),"")</f>
        <v/>
      </c>
      <c r="BJ58" s="700" t="str">
        <f ca="1">IF(INDIRECT("'Ext Nontradable'!$B" &amp; BJ$9)=$B58,INDIRECT("'Ext Nontradable'!$" &amp; 'Ext Nontradable'!$AZ$23 &amp; BJ$9),"")</f>
        <v/>
      </c>
      <c r="BK58" s="700" t="str">
        <f ca="1">IF(INDIRECT("'Ext Nontradable'!$B" &amp; BK$9)=$B58,INDIRECT("'Ext Nontradable'!$" &amp; 'Ext Nontradable'!$AZ$23 &amp; BK$9),"")</f>
        <v/>
      </c>
      <c r="BL58" s="700" t="str">
        <f ca="1">IF(INDIRECT("'Ext Nontradable'!$B" &amp; BL$9)=$B58,INDIRECT("'Ext Nontradable'!$" &amp; 'Ext Nontradable'!$AZ$23 &amp; BL$9),"")</f>
        <v/>
      </c>
      <c r="BM58" s="700" t="str">
        <f ca="1">IF(INDIRECT("'Ext Nontradable'!$B" &amp; BM$9)=$B58,INDIRECT("'Ext Nontradable'!$" &amp; 'Ext Nontradable'!$AZ$23 &amp; BM$9),"")</f>
        <v/>
      </c>
      <c r="BN58" s="700">
        <f ca="1">IF(INDIRECT("'Ext Nontradable'!$B" &amp; BN$9)=$B58,INDIRECT("'Ext Nontradable'!$" &amp; 'Ext Nontradable'!$AZ$23 &amp; BN$9),"")</f>
        <v>0</v>
      </c>
      <c r="BO58" s="700">
        <f ca="1">IF(INDIRECT("'Ext Nontradable'!$B" &amp; BO$9)=$B58,INDIRECT("'Ext Nontradable'!$" &amp; 'Ext Nontradable'!$AZ$23 &amp; BO$9),"")</f>
        <v>0</v>
      </c>
      <c r="BP58" s="700">
        <f ca="1">IF(INDIRECT("'Ext Nontradable'!$B" &amp; BP$9)=$B58,INDIRECT("'Ext Nontradable'!$" &amp; 'Ext Nontradable'!$AZ$23 &amp; BP$9),"")</f>
        <v>0</v>
      </c>
      <c r="BQ58" s="700">
        <f ca="1">IF(INDIRECT("'Ext Nontradable'!$B" &amp; BQ$9)=$B58,INDIRECT("'Ext Nontradable'!$" &amp; 'Ext Nontradable'!$AZ$23 &amp; BQ$9),"")</f>
        <v>0</v>
      </c>
      <c r="BR58" s="700">
        <f ca="1">IF(INDIRECT("'Ext Nontradable'!$B" &amp; BR$9)=$B58,INDIRECT("'Ext Nontradable'!$" &amp; 'Ext Nontradable'!$AZ$23 &amp; BR$9),"")</f>
        <v>0</v>
      </c>
      <c r="BS58" s="700">
        <f ca="1">IF(INDIRECT("'Ext Nontradable'!$B" &amp; BS$9)=$B58,INDIRECT("'Ext Nontradable'!$" &amp; 'Ext Nontradable'!$AZ$23 &amp; BS$9),"")</f>
        <v>0</v>
      </c>
      <c r="BT58" s="700">
        <f ca="1">IF(INDIRECT("'Ext Nontradable'!$B" &amp; BT$9)=$B58,INDIRECT("'Ext Nontradable'!$" &amp; 'Ext Nontradable'!$AZ$23 &amp; BT$9),"")</f>
        <v>0</v>
      </c>
      <c r="BU58" s="700">
        <f ca="1">IF(INDIRECT("'Ext Nontradable'!$B" &amp; BU$9)=$B58,INDIRECT("'Ext Nontradable'!$" &amp; 'Ext Nontradable'!$AZ$23 &amp; BU$9),"")</f>
        <v>0</v>
      </c>
      <c r="BV58" s="700">
        <f ca="1">IF(INDIRECT("'Ext Nontradable'!$B" &amp; BV$9)=$B58,INDIRECT("'Ext Nontradable'!$" &amp; 'Ext Nontradable'!$AZ$23 &amp; BV$9),"")</f>
        <v>0</v>
      </c>
      <c r="BW58" s="700">
        <f ca="1">IF(INDIRECT("'Ext Nontradable'!$B" &amp; BW$9)=$B58,INDIRECT("'Ext Nontradable'!$" &amp; 'Ext Nontradable'!$AZ$23 &amp; BW$9),"")</f>
        <v>0</v>
      </c>
      <c r="BX58" s="700">
        <f ca="1">IF(INDIRECT("'Ext Nontradable'!$B" &amp; BX$9)=$B58,INDIRECT("'Ext Nontradable'!$" &amp; 'Ext Nontradable'!$AZ$23 &amp; BX$9),"")</f>
        <v>0</v>
      </c>
      <c r="BY58" s="700">
        <f ca="1">IF(INDIRECT("'Ext Nontradable'!$B" &amp; BY$9)=$B58,INDIRECT("'Ext Nontradable'!$" &amp; 'Ext Nontradable'!$AZ$23 &amp; BY$9),"")</f>
        <v>0</v>
      </c>
      <c r="BZ58" s="700">
        <f ca="1">IF(INDIRECT("'Ext Nontradable'!$B" &amp; BZ$9)=$B58,INDIRECT("'Ext Nontradable'!$" &amp; 'Ext Nontradable'!$AZ$23 &amp; BZ$9),"")</f>
        <v>0</v>
      </c>
      <c r="CA58" s="700">
        <f ca="1">IF(INDIRECT("'Ext Nontradable'!$B" &amp; CA$9)=$B58,INDIRECT("'Ext Nontradable'!$" &amp; 'Ext Nontradable'!$AZ$23 &amp; CA$9),"")</f>
        <v>0</v>
      </c>
      <c r="CB58" s="700">
        <f ca="1">IF(INDIRECT("'Ext Nontradable'!$B" &amp; CB$9)=$B58,INDIRECT("'Ext Nontradable'!$" &amp; 'Ext Nontradable'!$AZ$23 &amp; CB$9),"")</f>
        <v>0</v>
      </c>
      <c r="CC58" s="700">
        <f ca="1">IF(INDIRECT("'Ext Nontradable'!$B" &amp; CC$9)=$B58,INDIRECT("'Ext Nontradable'!$" &amp; 'Ext Nontradable'!$AZ$23 &amp; CC$9),"")</f>
        <v>0</v>
      </c>
      <c r="CD58" s="700">
        <f ca="1">IF(INDIRECT("'Ext Nontradable'!$B" &amp; CD$9)=$B58,INDIRECT("'Ext Nontradable'!$" &amp; 'Ext Nontradable'!$AZ$23 &amp; CD$9),"")</f>
        <v>0</v>
      </c>
      <c r="CE58" s="700">
        <f ca="1">IF(INDIRECT("'Ext Nontradable'!$B" &amp; CE$9)=$B58,INDIRECT("'Ext Nontradable'!$" &amp; 'Ext Nontradable'!$AZ$23 &amp; CE$9),"")</f>
        <v>0</v>
      </c>
      <c r="CF58" s="700">
        <f ca="1">IF(INDIRECT("'Ext Nontradable'!$B" &amp; CF$9)=$B58,INDIRECT("'Ext Nontradable'!$" &amp; 'Ext Nontradable'!$AZ$23 &amp; CF$9),"")</f>
        <v>0</v>
      </c>
      <c r="CG58" s="700">
        <f ca="1">IF(INDIRECT("'Ext Nontradable'!$B" &amp; CG$9)=$B58,INDIRECT("'Ext Nontradable'!$" &amp; 'Ext Nontradable'!$AZ$23 &amp; CG$9),"")</f>
        <v>0</v>
      </c>
      <c r="CH58" s="700">
        <f ca="1">IF(INDIRECT("'Ext Nontradable'!$B" &amp; CH$9)=$B58,INDIRECT("'Ext Nontradable'!$" &amp; 'Ext Nontradable'!$AZ$23 &amp; CH$9),"")</f>
        <v>0</v>
      </c>
      <c r="CI58" s="700">
        <f ca="1">IF(INDIRECT("'Ext Nontradable'!$B" &amp; CI$9)=$B58,INDIRECT("'Ext Nontradable'!$" &amp; 'Ext Nontradable'!$AZ$23 &amp; CI$9),"")</f>
        <v>0</v>
      </c>
      <c r="CJ58" s="700">
        <f ca="1">IF(INDIRECT("'Ext Nontradable'!$B" &amp; CJ$9)=$B58,INDIRECT("'Ext Nontradable'!$" &amp; 'Ext Nontradable'!$AZ$23 &amp; CJ$9),"")</f>
        <v>0</v>
      </c>
      <c r="CK58" s="700">
        <f ca="1">IF(INDIRECT("'Ext Nontradable'!$B" &amp; CK$9)=$B58,INDIRECT("'Ext Nontradable'!$" &amp; 'Ext Nontradable'!$AZ$23 &amp; CK$9),"")</f>
        <v>0</v>
      </c>
      <c r="CL58" s="700">
        <f ca="1">IF(INDIRECT("'Ext Nontradable'!$B" &amp; CL$9)=$B58,INDIRECT("'Ext Nontradable'!$" &amp; 'Ext Nontradable'!$AZ$23 &amp; CL$9),"")</f>
        <v>0</v>
      </c>
      <c r="CM58" s="700">
        <f ca="1">IF(INDIRECT("'Ext Nontradable'!$B" &amp; CM$9)=$B58,INDIRECT("'Ext Nontradable'!$" &amp; 'Ext Nontradable'!$AZ$23 &amp; CM$9),"")</f>
        <v>0</v>
      </c>
      <c r="CN58" s="700">
        <f ca="1">IF(INDIRECT("'Ext Nontradable'!$B" &amp; CN$9)=$B58,INDIRECT("'Ext Nontradable'!$" &amp; 'Ext Nontradable'!$AZ$23 &amp; CN$9),"")</f>
        <v>0</v>
      </c>
      <c r="CO58" s="700">
        <f ca="1">IF(INDIRECT("'Ext Nontradable'!$B" &amp; CO$9)=$B58,INDIRECT("'Ext Nontradable'!$" &amp; 'Ext Nontradable'!$AZ$23 &amp; CO$9),"")</f>
        <v>0</v>
      </c>
      <c r="CP58" s="700">
        <f ca="1">IF(INDIRECT("'Ext Nontradable'!$B" &amp; CP$9)=$B58,INDIRECT("'Ext Nontradable'!$" &amp; 'Ext Nontradable'!$AZ$23 &amp; CP$9),"")</f>
        <v>0</v>
      </c>
      <c r="CQ58" s="700">
        <f ca="1">IF(INDIRECT("'Ext Nontradable'!$B" &amp; CQ$9)=$B58,INDIRECT("'Ext Nontradable'!$" &amp; 'Ext Nontradable'!$AZ$23 &amp; CQ$9),"")</f>
        <v>0</v>
      </c>
      <c r="CR58" s="702" t="str">
        <f t="shared" ca="1" si="25"/>
        <v>000000000000000000000000000000</v>
      </c>
    </row>
    <row r="59" spans="1:96" ht="60" customHeight="1" x14ac:dyDescent="0.25">
      <c r="A59" s="705">
        <v>50</v>
      </c>
      <c r="B59" s="707" t="str">
        <f>'Ext Area Schedule'!AK65</f>
        <v/>
      </c>
      <c r="C59" s="707" t="str">
        <f>VLOOKUP($B59,'Ext Area Schedule'!$AK$16:$AO$65,3,FALSE)</f>
        <v/>
      </c>
      <c r="D59" s="792" t="str">
        <f>VLOOKUP($B59,'Ext Area Schedule'!$AK$16:$AO$65,4,FALSE)</f>
        <v/>
      </c>
      <c r="F59" s="792" t="str">
        <f>VLOOKUP($B59,'Ext Area Schedule'!$AK$16:$AO$65,5,FALSE)</f>
        <v/>
      </c>
      <c r="G59" s="792" t="str">
        <f>VLOOKUP($B59,'Ext Area Schedule'!$AK$16:$AO$65,5,FALSE)</f>
        <v/>
      </c>
      <c r="I59" s="703" t="str">
        <f t="shared" si="1"/>
        <v/>
      </c>
      <c r="K59" s="703" t="str">
        <f>IF($B59="","",SUMIFS('Ext Nontradable'!$M$26:$M$45,'Ext Nontradable'!$B$26:$B$45,$B59,'Ext Nontradable'!$U$26:$U$45,"New"))</f>
        <v/>
      </c>
      <c r="L59" s="703" t="str">
        <f>IF($B59="","",SUMIFS('Ext Nontradable'!$M$26:$M$45,'Ext Nontradable'!$B$26:$B$45,$B59,'Ext Nontradable'!$U$26:$U$45,""))</f>
        <v/>
      </c>
      <c r="M59" s="703" t="str">
        <f>IF($B59="","",SUMIFS('Ext Nontradable'!$K$26:$K$45,'Ext Nontradable'!$B$26:$B$45,$B59,'Ext Nontradable'!$U$26:$U$45,"New")+SUMIFS('Ext Nontradable'!$K$26:$K$45,'Ext Nontradable'!$B$26:$B$45,$B59,'Ext Nontradable'!$U$26:$U$45,""))</f>
        <v/>
      </c>
      <c r="N59" s="703" t="str">
        <f>IF($B59="","",SUMIFS('Ext Nontradable'!$M$26:$M$45,'Ext Nontradable'!$B$26:$B$45,$B59,'Ext Nontradable'!$U$26:$U$45,"Existing Remains"))</f>
        <v/>
      </c>
      <c r="O59" s="703" t="str">
        <f>IF($B59="","",SUMIFS('Ext Nontradable'!$M$26:$M$45,'Ext Nontradable'!$B$26:$B$45,$B59,'Ext Nontradable'!$U$26:$U$45,"Existing Removed"))</f>
        <v/>
      </c>
      <c r="P59" s="703" t="str">
        <f>IF($B59="","",SUMIFS('Ext Nontradable'!$K$26:$K$45,'Ext Nontradable'!$B$26:$B$45,$B59,'Ext Nontradable'!$U$26:$U$45,"Existing Removed"))</f>
        <v/>
      </c>
      <c r="Q59" s="703" t="str">
        <f t="shared" si="2"/>
        <v/>
      </c>
      <c r="R59" s="703" t="str">
        <f t="shared" si="7"/>
        <v/>
      </c>
      <c r="S59" s="703">
        <f t="shared" si="8"/>
        <v>0</v>
      </c>
      <c r="T59" s="954">
        <f t="shared" si="20"/>
        <v>0</v>
      </c>
      <c r="U59" s="954">
        <f t="shared" si="21"/>
        <v>0</v>
      </c>
      <c r="V59" s="1115" t="str">
        <f t="shared" si="22"/>
        <v/>
      </c>
      <c r="W59" s="712" t="str">
        <f t="shared" si="23"/>
        <v/>
      </c>
      <c r="X59" s="857"/>
      <c r="Y59" s="720" t="str">
        <f t="shared" si="24"/>
        <v/>
      </c>
      <c r="Z59" s="721" t="str">
        <f t="shared" si="9"/>
        <v/>
      </c>
      <c r="AA59" s="721" t="str">
        <f t="shared" si="10"/>
        <v/>
      </c>
      <c r="AB59" s="719" t="str">
        <f t="shared" si="4"/>
        <v/>
      </c>
      <c r="AC59" s="857"/>
      <c r="AD59" s="717" t="str">
        <f t="shared" si="11"/>
        <v/>
      </c>
      <c r="AE59" s="718" t="str">
        <f t="shared" si="12"/>
        <v/>
      </c>
      <c r="AF59" s="719" t="str">
        <f t="shared" si="5"/>
        <v/>
      </c>
      <c r="AG59" s="726"/>
      <c r="AH59" s="727" t="str">
        <f t="shared" si="13"/>
        <v/>
      </c>
      <c r="AI59" s="703" t="str">
        <f t="shared" si="14"/>
        <v/>
      </c>
      <c r="AJ59" s="703" t="str">
        <f t="shared" si="15"/>
        <v/>
      </c>
      <c r="AL59" s="1075" t="str">
        <f t="shared" si="16"/>
        <v/>
      </c>
      <c r="AM59" s="855" t="str">
        <f t="shared" si="18"/>
        <v/>
      </c>
      <c r="AN59" s="707" t="str">
        <f>IF(OR(AL59="Fail",AL59="Fail LPA",AL59=""),"",IF(AM59&lt;&gt;"#1",VLOOKUP(C59,'9.4.3 Tables'!B$156:O$164,14,FALSE),"No NEW controls required"))</f>
        <v/>
      </c>
      <c r="AO59" s="703">
        <f t="shared" si="19"/>
        <v>0</v>
      </c>
      <c r="AR59">
        <v>50</v>
      </c>
      <c r="AS59" s="15" t="str">
        <f t="shared" si="17"/>
        <v/>
      </c>
      <c r="AT59" s="700" t="str">
        <f ca="1">IF(INDIRECT("'Ext Nontradable'!$B" &amp; AT$9)=$B59,INDIRECT("'Ext Nontradable'!$" &amp; 'Ext Nontradable'!$AZ$23 &amp; AT$9),"")</f>
        <v/>
      </c>
      <c r="AU59" s="700" t="str">
        <f ca="1">IF(INDIRECT("'Ext Nontradable'!$B" &amp; AU$9)=$B59,INDIRECT("'Ext Nontradable'!$" &amp; 'Ext Nontradable'!$AZ$23 &amp; AU$9),"")</f>
        <v/>
      </c>
      <c r="AV59" s="700" t="str">
        <f ca="1">IF(INDIRECT("'Ext Nontradable'!$B" &amp; AV$9)=$B59,INDIRECT("'Ext Nontradable'!$" &amp; 'Ext Nontradable'!$AZ$23 &amp; AV$9),"")</f>
        <v/>
      </c>
      <c r="AW59" s="700" t="str">
        <f ca="1">IF(INDIRECT("'Ext Nontradable'!$B" &amp; AW$9)=$B59,INDIRECT("'Ext Nontradable'!$" &amp; 'Ext Nontradable'!$AZ$23 &amp; AW$9),"")</f>
        <v/>
      </c>
      <c r="AX59" s="700" t="str">
        <f ca="1">IF(INDIRECT("'Ext Nontradable'!$B" &amp; AX$9)=$B59,INDIRECT("'Ext Nontradable'!$" &amp; 'Ext Nontradable'!$AZ$23 &amp; AX$9),"")</f>
        <v/>
      </c>
      <c r="AY59" s="700" t="str">
        <f ca="1">IF(INDIRECT("'Ext Nontradable'!$B" &amp; AY$9)=$B59,INDIRECT("'Ext Nontradable'!$" &amp; 'Ext Nontradable'!$AZ$23 &amp; AY$9),"")</f>
        <v/>
      </c>
      <c r="AZ59" s="700" t="str">
        <f ca="1">IF(INDIRECT("'Ext Nontradable'!$B" &amp; AZ$9)=$B59,INDIRECT("'Ext Nontradable'!$" &amp; 'Ext Nontradable'!$AZ$23 &amp; AZ$9),"")</f>
        <v/>
      </c>
      <c r="BA59" s="700" t="str">
        <f ca="1">IF(INDIRECT("'Ext Nontradable'!$B" &amp; BA$9)=$B59,INDIRECT("'Ext Nontradable'!$" &amp; 'Ext Nontradable'!$AZ$23 &amp; BA$9),"")</f>
        <v/>
      </c>
      <c r="BB59" s="700" t="str">
        <f ca="1">IF(INDIRECT("'Ext Nontradable'!$B" &amp; BB$9)=$B59,INDIRECT("'Ext Nontradable'!$" &amp; 'Ext Nontradable'!$AZ$23 &amp; BB$9),"")</f>
        <v/>
      </c>
      <c r="BC59" s="700" t="str">
        <f ca="1">IF(INDIRECT("'Ext Nontradable'!$B" &amp; BC$9)=$B59,INDIRECT("'Ext Nontradable'!$" &amp; 'Ext Nontradable'!$AZ$23 &amp; BC$9),"")</f>
        <v/>
      </c>
      <c r="BD59" s="700" t="str">
        <f ca="1">IF(INDIRECT("'Ext Nontradable'!$B" &amp; BD$9)=$B59,INDIRECT("'Ext Nontradable'!$" &amp; 'Ext Nontradable'!$AZ$23 &amp; BD$9),"")</f>
        <v/>
      </c>
      <c r="BE59" s="700" t="str">
        <f ca="1">IF(INDIRECT("'Ext Nontradable'!$B" &amp; BE$9)=$B59,INDIRECT("'Ext Nontradable'!$" &amp; 'Ext Nontradable'!$AZ$23 &amp; BE$9),"")</f>
        <v/>
      </c>
      <c r="BF59" s="700" t="str">
        <f ca="1">IF(INDIRECT("'Ext Nontradable'!$B" &amp; BF$9)=$B59,INDIRECT("'Ext Nontradable'!$" &amp; 'Ext Nontradable'!$AZ$23 &amp; BF$9),"")</f>
        <v/>
      </c>
      <c r="BG59" s="700" t="str">
        <f ca="1">IF(INDIRECT("'Ext Nontradable'!$B" &amp; BG$9)=$B59,INDIRECT("'Ext Nontradable'!$" &amp; 'Ext Nontradable'!$AZ$23 &amp; BG$9),"")</f>
        <v/>
      </c>
      <c r="BH59" s="700" t="str">
        <f ca="1">IF(INDIRECT("'Ext Nontradable'!$B" &amp; BH$9)=$B59,INDIRECT("'Ext Nontradable'!$" &amp; 'Ext Nontradable'!$AZ$23 &amp; BH$9),"")</f>
        <v/>
      </c>
      <c r="BI59" s="700" t="str">
        <f ca="1">IF(INDIRECT("'Ext Nontradable'!$B" &amp; BI$9)=$B59,INDIRECT("'Ext Nontradable'!$" &amp; 'Ext Nontradable'!$AZ$23 &amp; BI$9),"")</f>
        <v/>
      </c>
      <c r="BJ59" s="700" t="str">
        <f ca="1">IF(INDIRECT("'Ext Nontradable'!$B" &amp; BJ$9)=$B59,INDIRECT("'Ext Nontradable'!$" &amp; 'Ext Nontradable'!$AZ$23 &amp; BJ$9),"")</f>
        <v/>
      </c>
      <c r="BK59" s="700" t="str">
        <f ca="1">IF(INDIRECT("'Ext Nontradable'!$B" &amp; BK$9)=$B59,INDIRECT("'Ext Nontradable'!$" &amp; 'Ext Nontradable'!$AZ$23 &amp; BK$9),"")</f>
        <v/>
      </c>
      <c r="BL59" s="700" t="str">
        <f ca="1">IF(INDIRECT("'Ext Nontradable'!$B" &amp; BL$9)=$B59,INDIRECT("'Ext Nontradable'!$" &amp; 'Ext Nontradable'!$AZ$23 &amp; BL$9),"")</f>
        <v/>
      </c>
      <c r="BM59" s="700" t="str">
        <f ca="1">IF(INDIRECT("'Ext Nontradable'!$B" &amp; BM$9)=$B59,INDIRECT("'Ext Nontradable'!$" &amp; 'Ext Nontradable'!$AZ$23 &amp; BM$9),"")</f>
        <v/>
      </c>
      <c r="BN59" s="700">
        <f ca="1">IF(INDIRECT("'Ext Nontradable'!$B" &amp; BN$9)=$B59,INDIRECT("'Ext Nontradable'!$" &amp; 'Ext Nontradable'!$AZ$23 &amp; BN$9),"")</f>
        <v>0</v>
      </c>
      <c r="BO59" s="700">
        <f ca="1">IF(INDIRECT("'Ext Nontradable'!$B" &amp; BO$9)=$B59,INDIRECT("'Ext Nontradable'!$" &amp; 'Ext Nontradable'!$AZ$23 &amp; BO$9),"")</f>
        <v>0</v>
      </c>
      <c r="BP59" s="700">
        <f ca="1">IF(INDIRECT("'Ext Nontradable'!$B" &amp; BP$9)=$B59,INDIRECT("'Ext Nontradable'!$" &amp; 'Ext Nontradable'!$AZ$23 &amp; BP$9),"")</f>
        <v>0</v>
      </c>
      <c r="BQ59" s="700">
        <f ca="1">IF(INDIRECT("'Ext Nontradable'!$B" &amp; BQ$9)=$B59,INDIRECT("'Ext Nontradable'!$" &amp; 'Ext Nontradable'!$AZ$23 &amp; BQ$9),"")</f>
        <v>0</v>
      </c>
      <c r="BR59" s="700">
        <f ca="1">IF(INDIRECT("'Ext Nontradable'!$B" &amp; BR$9)=$B59,INDIRECT("'Ext Nontradable'!$" &amp; 'Ext Nontradable'!$AZ$23 &amp; BR$9),"")</f>
        <v>0</v>
      </c>
      <c r="BS59" s="700">
        <f ca="1">IF(INDIRECT("'Ext Nontradable'!$B" &amp; BS$9)=$B59,INDIRECT("'Ext Nontradable'!$" &amp; 'Ext Nontradable'!$AZ$23 &amp; BS$9),"")</f>
        <v>0</v>
      </c>
      <c r="BT59" s="700">
        <f ca="1">IF(INDIRECT("'Ext Nontradable'!$B" &amp; BT$9)=$B59,INDIRECT("'Ext Nontradable'!$" &amp; 'Ext Nontradable'!$AZ$23 &amp; BT$9),"")</f>
        <v>0</v>
      </c>
      <c r="BU59" s="700">
        <f ca="1">IF(INDIRECT("'Ext Nontradable'!$B" &amp; BU$9)=$B59,INDIRECT("'Ext Nontradable'!$" &amp; 'Ext Nontradable'!$AZ$23 &amp; BU$9),"")</f>
        <v>0</v>
      </c>
      <c r="BV59" s="700">
        <f ca="1">IF(INDIRECT("'Ext Nontradable'!$B" &amp; BV$9)=$B59,INDIRECT("'Ext Nontradable'!$" &amp; 'Ext Nontradable'!$AZ$23 &amp; BV$9),"")</f>
        <v>0</v>
      </c>
      <c r="BW59" s="700">
        <f ca="1">IF(INDIRECT("'Ext Nontradable'!$B" &amp; BW$9)=$B59,INDIRECT("'Ext Nontradable'!$" &amp; 'Ext Nontradable'!$AZ$23 &amp; BW$9),"")</f>
        <v>0</v>
      </c>
      <c r="BX59" s="700">
        <f ca="1">IF(INDIRECT("'Ext Nontradable'!$B" &amp; BX$9)=$B59,INDIRECT("'Ext Nontradable'!$" &amp; 'Ext Nontradable'!$AZ$23 &amp; BX$9),"")</f>
        <v>0</v>
      </c>
      <c r="BY59" s="700">
        <f ca="1">IF(INDIRECT("'Ext Nontradable'!$B" &amp; BY$9)=$B59,INDIRECT("'Ext Nontradable'!$" &amp; 'Ext Nontradable'!$AZ$23 &amp; BY$9),"")</f>
        <v>0</v>
      </c>
      <c r="BZ59" s="700">
        <f ca="1">IF(INDIRECT("'Ext Nontradable'!$B" &amp; BZ$9)=$B59,INDIRECT("'Ext Nontradable'!$" &amp; 'Ext Nontradable'!$AZ$23 &amp; BZ$9),"")</f>
        <v>0</v>
      </c>
      <c r="CA59" s="700">
        <f ca="1">IF(INDIRECT("'Ext Nontradable'!$B" &amp; CA$9)=$B59,INDIRECT("'Ext Nontradable'!$" &amp; 'Ext Nontradable'!$AZ$23 &amp; CA$9),"")</f>
        <v>0</v>
      </c>
      <c r="CB59" s="700">
        <f ca="1">IF(INDIRECT("'Ext Nontradable'!$B" &amp; CB$9)=$B59,INDIRECT("'Ext Nontradable'!$" &amp; 'Ext Nontradable'!$AZ$23 &amp; CB$9),"")</f>
        <v>0</v>
      </c>
      <c r="CC59" s="700">
        <f ca="1">IF(INDIRECT("'Ext Nontradable'!$B" &amp; CC$9)=$B59,INDIRECT("'Ext Nontradable'!$" &amp; 'Ext Nontradable'!$AZ$23 &amp; CC$9),"")</f>
        <v>0</v>
      </c>
      <c r="CD59" s="700">
        <f ca="1">IF(INDIRECT("'Ext Nontradable'!$B" &amp; CD$9)=$B59,INDIRECT("'Ext Nontradable'!$" &amp; 'Ext Nontradable'!$AZ$23 &amp; CD$9),"")</f>
        <v>0</v>
      </c>
      <c r="CE59" s="700">
        <f ca="1">IF(INDIRECT("'Ext Nontradable'!$B" &amp; CE$9)=$B59,INDIRECT("'Ext Nontradable'!$" &amp; 'Ext Nontradable'!$AZ$23 &amp; CE$9),"")</f>
        <v>0</v>
      </c>
      <c r="CF59" s="700">
        <f ca="1">IF(INDIRECT("'Ext Nontradable'!$B" &amp; CF$9)=$B59,INDIRECT("'Ext Nontradable'!$" &amp; 'Ext Nontradable'!$AZ$23 &amp; CF$9),"")</f>
        <v>0</v>
      </c>
      <c r="CG59" s="700">
        <f ca="1">IF(INDIRECT("'Ext Nontradable'!$B" &amp; CG$9)=$B59,INDIRECT("'Ext Nontradable'!$" &amp; 'Ext Nontradable'!$AZ$23 &amp; CG$9),"")</f>
        <v>0</v>
      </c>
      <c r="CH59" s="700">
        <f ca="1">IF(INDIRECT("'Ext Nontradable'!$B" &amp; CH$9)=$B59,INDIRECT("'Ext Nontradable'!$" &amp; 'Ext Nontradable'!$AZ$23 &amp; CH$9),"")</f>
        <v>0</v>
      </c>
      <c r="CI59" s="700">
        <f ca="1">IF(INDIRECT("'Ext Nontradable'!$B" &amp; CI$9)=$B59,INDIRECT("'Ext Nontradable'!$" &amp; 'Ext Nontradable'!$AZ$23 &amp; CI$9),"")</f>
        <v>0</v>
      </c>
      <c r="CJ59" s="700">
        <f ca="1">IF(INDIRECT("'Ext Nontradable'!$B" &amp; CJ$9)=$B59,INDIRECT("'Ext Nontradable'!$" &amp; 'Ext Nontradable'!$AZ$23 &amp; CJ$9),"")</f>
        <v>0</v>
      </c>
      <c r="CK59" s="700">
        <f ca="1">IF(INDIRECT("'Ext Nontradable'!$B" &amp; CK$9)=$B59,INDIRECT("'Ext Nontradable'!$" &amp; 'Ext Nontradable'!$AZ$23 &amp; CK$9),"")</f>
        <v>0</v>
      </c>
      <c r="CL59" s="700">
        <f ca="1">IF(INDIRECT("'Ext Nontradable'!$B" &amp; CL$9)=$B59,INDIRECT("'Ext Nontradable'!$" &amp; 'Ext Nontradable'!$AZ$23 &amp; CL$9),"")</f>
        <v>0</v>
      </c>
      <c r="CM59" s="700">
        <f ca="1">IF(INDIRECT("'Ext Nontradable'!$B" &amp; CM$9)=$B59,INDIRECT("'Ext Nontradable'!$" &amp; 'Ext Nontradable'!$AZ$23 &amp; CM$9),"")</f>
        <v>0</v>
      </c>
      <c r="CN59" s="700">
        <f ca="1">IF(INDIRECT("'Ext Nontradable'!$B" &amp; CN$9)=$B59,INDIRECT("'Ext Nontradable'!$" &amp; 'Ext Nontradable'!$AZ$23 &amp; CN$9),"")</f>
        <v>0</v>
      </c>
      <c r="CO59" s="700">
        <f ca="1">IF(INDIRECT("'Ext Nontradable'!$B" &amp; CO$9)=$B59,INDIRECT("'Ext Nontradable'!$" &amp; 'Ext Nontradable'!$AZ$23 &amp; CO$9),"")</f>
        <v>0</v>
      </c>
      <c r="CP59" s="700">
        <f ca="1">IF(INDIRECT("'Ext Nontradable'!$B" &amp; CP$9)=$B59,INDIRECT("'Ext Nontradable'!$" &amp; 'Ext Nontradable'!$AZ$23 &amp; CP$9),"")</f>
        <v>0</v>
      </c>
      <c r="CQ59" s="700">
        <f ca="1">IF(INDIRECT("'Ext Nontradable'!$B" &amp; CQ$9)=$B59,INDIRECT("'Ext Nontradable'!$" &amp; 'Ext Nontradable'!$AZ$23 &amp; CQ$9),"")</f>
        <v>0</v>
      </c>
      <c r="CR59" s="702" t="str">
        <f t="shared" ca="1" si="25"/>
        <v>000000000000000000000000000000</v>
      </c>
    </row>
    <row r="60" spans="1:96" x14ac:dyDescent="0.25">
      <c r="AG60" s="14"/>
      <c r="AH60" s="14"/>
    </row>
    <row r="61" spans="1:96" x14ac:dyDescent="0.25">
      <c r="AG61" s="14"/>
      <c r="AH61" s="14"/>
      <c r="AI61" s="1"/>
      <c r="AJ61" s="763"/>
    </row>
    <row r="62" spans="1:96" x14ac:dyDescent="0.25">
      <c r="AG62" s="14"/>
      <c r="AH62" s="14"/>
    </row>
  </sheetData>
  <mergeCells count="7">
    <mergeCell ref="AI3:AJ3"/>
    <mergeCell ref="V6:W6"/>
    <mergeCell ref="AD6:AF6"/>
    <mergeCell ref="V8:W8"/>
    <mergeCell ref="Y8:AB8"/>
    <mergeCell ref="AD8:AF8"/>
    <mergeCell ref="AI8:AJ8"/>
  </mergeCells>
  <conditionalFormatting sqref="Y6">
    <cfRule type="cellIs" dxfId="98" priority="1" operator="equal">
      <formula>FALSE</formula>
    </cfRule>
    <cfRule type="cellIs" dxfId="97" priority="2" operator="equal">
      <formula>TRUE</formula>
    </cfRule>
  </conditionalFormatting>
  <conditionalFormatting sqref="AA6">
    <cfRule type="cellIs" dxfId="94" priority="3" operator="equal">
      <formula>FALSE</formula>
    </cfRule>
    <cfRule type="cellIs" dxfId="93" priority="4" operator="equal">
      <formula>TRUE</formula>
    </cfRule>
  </conditionalFormatting>
  <conditionalFormatting sqref="AD10:AD59">
    <cfRule type="containsText" dxfId="92" priority="13" operator="containsText" text="Pass">
      <formula>NOT(ISERROR(SEARCH("Pass",AD10)))</formula>
    </cfRule>
    <cfRule type="containsText" dxfId="91" priority="14" operator="containsText" text="Fail">
      <formula>NOT(ISERROR(SEARCH("Fail",AD10)))</formula>
    </cfRule>
  </conditionalFormatting>
  <conditionalFormatting sqref="AJ4">
    <cfRule type="cellIs" dxfId="88" priority="5" operator="equal">
      <formula>FALSE</formula>
    </cfRule>
    <cfRule type="cellIs" dxfId="87" priority="6" operator="equal">
      <formula>TRUE</formula>
    </cfRule>
  </conditionalFormatting>
  <conditionalFormatting sqref="AL10:AM59">
    <cfRule type="containsText" dxfId="86" priority="7" operator="containsText" text="Pass">
      <formula>NOT(ISERROR(SEARCH("Pass",AL10)))</formula>
    </cfRule>
    <cfRule type="containsText" dxfId="85" priority="8" operator="containsText" text="Fail">
      <formula>NOT(ISERROR(SEARCH("Fail",AL10)))</formula>
    </cfRule>
  </conditionalFormatting>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17" operator="containsText" id="{9153447E-6A3B-4ACB-9CAA-D882A41F0E5D}">
            <xm:f>NOT(ISERROR(SEARCH("Pass",W10)))</xm:f>
            <xm:f>"Pass"</xm:f>
            <x14:dxf>
              <font>
                <color rgb="FF006100"/>
              </font>
              <fill>
                <patternFill>
                  <bgColor rgb="FFC6EFCE"/>
                </patternFill>
              </fill>
            </x14:dxf>
          </x14:cfRule>
          <x14:cfRule type="containsText" priority="18" operator="containsText" id="{53CE1160-608E-4266-BE2C-7C989A7C8366}">
            <xm:f>NOT(ISERROR(SEARCH("Fail",W10)))</xm:f>
            <xm:f>"Fail"</xm:f>
            <x14:dxf>
              <font>
                <color rgb="FF9C0006"/>
              </font>
              <fill>
                <patternFill>
                  <bgColor rgb="FFFFC7CE"/>
                </patternFill>
              </fill>
            </x14:dxf>
          </x14:cfRule>
          <xm:sqref>W10:W59</xm:sqref>
        </x14:conditionalFormatting>
        <x14:conditionalFormatting xmlns:xm="http://schemas.microsoft.com/office/excel/2006/main">
          <x14:cfRule type="containsText" priority="15" operator="containsText" id="{6D165A61-C5BD-4A71-94BD-F1218E7040E8}">
            <xm:f>NOT(ISERROR(SEARCH("Pass",Z10)))</xm:f>
            <xm:f>"Pass"</xm:f>
            <x14:dxf>
              <font>
                <color rgb="FF006100"/>
              </font>
              <fill>
                <patternFill>
                  <bgColor rgb="FFC6EFCE"/>
                </patternFill>
              </fill>
            </x14:dxf>
          </x14:cfRule>
          <x14:cfRule type="containsText" priority="16" operator="containsText" id="{82792487-7A57-4ECE-8BE1-6289C1B26ED4}">
            <xm:f>NOT(ISERROR(SEARCH("Fail",Z10)))</xm:f>
            <xm:f>"Fail"</xm:f>
            <x14:dxf>
              <font>
                <color rgb="FF9C0006"/>
              </font>
              <fill>
                <patternFill>
                  <bgColor rgb="FFFFC7CE"/>
                </patternFill>
              </fill>
            </x14:dxf>
          </x14:cfRule>
          <xm:sqref>Z10:AB59</xm:sqref>
        </x14:conditionalFormatting>
        <x14:conditionalFormatting xmlns:xm="http://schemas.microsoft.com/office/excel/2006/main">
          <x14:cfRule type="containsText" priority="9" operator="containsText" id="{A658A515-8AD8-4954-BF9B-D9D54B31BF95}">
            <xm:f>NOT(ISERROR(SEARCH("Pass",AE10)))</xm:f>
            <xm:f>"Pass"</xm:f>
            <x14:dxf>
              <font>
                <color rgb="FF006100"/>
              </font>
              <fill>
                <patternFill>
                  <bgColor rgb="FFC6EFCE"/>
                </patternFill>
              </fill>
            </x14:dxf>
          </x14:cfRule>
          <x14:cfRule type="containsText" priority="10" operator="containsText" id="{841082EC-3DB5-4239-8432-1C0B0467464C}">
            <xm:f>NOT(ISERROR(SEARCH("Fail",AE10)))</xm:f>
            <xm:f>"Fail"</xm:f>
            <x14:dxf>
              <font>
                <color rgb="FF9C0006"/>
              </font>
              <fill>
                <patternFill>
                  <bgColor rgb="FFFFC7CE"/>
                </patternFill>
              </fill>
            </x14:dxf>
          </x14:cfRule>
          <xm:sqref>AE10:AH59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249977111117893"/>
    <pageSetUpPr fitToPage="1"/>
  </sheetPr>
  <dimension ref="A1:BJ85"/>
  <sheetViews>
    <sheetView showGridLines="0" showRowColHeaders="0" workbookViewId="0">
      <pane xSplit="8" ySplit="20" topLeftCell="I21" activePane="bottomRight" state="frozen"/>
      <selection pane="topRight" activeCell="I1" sqref="I1"/>
      <selection pane="bottomLeft" activeCell="A21" sqref="A21"/>
      <selection pane="bottomRight" activeCell="L7" sqref="L7"/>
    </sheetView>
  </sheetViews>
  <sheetFormatPr defaultColWidth="9.1796875" defaultRowHeight="12.5" x14ac:dyDescent="0.25"/>
  <cols>
    <col min="1" max="1" width="2.54296875" style="42" customWidth="1"/>
    <col min="2" max="2" width="2.54296875" style="42" hidden="1" customWidth="1"/>
    <col min="3" max="3" width="12.81640625" style="42" customWidth="1"/>
    <col min="4" max="6" width="10.54296875" style="42" customWidth="1"/>
    <col min="7" max="7" width="2.54296875" style="42" customWidth="1"/>
    <col min="8" max="8" width="0.453125" style="42" customWidth="1"/>
    <col min="9" max="9" width="2.54296875" style="42" customWidth="1"/>
    <col min="10" max="10" width="25.7265625" style="42" customWidth="1"/>
    <col min="11" max="11" width="12.7265625" style="42" customWidth="1"/>
    <col min="12" max="12" width="13.7265625" style="42" customWidth="1"/>
    <col min="13" max="15" width="11.54296875" style="42" customWidth="1"/>
    <col min="16" max="16" width="0.81640625" style="42" customWidth="1"/>
    <col min="17" max="17" width="20.7265625" style="42" customWidth="1"/>
    <col min="18" max="18" width="3.54296875" style="42" bestFit="1" customWidth="1"/>
    <col min="19" max="19" width="0.81640625" style="42" customWidth="1"/>
    <col min="20" max="35" width="6.7265625" style="42" customWidth="1"/>
    <col min="36" max="36" width="12.7265625" style="42" customWidth="1"/>
    <col min="37" max="37" width="11.54296875" style="42" customWidth="1"/>
    <col min="38" max="48" width="5.54296875" style="42" hidden="1" customWidth="1"/>
    <col min="49" max="49" width="9.1796875" style="42" hidden="1" customWidth="1"/>
    <col min="50" max="51" width="0" style="42" hidden="1" customWidth="1"/>
    <col min="52" max="52" width="25.7265625" style="42" hidden="1" customWidth="1"/>
    <col min="53" max="59" width="12.7265625" style="42" hidden="1" customWidth="1"/>
    <col min="60" max="62" width="0" style="42" hidden="1" customWidth="1"/>
    <col min="63" max="16384" width="9.1796875" style="42"/>
  </cols>
  <sheetData>
    <row r="1" spans="2:54" ht="15" customHeight="1" x14ac:dyDescent="0.3">
      <c r="E1" s="1498" t="s">
        <v>0</v>
      </c>
      <c r="F1" s="1498"/>
      <c r="G1" s="1498"/>
      <c r="H1" s="1104"/>
      <c r="I1" s="1104"/>
      <c r="J1" s="1555" t="str">
        <f>'Main Compliance Page'!K1</f>
        <v>ASHRAE/IES 90.1-2019 Lighting Compliance Documentation (v4.0)</v>
      </c>
      <c r="K1" s="1555"/>
      <c r="L1" s="1555"/>
      <c r="M1" s="1555"/>
      <c r="N1" s="1555"/>
      <c r="O1" s="143"/>
      <c r="P1" s="143"/>
      <c r="Q1" s="90"/>
      <c r="R1" s="143"/>
      <c r="S1" s="143"/>
      <c r="T1" s="143"/>
      <c r="U1" s="143"/>
      <c r="V1" s="143"/>
      <c r="W1" s="143" t="s">
        <v>878</v>
      </c>
      <c r="X1" s="143"/>
      <c r="Y1" s="143"/>
      <c r="Z1" s="117"/>
      <c r="AA1" s="117"/>
    </row>
    <row r="2" spans="2:54" ht="5.15" customHeight="1" x14ac:dyDescent="0.3">
      <c r="E2" s="1104"/>
      <c r="F2" s="1104"/>
      <c r="G2" s="1104"/>
      <c r="H2" s="1104"/>
      <c r="I2" s="1104"/>
      <c r="J2" s="1106"/>
      <c r="K2" s="1106"/>
      <c r="L2" s="1106"/>
      <c r="M2" s="1106"/>
      <c r="N2" s="1106"/>
      <c r="O2" s="143"/>
      <c r="P2" s="143"/>
      <c r="Q2" s="90"/>
      <c r="R2" s="143"/>
      <c r="S2" s="143"/>
      <c r="T2" s="143"/>
      <c r="U2" s="143"/>
      <c r="V2" s="143"/>
      <c r="W2" s="143"/>
      <c r="X2" s="143"/>
      <c r="Y2" s="143"/>
      <c r="Z2" s="117"/>
      <c r="AA2" s="117"/>
    </row>
    <row r="3" spans="2:54" ht="15" customHeight="1" x14ac:dyDescent="0.3">
      <c r="I3" s="118"/>
      <c r="J3" s="1555" t="s">
        <v>1283</v>
      </c>
      <c r="K3" s="1555"/>
      <c r="L3" s="1555"/>
      <c r="M3" s="1555"/>
      <c r="N3" s="1555"/>
      <c r="O3" s="73"/>
      <c r="P3" s="73"/>
      <c r="R3" s="73"/>
      <c r="S3" s="73"/>
      <c r="T3" s="1200">
        <f>_Step2_AlterationsYesNo</f>
        <v>0</v>
      </c>
      <c r="U3" s="1201" t="s">
        <v>849</v>
      </c>
      <c r="V3" s="360"/>
      <c r="W3" s="360"/>
      <c r="X3" s="360"/>
      <c r="Y3" s="1766"/>
      <c r="Z3" s="1766"/>
      <c r="AA3" s="74"/>
    </row>
    <row r="4" spans="2:54" ht="5.15" customHeight="1" x14ac:dyDescent="0.3">
      <c r="I4" s="118"/>
      <c r="J4" s="1106"/>
      <c r="K4" s="1106"/>
      <c r="L4" s="1106"/>
      <c r="M4" s="1106"/>
      <c r="N4" s="1106"/>
      <c r="O4" s="73"/>
      <c r="P4" s="73"/>
      <c r="Q4" s="73"/>
      <c r="R4" s="73"/>
      <c r="S4" s="73"/>
      <c r="T4" s="1201"/>
      <c r="U4" s="1201"/>
      <c r="V4" s="360"/>
      <c r="W4" s="360"/>
      <c r="X4" s="360"/>
      <c r="Y4" s="1766"/>
      <c r="Z4" s="1766"/>
      <c r="AA4" s="74"/>
    </row>
    <row r="5" spans="2:54" ht="15" customHeight="1" x14ac:dyDescent="0.25">
      <c r="I5" s="118"/>
      <c r="J5" s="514"/>
      <c r="K5" s="514"/>
      <c r="L5" s="514"/>
      <c r="M5" s="514"/>
      <c r="N5" s="514"/>
      <c r="O5" s="90"/>
      <c r="P5" s="90"/>
      <c r="Q5" s="90"/>
      <c r="R5" s="90"/>
      <c r="S5" s="90"/>
      <c r="T5" s="1200">
        <f>IF(T3="Yes",15,0)</f>
        <v>0</v>
      </c>
      <c r="U5" s="1202" t="s">
        <v>1179</v>
      </c>
      <c r="V5" s="365"/>
      <c r="W5" s="365"/>
      <c r="X5" s="365"/>
      <c r="Y5" s="1766"/>
      <c r="Z5" s="1766"/>
      <c r="AA5" s="74"/>
      <c r="BB5" s="95"/>
    </row>
    <row r="6" spans="2:54" ht="5.15" customHeight="1" x14ac:dyDescent="0.25">
      <c r="I6" s="118"/>
      <c r="J6" s="514"/>
      <c r="K6" s="514"/>
      <c r="L6" s="514"/>
      <c r="M6" s="514"/>
      <c r="N6" s="514"/>
      <c r="O6" s="90"/>
      <c r="P6" s="90"/>
      <c r="Q6" s="90"/>
      <c r="R6" s="90"/>
      <c r="S6" s="90"/>
      <c r="T6" s="365"/>
      <c r="U6" s="365"/>
      <c r="V6" s="365"/>
      <c r="W6" s="365"/>
      <c r="X6" s="365"/>
      <c r="Y6" s="365"/>
      <c r="Z6" s="74"/>
      <c r="AA6" s="74"/>
    </row>
    <row r="7" spans="2:54" ht="15" customHeight="1" x14ac:dyDescent="0.3">
      <c r="I7" s="118"/>
      <c r="K7" s="1175" t="s">
        <v>1279</v>
      </c>
      <c r="L7" s="1382"/>
      <c r="N7" s="1196" t="s">
        <v>1117</v>
      </c>
      <c r="O7" s="1134" t="s">
        <v>168</v>
      </c>
      <c r="P7" s="73"/>
      <c r="Q7" s="73"/>
      <c r="R7" s="73"/>
      <c r="S7" s="73"/>
      <c r="T7" s="360"/>
      <c r="U7" s="360"/>
      <c r="V7" s="360"/>
      <c r="W7" s="360"/>
      <c r="X7" s="360"/>
      <c r="Y7" s="360"/>
      <c r="Z7" s="74"/>
      <c r="AA7" s="74"/>
      <c r="AU7" s="75"/>
      <c r="BB7" s="95"/>
    </row>
    <row r="8" spans="2:54" ht="5.15" customHeight="1" x14ac:dyDescent="0.25">
      <c r="I8" s="118"/>
      <c r="K8" s="1174"/>
      <c r="L8" s="1166"/>
      <c r="M8" s="1166"/>
      <c r="N8" s="1166"/>
      <c r="O8" s="73"/>
      <c r="P8" s="73"/>
      <c r="Q8" s="73"/>
      <c r="R8" s="73"/>
      <c r="S8" s="73"/>
      <c r="T8" s="360"/>
      <c r="U8" s="360"/>
      <c r="V8" s="360"/>
      <c r="W8" s="360"/>
      <c r="X8" s="360"/>
      <c r="Y8" s="360"/>
      <c r="Z8" s="74"/>
      <c r="AA8" s="74"/>
    </row>
    <row r="9" spans="2:54" ht="15" customHeight="1" x14ac:dyDescent="0.25">
      <c r="I9" s="118"/>
      <c r="K9" s="1175" t="s">
        <v>1285</v>
      </c>
      <c r="L9" s="1375"/>
      <c r="M9" s="1178" t="str">
        <f>'Simplified Tables'!D8</f>
        <v/>
      </c>
      <c r="N9" s="1193">
        <f ca="1">SUM(N22:N46)-N11</f>
        <v>0</v>
      </c>
      <c r="O9" s="1194" t="str">
        <f>IFERROR(L9*M9,"")</f>
        <v/>
      </c>
      <c r="P9" s="90"/>
      <c r="Q9" s="121" t="b">
        <f>IF(_Step2_AlterationsYesNo="Yes",TRUE,FALSE)</f>
        <v>0</v>
      </c>
      <c r="R9" s="90"/>
      <c r="S9" s="90"/>
      <c r="T9" s="365"/>
      <c r="U9" s="365"/>
      <c r="V9" s="365"/>
      <c r="W9" s="365"/>
      <c r="X9" s="365"/>
      <c r="Y9" s="365"/>
      <c r="AN9" s="290"/>
      <c r="AO9" s="290"/>
      <c r="AP9" s="290"/>
      <c r="AQ9" s="290"/>
      <c r="AR9" s="290"/>
      <c r="AS9" s="290"/>
      <c r="AT9" s="290"/>
      <c r="AU9" s="290"/>
      <c r="BB9" s="95"/>
    </row>
    <row r="10" spans="2:54" ht="5.15" customHeight="1" x14ac:dyDescent="0.25">
      <c r="I10" s="118"/>
      <c r="K10" s="1166"/>
      <c r="L10" s="1176"/>
      <c r="M10" s="1178"/>
      <c r="N10" s="1177"/>
      <c r="O10" s="90"/>
      <c r="P10" s="90"/>
      <c r="Q10" s="121"/>
      <c r="R10" s="90"/>
      <c r="S10" s="90"/>
      <c r="T10" s="365"/>
      <c r="U10" s="365"/>
      <c r="V10" s="365"/>
      <c r="W10" s="365"/>
      <c r="X10" s="365"/>
      <c r="Y10" s="365"/>
    </row>
    <row r="11" spans="2:54" ht="15" customHeight="1" x14ac:dyDescent="0.25">
      <c r="I11" s="118"/>
      <c r="K11" s="1175" t="s">
        <v>1286</v>
      </c>
      <c r="L11" s="1375"/>
      <c r="M11" s="1178" t="str">
        <f>'Simplified Tables'!D17</f>
        <v/>
      </c>
      <c r="N11" s="1195">
        <f ca="1">SUMIF(D22:G46,"Parking Garages",N22:N46)</f>
        <v>0</v>
      </c>
      <c r="O11" s="1194" t="str">
        <f>IFERROR(L11*M11,"")</f>
        <v/>
      </c>
      <c r="P11" s="73"/>
      <c r="R11" s="73"/>
      <c r="S11" s="73"/>
      <c r="T11" s="570">
        <v>3</v>
      </c>
      <c r="U11" s="571"/>
      <c r="V11" s="570">
        <v>4</v>
      </c>
      <c r="W11" s="571"/>
      <c r="X11" s="570">
        <v>5</v>
      </c>
      <c r="Y11" s="571"/>
      <c r="Z11" s="570">
        <v>6</v>
      </c>
      <c r="AA11" s="572"/>
      <c r="AB11" s="570">
        <v>7</v>
      </c>
      <c r="AC11" s="573"/>
      <c r="AD11" s="570">
        <v>8</v>
      </c>
      <c r="AE11" s="573"/>
      <c r="AF11" s="570">
        <v>9</v>
      </c>
      <c r="AG11" s="573"/>
      <c r="AH11" s="570">
        <v>10</v>
      </c>
      <c r="AI11" s="573"/>
      <c r="AJ11" s="573"/>
      <c r="AL11" s="1619" t="s">
        <v>639</v>
      </c>
      <c r="AM11" s="1621"/>
      <c r="AN11" s="1619" t="str">
        <f>T17</f>
        <v>automatic off when building is unoccupied</v>
      </c>
      <c r="AO11" s="1619" t="str">
        <f>V17</f>
        <v>manual reduction by at least 50% within 20 minutes</v>
      </c>
      <c r="AP11" s="1619" t="str">
        <f>X17</f>
        <v>manual-ON occupant sensors</v>
      </c>
      <c r="AQ11" s="1619" t="str">
        <f>Z17</f>
        <v>manual-ON or auto-ON occupant sensors</v>
      </c>
      <c r="AR11" s="1619" t="str">
        <f>AB17</f>
        <v>occupant sensor reduction by at least 50% within 20 minutes</v>
      </c>
      <c r="AS11" s="1619" t="str">
        <f>AD17</f>
        <v>reduce the general lighting by 75% during nonbusiness hours</v>
      </c>
      <c r="AT11" s="1619" t="str">
        <f>AF17</f>
        <v>turn off all non-general lighting during non-business hours</v>
      </c>
      <c r="AU11" s="1619" t="str">
        <f>AH17</f>
        <v>Top lighting daylight dimming</v>
      </c>
      <c r="AV11" s="1619" t="s">
        <v>879</v>
      </c>
    </row>
    <row r="12" spans="2:54" ht="5.15" customHeight="1" x14ac:dyDescent="0.25">
      <c r="I12" s="118"/>
      <c r="J12" s="100"/>
      <c r="K12" s="100"/>
      <c r="L12" s="100"/>
      <c r="M12" s="100"/>
      <c r="P12" s="73"/>
      <c r="R12" s="73"/>
      <c r="S12" s="73"/>
      <c r="T12" s="498"/>
      <c r="U12" s="360"/>
      <c r="V12" s="498"/>
      <c r="W12" s="360"/>
      <c r="X12" s="498"/>
      <c r="Y12" s="360"/>
      <c r="Z12" s="498"/>
      <c r="AA12" s="74"/>
      <c r="AB12" s="498"/>
      <c r="AD12" s="498"/>
      <c r="AF12" s="498"/>
      <c r="AH12" s="498"/>
      <c r="AL12" s="1619"/>
      <c r="AM12" s="1621"/>
      <c r="AN12" s="1619"/>
      <c r="AO12" s="1619"/>
      <c r="AP12" s="1619"/>
      <c r="AQ12" s="1619"/>
      <c r="AR12" s="1619"/>
      <c r="AS12" s="1619"/>
      <c r="AT12" s="1619"/>
      <c r="AU12" s="1619"/>
      <c r="AV12" s="1619"/>
    </row>
    <row r="13" spans="2:54" ht="15" customHeight="1" x14ac:dyDescent="0.25">
      <c r="C13" s="1520" t="str">
        <f>CONCATENATE("90.1-",Compliance_Version_Year)</f>
        <v>90.1-2019</v>
      </c>
      <c r="D13" s="1520"/>
      <c r="I13" s="118"/>
      <c r="J13" s="118"/>
      <c r="K13" s="118"/>
      <c r="L13" s="73"/>
      <c r="P13" s="73"/>
      <c r="R13" s="73"/>
      <c r="S13" s="73"/>
      <c r="T13" s="1576" t="s">
        <v>125</v>
      </c>
      <c r="U13" s="1576"/>
      <c r="V13" s="1576"/>
      <c r="W13" s="1576"/>
      <c r="X13" s="1576"/>
      <c r="Y13" s="1576"/>
      <c r="Z13" s="1576"/>
      <c r="AA13" s="1576"/>
      <c r="AB13" s="1576"/>
      <c r="AC13" s="1576"/>
      <c r="AD13" s="1576"/>
      <c r="AE13" s="1576"/>
      <c r="AF13" s="1576"/>
      <c r="AG13" s="1576"/>
      <c r="AH13" s="1576"/>
      <c r="AI13" s="1576"/>
      <c r="AJ13" s="1576"/>
      <c r="AL13" s="1619"/>
      <c r="AM13" s="1621"/>
      <c r="AN13" s="1619"/>
      <c r="AO13" s="1619"/>
      <c r="AP13" s="1619"/>
      <c r="AQ13" s="1619"/>
      <c r="AR13" s="1619"/>
      <c r="AS13" s="1619"/>
      <c r="AT13" s="1619"/>
      <c r="AU13" s="1619"/>
      <c r="AV13" s="1619"/>
    </row>
    <row r="14" spans="2:54" ht="5.15" customHeight="1" thickBot="1" x14ac:dyDescent="0.3">
      <c r="C14" s="1105"/>
      <c r="D14" s="1105"/>
      <c r="I14" s="118"/>
      <c r="J14" s="118"/>
      <c r="K14" s="118"/>
      <c r="L14" s="73"/>
      <c r="M14" s="73"/>
      <c r="N14" s="73"/>
      <c r="O14" s="73"/>
      <c r="P14" s="73"/>
      <c r="R14" s="73"/>
      <c r="S14" s="73"/>
      <c r="U14" s="360"/>
      <c r="V14" s="360"/>
      <c r="W14" s="360"/>
      <c r="X14" s="360"/>
      <c r="Y14" s="360"/>
      <c r="Z14" s="74"/>
      <c r="AA14" s="74"/>
      <c r="AL14" s="1619"/>
      <c r="AM14" s="1621"/>
      <c r="AN14" s="1619"/>
      <c r="AO14" s="1619"/>
      <c r="AP14" s="1619"/>
      <c r="AQ14" s="1619"/>
      <c r="AR14" s="1619"/>
      <c r="AS14" s="1619"/>
      <c r="AT14" s="1619"/>
      <c r="AU14" s="1619"/>
      <c r="AV14" s="1619"/>
    </row>
    <row r="15" spans="2:54" ht="15" customHeight="1" thickBot="1" x14ac:dyDescent="0.3">
      <c r="B15" s="1563"/>
      <c r="I15" s="127"/>
      <c r="M15" s="519" t="str">
        <f>IF(_BAM_Installed_Watts&gt;O15,"TOTAL designed watts exceeds allowance! :","TOTAL designed watts complies with allowance! :")</f>
        <v>TOTAL designed watts complies with allowance! :</v>
      </c>
      <c r="N15" s="783">
        <f>SUM(N22:N46)</f>
        <v>0</v>
      </c>
      <c r="O15" s="536" t="str">
        <f>IFERROR((L9*M9)+(L11*M11),"")</f>
        <v/>
      </c>
      <c r="P15" s="90"/>
      <c r="Q15" s="1221" t="str">
        <f>IF(Q9=FALSE,"",IF(BG19=0,"Compliant","Not Compliant"))</f>
        <v/>
      </c>
      <c r="R15" s="90"/>
      <c r="S15" s="90"/>
      <c r="T15" s="1575" t="str">
        <f>IF($AL47&lt;&gt;AN47,"Incomplete","Complete")</f>
        <v>Complete</v>
      </c>
      <c r="U15" s="1574"/>
      <c r="V15" s="1574" t="str">
        <f>IF($AL47&lt;&gt;AO47,"Incomplete","Complete")</f>
        <v>Complete</v>
      </c>
      <c r="W15" s="1574"/>
      <c r="X15" s="1574" t="str">
        <f>IF($AL47&lt;&gt;AP47,"Incomplete","Complete")</f>
        <v>Complete</v>
      </c>
      <c r="Y15" s="1574"/>
      <c r="Z15" s="1574" t="str">
        <f>IF($AL47&lt;&gt;AQ47,"Incomplete","Complete")</f>
        <v>Complete</v>
      </c>
      <c r="AA15" s="1574"/>
      <c r="AB15" s="1574" t="str">
        <f>IF($AL47&lt;&gt;AR47,"Incomplete","Complete")</f>
        <v>Complete</v>
      </c>
      <c r="AC15" s="1574"/>
      <c r="AD15" s="1574" t="str">
        <f>IF($AL47&lt;&gt;AS47,"Incomplete","Complete")</f>
        <v>Complete</v>
      </c>
      <c r="AE15" s="1574"/>
      <c r="AF15" s="1574" t="str">
        <f>IF($AL47&lt;&gt;AT47,"Incomplete","Complete")</f>
        <v>Complete</v>
      </c>
      <c r="AG15" s="1574"/>
      <c r="AH15" s="1574" t="str">
        <f>IF(AI17="Not Used","",IF($AL47&lt;&gt;AU47,"Incomplete","Complete"))</f>
        <v>Complete</v>
      </c>
      <c r="AI15" s="1574"/>
      <c r="AJ15" s="1014" t="str">
        <f>IF(OR(T15="Incomplete",V15="Incomplete",X15="Incomplete",Z15="Incomplete",AB15="Incomplete",AD15="Incomplete",AF15="Incomplete",AH15="Incomplete"),"Not Compliant","Compliant")</f>
        <v>Compliant</v>
      </c>
      <c r="AL15" s="1619"/>
      <c r="AM15" s="1621"/>
      <c r="AN15" s="1619"/>
      <c r="AO15" s="1619"/>
      <c r="AP15" s="1619"/>
      <c r="AQ15" s="1619"/>
      <c r="AR15" s="1619"/>
      <c r="AS15" s="1619"/>
      <c r="AT15" s="1619"/>
      <c r="AU15" s="1619"/>
      <c r="AV15" s="1619"/>
    </row>
    <row r="16" spans="2:54" ht="5.15" customHeight="1" thickBot="1" x14ac:dyDescent="0.3">
      <c r="B16" s="1614"/>
      <c r="I16" s="127"/>
      <c r="M16" s="519"/>
      <c r="N16" s="997"/>
      <c r="O16" s="118"/>
      <c r="P16" s="90"/>
      <c r="R16" s="90"/>
      <c r="S16" s="90"/>
      <c r="T16" s="780"/>
      <c r="U16" s="780"/>
      <c r="V16" s="780"/>
      <c r="W16" s="780"/>
      <c r="X16" s="780"/>
      <c r="Y16" s="780"/>
      <c r="Z16" s="780"/>
      <c r="AA16" s="780"/>
      <c r="AB16" s="780"/>
      <c r="AC16" s="780"/>
      <c r="AD16" s="780"/>
      <c r="AE16" s="780"/>
      <c r="AF16" s="780"/>
      <c r="AG16" s="780"/>
      <c r="AH16" s="780"/>
      <c r="AI16" s="780"/>
      <c r="AJ16" s="779"/>
      <c r="AK16" s="63"/>
      <c r="AL16" s="1619"/>
      <c r="AM16" s="1621"/>
      <c r="AN16" s="1619"/>
      <c r="AO16" s="1619"/>
      <c r="AP16" s="1619"/>
      <c r="AQ16" s="1619"/>
      <c r="AR16" s="1619"/>
      <c r="AS16" s="1619"/>
      <c r="AT16" s="1619"/>
      <c r="AU16" s="1619"/>
      <c r="AV16" s="1619"/>
    </row>
    <row r="17" spans="1:62" ht="32.25" customHeight="1" x14ac:dyDescent="0.3">
      <c r="B17" s="1614"/>
      <c r="C17" s="998" t="s">
        <v>126</v>
      </c>
      <c r="D17" s="1610"/>
      <c r="E17" s="1611"/>
      <c r="F17" s="1611"/>
      <c r="G17" s="1611"/>
      <c r="H17" s="1365"/>
      <c r="I17" s="896"/>
      <c r="J17" s="999" t="s">
        <v>127</v>
      </c>
      <c r="K17" s="1000" t="s">
        <v>128</v>
      </c>
      <c r="L17" s="897" t="s">
        <v>129</v>
      </c>
      <c r="M17" s="898" t="s">
        <v>130</v>
      </c>
      <c r="N17" s="898" t="s">
        <v>131</v>
      </c>
      <c r="O17" s="1001" t="s">
        <v>1284</v>
      </c>
      <c r="P17" s="90"/>
      <c r="Q17" s="811" t="str">
        <f>IF(Q9=TRUE,"For Alterations Only.","Column not used.")</f>
        <v>Column not used.</v>
      </c>
      <c r="R17" s="90"/>
      <c r="S17" s="90"/>
      <c r="T17" s="1615" t="str">
        <f>'Simplified Tables'!E2</f>
        <v>automatic off when building is unoccupied</v>
      </c>
      <c r="U17" s="1578"/>
      <c r="V17" s="1577" t="str">
        <f>'Simplified Tables'!F2</f>
        <v>manual reduction by at least 50% within 20 minutes</v>
      </c>
      <c r="W17" s="1578"/>
      <c r="X17" s="1577" t="str">
        <f>'Simplified Tables'!G2</f>
        <v>manual-ON occupant sensors</v>
      </c>
      <c r="Y17" s="1578"/>
      <c r="Z17" s="1577" t="str">
        <f>'Simplified Tables'!H2</f>
        <v>manual-ON or auto-ON occupant sensors</v>
      </c>
      <c r="AA17" s="1578"/>
      <c r="AB17" s="1577" t="str">
        <f>'Simplified Tables'!I2</f>
        <v>occupant sensor reduction by at least 50% within 20 minutes</v>
      </c>
      <c r="AC17" s="1578"/>
      <c r="AD17" s="1577" t="str">
        <f>'Simplified Tables'!J2</f>
        <v>reduce the general lighting by 75% during nonbusiness hours</v>
      </c>
      <c r="AE17" s="1578"/>
      <c r="AF17" s="1577" t="str">
        <f>'Simplified Tables'!K2</f>
        <v>turn off all non-general lighting during non-business hours</v>
      </c>
      <c r="AG17" s="1578"/>
      <c r="AH17" s="1577" t="str">
        <f>'Simplified Tables'!L2</f>
        <v>Top lighting daylight dimming</v>
      </c>
      <c r="AI17" s="1578"/>
      <c r="AJ17" s="1569" t="s">
        <v>132</v>
      </c>
      <c r="AL17" s="1620"/>
      <c r="AM17" s="1622"/>
      <c r="AN17" s="1620"/>
      <c r="AO17" s="1620"/>
      <c r="AP17" s="1620"/>
      <c r="AQ17" s="1620"/>
      <c r="AR17" s="1620"/>
      <c r="AS17" s="1620"/>
      <c r="AT17" s="1620"/>
      <c r="AU17" s="1620"/>
      <c r="AV17" s="1620"/>
      <c r="AZ17" s="95" t="s">
        <v>1038</v>
      </c>
    </row>
    <row r="18" spans="1:62" ht="13.5" customHeight="1" x14ac:dyDescent="0.3">
      <c r="B18" s="1614"/>
      <c r="C18" s="1595"/>
      <c r="D18" s="1585" t="s">
        <v>1291</v>
      </c>
      <c r="E18" s="1586"/>
      <c r="F18" s="1586"/>
      <c r="G18" s="1586"/>
      <c r="H18" s="1363"/>
      <c r="I18" s="478"/>
      <c r="J18" s="1608" t="str">
        <f>IF(Q$9=FALSE,"Select the Luminaire","Select the ""NEW"" Luminaire")</f>
        <v>Select the Luminaire</v>
      </c>
      <c r="K18" s="1572" t="s">
        <v>877</v>
      </c>
      <c r="L18" s="288"/>
      <c r="M18" s="1572" t="s">
        <v>134</v>
      </c>
      <c r="N18" s="240"/>
      <c r="O18" s="1801" t="s">
        <v>843</v>
      </c>
      <c r="P18" s="90"/>
      <c r="Q18" s="1657" t="str">
        <f>IF(Q9=TRUE,"Select the ""Existing"" Luminaire below","Leave cells blank.")</f>
        <v>Leave cells blank.</v>
      </c>
      <c r="R18" s="90"/>
      <c r="S18" s="90"/>
      <c r="T18" s="1616"/>
      <c r="U18" s="1580"/>
      <c r="V18" s="1579"/>
      <c r="W18" s="1580"/>
      <c r="X18" s="1579"/>
      <c r="Y18" s="1580"/>
      <c r="Z18" s="1579"/>
      <c r="AA18" s="1580"/>
      <c r="AB18" s="1579"/>
      <c r="AC18" s="1580"/>
      <c r="AD18" s="1579"/>
      <c r="AE18" s="1580"/>
      <c r="AF18" s="1579"/>
      <c r="AG18" s="1580"/>
      <c r="AH18" s="1579"/>
      <c r="AI18" s="1580"/>
      <c r="AJ18" s="1570"/>
      <c r="AN18" s="241"/>
      <c r="AO18" s="241"/>
      <c r="AP18" s="241"/>
      <c r="AQ18" s="241"/>
      <c r="AR18" s="241"/>
      <c r="AS18" s="241"/>
      <c r="AT18" s="241"/>
      <c r="AU18" s="241"/>
    </row>
    <row r="19" spans="1:62" ht="12.75" customHeight="1" x14ac:dyDescent="0.3">
      <c r="B19" s="1614"/>
      <c r="C19" s="1595"/>
      <c r="D19" s="1585"/>
      <c r="E19" s="1586"/>
      <c r="F19" s="1586"/>
      <c r="G19" s="1586"/>
      <c r="H19" s="1363"/>
      <c r="I19" s="478"/>
      <c r="J19" s="1608"/>
      <c r="K19" s="1572"/>
      <c r="L19" s="288"/>
      <c r="M19" s="1572"/>
      <c r="N19" s="240"/>
      <c r="O19" s="1801"/>
      <c r="P19" s="90"/>
      <c r="Q19" s="1657"/>
      <c r="R19" s="90"/>
      <c r="S19" s="90"/>
      <c r="T19" s="1616"/>
      <c r="U19" s="1580"/>
      <c r="V19" s="1579"/>
      <c r="W19" s="1580"/>
      <c r="X19" s="1579"/>
      <c r="Y19" s="1580"/>
      <c r="Z19" s="1579"/>
      <c r="AA19" s="1580"/>
      <c r="AB19" s="1579"/>
      <c r="AC19" s="1580"/>
      <c r="AD19" s="1579"/>
      <c r="AE19" s="1580"/>
      <c r="AF19" s="1579"/>
      <c r="AG19" s="1580"/>
      <c r="AH19" s="1579"/>
      <c r="AI19" s="1580"/>
      <c r="AJ19" s="1570"/>
      <c r="AN19" s="544"/>
      <c r="AO19" s="544"/>
      <c r="AP19" s="544"/>
      <c r="AQ19" s="544"/>
      <c r="AR19" s="544"/>
      <c r="AS19" s="544"/>
      <c r="AT19" s="544"/>
      <c r="AU19" s="95"/>
      <c r="AV19" s="95"/>
      <c r="AZ19" s="50"/>
      <c r="BA19" s="50"/>
      <c r="BB19" s="50"/>
      <c r="BC19" s="50"/>
      <c r="BD19" s="50"/>
      <c r="BE19" s="50"/>
      <c r="BF19" s="50"/>
      <c r="BG19" s="1190">
        <f>SUM(BG22:BG32)</f>
        <v>0</v>
      </c>
    </row>
    <row r="20" spans="1:62" ht="13.5" thickBot="1" x14ac:dyDescent="0.35">
      <c r="B20" s="1614"/>
      <c r="C20" s="1596"/>
      <c r="D20" s="1587"/>
      <c r="E20" s="1588"/>
      <c r="F20" s="1588"/>
      <c r="G20" s="1588"/>
      <c r="H20" s="1364"/>
      <c r="I20" s="1015"/>
      <c r="J20" s="1609"/>
      <c r="K20" s="1573"/>
      <c r="L20" s="289"/>
      <c r="M20" s="1573"/>
      <c r="N20" s="1173"/>
      <c r="O20" s="1802" t="s">
        <v>843</v>
      </c>
      <c r="P20" s="90"/>
      <c r="Q20" s="1803"/>
      <c r="R20" s="90"/>
      <c r="S20" s="90"/>
      <c r="T20" s="1028"/>
      <c r="U20" s="775" t="str">
        <f>IF(T15="Incomplete","Select","")</f>
        <v/>
      </c>
      <c r="V20" s="1029"/>
      <c r="W20" s="775" t="str">
        <f>IF(V15="Incomplete","Select","")</f>
        <v/>
      </c>
      <c r="X20" s="1029"/>
      <c r="Y20" s="775" t="str">
        <f>IF(X15="Incomplete","Select","")</f>
        <v/>
      </c>
      <c r="Z20" s="1029"/>
      <c r="AA20" s="775" t="str">
        <f>IF(Z15="Incomplete","Select","")</f>
        <v/>
      </c>
      <c r="AB20" s="1029"/>
      <c r="AC20" s="775" t="str">
        <f>IF(AB15="Incomplete","Select","")</f>
        <v/>
      </c>
      <c r="AD20" s="1029"/>
      <c r="AE20" s="775" t="str">
        <f>IF(AD15="Incomplete","Select","")</f>
        <v/>
      </c>
      <c r="AF20" s="1029"/>
      <c r="AG20" s="775" t="str">
        <f>IF(AF15="Incomplete","Select","")</f>
        <v/>
      </c>
      <c r="AH20" s="1029"/>
      <c r="AI20" s="775" t="str">
        <f>IF(AH15="Incomplete","Select","")</f>
        <v/>
      </c>
      <c r="AJ20" s="1571"/>
      <c r="AQ20" s="95"/>
      <c r="AZ20" s="1220" t="s">
        <v>1311</v>
      </c>
      <c r="BA20" s="603" t="s">
        <v>1312</v>
      </c>
      <c r="BB20" s="603" t="s">
        <v>74</v>
      </c>
      <c r="BC20" s="603" t="s">
        <v>130</v>
      </c>
      <c r="BD20" s="603" t="s">
        <v>1313</v>
      </c>
      <c r="BE20" s="603" t="s">
        <v>1314</v>
      </c>
      <c r="BF20" s="603" t="s">
        <v>1315</v>
      </c>
      <c r="BG20" s="603" t="s">
        <v>1316</v>
      </c>
    </row>
    <row r="21" spans="1:62" s="73" customFormat="1" ht="1" customHeight="1" thickBot="1" x14ac:dyDescent="0.35">
      <c r="B21" s="1614"/>
      <c r="C21" s="969"/>
      <c r="D21" s="969"/>
      <c r="E21" s="969"/>
      <c r="F21" s="969"/>
      <c r="G21" s="969"/>
      <c r="H21" s="969"/>
      <c r="I21" s="1618"/>
      <c r="J21" s="1618"/>
      <c r="K21" s="1618"/>
      <c r="L21" s="839"/>
      <c r="M21" s="196"/>
      <c r="N21" s="1121"/>
      <c r="O21" s="502"/>
      <c r="P21" s="90"/>
      <c r="Q21" s="886"/>
      <c r="R21" s="1222" t="str">
        <f>IF(D21="","",IF(BG21=0,"þ","ý"))</f>
        <v/>
      </c>
      <c r="S21" s="90"/>
      <c r="T21" s="1623"/>
      <c r="U21" s="1623"/>
      <c r="V21" s="1623"/>
      <c r="W21" s="1623"/>
      <c r="X21" s="1623"/>
      <c r="Y21" s="1623"/>
      <c r="Z21" s="1623"/>
      <c r="AA21" s="1623"/>
      <c r="AB21" s="1623"/>
      <c r="AC21" s="1623"/>
      <c r="AD21" s="1623"/>
      <c r="AE21" s="1623"/>
      <c r="AF21" s="1623"/>
      <c r="AG21" s="1623"/>
      <c r="AH21" s="1623"/>
      <c r="AI21" s="1623"/>
      <c r="AJ21" s="1623"/>
      <c r="AQ21" s="1018"/>
    </row>
    <row r="22" spans="1:62" s="510" customFormat="1" ht="15" customHeight="1" x14ac:dyDescent="0.25">
      <c r="A22" s="470">
        <v>1</v>
      </c>
      <c r="B22" s="1614"/>
      <c r="C22" s="1167" t="str">
        <f t="shared" ref="C22:C46" si="0">IF(D22="","",$L$7)</f>
        <v/>
      </c>
      <c r="D22" s="1799"/>
      <c r="E22" s="1799"/>
      <c r="F22" s="1799"/>
      <c r="G22" s="1800"/>
      <c r="H22" s="1379"/>
      <c r="I22" s="1376"/>
      <c r="J22" s="1181"/>
      <c r="K22" s="1182"/>
      <c r="L22" s="1170" t="str">
        <f t="shared" ref="L22:L46" si="1">IFERROR(IF($C22&lt;&gt;"",VLOOKUP($J22,_Luminaire_Schedule,5,FALSE)," "),"")</f>
        <v xml:space="preserve"> </v>
      </c>
      <c r="M22" s="1170" t="str">
        <f t="shared" ref="M22:M46" si="2">IFERROR(IF($C22&lt;&gt;"",VLOOKUP($J22,_Luminaire_Schedule,9,FALSE)," "),"")</f>
        <v xml:space="preserve"> </v>
      </c>
      <c r="N22" s="1169" t="str">
        <f>IFERROR(IF(K22&gt;0,ROUND(K22*M22,0)," "),"")</f>
        <v xml:space="preserve"> </v>
      </c>
      <c r="O22" s="1183" t="str">
        <f>IF(D22="","",VLOOKUP(D22,'Simplified Tables'!$C$8:$L$17,2,FALSE))</f>
        <v/>
      </c>
      <c r="P22" s="90"/>
      <c r="Q22" s="887"/>
      <c r="R22" s="1222" t="str">
        <f>IF(OR(D22="",Q$9=FALSE),"",IF(BG22=0,"þ","ý"))</f>
        <v/>
      </c>
      <c r="S22" s="90"/>
      <c r="T22" s="1024" t="str">
        <f>IF($C22="","",VLOOKUP($D22,'Simplified Tables'!$C$8:$L$17,T$11,FALSE))</f>
        <v/>
      </c>
      <c r="U22" s="1025"/>
      <c r="V22" s="1026" t="str">
        <f>IF($C22="","",VLOOKUP($D22,'Simplified Tables'!$C$8:$L$17,V$11,FALSE))</f>
        <v/>
      </c>
      <c r="W22" s="1025"/>
      <c r="X22" s="1026" t="str">
        <f>IF($C22="","",VLOOKUP($D22,'Simplified Tables'!$C$8:$L$17,X$11,FALSE))</f>
        <v/>
      </c>
      <c r="Y22" s="1025"/>
      <c r="Z22" s="1026" t="str">
        <f>IF($C22="","",VLOOKUP($D22,'Simplified Tables'!$C$8:$L$17,Z$11,FALSE))</f>
        <v/>
      </c>
      <c r="AA22" s="1025"/>
      <c r="AB22" s="1026" t="str">
        <f>IF($C22="","",VLOOKUP($D22,'Simplified Tables'!$C$8:$L$17,AB$11,FALSE))</f>
        <v/>
      </c>
      <c r="AC22" s="1025"/>
      <c r="AD22" s="1026" t="str">
        <f>IF($C22="","",VLOOKUP($D22,'Simplified Tables'!$C$8:$L$17,AD$11,FALSE))</f>
        <v/>
      </c>
      <c r="AE22" s="1025"/>
      <c r="AF22" s="1026" t="str">
        <f>IF($C22="","",VLOOKUP($D22,'Simplified Tables'!$C$8:$L$17,AF$11,FALSE))</f>
        <v/>
      </c>
      <c r="AG22" s="1025"/>
      <c r="AH22" s="1026" t="str">
        <f>IF($C22="","",VLOOKUP($D22,'Simplified Tables'!$C$8:$L$17,AH$11,FALSE))</f>
        <v/>
      </c>
      <c r="AI22" s="1025"/>
      <c r="AJ22" s="1027" t="str">
        <f t="shared" ref="AJ22:AJ27" si="3">IF(AW22="","",IF(AW22=TRUE,"Complete","Incomplete"))</f>
        <v/>
      </c>
      <c r="AK22" s="507"/>
      <c r="AL22" s="508">
        <f t="shared" ref="AL22:AL46" si="4">IF(C22&lt;&gt;"",1,0)</f>
        <v>0</v>
      </c>
      <c r="AM22" s="508">
        <f t="shared" ref="AM22:AM46" si="5">IF(O22&lt;&gt;"",1,0)</f>
        <v>0</v>
      </c>
      <c r="AN22" s="508">
        <f t="shared" ref="AN22:AN46" si="6">IF($C22="",0,IF(T22="NA",1,IF(U22&lt;&gt;"",1,0)))</f>
        <v>0</v>
      </c>
      <c r="AO22" s="508">
        <f t="shared" ref="AO22:AO46" si="7">IF($C22="",0,IF(V22="NA",1,IF(W22&lt;&gt;"",1,0)))</f>
        <v>0</v>
      </c>
      <c r="AP22" s="508">
        <f t="shared" ref="AP22:AP46" si="8">IF($C22="",0,IF(X22="NA",1,IF(Y22&lt;&gt;"",1,0)))</f>
        <v>0</v>
      </c>
      <c r="AQ22" s="508">
        <f t="shared" ref="AQ22:AQ46" si="9">IF($C22="",0,IF(Z22="NA",1,IF(AA22&lt;&gt;"",1,0)))</f>
        <v>0</v>
      </c>
      <c r="AR22" s="508">
        <f t="shared" ref="AR22:AR46" si="10">IF($C22="",0,IF(AB22="NA",1,IF(AC22&lt;&gt;"",1,0)))</f>
        <v>0</v>
      </c>
      <c r="AS22" s="508">
        <f t="shared" ref="AS22:AS46" si="11">IF($C22="",0,IF(AD22="NA",1,IF(AE22&lt;&gt;"",1,0)))</f>
        <v>0</v>
      </c>
      <c r="AT22" s="508">
        <f t="shared" ref="AT22:AT46" si="12">IF($C22="",0,IF(AF22="NA",1,IF(AG22&lt;&gt;"",1,0)))</f>
        <v>0</v>
      </c>
      <c r="AU22" s="508">
        <f t="shared" ref="AU22:AU46" si="13">IF($C22="",0,IF(AH22="NA",1,IF(AI22&lt;&gt;"",1,0)))</f>
        <v>0</v>
      </c>
      <c r="AV22" s="509">
        <f t="shared" ref="AV22:AV46" si="14">SUM(AN22:AU22)</f>
        <v>0</v>
      </c>
      <c r="AW22" s="510" t="str">
        <f t="shared" ref="AW22:AW46" si="15">IF(C22="","",IF(AV22=8,TRUE,FALSE))</f>
        <v/>
      </c>
      <c r="AZ22" s="1218" t="str">
        <f t="shared" ref="AZ22:AZ32" si="16">IF(D22="","",IF(Q22="","ERROR",Q22))</f>
        <v/>
      </c>
      <c r="BA22" s="1190">
        <f>K22</f>
        <v>0</v>
      </c>
      <c r="BB22" s="1190" t="str">
        <f t="shared" ref="BB22:BB46" si="17">IFERROR(IF($C22&lt;&gt;"",VLOOKUP($AZ22,_Luminaire_Schedule,5,FALSE)," "),"")</f>
        <v xml:space="preserve"> </v>
      </c>
      <c r="BC22" s="1190" t="str">
        <f t="shared" ref="BC22:BC46" si="18">IFERROR(IF($C22&lt;&gt;"",VLOOKUP($AZ22,_Luminaire_Schedule,9,FALSE)," "),0)</f>
        <v xml:space="preserve"> </v>
      </c>
      <c r="BD22" s="1190" t="str">
        <f t="shared" ref="BD22:BD26" si="19">IFERROR(IF(BA22&gt;0,ROUND(BA22*BC22,0)," "),"")</f>
        <v xml:space="preserve"> </v>
      </c>
      <c r="BE22" s="1219" t="str">
        <f t="shared" ref="BE22:BE32" si="20">IFERROR(ROUND(1-(N22/BD22),2),"")</f>
        <v/>
      </c>
      <c r="BF22" s="1219" t="str">
        <f>IFERROR(VLOOKUP(BB22,BI$21:BJ$31,2,FALSE)/100,"")</f>
        <v/>
      </c>
      <c r="BG22" s="1190" t="str">
        <f t="shared" ref="BG22:BG32" si="21">IF(D22="","",IF(AZ22="ERROR",1,IF(OR(ISNUMBER(SEARCH("Track",AZ22)),BE22&gt;=BF22),0,1)))</f>
        <v/>
      </c>
      <c r="BI22" s="510" t="s">
        <v>91</v>
      </c>
      <c r="BJ22" s="510">
        <v>0</v>
      </c>
    </row>
    <row r="23" spans="1:62" s="510" customFormat="1" ht="15" customHeight="1" x14ac:dyDescent="0.25">
      <c r="A23" s="470">
        <v>2</v>
      </c>
      <c r="B23" s="1614"/>
      <c r="C23" s="1168" t="str">
        <f t="shared" si="0"/>
        <v/>
      </c>
      <c r="D23" s="1795"/>
      <c r="E23" s="1795"/>
      <c r="F23" s="1795"/>
      <c r="G23" s="1796"/>
      <c r="H23" s="1380"/>
      <c r="I23" s="1377"/>
      <c r="J23" s="1006"/>
      <c r="K23" s="1007"/>
      <c r="L23" s="1003" t="str">
        <f t="shared" si="1"/>
        <v xml:space="preserve"> </v>
      </c>
      <c r="M23" s="1003" t="str">
        <f t="shared" si="2"/>
        <v xml:space="preserve"> </v>
      </c>
      <c r="N23" s="1171" t="str">
        <f t="shared" ref="N23:N46" si="22">IFERROR(IF(K23&gt;0,ROUND(K23*M23,0)," "),"")</f>
        <v xml:space="preserve"> </v>
      </c>
      <c r="O23" s="1184" t="str">
        <f>IF(D23="","",VLOOKUP(D23,'Simplified Tables'!$C$8:$L$17,2,FALSE))</f>
        <v/>
      </c>
      <c r="P23" s="90"/>
      <c r="Q23" s="913"/>
      <c r="R23" s="1222" t="str">
        <f t="shared" ref="R23:R46" si="23">IF(OR(D23="",Q$9=FALSE),"",IF(BG23=0,"þ","ý"))</f>
        <v/>
      </c>
      <c r="S23" s="90"/>
      <c r="T23" s="1024" t="str">
        <f>IF($C23="","",VLOOKUP($D23,'Simplified Tables'!$C$8:$L$17,T$11,FALSE))</f>
        <v/>
      </c>
      <c r="U23" s="782"/>
      <c r="V23" s="1026" t="str">
        <f>IF($C23="","",VLOOKUP($D23,'Simplified Tables'!$C$8:$L$17,V$11,FALSE))</f>
        <v/>
      </c>
      <c r="W23" s="782"/>
      <c r="X23" s="1026" t="str">
        <f>IF($C23="","",VLOOKUP($D23,'Simplified Tables'!$C$8:$L$17,X$11,FALSE))</f>
        <v/>
      </c>
      <c r="Y23" s="782"/>
      <c r="Z23" s="1026" t="str">
        <f>IF($C23="","",VLOOKUP($D23,'Simplified Tables'!$C$8:$L$17,Z$11,FALSE))</f>
        <v/>
      </c>
      <c r="AA23" s="782"/>
      <c r="AB23" s="1026" t="str">
        <f>IF($C23="","",VLOOKUP($D23,'Simplified Tables'!$C$8:$L$17,AB$11,FALSE))</f>
        <v/>
      </c>
      <c r="AC23" s="782"/>
      <c r="AD23" s="1026" t="str">
        <f>IF($C23="","",VLOOKUP($D23,'Simplified Tables'!$C$8:$L$17,AD$11,FALSE))</f>
        <v/>
      </c>
      <c r="AE23" s="782"/>
      <c r="AF23" s="1026" t="str">
        <f>IF($C23="","",VLOOKUP($D23,'Simplified Tables'!$C$8:$L$17,AF$11,FALSE))</f>
        <v/>
      </c>
      <c r="AG23" s="782"/>
      <c r="AH23" s="1026" t="str">
        <f>IF($C23="","",VLOOKUP($D23,'Simplified Tables'!$C$8:$L$17,AH$11,FALSE))</f>
        <v/>
      </c>
      <c r="AI23" s="782"/>
      <c r="AJ23" s="992" t="str">
        <f t="shared" si="3"/>
        <v/>
      </c>
      <c r="AK23" s="507"/>
      <c r="AL23" s="508">
        <f t="shared" si="4"/>
        <v>0</v>
      </c>
      <c r="AM23" s="508">
        <f t="shared" si="5"/>
        <v>0</v>
      </c>
      <c r="AN23" s="508">
        <f t="shared" si="6"/>
        <v>0</v>
      </c>
      <c r="AO23" s="508">
        <f t="shared" si="7"/>
        <v>0</v>
      </c>
      <c r="AP23" s="508">
        <f t="shared" si="8"/>
        <v>0</v>
      </c>
      <c r="AQ23" s="508">
        <f t="shared" si="9"/>
        <v>0</v>
      </c>
      <c r="AR23" s="508">
        <f t="shared" si="10"/>
        <v>0</v>
      </c>
      <c r="AS23" s="508">
        <f t="shared" si="11"/>
        <v>0</v>
      </c>
      <c r="AT23" s="508">
        <f t="shared" si="12"/>
        <v>0</v>
      </c>
      <c r="AU23" s="508">
        <f t="shared" si="13"/>
        <v>0</v>
      </c>
      <c r="AV23" s="509">
        <f t="shared" si="14"/>
        <v>0</v>
      </c>
      <c r="AW23" s="510" t="str">
        <f t="shared" si="15"/>
        <v/>
      </c>
      <c r="AZ23" s="1218" t="str">
        <f t="shared" si="16"/>
        <v/>
      </c>
      <c r="BA23" s="1190">
        <f t="shared" ref="BA23:BA32" si="24">K23</f>
        <v>0</v>
      </c>
      <c r="BB23" s="1190" t="str">
        <f t="shared" si="17"/>
        <v xml:space="preserve"> </v>
      </c>
      <c r="BC23" s="1190" t="str">
        <f t="shared" si="18"/>
        <v xml:space="preserve"> </v>
      </c>
      <c r="BD23" s="1190" t="str">
        <f t="shared" si="19"/>
        <v xml:space="preserve"> </v>
      </c>
      <c r="BE23" s="1219" t="str">
        <f t="shared" si="20"/>
        <v/>
      </c>
      <c r="BF23" s="1219" t="str">
        <f t="shared" ref="BF23:BF46" si="25">IFERROR(VLOOKUP(BB23,BI$21:BJ$31,2,FALSE)/100,"")</f>
        <v/>
      </c>
      <c r="BG23" s="1190" t="str">
        <f t="shared" si="21"/>
        <v/>
      </c>
      <c r="BI23" s="510" t="s">
        <v>745</v>
      </c>
      <c r="BJ23" s="510">
        <v>20</v>
      </c>
    </row>
    <row r="24" spans="1:62" s="510" customFormat="1" ht="15" customHeight="1" x14ac:dyDescent="0.25">
      <c r="A24" s="470">
        <v>3</v>
      </c>
      <c r="B24" s="1614"/>
      <c r="C24" s="1168" t="str">
        <f t="shared" si="0"/>
        <v/>
      </c>
      <c r="D24" s="1795"/>
      <c r="E24" s="1795"/>
      <c r="F24" s="1795"/>
      <c r="G24" s="1796"/>
      <c r="H24" s="1380"/>
      <c r="I24" s="1377"/>
      <c r="J24" s="1006"/>
      <c r="K24" s="1007"/>
      <c r="L24" s="1003" t="str">
        <f t="shared" si="1"/>
        <v xml:space="preserve"> </v>
      </c>
      <c r="M24" s="1003" t="str">
        <f t="shared" si="2"/>
        <v xml:space="preserve"> </v>
      </c>
      <c r="N24" s="1171" t="str">
        <f t="shared" si="22"/>
        <v xml:space="preserve"> </v>
      </c>
      <c r="O24" s="1184" t="str">
        <f>IF(D24="","",VLOOKUP(D24,'Simplified Tables'!$C$8:$L$17,2,FALSE))</f>
        <v/>
      </c>
      <c r="P24" s="90"/>
      <c r="Q24" s="913"/>
      <c r="R24" s="1222" t="str">
        <f t="shared" si="23"/>
        <v/>
      </c>
      <c r="S24" s="90"/>
      <c r="T24" s="1024" t="str">
        <f>IF($C24="","",VLOOKUP($D24,'Simplified Tables'!$C$8:$L$17,T$11,FALSE))</f>
        <v/>
      </c>
      <c r="U24" s="782"/>
      <c r="V24" s="1026" t="str">
        <f>IF($C24="","",VLOOKUP($D24,'Simplified Tables'!$C$8:$L$17,V$11,FALSE))</f>
        <v/>
      </c>
      <c r="W24" s="782"/>
      <c r="X24" s="1026" t="str">
        <f>IF($C24="","",VLOOKUP($D24,'Simplified Tables'!$C$8:$L$17,X$11,FALSE))</f>
        <v/>
      </c>
      <c r="Y24" s="782"/>
      <c r="Z24" s="1026" t="str">
        <f>IF($C24="","",VLOOKUP($D24,'Simplified Tables'!$C$8:$L$17,Z$11,FALSE))</f>
        <v/>
      </c>
      <c r="AA24" s="782"/>
      <c r="AB24" s="1026" t="str">
        <f>IF($C24="","",VLOOKUP($D24,'Simplified Tables'!$C$8:$L$17,AB$11,FALSE))</f>
        <v/>
      </c>
      <c r="AC24" s="782"/>
      <c r="AD24" s="1026" t="str">
        <f>IF($C24="","",VLOOKUP($D24,'Simplified Tables'!$C$8:$L$17,AD$11,FALSE))</f>
        <v/>
      </c>
      <c r="AE24" s="782"/>
      <c r="AF24" s="1026" t="str">
        <f>IF($C24="","",VLOOKUP($D24,'Simplified Tables'!$C$8:$L$17,AF$11,FALSE))</f>
        <v/>
      </c>
      <c r="AG24" s="782"/>
      <c r="AH24" s="1026" t="str">
        <f>IF($C24="","",VLOOKUP($D24,'Simplified Tables'!$C$8:$L$17,AH$11,FALSE))</f>
        <v/>
      </c>
      <c r="AI24" s="782"/>
      <c r="AJ24" s="992" t="str">
        <f t="shared" si="3"/>
        <v/>
      </c>
      <c r="AK24" s="507"/>
      <c r="AL24" s="508">
        <f t="shared" si="4"/>
        <v>0</v>
      </c>
      <c r="AM24" s="508">
        <f t="shared" si="5"/>
        <v>0</v>
      </c>
      <c r="AN24" s="508">
        <f t="shared" si="6"/>
        <v>0</v>
      </c>
      <c r="AO24" s="508">
        <f t="shared" si="7"/>
        <v>0</v>
      </c>
      <c r="AP24" s="508">
        <f t="shared" si="8"/>
        <v>0</v>
      </c>
      <c r="AQ24" s="508">
        <f t="shared" si="9"/>
        <v>0</v>
      </c>
      <c r="AR24" s="508">
        <f t="shared" si="10"/>
        <v>0</v>
      </c>
      <c r="AS24" s="508">
        <f t="shared" si="11"/>
        <v>0</v>
      </c>
      <c r="AT24" s="508">
        <f t="shared" si="12"/>
        <v>0</v>
      </c>
      <c r="AU24" s="508">
        <f t="shared" si="13"/>
        <v>0</v>
      </c>
      <c r="AV24" s="509">
        <f t="shared" si="14"/>
        <v>0</v>
      </c>
      <c r="AW24" s="510" t="str">
        <f t="shared" si="15"/>
        <v/>
      </c>
      <c r="AZ24" s="1218" t="str">
        <f t="shared" si="16"/>
        <v/>
      </c>
      <c r="BA24" s="1190">
        <f t="shared" si="24"/>
        <v>0</v>
      </c>
      <c r="BB24" s="1190" t="str">
        <f t="shared" si="17"/>
        <v xml:space="preserve"> </v>
      </c>
      <c r="BC24" s="1190" t="str">
        <f t="shared" si="18"/>
        <v xml:space="preserve"> </v>
      </c>
      <c r="BD24" s="1190" t="str">
        <f t="shared" si="19"/>
        <v xml:space="preserve"> </v>
      </c>
      <c r="BE24" s="1219" t="str">
        <f t="shared" si="20"/>
        <v/>
      </c>
      <c r="BF24" s="1219" t="str">
        <f t="shared" si="25"/>
        <v/>
      </c>
      <c r="BG24" s="1190" t="str">
        <f t="shared" si="21"/>
        <v/>
      </c>
      <c r="BI24" s="510" t="s">
        <v>747</v>
      </c>
      <c r="BJ24" s="510">
        <v>45</v>
      </c>
    </row>
    <row r="25" spans="1:62" s="510" customFormat="1" ht="15" customHeight="1" x14ac:dyDescent="0.25">
      <c r="A25" s="470">
        <v>4</v>
      </c>
      <c r="B25" s="1614"/>
      <c r="C25" s="1168" t="str">
        <f t="shared" si="0"/>
        <v/>
      </c>
      <c r="D25" s="1795"/>
      <c r="E25" s="1795"/>
      <c r="F25" s="1795"/>
      <c r="G25" s="1796"/>
      <c r="H25" s="1380"/>
      <c r="I25" s="1377"/>
      <c r="J25" s="1006"/>
      <c r="K25" s="1007"/>
      <c r="L25" s="1003" t="str">
        <f t="shared" si="1"/>
        <v xml:space="preserve"> </v>
      </c>
      <c r="M25" s="1003" t="str">
        <f t="shared" si="2"/>
        <v xml:space="preserve"> </v>
      </c>
      <c r="N25" s="1171" t="str">
        <f t="shared" si="22"/>
        <v xml:space="preserve"> </v>
      </c>
      <c r="O25" s="1184" t="str">
        <f>IF(D25="","",VLOOKUP(D25,'Simplified Tables'!$C$8:$L$17,2,FALSE))</f>
        <v/>
      </c>
      <c r="P25" s="90"/>
      <c r="Q25" s="913"/>
      <c r="R25" s="1222" t="str">
        <f t="shared" si="23"/>
        <v/>
      </c>
      <c r="S25" s="90"/>
      <c r="T25" s="1024" t="str">
        <f>IF($C25="","",VLOOKUP($D25,'Simplified Tables'!$C$8:$L$17,T$11,FALSE))</f>
        <v/>
      </c>
      <c r="U25" s="782"/>
      <c r="V25" s="1026" t="str">
        <f>IF($C25="","",VLOOKUP($D25,'Simplified Tables'!$C$8:$L$17,V$11,FALSE))</f>
        <v/>
      </c>
      <c r="W25" s="782"/>
      <c r="X25" s="1026" t="str">
        <f>IF($C25="","",VLOOKUP($D25,'Simplified Tables'!$C$8:$L$17,X$11,FALSE))</f>
        <v/>
      </c>
      <c r="Y25" s="782"/>
      <c r="Z25" s="1026" t="str">
        <f>IF($C25="","",VLOOKUP($D25,'Simplified Tables'!$C$8:$L$17,Z$11,FALSE))</f>
        <v/>
      </c>
      <c r="AA25" s="782"/>
      <c r="AB25" s="1026" t="str">
        <f>IF($C25="","",VLOOKUP($D25,'Simplified Tables'!$C$8:$L$17,AB$11,FALSE))</f>
        <v/>
      </c>
      <c r="AC25" s="782"/>
      <c r="AD25" s="1026" t="str">
        <f>IF($C25="","",VLOOKUP($D25,'Simplified Tables'!$C$8:$L$17,AD$11,FALSE))</f>
        <v/>
      </c>
      <c r="AE25" s="782"/>
      <c r="AF25" s="1026" t="str">
        <f>IF($C25="","",VLOOKUP($D25,'Simplified Tables'!$C$8:$L$17,AF$11,FALSE))</f>
        <v/>
      </c>
      <c r="AG25" s="782"/>
      <c r="AH25" s="1026" t="str">
        <f>IF($C25="","",VLOOKUP($D25,'Simplified Tables'!$C$8:$L$17,AH$11,FALSE))</f>
        <v/>
      </c>
      <c r="AI25" s="782"/>
      <c r="AJ25" s="992" t="str">
        <f t="shared" si="3"/>
        <v/>
      </c>
      <c r="AK25" s="507"/>
      <c r="AL25" s="508">
        <f t="shared" si="4"/>
        <v>0</v>
      </c>
      <c r="AM25" s="508">
        <f t="shared" si="5"/>
        <v>0</v>
      </c>
      <c r="AN25" s="508">
        <f t="shared" si="6"/>
        <v>0</v>
      </c>
      <c r="AO25" s="508">
        <f t="shared" si="7"/>
        <v>0</v>
      </c>
      <c r="AP25" s="508">
        <f t="shared" si="8"/>
        <v>0</v>
      </c>
      <c r="AQ25" s="508">
        <f t="shared" si="9"/>
        <v>0</v>
      </c>
      <c r="AR25" s="508">
        <f t="shared" si="10"/>
        <v>0</v>
      </c>
      <c r="AS25" s="508">
        <f t="shared" si="11"/>
        <v>0</v>
      </c>
      <c r="AT25" s="508">
        <f t="shared" si="12"/>
        <v>0</v>
      </c>
      <c r="AU25" s="508">
        <f t="shared" si="13"/>
        <v>0</v>
      </c>
      <c r="AV25" s="509">
        <f t="shared" si="14"/>
        <v>0</v>
      </c>
      <c r="AW25" s="510" t="str">
        <f t="shared" si="15"/>
        <v/>
      </c>
      <c r="AZ25" s="1218" t="str">
        <f t="shared" si="16"/>
        <v/>
      </c>
      <c r="BA25" s="1190">
        <f t="shared" si="24"/>
        <v>0</v>
      </c>
      <c r="BB25" s="1190" t="str">
        <f t="shared" si="17"/>
        <v xml:space="preserve"> </v>
      </c>
      <c r="BC25" s="1190" t="str">
        <f t="shared" si="18"/>
        <v xml:space="preserve"> </v>
      </c>
      <c r="BD25" s="1190" t="str">
        <f t="shared" si="19"/>
        <v xml:space="preserve"> </v>
      </c>
      <c r="BE25" s="1219" t="str">
        <f t="shared" si="20"/>
        <v/>
      </c>
      <c r="BF25" s="1219" t="str">
        <f t="shared" si="25"/>
        <v/>
      </c>
      <c r="BG25" s="1190" t="str">
        <f t="shared" si="21"/>
        <v/>
      </c>
      <c r="BI25" s="510" t="s">
        <v>748</v>
      </c>
      <c r="BJ25" s="510">
        <v>45</v>
      </c>
    </row>
    <row r="26" spans="1:62" s="510" customFormat="1" ht="15" customHeight="1" x14ac:dyDescent="0.25">
      <c r="A26" s="470">
        <v>5</v>
      </c>
      <c r="B26" s="1614"/>
      <c r="C26" s="1168" t="str">
        <f t="shared" si="0"/>
        <v/>
      </c>
      <c r="D26" s="1795"/>
      <c r="E26" s="1795"/>
      <c r="F26" s="1795"/>
      <c r="G26" s="1796"/>
      <c r="H26" s="1380"/>
      <c r="I26" s="1377"/>
      <c r="J26" s="1006"/>
      <c r="K26" s="1007"/>
      <c r="L26" s="1003" t="str">
        <f t="shared" si="1"/>
        <v xml:space="preserve"> </v>
      </c>
      <c r="M26" s="1003" t="str">
        <f t="shared" si="2"/>
        <v xml:space="preserve"> </v>
      </c>
      <c r="N26" s="1171" t="str">
        <f t="shared" si="22"/>
        <v xml:space="preserve"> </v>
      </c>
      <c r="O26" s="1184" t="str">
        <f>IF(D26="","",VLOOKUP(D26,'Simplified Tables'!$C$8:$L$17,2,FALSE))</f>
        <v/>
      </c>
      <c r="P26" s="90"/>
      <c r="Q26" s="913"/>
      <c r="R26" s="1222" t="str">
        <f t="shared" si="23"/>
        <v/>
      </c>
      <c r="S26" s="90"/>
      <c r="T26" s="1024" t="str">
        <f>IF($C26="","",VLOOKUP($D26,'Simplified Tables'!$C$8:$L$17,T$11,FALSE))</f>
        <v/>
      </c>
      <c r="U26" s="782"/>
      <c r="V26" s="1026" t="str">
        <f>IF($C26="","",VLOOKUP($D26,'Simplified Tables'!$C$8:$L$17,V$11,FALSE))</f>
        <v/>
      </c>
      <c r="W26" s="782"/>
      <c r="X26" s="1026" t="str">
        <f>IF($C26="","",VLOOKUP($D26,'Simplified Tables'!$C$8:$L$17,X$11,FALSE))</f>
        <v/>
      </c>
      <c r="Y26" s="782"/>
      <c r="Z26" s="1026" t="str">
        <f>IF($C26="","",VLOOKUP($D26,'Simplified Tables'!$C$8:$L$17,Z$11,FALSE))</f>
        <v/>
      </c>
      <c r="AA26" s="782"/>
      <c r="AB26" s="1026" t="str">
        <f>IF($C26="","",VLOOKUP($D26,'Simplified Tables'!$C$8:$L$17,AB$11,FALSE))</f>
        <v/>
      </c>
      <c r="AC26" s="782"/>
      <c r="AD26" s="1026" t="str">
        <f>IF($C26="","",VLOOKUP($D26,'Simplified Tables'!$C$8:$L$17,AD$11,FALSE))</f>
        <v/>
      </c>
      <c r="AE26" s="782"/>
      <c r="AF26" s="1026" t="str">
        <f>IF($C26="","",VLOOKUP($D26,'Simplified Tables'!$C$8:$L$17,AF$11,FALSE))</f>
        <v/>
      </c>
      <c r="AG26" s="782"/>
      <c r="AH26" s="1026" t="str">
        <f>IF($C26="","",VLOOKUP($D26,'Simplified Tables'!$C$8:$L$17,AH$11,FALSE))</f>
        <v/>
      </c>
      <c r="AI26" s="782"/>
      <c r="AJ26" s="992" t="str">
        <f t="shared" si="3"/>
        <v/>
      </c>
      <c r="AK26" s="507"/>
      <c r="AL26" s="508">
        <f t="shared" si="4"/>
        <v>0</v>
      </c>
      <c r="AM26" s="508">
        <f t="shared" si="5"/>
        <v>0</v>
      </c>
      <c r="AN26" s="508">
        <f t="shared" si="6"/>
        <v>0</v>
      </c>
      <c r="AO26" s="508">
        <f t="shared" si="7"/>
        <v>0</v>
      </c>
      <c r="AP26" s="508">
        <f t="shared" si="8"/>
        <v>0</v>
      </c>
      <c r="AQ26" s="508">
        <f t="shared" si="9"/>
        <v>0</v>
      </c>
      <c r="AR26" s="508">
        <f t="shared" si="10"/>
        <v>0</v>
      </c>
      <c r="AS26" s="508">
        <f t="shared" si="11"/>
        <v>0</v>
      </c>
      <c r="AT26" s="508">
        <f t="shared" si="12"/>
        <v>0</v>
      </c>
      <c r="AU26" s="508">
        <f t="shared" si="13"/>
        <v>0</v>
      </c>
      <c r="AV26" s="509">
        <f t="shared" si="14"/>
        <v>0</v>
      </c>
      <c r="AW26" s="510" t="str">
        <f t="shared" si="15"/>
        <v/>
      </c>
      <c r="AZ26" s="1218" t="str">
        <f t="shared" si="16"/>
        <v/>
      </c>
      <c r="BA26" s="1190">
        <f t="shared" si="24"/>
        <v>0</v>
      </c>
      <c r="BB26" s="1190" t="str">
        <f t="shared" si="17"/>
        <v xml:space="preserve"> </v>
      </c>
      <c r="BC26" s="1190" t="str">
        <f t="shared" si="18"/>
        <v xml:space="preserve"> </v>
      </c>
      <c r="BD26" s="1190" t="str">
        <f t="shared" si="19"/>
        <v xml:space="preserve"> </v>
      </c>
      <c r="BE26" s="1219" t="str">
        <f t="shared" si="20"/>
        <v/>
      </c>
      <c r="BF26" s="1219" t="str">
        <f t="shared" si="25"/>
        <v/>
      </c>
      <c r="BG26" s="1190" t="str">
        <f t="shared" si="21"/>
        <v/>
      </c>
      <c r="BI26" s="510" t="s">
        <v>751</v>
      </c>
      <c r="BJ26" s="510">
        <v>45</v>
      </c>
    </row>
    <row r="27" spans="1:62" s="510" customFormat="1" ht="15" customHeight="1" x14ac:dyDescent="0.25">
      <c r="A27" s="470">
        <v>6</v>
      </c>
      <c r="B27" s="1614"/>
      <c r="C27" s="1168" t="str">
        <f t="shared" si="0"/>
        <v/>
      </c>
      <c r="D27" s="1795"/>
      <c r="E27" s="1795"/>
      <c r="F27" s="1795"/>
      <c r="G27" s="1796"/>
      <c r="H27" s="1380"/>
      <c r="I27" s="1377"/>
      <c r="J27" s="1006"/>
      <c r="K27" s="1007"/>
      <c r="L27" s="1003" t="str">
        <f t="shared" si="1"/>
        <v xml:space="preserve"> </v>
      </c>
      <c r="M27" s="1003" t="str">
        <f t="shared" si="2"/>
        <v xml:space="preserve"> </v>
      </c>
      <c r="N27" s="1171" t="str">
        <f t="shared" si="22"/>
        <v xml:space="preserve"> </v>
      </c>
      <c r="O27" s="1184" t="str">
        <f>IF(D27="","",VLOOKUP(D27,'Simplified Tables'!$C$8:$L$17,2,FALSE))</f>
        <v/>
      </c>
      <c r="P27" s="90"/>
      <c r="Q27" s="913"/>
      <c r="R27" s="1222" t="str">
        <f t="shared" si="23"/>
        <v/>
      </c>
      <c r="S27" s="90"/>
      <c r="T27" s="1024" t="str">
        <f>IF($C27="","",VLOOKUP($D27,'Simplified Tables'!$C$8:$L$17,T$11,FALSE))</f>
        <v/>
      </c>
      <c r="U27" s="782"/>
      <c r="V27" s="1026" t="str">
        <f>IF($C27="","",VLOOKUP($D27,'Simplified Tables'!$C$8:$L$17,V$11,FALSE))</f>
        <v/>
      </c>
      <c r="W27" s="782"/>
      <c r="X27" s="1026" t="str">
        <f>IF($C27="","",VLOOKUP($D27,'Simplified Tables'!$C$8:$L$17,X$11,FALSE))</f>
        <v/>
      </c>
      <c r="Y27" s="782"/>
      <c r="Z27" s="1026" t="str">
        <f>IF($C27="","",VLOOKUP($D27,'Simplified Tables'!$C$8:$L$17,Z$11,FALSE))</f>
        <v/>
      </c>
      <c r="AA27" s="782"/>
      <c r="AB27" s="1026" t="str">
        <f>IF($C27="","",VLOOKUP($D27,'Simplified Tables'!$C$8:$L$17,AB$11,FALSE))</f>
        <v/>
      </c>
      <c r="AC27" s="782"/>
      <c r="AD27" s="1026" t="str">
        <f>IF($C27="","",VLOOKUP($D27,'Simplified Tables'!$C$8:$L$17,AD$11,FALSE))</f>
        <v/>
      </c>
      <c r="AE27" s="782"/>
      <c r="AF27" s="1026" t="str">
        <f>IF($C27="","",VLOOKUP($D27,'Simplified Tables'!$C$8:$L$17,AF$11,FALSE))</f>
        <v/>
      </c>
      <c r="AG27" s="782"/>
      <c r="AH27" s="1026" t="str">
        <f>IF($C27="","",VLOOKUP($D27,'Simplified Tables'!$C$8:$L$17,AH$11,FALSE))</f>
        <v/>
      </c>
      <c r="AI27" s="782"/>
      <c r="AJ27" s="992" t="str">
        <f t="shared" si="3"/>
        <v/>
      </c>
      <c r="AK27" s="507"/>
      <c r="AL27" s="508">
        <f t="shared" si="4"/>
        <v>0</v>
      </c>
      <c r="AM27" s="508">
        <f t="shared" si="5"/>
        <v>0</v>
      </c>
      <c r="AN27" s="508">
        <f t="shared" si="6"/>
        <v>0</v>
      </c>
      <c r="AO27" s="508">
        <f t="shared" si="7"/>
        <v>0</v>
      </c>
      <c r="AP27" s="508">
        <f t="shared" si="8"/>
        <v>0</v>
      </c>
      <c r="AQ27" s="508">
        <f t="shared" si="9"/>
        <v>0</v>
      </c>
      <c r="AR27" s="508">
        <f t="shared" si="10"/>
        <v>0</v>
      </c>
      <c r="AS27" s="508">
        <f t="shared" si="11"/>
        <v>0</v>
      </c>
      <c r="AT27" s="508">
        <f t="shared" si="12"/>
        <v>0</v>
      </c>
      <c r="AU27" s="508">
        <f t="shared" si="13"/>
        <v>0</v>
      </c>
      <c r="AV27" s="509">
        <f t="shared" si="14"/>
        <v>0</v>
      </c>
      <c r="AW27" s="510" t="str">
        <f t="shared" si="15"/>
        <v/>
      </c>
      <c r="AZ27" s="1218" t="str">
        <f t="shared" si="16"/>
        <v/>
      </c>
      <c r="BA27" s="1190">
        <f t="shared" si="24"/>
        <v>0</v>
      </c>
      <c r="BB27" s="1190" t="str">
        <f t="shared" si="17"/>
        <v xml:space="preserve"> </v>
      </c>
      <c r="BC27" s="1190" t="str">
        <f t="shared" si="18"/>
        <v xml:space="preserve"> </v>
      </c>
      <c r="BD27" s="1190" t="str">
        <f>IFERROR(IF(BA27&gt;0,ROUND(BA27*BC27,0)," "),"")</f>
        <v xml:space="preserve"> </v>
      </c>
      <c r="BE27" s="1219" t="str">
        <f t="shared" si="20"/>
        <v/>
      </c>
      <c r="BF27" s="1219" t="str">
        <f t="shared" si="25"/>
        <v/>
      </c>
      <c r="BG27" s="1190" t="str">
        <f t="shared" si="21"/>
        <v/>
      </c>
      <c r="BI27" s="510" t="s">
        <v>752</v>
      </c>
      <c r="BJ27" s="510">
        <v>45</v>
      </c>
    </row>
    <row r="28" spans="1:62" s="510" customFormat="1" ht="15" customHeight="1" x14ac:dyDescent="0.25">
      <c r="A28" s="470">
        <v>7</v>
      </c>
      <c r="B28" s="1614"/>
      <c r="C28" s="1168" t="str">
        <f t="shared" si="0"/>
        <v/>
      </c>
      <c r="D28" s="1795"/>
      <c r="E28" s="1795"/>
      <c r="F28" s="1795"/>
      <c r="G28" s="1796"/>
      <c r="H28" s="1380"/>
      <c r="I28" s="1377"/>
      <c r="J28" s="1006"/>
      <c r="K28" s="1007"/>
      <c r="L28" s="1003" t="str">
        <f t="shared" si="1"/>
        <v xml:space="preserve"> </v>
      </c>
      <c r="M28" s="1003" t="str">
        <f t="shared" si="2"/>
        <v xml:space="preserve"> </v>
      </c>
      <c r="N28" s="1171" t="str">
        <f t="shared" si="22"/>
        <v xml:space="preserve"> </v>
      </c>
      <c r="O28" s="1184" t="str">
        <f>IF(D28="","",VLOOKUP(D28,'Simplified Tables'!$C$8:$L$17,2,FALSE))</f>
        <v/>
      </c>
      <c r="P28" s="90"/>
      <c r="Q28" s="913"/>
      <c r="R28" s="1222" t="str">
        <f t="shared" si="23"/>
        <v/>
      </c>
      <c r="S28" s="90"/>
      <c r="T28" s="1024" t="str">
        <f>IF($C28="","",VLOOKUP($D28,'Simplified Tables'!$C$8:$L$17,T$11,FALSE))</f>
        <v/>
      </c>
      <c r="U28" s="782"/>
      <c r="V28" s="1026" t="str">
        <f>IF($C28="","",VLOOKUP($D28,'Simplified Tables'!$C$8:$L$17,V$11,FALSE))</f>
        <v/>
      </c>
      <c r="W28" s="782"/>
      <c r="X28" s="1026" t="str">
        <f>IF($C28="","",VLOOKUP($D28,'Simplified Tables'!$C$8:$L$17,X$11,FALSE))</f>
        <v/>
      </c>
      <c r="Y28" s="782"/>
      <c r="Z28" s="1026" t="str">
        <f>IF($C28="","",VLOOKUP($D28,'Simplified Tables'!$C$8:$L$17,Z$11,FALSE))</f>
        <v/>
      </c>
      <c r="AA28" s="782"/>
      <c r="AB28" s="1026" t="str">
        <f>IF($C28="","",VLOOKUP($D28,'Simplified Tables'!$C$8:$L$17,AB$11,FALSE))</f>
        <v/>
      </c>
      <c r="AC28" s="782"/>
      <c r="AD28" s="1026" t="str">
        <f>IF($C28="","",VLOOKUP($D28,'Simplified Tables'!$C$8:$L$17,AD$11,FALSE))</f>
        <v/>
      </c>
      <c r="AE28" s="782"/>
      <c r="AF28" s="1026" t="str">
        <f>IF($C28="","",VLOOKUP($D28,'Simplified Tables'!$C$8:$L$17,AF$11,FALSE))</f>
        <v/>
      </c>
      <c r="AG28" s="782"/>
      <c r="AH28" s="1026" t="str">
        <f>IF($C28="","",VLOOKUP($D28,'Simplified Tables'!$C$8:$L$17,AH$11,FALSE))</f>
        <v/>
      </c>
      <c r="AI28" s="782"/>
      <c r="AJ28" s="992" t="str">
        <f>IF(AW28="","",IF(AW28=TRUE,"Complete","Incomplete"))</f>
        <v/>
      </c>
      <c r="AK28" s="507"/>
      <c r="AL28" s="508">
        <f t="shared" si="4"/>
        <v>0</v>
      </c>
      <c r="AM28" s="508">
        <f t="shared" si="5"/>
        <v>0</v>
      </c>
      <c r="AN28" s="508">
        <f t="shared" si="6"/>
        <v>0</v>
      </c>
      <c r="AO28" s="508">
        <f t="shared" si="7"/>
        <v>0</v>
      </c>
      <c r="AP28" s="508">
        <f t="shared" si="8"/>
        <v>0</v>
      </c>
      <c r="AQ28" s="508">
        <f t="shared" si="9"/>
        <v>0</v>
      </c>
      <c r="AR28" s="508">
        <f t="shared" si="10"/>
        <v>0</v>
      </c>
      <c r="AS28" s="508">
        <f t="shared" si="11"/>
        <v>0</v>
      </c>
      <c r="AT28" s="508">
        <f t="shared" si="12"/>
        <v>0</v>
      </c>
      <c r="AU28" s="508">
        <f t="shared" si="13"/>
        <v>0</v>
      </c>
      <c r="AV28" s="509">
        <f t="shared" si="14"/>
        <v>0</v>
      </c>
      <c r="AW28" s="510" t="str">
        <f t="shared" si="15"/>
        <v/>
      </c>
      <c r="AZ28" s="1218" t="str">
        <f t="shared" si="16"/>
        <v/>
      </c>
      <c r="BA28" s="1190">
        <f t="shared" si="24"/>
        <v>0</v>
      </c>
      <c r="BB28" s="1190" t="str">
        <f t="shared" si="17"/>
        <v xml:space="preserve"> </v>
      </c>
      <c r="BC28" s="1190" t="str">
        <f t="shared" si="18"/>
        <v xml:space="preserve"> </v>
      </c>
      <c r="BD28" s="1190" t="str">
        <f t="shared" ref="BD28:BD32" si="26">IFERROR(IF(BA28&gt;0,ROUND(BA28*BC28,0)," "),"")</f>
        <v xml:space="preserve"> </v>
      </c>
      <c r="BE28" s="1219" t="str">
        <f t="shared" si="20"/>
        <v/>
      </c>
      <c r="BF28" s="1219" t="str">
        <f t="shared" si="25"/>
        <v/>
      </c>
      <c r="BG28" s="1190" t="str">
        <f t="shared" si="21"/>
        <v/>
      </c>
      <c r="BI28" s="510" t="s">
        <v>754</v>
      </c>
      <c r="BJ28" s="510">
        <v>75</v>
      </c>
    </row>
    <row r="29" spans="1:62" s="510" customFormat="1" ht="15" customHeight="1" x14ac:dyDescent="0.25">
      <c r="A29" s="470">
        <v>8</v>
      </c>
      <c r="B29" s="1614"/>
      <c r="C29" s="1168" t="str">
        <f t="shared" si="0"/>
        <v/>
      </c>
      <c r="D29" s="1795"/>
      <c r="E29" s="1795"/>
      <c r="F29" s="1795"/>
      <c r="G29" s="1796"/>
      <c r="H29" s="1380"/>
      <c r="I29" s="1377"/>
      <c r="J29" s="1006"/>
      <c r="K29" s="1007"/>
      <c r="L29" s="1003" t="str">
        <f t="shared" si="1"/>
        <v xml:space="preserve"> </v>
      </c>
      <c r="M29" s="1003" t="str">
        <f t="shared" si="2"/>
        <v xml:space="preserve"> </v>
      </c>
      <c r="N29" s="1171" t="str">
        <f t="shared" si="22"/>
        <v xml:space="preserve"> </v>
      </c>
      <c r="O29" s="1184" t="str">
        <f>IF(D29="","",VLOOKUP(D29,'Simplified Tables'!$C$8:$L$17,2,FALSE))</f>
        <v/>
      </c>
      <c r="P29" s="90"/>
      <c r="Q29" s="913"/>
      <c r="R29" s="1222" t="str">
        <f t="shared" si="23"/>
        <v/>
      </c>
      <c r="S29" s="90"/>
      <c r="T29" s="1024" t="str">
        <f>IF($C29="","",VLOOKUP($D29,'Simplified Tables'!$C$8:$L$17,T$11,FALSE))</f>
        <v/>
      </c>
      <c r="U29" s="782"/>
      <c r="V29" s="1026" t="str">
        <f>IF($C29="","",VLOOKUP($D29,'Simplified Tables'!$C$8:$L$17,V$11,FALSE))</f>
        <v/>
      </c>
      <c r="W29" s="782"/>
      <c r="X29" s="1026" t="str">
        <f>IF($C29="","",VLOOKUP($D29,'Simplified Tables'!$C$8:$L$17,X$11,FALSE))</f>
        <v/>
      </c>
      <c r="Y29" s="782"/>
      <c r="Z29" s="1026" t="str">
        <f>IF($C29="","",VLOOKUP($D29,'Simplified Tables'!$C$8:$L$17,Z$11,FALSE))</f>
        <v/>
      </c>
      <c r="AA29" s="782"/>
      <c r="AB29" s="1026" t="str">
        <f>IF($C29="","",VLOOKUP($D29,'Simplified Tables'!$C$8:$L$17,AB$11,FALSE))</f>
        <v/>
      </c>
      <c r="AC29" s="782"/>
      <c r="AD29" s="1026" t="str">
        <f>IF($C29="","",VLOOKUP($D29,'Simplified Tables'!$C$8:$L$17,AD$11,FALSE))</f>
        <v/>
      </c>
      <c r="AE29" s="782"/>
      <c r="AF29" s="1026" t="str">
        <f>IF($C29="","",VLOOKUP($D29,'Simplified Tables'!$C$8:$L$17,AF$11,FALSE))</f>
        <v/>
      </c>
      <c r="AG29" s="782"/>
      <c r="AH29" s="1026" t="str">
        <f>IF($C29="","",VLOOKUP($D29,'Simplified Tables'!$C$8:$L$17,AH$11,FALSE))</f>
        <v/>
      </c>
      <c r="AI29" s="782"/>
      <c r="AJ29" s="992" t="str">
        <f t="shared" ref="AJ29:AJ46" si="27">IF(AW29="","",IF(AW29=TRUE,"Complete","Incomplete"))</f>
        <v/>
      </c>
      <c r="AK29" s="507"/>
      <c r="AL29" s="508">
        <f t="shared" si="4"/>
        <v>0</v>
      </c>
      <c r="AM29" s="508">
        <f t="shared" si="5"/>
        <v>0</v>
      </c>
      <c r="AN29" s="508">
        <f t="shared" si="6"/>
        <v>0</v>
      </c>
      <c r="AO29" s="508">
        <f t="shared" si="7"/>
        <v>0</v>
      </c>
      <c r="AP29" s="508">
        <f t="shared" si="8"/>
        <v>0</v>
      </c>
      <c r="AQ29" s="508">
        <f t="shared" si="9"/>
        <v>0</v>
      </c>
      <c r="AR29" s="508">
        <f t="shared" si="10"/>
        <v>0</v>
      </c>
      <c r="AS29" s="508">
        <f t="shared" si="11"/>
        <v>0</v>
      </c>
      <c r="AT29" s="508">
        <f t="shared" si="12"/>
        <v>0</v>
      </c>
      <c r="AU29" s="508">
        <f t="shared" si="13"/>
        <v>0</v>
      </c>
      <c r="AV29" s="509">
        <f t="shared" si="14"/>
        <v>0</v>
      </c>
      <c r="AW29" s="510" t="str">
        <f t="shared" si="15"/>
        <v/>
      </c>
      <c r="AZ29" s="1218" t="str">
        <f t="shared" si="16"/>
        <v/>
      </c>
      <c r="BA29" s="1190">
        <f t="shared" si="24"/>
        <v>0</v>
      </c>
      <c r="BB29" s="1190" t="str">
        <f t="shared" si="17"/>
        <v xml:space="preserve"> </v>
      </c>
      <c r="BC29" s="1190" t="str">
        <f t="shared" si="18"/>
        <v xml:space="preserve"> </v>
      </c>
      <c r="BD29" s="1190" t="str">
        <f>IFERROR(IF(BA29&gt;0,ROUND(BA29*BC29,0)," "),"")</f>
        <v xml:space="preserve"> </v>
      </c>
      <c r="BE29" s="1219" t="str">
        <f t="shared" si="20"/>
        <v/>
      </c>
      <c r="BF29" s="1219" t="str">
        <f t="shared" si="25"/>
        <v/>
      </c>
      <c r="BG29" s="1190" t="str">
        <f t="shared" si="21"/>
        <v/>
      </c>
      <c r="BI29" s="510" t="s">
        <v>756</v>
      </c>
      <c r="BJ29" s="510">
        <v>45</v>
      </c>
    </row>
    <row r="30" spans="1:62" s="510" customFormat="1" ht="15" customHeight="1" x14ac:dyDescent="0.25">
      <c r="A30" s="470">
        <v>9</v>
      </c>
      <c r="B30" s="1614"/>
      <c r="C30" s="1168" t="str">
        <f t="shared" si="0"/>
        <v/>
      </c>
      <c r="D30" s="1795"/>
      <c r="E30" s="1795"/>
      <c r="F30" s="1795"/>
      <c r="G30" s="1796"/>
      <c r="H30" s="1380"/>
      <c r="I30" s="1377"/>
      <c r="J30" s="1006"/>
      <c r="K30" s="1007"/>
      <c r="L30" s="1003" t="str">
        <f t="shared" si="1"/>
        <v xml:space="preserve"> </v>
      </c>
      <c r="M30" s="1003" t="str">
        <f t="shared" si="2"/>
        <v xml:space="preserve"> </v>
      </c>
      <c r="N30" s="1171" t="str">
        <f t="shared" si="22"/>
        <v xml:space="preserve"> </v>
      </c>
      <c r="O30" s="1184" t="str">
        <f>IF(D30="","",VLOOKUP(D30,'Simplified Tables'!$C$8:$L$17,2,FALSE))</f>
        <v/>
      </c>
      <c r="P30" s="90"/>
      <c r="Q30" s="913"/>
      <c r="R30" s="1222" t="str">
        <f t="shared" si="23"/>
        <v/>
      </c>
      <c r="S30" s="90"/>
      <c r="T30" s="1024" t="str">
        <f>IF($C30="","",VLOOKUP($D30,'Simplified Tables'!$C$8:$L$17,T$11,FALSE))</f>
        <v/>
      </c>
      <c r="U30" s="782"/>
      <c r="V30" s="1026" t="str">
        <f>IF($C30="","",VLOOKUP($D30,'Simplified Tables'!$C$8:$L$17,V$11,FALSE))</f>
        <v/>
      </c>
      <c r="W30" s="782"/>
      <c r="X30" s="1026" t="str">
        <f>IF($C30="","",VLOOKUP($D30,'Simplified Tables'!$C$8:$L$17,X$11,FALSE))</f>
        <v/>
      </c>
      <c r="Y30" s="782"/>
      <c r="Z30" s="1026" t="str">
        <f>IF($C30="","",VLOOKUP($D30,'Simplified Tables'!$C$8:$L$17,Z$11,FALSE))</f>
        <v/>
      </c>
      <c r="AA30" s="782"/>
      <c r="AB30" s="1026" t="str">
        <f>IF($C30="","",VLOOKUP($D30,'Simplified Tables'!$C$8:$L$17,AB$11,FALSE))</f>
        <v/>
      </c>
      <c r="AC30" s="782"/>
      <c r="AD30" s="1026" t="str">
        <f>IF($C30="","",VLOOKUP($D30,'Simplified Tables'!$C$8:$L$17,AD$11,FALSE))</f>
        <v/>
      </c>
      <c r="AE30" s="782"/>
      <c r="AF30" s="1026" t="str">
        <f>IF($C30="","",VLOOKUP($D30,'Simplified Tables'!$C$8:$L$17,AF$11,FALSE))</f>
        <v/>
      </c>
      <c r="AG30" s="782"/>
      <c r="AH30" s="1026" t="str">
        <f>IF($C30="","",VLOOKUP($D30,'Simplified Tables'!$C$8:$L$17,AH$11,FALSE))</f>
        <v/>
      </c>
      <c r="AI30" s="782"/>
      <c r="AJ30" s="992" t="str">
        <f t="shared" si="27"/>
        <v/>
      </c>
      <c r="AK30" s="507"/>
      <c r="AL30" s="508">
        <f t="shared" si="4"/>
        <v>0</v>
      </c>
      <c r="AM30" s="508">
        <f t="shared" si="5"/>
        <v>0</v>
      </c>
      <c r="AN30" s="508">
        <f t="shared" si="6"/>
        <v>0</v>
      </c>
      <c r="AO30" s="508">
        <f t="shared" si="7"/>
        <v>0</v>
      </c>
      <c r="AP30" s="508">
        <f t="shared" si="8"/>
        <v>0</v>
      </c>
      <c r="AQ30" s="508">
        <f t="shared" si="9"/>
        <v>0</v>
      </c>
      <c r="AR30" s="508">
        <f t="shared" si="10"/>
        <v>0</v>
      </c>
      <c r="AS30" s="508">
        <f t="shared" si="11"/>
        <v>0</v>
      </c>
      <c r="AT30" s="508">
        <f t="shared" si="12"/>
        <v>0</v>
      </c>
      <c r="AU30" s="508">
        <f t="shared" si="13"/>
        <v>0</v>
      </c>
      <c r="AV30" s="509">
        <f t="shared" si="14"/>
        <v>0</v>
      </c>
      <c r="AW30" s="510" t="str">
        <f t="shared" si="15"/>
        <v/>
      </c>
      <c r="AZ30" s="1218" t="str">
        <f t="shared" si="16"/>
        <v/>
      </c>
      <c r="BA30" s="1190">
        <f t="shared" si="24"/>
        <v>0</v>
      </c>
      <c r="BB30" s="1190" t="str">
        <f t="shared" si="17"/>
        <v xml:space="preserve"> </v>
      </c>
      <c r="BC30" s="1190" t="str">
        <f t="shared" si="18"/>
        <v xml:space="preserve"> </v>
      </c>
      <c r="BD30" s="1190" t="str">
        <f t="shared" si="26"/>
        <v xml:space="preserve"> </v>
      </c>
      <c r="BE30" s="1219" t="str">
        <f t="shared" si="20"/>
        <v/>
      </c>
      <c r="BF30" s="1219" t="str">
        <f t="shared" si="25"/>
        <v/>
      </c>
      <c r="BG30" s="1190" t="str">
        <f t="shared" si="21"/>
        <v/>
      </c>
      <c r="BI30" s="510" t="s">
        <v>757</v>
      </c>
      <c r="BJ30" s="510">
        <v>45</v>
      </c>
    </row>
    <row r="31" spans="1:62" s="510" customFormat="1" ht="15" customHeight="1" x14ac:dyDescent="0.25">
      <c r="A31" s="470">
        <v>10</v>
      </c>
      <c r="B31" s="1614"/>
      <c r="C31" s="1168" t="str">
        <f t="shared" si="0"/>
        <v/>
      </c>
      <c r="D31" s="1795"/>
      <c r="E31" s="1795"/>
      <c r="F31" s="1795"/>
      <c r="G31" s="1796"/>
      <c r="H31" s="1380"/>
      <c r="I31" s="1377"/>
      <c r="J31" s="1006"/>
      <c r="K31" s="1007"/>
      <c r="L31" s="1003" t="str">
        <f t="shared" si="1"/>
        <v xml:space="preserve"> </v>
      </c>
      <c r="M31" s="1003" t="str">
        <f t="shared" si="2"/>
        <v xml:space="preserve"> </v>
      </c>
      <c r="N31" s="1171" t="str">
        <f t="shared" si="22"/>
        <v xml:space="preserve"> </v>
      </c>
      <c r="O31" s="1184" t="str">
        <f>IF(D31="","",VLOOKUP(D31,'Simplified Tables'!$C$8:$L$17,2,FALSE))</f>
        <v/>
      </c>
      <c r="P31" s="90"/>
      <c r="Q31" s="913"/>
      <c r="R31" s="1222" t="str">
        <f t="shared" si="23"/>
        <v/>
      </c>
      <c r="S31" s="90"/>
      <c r="T31" s="1024" t="str">
        <f>IF($C31="","",VLOOKUP($D31,'Simplified Tables'!$C$8:$L$17,T$11,FALSE))</f>
        <v/>
      </c>
      <c r="U31" s="782"/>
      <c r="V31" s="1026" t="str">
        <f>IF($C31="","",VLOOKUP($D31,'Simplified Tables'!$C$8:$L$17,V$11,FALSE))</f>
        <v/>
      </c>
      <c r="W31" s="782"/>
      <c r="X31" s="1026" t="str">
        <f>IF($C31="","",VLOOKUP($D31,'Simplified Tables'!$C$8:$L$17,X$11,FALSE))</f>
        <v/>
      </c>
      <c r="Y31" s="782"/>
      <c r="Z31" s="1026" t="str">
        <f>IF($C31="","",VLOOKUP($D31,'Simplified Tables'!$C$8:$L$17,Z$11,FALSE))</f>
        <v/>
      </c>
      <c r="AA31" s="782"/>
      <c r="AB31" s="1026" t="str">
        <f>IF($C31="","",VLOOKUP($D31,'Simplified Tables'!$C$8:$L$17,AB$11,FALSE))</f>
        <v/>
      </c>
      <c r="AC31" s="782"/>
      <c r="AD31" s="1026" t="str">
        <f>IF($C31="","",VLOOKUP($D31,'Simplified Tables'!$C$8:$L$17,AD$11,FALSE))</f>
        <v/>
      </c>
      <c r="AE31" s="782"/>
      <c r="AF31" s="1026" t="str">
        <f>IF($C31="","",VLOOKUP($D31,'Simplified Tables'!$C$8:$L$17,AF$11,FALSE))</f>
        <v/>
      </c>
      <c r="AG31" s="782"/>
      <c r="AH31" s="1026" t="str">
        <f>IF($C31="","",VLOOKUP($D31,'Simplified Tables'!$C$8:$L$17,AH$11,FALSE))</f>
        <v/>
      </c>
      <c r="AI31" s="782"/>
      <c r="AJ31" s="992" t="str">
        <f t="shared" si="27"/>
        <v/>
      </c>
      <c r="AK31" s="507"/>
      <c r="AL31" s="508">
        <f t="shared" si="4"/>
        <v>0</v>
      </c>
      <c r="AM31" s="508">
        <f t="shared" si="5"/>
        <v>0</v>
      </c>
      <c r="AN31" s="508">
        <f t="shared" si="6"/>
        <v>0</v>
      </c>
      <c r="AO31" s="508">
        <f t="shared" si="7"/>
        <v>0</v>
      </c>
      <c r="AP31" s="508">
        <f t="shared" si="8"/>
        <v>0</v>
      </c>
      <c r="AQ31" s="508">
        <f t="shared" si="9"/>
        <v>0</v>
      </c>
      <c r="AR31" s="508">
        <f t="shared" si="10"/>
        <v>0</v>
      </c>
      <c r="AS31" s="508">
        <f t="shared" si="11"/>
        <v>0</v>
      </c>
      <c r="AT31" s="508">
        <f t="shared" si="12"/>
        <v>0</v>
      </c>
      <c r="AU31" s="508">
        <f t="shared" si="13"/>
        <v>0</v>
      </c>
      <c r="AV31" s="509">
        <f t="shared" si="14"/>
        <v>0</v>
      </c>
      <c r="AW31" s="510" t="str">
        <f t="shared" si="15"/>
        <v/>
      </c>
      <c r="AZ31" s="1218" t="str">
        <f t="shared" si="16"/>
        <v/>
      </c>
      <c r="BA31" s="1190">
        <f t="shared" si="24"/>
        <v>0</v>
      </c>
      <c r="BB31" s="1190" t="str">
        <f t="shared" si="17"/>
        <v xml:space="preserve"> </v>
      </c>
      <c r="BC31" s="1190" t="str">
        <f t="shared" si="18"/>
        <v xml:space="preserve"> </v>
      </c>
      <c r="BD31" s="1190" t="str">
        <f t="shared" si="26"/>
        <v xml:space="preserve"> </v>
      </c>
      <c r="BE31" s="1219" t="str">
        <f t="shared" si="20"/>
        <v/>
      </c>
      <c r="BF31" s="1219" t="str">
        <f t="shared" si="25"/>
        <v/>
      </c>
      <c r="BG31" s="1190" t="str">
        <f t="shared" si="21"/>
        <v/>
      </c>
      <c r="BI31" s="510" t="s">
        <v>759</v>
      </c>
      <c r="BJ31" s="510">
        <v>45</v>
      </c>
    </row>
    <row r="32" spans="1:62" s="510" customFormat="1" ht="15" customHeight="1" x14ac:dyDescent="0.25">
      <c r="A32" s="470">
        <v>11</v>
      </c>
      <c r="B32" s="1614"/>
      <c r="C32" s="1168" t="str">
        <f t="shared" si="0"/>
        <v/>
      </c>
      <c r="D32" s="1795"/>
      <c r="E32" s="1795"/>
      <c r="F32" s="1795"/>
      <c r="G32" s="1796"/>
      <c r="H32" s="1380"/>
      <c r="I32" s="1377"/>
      <c r="J32" s="1006"/>
      <c r="K32" s="1007"/>
      <c r="L32" s="1003" t="str">
        <f t="shared" si="1"/>
        <v xml:space="preserve"> </v>
      </c>
      <c r="M32" s="1003" t="str">
        <f t="shared" si="2"/>
        <v xml:space="preserve"> </v>
      </c>
      <c r="N32" s="1171" t="str">
        <f t="shared" si="22"/>
        <v xml:space="preserve"> </v>
      </c>
      <c r="O32" s="1184" t="str">
        <f>IF(D32="","",VLOOKUP(D32,'Simplified Tables'!$C$8:$L$17,2,FALSE))</f>
        <v/>
      </c>
      <c r="P32" s="90"/>
      <c r="Q32" s="913"/>
      <c r="R32" s="1222" t="str">
        <f t="shared" si="23"/>
        <v/>
      </c>
      <c r="S32" s="90"/>
      <c r="T32" s="1024" t="str">
        <f>IF($C32="","",VLOOKUP($D32,'Simplified Tables'!$C$8:$L$17,T$11,FALSE))</f>
        <v/>
      </c>
      <c r="U32" s="782"/>
      <c r="V32" s="1026" t="str">
        <f>IF($C32="","",VLOOKUP($D32,'Simplified Tables'!$C$8:$L$17,V$11,FALSE))</f>
        <v/>
      </c>
      <c r="W32" s="782"/>
      <c r="X32" s="1026" t="str">
        <f>IF($C32="","",VLOOKUP($D32,'Simplified Tables'!$C$8:$L$17,X$11,FALSE))</f>
        <v/>
      </c>
      <c r="Y32" s="782"/>
      <c r="Z32" s="1026" t="str">
        <f>IF($C32="","",VLOOKUP($D32,'Simplified Tables'!$C$8:$L$17,Z$11,FALSE))</f>
        <v/>
      </c>
      <c r="AA32" s="782"/>
      <c r="AB32" s="1026" t="str">
        <f>IF($C32="","",VLOOKUP($D32,'Simplified Tables'!$C$8:$L$17,AB$11,FALSE))</f>
        <v/>
      </c>
      <c r="AC32" s="782"/>
      <c r="AD32" s="1026" t="str">
        <f>IF($C32="","",VLOOKUP($D32,'Simplified Tables'!$C$8:$L$17,AD$11,FALSE))</f>
        <v/>
      </c>
      <c r="AE32" s="782"/>
      <c r="AF32" s="1026" t="str">
        <f>IF($C32="","",VLOOKUP($D32,'Simplified Tables'!$C$8:$L$17,AF$11,FALSE))</f>
        <v/>
      </c>
      <c r="AG32" s="782"/>
      <c r="AH32" s="1026" t="str">
        <f>IF($C32="","",VLOOKUP($D32,'Simplified Tables'!$C$8:$L$17,AH$11,FALSE))</f>
        <v/>
      </c>
      <c r="AI32" s="782"/>
      <c r="AJ32" s="992" t="str">
        <f t="shared" si="27"/>
        <v/>
      </c>
      <c r="AK32" s="507"/>
      <c r="AL32" s="508">
        <f t="shared" si="4"/>
        <v>0</v>
      </c>
      <c r="AM32" s="508">
        <f t="shared" si="5"/>
        <v>0</v>
      </c>
      <c r="AN32" s="508">
        <f t="shared" si="6"/>
        <v>0</v>
      </c>
      <c r="AO32" s="508">
        <f t="shared" si="7"/>
        <v>0</v>
      </c>
      <c r="AP32" s="508">
        <f t="shared" si="8"/>
        <v>0</v>
      </c>
      <c r="AQ32" s="508">
        <f t="shared" si="9"/>
        <v>0</v>
      </c>
      <c r="AR32" s="508">
        <f t="shared" si="10"/>
        <v>0</v>
      </c>
      <c r="AS32" s="508">
        <f t="shared" si="11"/>
        <v>0</v>
      </c>
      <c r="AT32" s="508">
        <f t="shared" si="12"/>
        <v>0</v>
      </c>
      <c r="AU32" s="508">
        <f t="shared" si="13"/>
        <v>0</v>
      </c>
      <c r="AV32" s="509">
        <f t="shared" si="14"/>
        <v>0</v>
      </c>
      <c r="AW32" s="510" t="str">
        <f t="shared" si="15"/>
        <v/>
      </c>
      <c r="AZ32" s="1218" t="str">
        <f t="shared" si="16"/>
        <v/>
      </c>
      <c r="BA32" s="1190">
        <f t="shared" si="24"/>
        <v>0</v>
      </c>
      <c r="BB32" s="1190" t="str">
        <f t="shared" si="17"/>
        <v xml:space="preserve"> </v>
      </c>
      <c r="BC32" s="1190" t="str">
        <f t="shared" si="18"/>
        <v xml:space="preserve"> </v>
      </c>
      <c r="BD32" s="1190" t="str">
        <f t="shared" si="26"/>
        <v xml:space="preserve"> </v>
      </c>
      <c r="BE32" s="1219" t="str">
        <f t="shared" si="20"/>
        <v/>
      </c>
      <c r="BF32" s="1219" t="str">
        <f t="shared" si="25"/>
        <v/>
      </c>
      <c r="BG32" s="1190" t="str">
        <f t="shared" si="21"/>
        <v/>
      </c>
    </row>
    <row r="33" spans="1:59" s="510" customFormat="1" ht="15" customHeight="1" x14ac:dyDescent="0.25">
      <c r="A33" s="470">
        <v>12</v>
      </c>
      <c r="B33" s="1614"/>
      <c r="C33" s="1168" t="str">
        <f t="shared" si="0"/>
        <v/>
      </c>
      <c r="D33" s="1795"/>
      <c r="E33" s="1795"/>
      <c r="F33" s="1795"/>
      <c r="G33" s="1796"/>
      <c r="H33" s="1380"/>
      <c r="I33" s="1377"/>
      <c r="J33" s="1006"/>
      <c r="K33" s="1007"/>
      <c r="L33" s="1003" t="str">
        <f t="shared" si="1"/>
        <v xml:space="preserve"> </v>
      </c>
      <c r="M33" s="1003" t="str">
        <f t="shared" si="2"/>
        <v xml:space="preserve"> </v>
      </c>
      <c r="N33" s="1171" t="str">
        <f t="shared" si="22"/>
        <v xml:space="preserve"> </v>
      </c>
      <c r="O33" s="1184" t="str">
        <f>IF(D33="","",VLOOKUP(D33,'Simplified Tables'!$C$8:$L$17,2,FALSE))</f>
        <v/>
      </c>
      <c r="P33" s="90"/>
      <c r="Q33" s="913"/>
      <c r="R33" s="1222" t="str">
        <f t="shared" si="23"/>
        <v/>
      </c>
      <c r="S33" s="90"/>
      <c r="T33" s="1024" t="str">
        <f>IF($C33="","",VLOOKUP($D33,'Simplified Tables'!$C$8:$L$17,T$11,FALSE))</f>
        <v/>
      </c>
      <c r="U33" s="782"/>
      <c r="V33" s="1026" t="str">
        <f>IF($C33="","",VLOOKUP($D33,'Simplified Tables'!$C$8:$L$17,V$11,FALSE))</f>
        <v/>
      </c>
      <c r="W33" s="782"/>
      <c r="X33" s="1026" t="str">
        <f>IF($C33="","",VLOOKUP($D33,'Simplified Tables'!$C$8:$L$17,X$11,FALSE))</f>
        <v/>
      </c>
      <c r="Y33" s="782"/>
      <c r="Z33" s="1026" t="str">
        <f>IF($C33="","",VLOOKUP($D33,'Simplified Tables'!$C$8:$L$17,Z$11,FALSE))</f>
        <v/>
      </c>
      <c r="AA33" s="782"/>
      <c r="AB33" s="1026" t="str">
        <f>IF($C33="","",VLOOKUP($D33,'Simplified Tables'!$C$8:$L$17,AB$11,FALSE))</f>
        <v/>
      </c>
      <c r="AC33" s="782"/>
      <c r="AD33" s="1026" t="str">
        <f>IF($C33="","",VLOOKUP($D33,'Simplified Tables'!$C$8:$L$17,AD$11,FALSE))</f>
        <v/>
      </c>
      <c r="AE33" s="782"/>
      <c r="AF33" s="1026" t="str">
        <f>IF($C33="","",VLOOKUP($D33,'Simplified Tables'!$C$8:$L$17,AF$11,FALSE))</f>
        <v/>
      </c>
      <c r="AG33" s="782"/>
      <c r="AH33" s="1026" t="str">
        <f>IF($C33="","",VLOOKUP($D33,'Simplified Tables'!$C$8:$L$17,AH$11,FALSE))</f>
        <v/>
      </c>
      <c r="AI33" s="782"/>
      <c r="AJ33" s="992" t="str">
        <f t="shared" si="27"/>
        <v/>
      </c>
      <c r="AK33" s="507"/>
      <c r="AL33" s="508">
        <f t="shared" si="4"/>
        <v>0</v>
      </c>
      <c r="AM33" s="508">
        <f t="shared" si="5"/>
        <v>0</v>
      </c>
      <c r="AN33" s="508">
        <f t="shared" si="6"/>
        <v>0</v>
      </c>
      <c r="AO33" s="508">
        <f t="shared" si="7"/>
        <v>0</v>
      </c>
      <c r="AP33" s="508">
        <f t="shared" si="8"/>
        <v>0</v>
      </c>
      <c r="AQ33" s="508">
        <f t="shared" si="9"/>
        <v>0</v>
      </c>
      <c r="AR33" s="508">
        <f t="shared" si="10"/>
        <v>0</v>
      </c>
      <c r="AS33" s="508">
        <f t="shared" si="11"/>
        <v>0</v>
      </c>
      <c r="AT33" s="508">
        <f t="shared" si="12"/>
        <v>0</v>
      </c>
      <c r="AU33" s="508">
        <f t="shared" si="13"/>
        <v>0</v>
      </c>
      <c r="AV33" s="509">
        <f t="shared" si="14"/>
        <v>0</v>
      </c>
      <c r="AW33" s="510" t="str">
        <f t="shared" si="15"/>
        <v/>
      </c>
      <c r="AZ33" s="1218" t="str">
        <f t="shared" ref="AZ33:AZ46" si="28">IF(D33="","",IF(Q33="","ERROR",Q33))</f>
        <v/>
      </c>
      <c r="BA33" s="1190">
        <f t="shared" ref="BA33:BA46" si="29">K33</f>
        <v>0</v>
      </c>
      <c r="BB33" s="1190" t="str">
        <f t="shared" si="17"/>
        <v xml:space="preserve"> </v>
      </c>
      <c r="BC33" s="1190" t="str">
        <f t="shared" si="18"/>
        <v xml:space="preserve"> </v>
      </c>
      <c r="BD33" s="1190" t="str">
        <f t="shared" ref="BD33:BD46" si="30">IFERROR(IF(BA33&gt;0,ROUND(BA33*BC33,0)," "),"")</f>
        <v xml:space="preserve"> </v>
      </c>
      <c r="BE33" s="1219" t="str">
        <f t="shared" ref="BE33:BE46" si="31">IFERROR(ROUND(1-(N33/BD33),2),"")</f>
        <v/>
      </c>
      <c r="BF33" s="1219" t="str">
        <f t="shared" si="25"/>
        <v/>
      </c>
      <c r="BG33" s="1190" t="str">
        <f t="shared" ref="BG33:BG46" si="32">IF(D33="","",IF(AZ33="ERROR",1,IF(OR(ISNUMBER(SEARCH("Track",AZ33)),BE33&gt;=BF33),0,1)))</f>
        <v/>
      </c>
    </row>
    <row r="34" spans="1:59" s="510" customFormat="1" ht="15" customHeight="1" x14ac:dyDescent="0.25">
      <c r="A34" s="470">
        <v>13</v>
      </c>
      <c r="B34" s="1614"/>
      <c r="C34" s="1168" t="str">
        <f t="shared" si="0"/>
        <v/>
      </c>
      <c r="D34" s="1795"/>
      <c r="E34" s="1795"/>
      <c r="F34" s="1795"/>
      <c r="G34" s="1796"/>
      <c r="H34" s="1380"/>
      <c r="I34" s="1377"/>
      <c r="J34" s="1006"/>
      <c r="K34" s="1007"/>
      <c r="L34" s="1003" t="str">
        <f t="shared" si="1"/>
        <v xml:space="preserve"> </v>
      </c>
      <c r="M34" s="1003" t="str">
        <f t="shared" si="2"/>
        <v xml:space="preserve"> </v>
      </c>
      <c r="N34" s="1171" t="str">
        <f t="shared" si="22"/>
        <v xml:space="preserve"> </v>
      </c>
      <c r="O34" s="1184" t="str">
        <f>IF(D34="","",VLOOKUP(D34,'Simplified Tables'!$C$8:$L$17,2,FALSE))</f>
        <v/>
      </c>
      <c r="P34" s="90"/>
      <c r="Q34" s="913"/>
      <c r="R34" s="1222" t="str">
        <f t="shared" si="23"/>
        <v/>
      </c>
      <c r="S34" s="90"/>
      <c r="T34" s="1024" t="str">
        <f>IF($C34="","",VLOOKUP($D34,'Simplified Tables'!$C$8:$L$17,T$11,FALSE))</f>
        <v/>
      </c>
      <c r="U34" s="782"/>
      <c r="V34" s="1026" t="str">
        <f>IF($C34="","",VLOOKUP($D34,'Simplified Tables'!$C$8:$L$17,V$11,FALSE))</f>
        <v/>
      </c>
      <c r="W34" s="782"/>
      <c r="X34" s="1026" t="str">
        <f>IF($C34="","",VLOOKUP($D34,'Simplified Tables'!$C$8:$L$17,X$11,FALSE))</f>
        <v/>
      </c>
      <c r="Y34" s="782"/>
      <c r="Z34" s="1026" t="str">
        <f>IF($C34="","",VLOOKUP($D34,'Simplified Tables'!$C$8:$L$17,Z$11,FALSE))</f>
        <v/>
      </c>
      <c r="AA34" s="782"/>
      <c r="AB34" s="1026" t="str">
        <f>IF($C34="","",VLOOKUP($D34,'Simplified Tables'!$C$8:$L$17,AB$11,FALSE))</f>
        <v/>
      </c>
      <c r="AC34" s="782"/>
      <c r="AD34" s="1026" t="str">
        <f>IF($C34="","",VLOOKUP($D34,'Simplified Tables'!$C$8:$L$17,AD$11,FALSE))</f>
        <v/>
      </c>
      <c r="AE34" s="782"/>
      <c r="AF34" s="1026" t="str">
        <f>IF($C34="","",VLOOKUP($D34,'Simplified Tables'!$C$8:$L$17,AF$11,FALSE))</f>
        <v/>
      </c>
      <c r="AG34" s="782"/>
      <c r="AH34" s="1026" t="str">
        <f>IF($C34="","",VLOOKUP($D34,'Simplified Tables'!$C$8:$L$17,AH$11,FALSE))</f>
        <v/>
      </c>
      <c r="AI34" s="782"/>
      <c r="AJ34" s="992" t="str">
        <f t="shared" si="27"/>
        <v/>
      </c>
      <c r="AK34" s="507"/>
      <c r="AL34" s="508">
        <f t="shared" si="4"/>
        <v>0</v>
      </c>
      <c r="AM34" s="508">
        <f t="shared" si="5"/>
        <v>0</v>
      </c>
      <c r="AN34" s="508">
        <f t="shared" si="6"/>
        <v>0</v>
      </c>
      <c r="AO34" s="508">
        <f t="shared" si="7"/>
        <v>0</v>
      </c>
      <c r="AP34" s="508">
        <f t="shared" si="8"/>
        <v>0</v>
      </c>
      <c r="AQ34" s="508">
        <f t="shared" si="9"/>
        <v>0</v>
      </c>
      <c r="AR34" s="508">
        <f t="shared" si="10"/>
        <v>0</v>
      </c>
      <c r="AS34" s="508">
        <f t="shared" si="11"/>
        <v>0</v>
      </c>
      <c r="AT34" s="508">
        <f t="shared" si="12"/>
        <v>0</v>
      </c>
      <c r="AU34" s="508">
        <f t="shared" si="13"/>
        <v>0</v>
      </c>
      <c r="AV34" s="509">
        <f t="shared" si="14"/>
        <v>0</v>
      </c>
      <c r="AW34" s="510" t="str">
        <f t="shared" si="15"/>
        <v/>
      </c>
      <c r="AZ34" s="1218" t="str">
        <f t="shared" si="28"/>
        <v/>
      </c>
      <c r="BA34" s="1190">
        <f t="shared" si="29"/>
        <v>0</v>
      </c>
      <c r="BB34" s="1190" t="str">
        <f t="shared" si="17"/>
        <v xml:space="preserve"> </v>
      </c>
      <c r="BC34" s="1190" t="str">
        <f t="shared" si="18"/>
        <v xml:space="preserve"> </v>
      </c>
      <c r="BD34" s="1190" t="str">
        <f t="shared" si="30"/>
        <v xml:space="preserve"> </v>
      </c>
      <c r="BE34" s="1219" t="str">
        <f t="shared" si="31"/>
        <v/>
      </c>
      <c r="BF34" s="1219" t="str">
        <f t="shared" si="25"/>
        <v/>
      </c>
      <c r="BG34" s="1190" t="str">
        <f t="shared" si="32"/>
        <v/>
      </c>
    </row>
    <row r="35" spans="1:59" s="510" customFormat="1" ht="15" customHeight="1" x14ac:dyDescent="0.25">
      <c r="A35" s="470">
        <v>14</v>
      </c>
      <c r="B35" s="1614"/>
      <c r="C35" s="1168" t="str">
        <f t="shared" si="0"/>
        <v/>
      </c>
      <c r="D35" s="1795"/>
      <c r="E35" s="1795"/>
      <c r="F35" s="1795"/>
      <c r="G35" s="1796"/>
      <c r="H35" s="1380"/>
      <c r="I35" s="1377"/>
      <c r="J35" s="1006"/>
      <c r="K35" s="1007"/>
      <c r="L35" s="1003" t="str">
        <f t="shared" si="1"/>
        <v xml:space="preserve"> </v>
      </c>
      <c r="M35" s="1003" t="str">
        <f t="shared" si="2"/>
        <v xml:space="preserve"> </v>
      </c>
      <c r="N35" s="1171" t="str">
        <f t="shared" si="22"/>
        <v xml:space="preserve"> </v>
      </c>
      <c r="O35" s="1184" t="str">
        <f>IF(D35="","",VLOOKUP(D35,'Simplified Tables'!$C$8:$L$17,2,FALSE))</f>
        <v/>
      </c>
      <c r="P35" s="90"/>
      <c r="Q35" s="913"/>
      <c r="R35" s="1222" t="str">
        <f t="shared" si="23"/>
        <v/>
      </c>
      <c r="S35" s="90"/>
      <c r="T35" s="1024" t="str">
        <f>IF($C35="","",VLOOKUP($D35,'Simplified Tables'!$C$8:$L$17,T$11,FALSE))</f>
        <v/>
      </c>
      <c r="U35" s="782"/>
      <c r="V35" s="1026" t="str">
        <f>IF($C35="","",VLOOKUP($D35,'Simplified Tables'!$C$8:$L$17,V$11,FALSE))</f>
        <v/>
      </c>
      <c r="W35" s="782"/>
      <c r="X35" s="1026" t="str">
        <f>IF($C35="","",VLOOKUP($D35,'Simplified Tables'!$C$8:$L$17,X$11,FALSE))</f>
        <v/>
      </c>
      <c r="Y35" s="782"/>
      <c r="Z35" s="1026" t="str">
        <f>IF($C35="","",VLOOKUP($D35,'Simplified Tables'!$C$8:$L$17,Z$11,FALSE))</f>
        <v/>
      </c>
      <c r="AA35" s="782"/>
      <c r="AB35" s="1026" t="str">
        <f>IF($C35="","",VLOOKUP($D35,'Simplified Tables'!$C$8:$L$17,AB$11,FALSE))</f>
        <v/>
      </c>
      <c r="AC35" s="782"/>
      <c r="AD35" s="1026" t="str">
        <f>IF($C35="","",VLOOKUP($D35,'Simplified Tables'!$C$8:$L$17,AD$11,FALSE))</f>
        <v/>
      </c>
      <c r="AE35" s="782"/>
      <c r="AF35" s="1026" t="str">
        <f>IF($C35="","",VLOOKUP($D35,'Simplified Tables'!$C$8:$L$17,AF$11,FALSE))</f>
        <v/>
      </c>
      <c r="AG35" s="782"/>
      <c r="AH35" s="1026" t="str">
        <f>IF($C35="","",VLOOKUP($D35,'Simplified Tables'!$C$8:$L$17,AH$11,FALSE))</f>
        <v/>
      </c>
      <c r="AI35" s="782"/>
      <c r="AJ35" s="992" t="str">
        <f t="shared" si="27"/>
        <v/>
      </c>
      <c r="AK35" s="507"/>
      <c r="AL35" s="508">
        <f t="shared" si="4"/>
        <v>0</v>
      </c>
      <c r="AM35" s="508">
        <f t="shared" si="5"/>
        <v>0</v>
      </c>
      <c r="AN35" s="508">
        <f t="shared" si="6"/>
        <v>0</v>
      </c>
      <c r="AO35" s="508">
        <f t="shared" si="7"/>
        <v>0</v>
      </c>
      <c r="AP35" s="508">
        <f t="shared" si="8"/>
        <v>0</v>
      </c>
      <c r="AQ35" s="508">
        <f t="shared" si="9"/>
        <v>0</v>
      </c>
      <c r="AR35" s="508">
        <f t="shared" si="10"/>
        <v>0</v>
      </c>
      <c r="AS35" s="508">
        <f t="shared" si="11"/>
        <v>0</v>
      </c>
      <c r="AT35" s="508">
        <f t="shared" si="12"/>
        <v>0</v>
      </c>
      <c r="AU35" s="508">
        <f t="shared" si="13"/>
        <v>0</v>
      </c>
      <c r="AV35" s="509">
        <f t="shared" si="14"/>
        <v>0</v>
      </c>
      <c r="AW35" s="510" t="str">
        <f t="shared" si="15"/>
        <v/>
      </c>
      <c r="AZ35" s="1218" t="str">
        <f t="shared" si="28"/>
        <v/>
      </c>
      <c r="BA35" s="1190">
        <f t="shared" si="29"/>
        <v>0</v>
      </c>
      <c r="BB35" s="1190" t="str">
        <f t="shared" si="17"/>
        <v xml:space="preserve"> </v>
      </c>
      <c r="BC35" s="1190" t="str">
        <f t="shared" si="18"/>
        <v xml:space="preserve"> </v>
      </c>
      <c r="BD35" s="1190" t="str">
        <f t="shared" si="30"/>
        <v xml:space="preserve"> </v>
      </c>
      <c r="BE35" s="1219" t="str">
        <f t="shared" si="31"/>
        <v/>
      </c>
      <c r="BF35" s="1219" t="str">
        <f t="shared" si="25"/>
        <v/>
      </c>
      <c r="BG35" s="1190" t="str">
        <f t="shared" si="32"/>
        <v/>
      </c>
    </row>
    <row r="36" spans="1:59" s="510" customFormat="1" ht="15" customHeight="1" x14ac:dyDescent="0.25">
      <c r="A36" s="470">
        <v>15</v>
      </c>
      <c r="B36" s="1614"/>
      <c r="C36" s="1168" t="str">
        <f t="shared" si="0"/>
        <v/>
      </c>
      <c r="D36" s="1795"/>
      <c r="E36" s="1795"/>
      <c r="F36" s="1795"/>
      <c r="G36" s="1796"/>
      <c r="H36" s="1380"/>
      <c r="I36" s="1377"/>
      <c r="J36" s="1006"/>
      <c r="K36" s="1007"/>
      <c r="L36" s="1003" t="str">
        <f t="shared" si="1"/>
        <v xml:space="preserve"> </v>
      </c>
      <c r="M36" s="1003" t="str">
        <f t="shared" si="2"/>
        <v xml:space="preserve"> </v>
      </c>
      <c r="N36" s="1171" t="str">
        <f t="shared" si="22"/>
        <v xml:space="preserve"> </v>
      </c>
      <c r="O36" s="1184" t="str">
        <f>IF(D36="","",VLOOKUP(D36,'Simplified Tables'!$C$8:$L$17,2,FALSE))</f>
        <v/>
      </c>
      <c r="P36" s="90"/>
      <c r="Q36" s="913"/>
      <c r="R36" s="1222" t="str">
        <f t="shared" si="23"/>
        <v/>
      </c>
      <c r="S36" s="90"/>
      <c r="T36" s="1024" t="str">
        <f>IF($C36="","",VLOOKUP($D36,'Simplified Tables'!$C$8:$L$17,T$11,FALSE))</f>
        <v/>
      </c>
      <c r="U36" s="782"/>
      <c r="V36" s="1026" t="str">
        <f>IF($C36="","",VLOOKUP($D36,'Simplified Tables'!$C$8:$L$17,V$11,FALSE))</f>
        <v/>
      </c>
      <c r="W36" s="782"/>
      <c r="X36" s="1026" t="str">
        <f>IF($C36="","",VLOOKUP($D36,'Simplified Tables'!$C$8:$L$17,X$11,FALSE))</f>
        <v/>
      </c>
      <c r="Y36" s="782"/>
      <c r="Z36" s="1026" t="str">
        <f>IF($C36="","",VLOOKUP($D36,'Simplified Tables'!$C$8:$L$17,Z$11,FALSE))</f>
        <v/>
      </c>
      <c r="AA36" s="782"/>
      <c r="AB36" s="1026" t="str">
        <f>IF($C36="","",VLOOKUP($D36,'Simplified Tables'!$C$8:$L$17,AB$11,FALSE))</f>
        <v/>
      </c>
      <c r="AC36" s="782"/>
      <c r="AD36" s="1026" t="str">
        <f>IF($C36="","",VLOOKUP($D36,'Simplified Tables'!$C$8:$L$17,AD$11,FALSE))</f>
        <v/>
      </c>
      <c r="AE36" s="782"/>
      <c r="AF36" s="1026" t="str">
        <f>IF($C36="","",VLOOKUP($D36,'Simplified Tables'!$C$8:$L$17,AF$11,FALSE))</f>
        <v/>
      </c>
      <c r="AG36" s="782"/>
      <c r="AH36" s="1026" t="str">
        <f>IF($C36="","",VLOOKUP($D36,'Simplified Tables'!$C$8:$L$17,AH$11,FALSE))</f>
        <v/>
      </c>
      <c r="AI36" s="782"/>
      <c r="AJ36" s="992" t="str">
        <f t="shared" si="27"/>
        <v/>
      </c>
      <c r="AK36" s="507"/>
      <c r="AL36" s="508">
        <f t="shared" si="4"/>
        <v>0</v>
      </c>
      <c r="AM36" s="508">
        <f t="shared" si="5"/>
        <v>0</v>
      </c>
      <c r="AN36" s="508">
        <f t="shared" si="6"/>
        <v>0</v>
      </c>
      <c r="AO36" s="508">
        <f t="shared" si="7"/>
        <v>0</v>
      </c>
      <c r="AP36" s="508">
        <f t="shared" si="8"/>
        <v>0</v>
      </c>
      <c r="AQ36" s="508">
        <f t="shared" si="9"/>
        <v>0</v>
      </c>
      <c r="AR36" s="508">
        <f t="shared" si="10"/>
        <v>0</v>
      </c>
      <c r="AS36" s="508">
        <f t="shared" si="11"/>
        <v>0</v>
      </c>
      <c r="AT36" s="508">
        <f t="shared" si="12"/>
        <v>0</v>
      </c>
      <c r="AU36" s="508">
        <f t="shared" si="13"/>
        <v>0</v>
      </c>
      <c r="AV36" s="509">
        <f t="shared" si="14"/>
        <v>0</v>
      </c>
      <c r="AW36" s="510" t="str">
        <f t="shared" si="15"/>
        <v/>
      </c>
      <c r="AZ36" s="1218" t="str">
        <f t="shared" si="28"/>
        <v/>
      </c>
      <c r="BA36" s="1190">
        <f t="shared" si="29"/>
        <v>0</v>
      </c>
      <c r="BB36" s="1190" t="str">
        <f t="shared" si="17"/>
        <v xml:space="preserve"> </v>
      </c>
      <c r="BC36" s="1190" t="str">
        <f t="shared" si="18"/>
        <v xml:space="preserve"> </v>
      </c>
      <c r="BD36" s="1190" t="str">
        <f t="shared" si="30"/>
        <v xml:space="preserve"> </v>
      </c>
      <c r="BE36" s="1219" t="str">
        <f t="shared" si="31"/>
        <v/>
      </c>
      <c r="BF36" s="1219" t="str">
        <f t="shared" si="25"/>
        <v/>
      </c>
      <c r="BG36" s="1190" t="str">
        <f t="shared" si="32"/>
        <v/>
      </c>
    </row>
    <row r="37" spans="1:59" s="510" customFormat="1" ht="15" customHeight="1" x14ac:dyDescent="0.25">
      <c r="A37" s="470">
        <v>16</v>
      </c>
      <c r="B37" s="1614"/>
      <c r="C37" s="1168" t="str">
        <f t="shared" si="0"/>
        <v/>
      </c>
      <c r="D37" s="1795"/>
      <c r="E37" s="1795"/>
      <c r="F37" s="1795"/>
      <c r="G37" s="1796"/>
      <c r="H37" s="1380"/>
      <c r="I37" s="1377"/>
      <c r="J37" s="1006"/>
      <c r="K37" s="1007"/>
      <c r="L37" s="1003" t="str">
        <f t="shared" si="1"/>
        <v xml:space="preserve"> </v>
      </c>
      <c r="M37" s="1003" t="str">
        <f t="shared" si="2"/>
        <v xml:space="preserve"> </v>
      </c>
      <c r="N37" s="1171" t="str">
        <f t="shared" si="22"/>
        <v xml:space="preserve"> </v>
      </c>
      <c r="O37" s="1184" t="str">
        <f>IF(D37="","",VLOOKUP(D37,'Simplified Tables'!$C$8:$L$17,2,FALSE))</f>
        <v/>
      </c>
      <c r="P37" s="90"/>
      <c r="Q37" s="913"/>
      <c r="R37" s="1222" t="str">
        <f t="shared" si="23"/>
        <v/>
      </c>
      <c r="S37" s="90"/>
      <c r="T37" s="1024" t="str">
        <f>IF($C37="","",VLOOKUP($D37,'Simplified Tables'!$C$8:$L$17,T$11,FALSE))</f>
        <v/>
      </c>
      <c r="U37" s="782"/>
      <c r="V37" s="1026" t="str">
        <f>IF($C37="","",VLOOKUP($D37,'Simplified Tables'!$C$8:$L$17,V$11,FALSE))</f>
        <v/>
      </c>
      <c r="W37" s="782"/>
      <c r="X37" s="1026" t="str">
        <f>IF($C37="","",VLOOKUP($D37,'Simplified Tables'!$C$8:$L$17,X$11,FALSE))</f>
        <v/>
      </c>
      <c r="Y37" s="782"/>
      <c r="Z37" s="1026" t="str">
        <f>IF($C37="","",VLOOKUP($D37,'Simplified Tables'!$C$8:$L$17,Z$11,FALSE))</f>
        <v/>
      </c>
      <c r="AA37" s="782"/>
      <c r="AB37" s="1026" t="str">
        <f>IF($C37="","",VLOOKUP($D37,'Simplified Tables'!$C$8:$L$17,AB$11,FALSE))</f>
        <v/>
      </c>
      <c r="AC37" s="782"/>
      <c r="AD37" s="1026" t="str">
        <f>IF($C37="","",VLOOKUP($D37,'Simplified Tables'!$C$8:$L$17,AD$11,FALSE))</f>
        <v/>
      </c>
      <c r="AE37" s="782"/>
      <c r="AF37" s="1026" t="str">
        <f>IF($C37="","",VLOOKUP($D37,'Simplified Tables'!$C$8:$L$17,AF$11,FALSE))</f>
        <v/>
      </c>
      <c r="AG37" s="782"/>
      <c r="AH37" s="1026" t="str">
        <f>IF($C37="","",VLOOKUP($D37,'Simplified Tables'!$C$8:$L$17,AH$11,FALSE))</f>
        <v/>
      </c>
      <c r="AI37" s="782"/>
      <c r="AJ37" s="992" t="str">
        <f t="shared" si="27"/>
        <v/>
      </c>
      <c r="AK37" s="507"/>
      <c r="AL37" s="508">
        <f t="shared" si="4"/>
        <v>0</v>
      </c>
      <c r="AM37" s="508">
        <f t="shared" si="5"/>
        <v>0</v>
      </c>
      <c r="AN37" s="508">
        <f t="shared" si="6"/>
        <v>0</v>
      </c>
      <c r="AO37" s="508">
        <f t="shared" si="7"/>
        <v>0</v>
      </c>
      <c r="AP37" s="508">
        <f t="shared" si="8"/>
        <v>0</v>
      </c>
      <c r="AQ37" s="508">
        <f t="shared" si="9"/>
        <v>0</v>
      </c>
      <c r="AR37" s="508">
        <f t="shared" si="10"/>
        <v>0</v>
      </c>
      <c r="AS37" s="508">
        <f t="shared" si="11"/>
        <v>0</v>
      </c>
      <c r="AT37" s="508">
        <f t="shared" si="12"/>
        <v>0</v>
      </c>
      <c r="AU37" s="508">
        <f t="shared" si="13"/>
        <v>0</v>
      </c>
      <c r="AV37" s="509">
        <f t="shared" si="14"/>
        <v>0</v>
      </c>
      <c r="AW37" s="510" t="str">
        <f t="shared" si="15"/>
        <v/>
      </c>
      <c r="AZ37" s="1218" t="str">
        <f t="shared" si="28"/>
        <v/>
      </c>
      <c r="BA37" s="1190">
        <f t="shared" si="29"/>
        <v>0</v>
      </c>
      <c r="BB37" s="1190" t="str">
        <f t="shared" si="17"/>
        <v xml:space="preserve"> </v>
      </c>
      <c r="BC37" s="1190" t="str">
        <f t="shared" si="18"/>
        <v xml:space="preserve"> </v>
      </c>
      <c r="BD37" s="1190" t="str">
        <f t="shared" si="30"/>
        <v xml:space="preserve"> </v>
      </c>
      <c r="BE37" s="1219" t="str">
        <f t="shared" si="31"/>
        <v/>
      </c>
      <c r="BF37" s="1219" t="str">
        <f t="shared" si="25"/>
        <v/>
      </c>
      <c r="BG37" s="1190" t="str">
        <f t="shared" si="32"/>
        <v/>
      </c>
    </row>
    <row r="38" spans="1:59" s="510" customFormat="1" ht="15" customHeight="1" x14ac:dyDescent="0.25">
      <c r="A38" s="470">
        <v>17</v>
      </c>
      <c r="B38" s="1614"/>
      <c r="C38" s="1168" t="str">
        <f t="shared" si="0"/>
        <v/>
      </c>
      <c r="D38" s="1795"/>
      <c r="E38" s="1795"/>
      <c r="F38" s="1795"/>
      <c r="G38" s="1796"/>
      <c r="H38" s="1380"/>
      <c r="I38" s="1377"/>
      <c r="J38" s="1006"/>
      <c r="K38" s="1007"/>
      <c r="L38" s="1003" t="str">
        <f t="shared" si="1"/>
        <v xml:space="preserve"> </v>
      </c>
      <c r="M38" s="1003" t="str">
        <f t="shared" si="2"/>
        <v xml:space="preserve"> </v>
      </c>
      <c r="N38" s="1171" t="str">
        <f t="shared" si="22"/>
        <v xml:space="preserve"> </v>
      </c>
      <c r="O38" s="1184" t="str">
        <f>IF(D38="","",VLOOKUP(D38,'Simplified Tables'!$C$8:$L$17,2,FALSE))</f>
        <v/>
      </c>
      <c r="P38" s="90"/>
      <c r="Q38" s="913"/>
      <c r="R38" s="1222" t="str">
        <f t="shared" si="23"/>
        <v/>
      </c>
      <c r="S38" s="90"/>
      <c r="T38" s="1024" t="str">
        <f>IF($C38="","",VLOOKUP($D38,'Simplified Tables'!$C$8:$L$17,T$11,FALSE))</f>
        <v/>
      </c>
      <c r="U38" s="782"/>
      <c r="V38" s="1026" t="str">
        <f>IF($C38="","",VLOOKUP($D38,'Simplified Tables'!$C$8:$L$17,V$11,FALSE))</f>
        <v/>
      </c>
      <c r="W38" s="782"/>
      <c r="X38" s="1026" t="str">
        <f>IF($C38="","",VLOOKUP($D38,'Simplified Tables'!$C$8:$L$17,X$11,FALSE))</f>
        <v/>
      </c>
      <c r="Y38" s="782"/>
      <c r="Z38" s="1026" t="str">
        <f>IF($C38="","",VLOOKUP($D38,'Simplified Tables'!$C$8:$L$17,Z$11,FALSE))</f>
        <v/>
      </c>
      <c r="AA38" s="782"/>
      <c r="AB38" s="1026" t="str">
        <f>IF($C38="","",VLOOKUP($D38,'Simplified Tables'!$C$8:$L$17,AB$11,FALSE))</f>
        <v/>
      </c>
      <c r="AC38" s="782"/>
      <c r="AD38" s="1026" t="str">
        <f>IF($C38="","",VLOOKUP($D38,'Simplified Tables'!$C$8:$L$17,AD$11,FALSE))</f>
        <v/>
      </c>
      <c r="AE38" s="782"/>
      <c r="AF38" s="1026" t="str">
        <f>IF($C38="","",VLOOKUP($D38,'Simplified Tables'!$C$8:$L$17,AF$11,FALSE))</f>
        <v/>
      </c>
      <c r="AG38" s="782"/>
      <c r="AH38" s="1026" t="str">
        <f>IF($C38="","",VLOOKUP($D38,'Simplified Tables'!$C$8:$L$17,AH$11,FALSE))</f>
        <v/>
      </c>
      <c r="AI38" s="782"/>
      <c r="AJ38" s="992" t="str">
        <f t="shared" si="27"/>
        <v/>
      </c>
      <c r="AK38" s="507"/>
      <c r="AL38" s="508">
        <f t="shared" si="4"/>
        <v>0</v>
      </c>
      <c r="AM38" s="508">
        <f t="shared" si="5"/>
        <v>0</v>
      </c>
      <c r="AN38" s="508">
        <f t="shared" si="6"/>
        <v>0</v>
      </c>
      <c r="AO38" s="508">
        <f t="shared" si="7"/>
        <v>0</v>
      </c>
      <c r="AP38" s="508">
        <f t="shared" si="8"/>
        <v>0</v>
      </c>
      <c r="AQ38" s="508">
        <f t="shared" si="9"/>
        <v>0</v>
      </c>
      <c r="AR38" s="508">
        <f t="shared" si="10"/>
        <v>0</v>
      </c>
      <c r="AS38" s="508">
        <f t="shared" si="11"/>
        <v>0</v>
      </c>
      <c r="AT38" s="508">
        <f t="shared" si="12"/>
        <v>0</v>
      </c>
      <c r="AU38" s="508">
        <f t="shared" si="13"/>
        <v>0</v>
      </c>
      <c r="AV38" s="509">
        <f t="shared" si="14"/>
        <v>0</v>
      </c>
      <c r="AW38" s="510" t="str">
        <f t="shared" si="15"/>
        <v/>
      </c>
      <c r="AZ38" s="1218" t="str">
        <f t="shared" si="28"/>
        <v/>
      </c>
      <c r="BA38" s="1190">
        <f t="shared" si="29"/>
        <v>0</v>
      </c>
      <c r="BB38" s="1190" t="str">
        <f t="shared" si="17"/>
        <v xml:space="preserve"> </v>
      </c>
      <c r="BC38" s="1190" t="str">
        <f t="shared" si="18"/>
        <v xml:space="preserve"> </v>
      </c>
      <c r="BD38" s="1190" t="str">
        <f t="shared" si="30"/>
        <v xml:space="preserve"> </v>
      </c>
      <c r="BE38" s="1219" t="str">
        <f t="shared" si="31"/>
        <v/>
      </c>
      <c r="BF38" s="1219" t="str">
        <f t="shared" si="25"/>
        <v/>
      </c>
      <c r="BG38" s="1190" t="str">
        <f t="shared" si="32"/>
        <v/>
      </c>
    </row>
    <row r="39" spans="1:59" s="510" customFormat="1" ht="15" customHeight="1" x14ac:dyDescent="0.25">
      <c r="A39" s="470">
        <v>18</v>
      </c>
      <c r="B39" s="1614"/>
      <c r="C39" s="1168" t="str">
        <f t="shared" si="0"/>
        <v/>
      </c>
      <c r="D39" s="1795"/>
      <c r="E39" s="1795"/>
      <c r="F39" s="1795"/>
      <c r="G39" s="1796"/>
      <c r="H39" s="1380"/>
      <c r="I39" s="1377"/>
      <c r="J39" s="1006"/>
      <c r="K39" s="1007"/>
      <c r="L39" s="1003" t="str">
        <f t="shared" si="1"/>
        <v xml:space="preserve"> </v>
      </c>
      <c r="M39" s="1003" t="str">
        <f t="shared" si="2"/>
        <v xml:space="preserve"> </v>
      </c>
      <c r="N39" s="1171" t="str">
        <f t="shared" si="22"/>
        <v xml:space="preserve"> </v>
      </c>
      <c r="O39" s="1184" t="str">
        <f>IF(D39="","",VLOOKUP(D39,'Simplified Tables'!$C$8:$L$17,2,FALSE))</f>
        <v/>
      </c>
      <c r="P39" s="90"/>
      <c r="Q39" s="913"/>
      <c r="R39" s="1222" t="str">
        <f t="shared" si="23"/>
        <v/>
      </c>
      <c r="S39" s="90"/>
      <c r="T39" s="1024" t="str">
        <f>IF($C39="","",VLOOKUP($D39,'Simplified Tables'!$C$8:$L$17,T$11,FALSE))</f>
        <v/>
      </c>
      <c r="U39" s="782"/>
      <c r="V39" s="1026" t="str">
        <f>IF($C39="","",VLOOKUP($D39,'Simplified Tables'!$C$8:$L$17,V$11,FALSE))</f>
        <v/>
      </c>
      <c r="W39" s="782"/>
      <c r="X39" s="1026" t="str">
        <f>IF($C39="","",VLOOKUP($D39,'Simplified Tables'!$C$8:$L$17,X$11,FALSE))</f>
        <v/>
      </c>
      <c r="Y39" s="782"/>
      <c r="Z39" s="1026" t="str">
        <f>IF($C39="","",VLOOKUP($D39,'Simplified Tables'!$C$8:$L$17,Z$11,FALSE))</f>
        <v/>
      </c>
      <c r="AA39" s="782"/>
      <c r="AB39" s="1026" t="str">
        <f>IF($C39="","",VLOOKUP($D39,'Simplified Tables'!$C$8:$L$17,AB$11,FALSE))</f>
        <v/>
      </c>
      <c r="AC39" s="782"/>
      <c r="AD39" s="1026" t="str">
        <f>IF($C39="","",VLOOKUP($D39,'Simplified Tables'!$C$8:$L$17,AD$11,FALSE))</f>
        <v/>
      </c>
      <c r="AE39" s="782"/>
      <c r="AF39" s="1026" t="str">
        <f>IF($C39="","",VLOOKUP($D39,'Simplified Tables'!$C$8:$L$17,AF$11,FALSE))</f>
        <v/>
      </c>
      <c r="AG39" s="782"/>
      <c r="AH39" s="1026" t="str">
        <f>IF($C39="","",VLOOKUP($D39,'Simplified Tables'!$C$8:$L$17,AH$11,FALSE))</f>
        <v/>
      </c>
      <c r="AI39" s="782"/>
      <c r="AJ39" s="992" t="str">
        <f t="shared" si="27"/>
        <v/>
      </c>
      <c r="AK39" s="507"/>
      <c r="AL39" s="508">
        <f t="shared" si="4"/>
        <v>0</v>
      </c>
      <c r="AM39" s="508">
        <f t="shared" si="5"/>
        <v>0</v>
      </c>
      <c r="AN39" s="508">
        <f t="shared" si="6"/>
        <v>0</v>
      </c>
      <c r="AO39" s="508">
        <f t="shared" si="7"/>
        <v>0</v>
      </c>
      <c r="AP39" s="508">
        <f t="shared" si="8"/>
        <v>0</v>
      </c>
      <c r="AQ39" s="508">
        <f t="shared" si="9"/>
        <v>0</v>
      </c>
      <c r="AR39" s="508">
        <f t="shared" si="10"/>
        <v>0</v>
      </c>
      <c r="AS39" s="508">
        <f t="shared" si="11"/>
        <v>0</v>
      </c>
      <c r="AT39" s="508">
        <f t="shared" si="12"/>
        <v>0</v>
      </c>
      <c r="AU39" s="508">
        <f t="shared" si="13"/>
        <v>0</v>
      </c>
      <c r="AV39" s="509">
        <f t="shared" si="14"/>
        <v>0</v>
      </c>
      <c r="AW39" s="510" t="str">
        <f t="shared" si="15"/>
        <v/>
      </c>
      <c r="AZ39" s="1218" t="str">
        <f t="shared" si="28"/>
        <v/>
      </c>
      <c r="BA39" s="1190">
        <f t="shared" si="29"/>
        <v>0</v>
      </c>
      <c r="BB39" s="1190" t="str">
        <f t="shared" si="17"/>
        <v xml:space="preserve"> </v>
      </c>
      <c r="BC39" s="1190" t="str">
        <f t="shared" si="18"/>
        <v xml:space="preserve"> </v>
      </c>
      <c r="BD39" s="1190" t="str">
        <f t="shared" si="30"/>
        <v xml:space="preserve"> </v>
      </c>
      <c r="BE39" s="1219" t="str">
        <f t="shared" si="31"/>
        <v/>
      </c>
      <c r="BF39" s="1219" t="str">
        <f t="shared" si="25"/>
        <v/>
      </c>
      <c r="BG39" s="1190" t="str">
        <f t="shared" si="32"/>
        <v/>
      </c>
    </row>
    <row r="40" spans="1:59" s="510" customFormat="1" ht="15" customHeight="1" x14ac:dyDescent="0.25">
      <c r="A40" s="470">
        <v>19</v>
      </c>
      <c r="B40" s="1614"/>
      <c r="C40" s="1168" t="str">
        <f t="shared" si="0"/>
        <v/>
      </c>
      <c r="D40" s="1795"/>
      <c r="E40" s="1795"/>
      <c r="F40" s="1795"/>
      <c r="G40" s="1796"/>
      <c r="H40" s="1380"/>
      <c r="I40" s="1377"/>
      <c r="J40" s="1006"/>
      <c r="K40" s="1007"/>
      <c r="L40" s="1003" t="str">
        <f t="shared" si="1"/>
        <v xml:space="preserve"> </v>
      </c>
      <c r="M40" s="1003" t="str">
        <f t="shared" si="2"/>
        <v xml:space="preserve"> </v>
      </c>
      <c r="N40" s="1171" t="str">
        <f t="shared" si="22"/>
        <v xml:space="preserve"> </v>
      </c>
      <c r="O40" s="1184" t="str">
        <f>IF(D40="","",VLOOKUP(D40,'Simplified Tables'!$C$8:$L$17,2,FALSE))</f>
        <v/>
      </c>
      <c r="P40" s="90"/>
      <c r="Q40" s="913"/>
      <c r="R40" s="1222" t="str">
        <f t="shared" si="23"/>
        <v/>
      </c>
      <c r="S40" s="90"/>
      <c r="T40" s="1024" t="str">
        <f>IF($C40="","",VLOOKUP($D40,'Simplified Tables'!$C$8:$L$17,T$11,FALSE))</f>
        <v/>
      </c>
      <c r="U40" s="782"/>
      <c r="V40" s="1026" t="str">
        <f>IF($C40="","",VLOOKUP($D40,'Simplified Tables'!$C$8:$L$17,V$11,FALSE))</f>
        <v/>
      </c>
      <c r="W40" s="782"/>
      <c r="X40" s="1026" t="str">
        <f>IF($C40="","",VLOOKUP($D40,'Simplified Tables'!$C$8:$L$17,X$11,FALSE))</f>
        <v/>
      </c>
      <c r="Y40" s="782"/>
      <c r="Z40" s="1026" t="str">
        <f>IF($C40="","",VLOOKUP($D40,'Simplified Tables'!$C$8:$L$17,Z$11,FALSE))</f>
        <v/>
      </c>
      <c r="AA40" s="782"/>
      <c r="AB40" s="1026" t="str">
        <f>IF($C40="","",VLOOKUP($D40,'Simplified Tables'!$C$8:$L$17,AB$11,FALSE))</f>
        <v/>
      </c>
      <c r="AC40" s="782"/>
      <c r="AD40" s="1026" t="str">
        <f>IF($C40="","",VLOOKUP($D40,'Simplified Tables'!$C$8:$L$17,AD$11,FALSE))</f>
        <v/>
      </c>
      <c r="AE40" s="782"/>
      <c r="AF40" s="1026" t="str">
        <f>IF($C40="","",VLOOKUP($D40,'Simplified Tables'!$C$8:$L$17,AF$11,FALSE))</f>
        <v/>
      </c>
      <c r="AG40" s="782"/>
      <c r="AH40" s="1026" t="str">
        <f>IF($C40="","",VLOOKUP($D40,'Simplified Tables'!$C$8:$L$17,AH$11,FALSE))</f>
        <v/>
      </c>
      <c r="AI40" s="782"/>
      <c r="AJ40" s="992" t="str">
        <f t="shared" si="27"/>
        <v/>
      </c>
      <c r="AK40" s="507"/>
      <c r="AL40" s="508">
        <f t="shared" si="4"/>
        <v>0</v>
      </c>
      <c r="AM40" s="508">
        <f t="shared" si="5"/>
        <v>0</v>
      </c>
      <c r="AN40" s="508">
        <f t="shared" si="6"/>
        <v>0</v>
      </c>
      <c r="AO40" s="508">
        <f t="shared" si="7"/>
        <v>0</v>
      </c>
      <c r="AP40" s="508">
        <f t="shared" si="8"/>
        <v>0</v>
      </c>
      <c r="AQ40" s="508">
        <f t="shared" si="9"/>
        <v>0</v>
      </c>
      <c r="AR40" s="508">
        <f t="shared" si="10"/>
        <v>0</v>
      </c>
      <c r="AS40" s="508">
        <f t="shared" si="11"/>
        <v>0</v>
      </c>
      <c r="AT40" s="508">
        <f t="shared" si="12"/>
        <v>0</v>
      </c>
      <c r="AU40" s="508">
        <f t="shared" si="13"/>
        <v>0</v>
      </c>
      <c r="AV40" s="509">
        <f t="shared" si="14"/>
        <v>0</v>
      </c>
      <c r="AW40" s="510" t="str">
        <f t="shared" si="15"/>
        <v/>
      </c>
      <c r="AZ40" s="1218" t="str">
        <f t="shared" si="28"/>
        <v/>
      </c>
      <c r="BA40" s="1190">
        <f t="shared" si="29"/>
        <v>0</v>
      </c>
      <c r="BB40" s="1190" t="str">
        <f t="shared" si="17"/>
        <v xml:space="preserve"> </v>
      </c>
      <c r="BC40" s="1190" t="str">
        <f t="shared" si="18"/>
        <v xml:space="preserve"> </v>
      </c>
      <c r="BD40" s="1190" t="str">
        <f t="shared" si="30"/>
        <v xml:space="preserve"> </v>
      </c>
      <c r="BE40" s="1219" t="str">
        <f t="shared" si="31"/>
        <v/>
      </c>
      <c r="BF40" s="1219" t="str">
        <f t="shared" si="25"/>
        <v/>
      </c>
      <c r="BG40" s="1190" t="str">
        <f t="shared" si="32"/>
        <v/>
      </c>
    </row>
    <row r="41" spans="1:59" s="510" customFormat="1" ht="15" customHeight="1" x14ac:dyDescent="0.25">
      <c r="A41" s="470">
        <v>20</v>
      </c>
      <c r="B41" s="1614"/>
      <c r="C41" s="1168" t="str">
        <f t="shared" si="0"/>
        <v/>
      </c>
      <c r="D41" s="1795"/>
      <c r="E41" s="1795"/>
      <c r="F41" s="1795"/>
      <c r="G41" s="1796"/>
      <c r="H41" s="1380"/>
      <c r="I41" s="1377"/>
      <c r="J41" s="1006"/>
      <c r="K41" s="1007"/>
      <c r="L41" s="1003" t="str">
        <f t="shared" si="1"/>
        <v xml:space="preserve"> </v>
      </c>
      <c r="M41" s="1003" t="str">
        <f t="shared" si="2"/>
        <v xml:space="preserve"> </v>
      </c>
      <c r="N41" s="1171" t="str">
        <f t="shared" si="22"/>
        <v xml:space="preserve"> </v>
      </c>
      <c r="O41" s="1184" t="str">
        <f>IF(D41="","",VLOOKUP(D41,'Simplified Tables'!$C$8:$L$17,2,FALSE))</f>
        <v/>
      </c>
      <c r="P41" s="90"/>
      <c r="Q41" s="913"/>
      <c r="R41" s="1222" t="str">
        <f t="shared" si="23"/>
        <v/>
      </c>
      <c r="S41" s="90"/>
      <c r="T41" s="1024" t="str">
        <f>IF($C41="","",VLOOKUP($D41,'Simplified Tables'!$C$8:$L$17,T$11,FALSE))</f>
        <v/>
      </c>
      <c r="U41" s="782"/>
      <c r="V41" s="1026" t="str">
        <f>IF($C41="","",VLOOKUP($D41,'Simplified Tables'!$C$8:$L$17,V$11,FALSE))</f>
        <v/>
      </c>
      <c r="W41" s="782"/>
      <c r="X41" s="1026" t="str">
        <f>IF($C41="","",VLOOKUP($D41,'Simplified Tables'!$C$8:$L$17,X$11,FALSE))</f>
        <v/>
      </c>
      <c r="Y41" s="782"/>
      <c r="Z41" s="1026" t="str">
        <f>IF($C41="","",VLOOKUP($D41,'Simplified Tables'!$C$8:$L$17,Z$11,FALSE))</f>
        <v/>
      </c>
      <c r="AA41" s="782"/>
      <c r="AB41" s="1026" t="str">
        <f>IF($C41="","",VLOOKUP($D41,'Simplified Tables'!$C$8:$L$17,AB$11,FALSE))</f>
        <v/>
      </c>
      <c r="AC41" s="782"/>
      <c r="AD41" s="1026" t="str">
        <f>IF($C41="","",VLOOKUP($D41,'Simplified Tables'!$C$8:$L$17,AD$11,FALSE))</f>
        <v/>
      </c>
      <c r="AE41" s="782"/>
      <c r="AF41" s="1026" t="str">
        <f>IF($C41="","",VLOOKUP($D41,'Simplified Tables'!$C$8:$L$17,AF$11,FALSE))</f>
        <v/>
      </c>
      <c r="AG41" s="782"/>
      <c r="AH41" s="1026" t="str">
        <f>IF($C41="","",VLOOKUP($D41,'Simplified Tables'!$C$8:$L$17,AH$11,FALSE))</f>
        <v/>
      </c>
      <c r="AI41" s="782"/>
      <c r="AJ41" s="992" t="str">
        <f t="shared" si="27"/>
        <v/>
      </c>
      <c r="AK41" s="507"/>
      <c r="AL41" s="508">
        <f t="shared" si="4"/>
        <v>0</v>
      </c>
      <c r="AM41" s="508">
        <f t="shared" si="5"/>
        <v>0</v>
      </c>
      <c r="AN41" s="508">
        <f t="shared" si="6"/>
        <v>0</v>
      </c>
      <c r="AO41" s="508">
        <f t="shared" si="7"/>
        <v>0</v>
      </c>
      <c r="AP41" s="508">
        <f t="shared" si="8"/>
        <v>0</v>
      </c>
      <c r="AQ41" s="508">
        <f t="shared" si="9"/>
        <v>0</v>
      </c>
      <c r="AR41" s="508">
        <f t="shared" si="10"/>
        <v>0</v>
      </c>
      <c r="AS41" s="508">
        <f t="shared" si="11"/>
        <v>0</v>
      </c>
      <c r="AT41" s="508">
        <f t="shared" si="12"/>
        <v>0</v>
      </c>
      <c r="AU41" s="508">
        <f t="shared" si="13"/>
        <v>0</v>
      </c>
      <c r="AV41" s="509">
        <f t="shared" si="14"/>
        <v>0</v>
      </c>
      <c r="AW41" s="510" t="str">
        <f t="shared" si="15"/>
        <v/>
      </c>
      <c r="AZ41" s="1218" t="str">
        <f t="shared" si="28"/>
        <v/>
      </c>
      <c r="BA41" s="1190">
        <f t="shared" si="29"/>
        <v>0</v>
      </c>
      <c r="BB41" s="1190" t="str">
        <f t="shared" si="17"/>
        <v xml:space="preserve"> </v>
      </c>
      <c r="BC41" s="1190" t="str">
        <f t="shared" si="18"/>
        <v xml:space="preserve"> </v>
      </c>
      <c r="BD41" s="1190" t="str">
        <f t="shared" si="30"/>
        <v xml:space="preserve"> </v>
      </c>
      <c r="BE41" s="1219" t="str">
        <f t="shared" si="31"/>
        <v/>
      </c>
      <c r="BF41" s="1219" t="str">
        <f t="shared" si="25"/>
        <v/>
      </c>
      <c r="BG41" s="1190" t="str">
        <f t="shared" si="32"/>
        <v/>
      </c>
    </row>
    <row r="42" spans="1:59" s="510" customFormat="1" ht="15" customHeight="1" x14ac:dyDescent="0.25">
      <c r="A42" s="470">
        <v>21</v>
      </c>
      <c r="B42" s="1614"/>
      <c r="C42" s="1168" t="str">
        <f t="shared" si="0"/>
        <v/>
      </c>
      <c r="D42" s="1795"/>
      <c r="E42" s="1795"/>
      <c r="F42" s="1795"/>
      <c r="G42" s="1796"/>
      <c r="H42" s="1380"/>
      <c r="I42" s="1377"/>
      <c r="J42" s="1006"/>
      <c r="K42" s="1007"/>
      <c r="L42" s="1003" t="str">
        <f t="shared" si="1"/>
        <v xml:space="preserve"> </v>
      </c>
      <c r="M42" s="1003" t="str">
        <f t="shared" si="2"/>
        <v xml:space="preserve"> </v>
      </c>
      <c r="N42" s="1171" t="str">
        <f t="shared" si="22"/>
        <v xml:space="preserve"> </v>
      </c>
      <c r="O42" s="1184" t="str">
        <f>IF(D42="","",VLOOKUP(D42,'Simplified Tables'!$C$8:$L$17,2,FALSE))</f>
        <v/>
      </c>
      <c r="P42" s="90"/>
      <c r="Q42" s="913"/>
      <c r="R42" s="1222" t="str">
        <f t="shared" si="23"/>
        <v/>
      </c>
      <c r="S42" s="90"/>
      <c r="T42" s="1024" t="str">
        <f>IF($C42="","",VLOOKUP($D42,'Simplified Tables'!$C$8:$L$17,T$11,FALSE))</f>
        <v/>
      </c>
      <c r="U42" s="782"/>
      <c r="V42" s="1026" t="str">
        <f>IF($C42="","",VLOOKUP($D42,'Simplified Tables'!$C$8:$L$17,V$11,FALSE))</f>
        <v/>
      </c>
      <c r="W42" s="782"/>
      <c r="X42" s="1026" t="str">
        <f>IF($C42="","",VLOOKUP($D42,'Simplified Tables'!$C$8:$L$17,X$11,FALSE))</f>
        <v/>
      </c>
      <c r="Y42" s="782"/>
      <c r="Z42" s="1026" t="str">
        <f>IF($C42="","",VLOOKUP($D42,'Simplified Tables'!$C$8:$L$17,Z$11,FALSE))</f>
        <v/>
      </c>
      <c r="AA42" s="782"/>
      <c r="AB42" s="1026" t="str">
        <f>IF($C42="","",VLOOKUP($D42,'Simplified Tables'!$C$8:$L$17,AB$11,FALSE))</f>
        <v/>
      </c>
      <c r="AC42" s="782"/>
      <c r="AD42" s="1026" t="str">
        <f>IF($C42="","",VLOOKUP($D42,'Simplified Tables'!$C$8:$L$17,AD$11,FALSE))</f>
        <v/>
      </c>
      <c r="AE42" s="782"/>
      <c r="AF42" s="1026" t="str">
        <f>IF($C42="","",VLOOKUP($D42,'Simplified Tables'!$C$8:$L$17,AF$11,FALSE))</f>
        <v/>
      </c>
      <c r="AG42" s="782"/>
      <c r="AH42" s="1026" t="str">
        <f>IF($C42="","",VLOOKUP($D42,'Simplified Tables'!$C$8:$L$17,AH$11,FALSE))</f>
        <v/>
      </c>
      <c r="AI42" s="782"/>
      <c r="AJ42" s="992" t="str">
        <f t="shared" si="27"/>
        <v/>
      </c>
      <c r="AK42" s="507"/>
      <c r="AL42" s="508">
        <f t="shared" si="4"/>
        <v>0</v>
      </c>
      <c r="AM42" s="508">
        <f t="shared" si="5"/>
        <v>0</v>
      </c>
      <c r="AN42" s="508">
        <f t="shared" si="6"/>
        <v>0</v>
      </c>
      <c r="AO42" s="508">
        <f t="shared" si="7"/>
        <v>0</v>
      </c>
      <c r="AP42" s="508">
        <f t="shared" si="8"/>
        <v>0</v>
      </c>
      <c r="AQ42" s="508">
        <f t="shared" si="9"/>
        <v>0</v>
      </c>
      <c r="AR42" s="508">
        <f t="shared" si="10"/>
        <v>0</v>
      </c>
      <c r="AS42" s="508">
        <f t="shared" si="11"/>
        <v>0</v>
      </c>
      <c r="AT42" s="508">
        <f t="shared" si="12"/>
        <v>0</v>
      </c>
      <c r="AU42" s="508">
        <f t="shared" si="13"/>
        <v>0</v>
      </c>
      <c r="AV42" s="509">
        <f t="shared" si="14"/>
        <v>0</v>
      </c>
      <c r="AW42" s="510" t="str">
        <f t="shared" si="15"/>
        <v/>
      </c>
      <c r="AZ42" s="1218" t="str">
        <f t="shared" si="28"/>
        <v/>
      </c>
      <c r="BA42" s="1190">
        <f t="shared" si="29"/>
        <v>0</v>
      </c>
      <c r="BB42" s="1190" t="str">
        <f t="shared" si="17"/>
        <v xml:space="preserve"> </v>
      </c>
      <c r="BC42" s="1190" t="str">
        <f t="shared" si="18"/>
        <v xml:space="preserve"> </v>
      </c>
      <c r="BD42" s="1190" t="str">
        <f t="shared" si="30"/>
        <v xml:space="preserve"> </v>
      </c>
      <c r="BE42" s="1219" t="str">
        <f t="shared" si="31"/>
        <v/>
      </c>
      <c r="BF42" s="1219" t="str">
        <f t="shared" si="25"/>
        <v/>
      </c>
      <c r="BG42" s="1190" t="str">
        <f t="shared" si="32"/>
        <v/>
      </c>
    </row>
    <row r="43" spans="1:59" s="510" customFormat="1" ht="15" customHeight="1" x14ac:dyDescent="0.25">
      <c r="A43" s="470">
        <v>22</v>
      </c>
      <c r="B43" s="1614"/>
      <c r="C43" s="1168" t="str">
        <f t="shared" si="0"/>
        <v/>
      </c>
      <c r="D43" s="1795"/>
      <c r="E43" s="1795"/>
      <c r="F43" s="1795"/>
      <c r="G43" s="1796"/>
      <c r="H43" s="1380"/>
      <c r="I43" s="1377"/>
      <c r="J43" s="1006"/>
      <c r="K43" s="1007"/>
      <c r="L43" s="1003" t="str">
        <f t="shared" si="1"/>
        <v xml:space="preserve"> </v>
      </c>
      <c r="M43" s="1003" t="str">
        <f t="shared" si="2"/>
        <v xml:space="preserve"> </v>
      </c>
      <c r="N43" s="1171" t="str">
        <f t="shared" si="22"/>
        <v xml:space="preserve"> </v>
      </c>
      <c r="O43" s="1184" t="str">
        <f>IF(D43="","",VLOOKUP(D43,'Simplified Tables'!$C$8:$L$17,2,FALSE))</f>
        <v/>
      </c>
      <c r="P43" s="90"/>
      <c r="Q43" s="913"/>
      <c r="R43" s="1222" t="str">
        <f t="shared" si="23"/>
        <v/>
      </c>
      <c r="S43" s="90"/>
      <c r="T43" s="1024" t="str">
        <f>IF($C43="","",VLOOKUP($D43,'Simplified Tables'!$C$8:$L$17,T$11,FALSE))</f>
        <v/>
      </c>
      <c r="U43" s="782"/>
      <c r="V43" s="1026" t="str">
        <f>IF($C43="","",VLOOKUP($D43,'Simplified Tables'!$C$8:$L$17,V$11,FALSE))</f>
        <v/>
      </c>
      <c r="W43" s="782"/>
      <c r="X43" s="1026" t="str">
        <f>IF($C43="","",VLOOKUP($D43,'Simplified Tables'!$C$8:$L$17,X$11,FALSE))</f>
        <v/>
      </c>
      <c r="Y43" s="782"/>
      <c r="Z43" s="1026" t="str">
        <f>IF($C43="","",VLOOKUP($D43,'Simplified Tables'!$C$8:$L$17,Z$11,FALSE))</f>
        <v/>
      </c>
      <c r="AA43" s="782"/>
      <c r="AB43" s="1026" t="str">
        <f>IF($C43="","",VLOOKUP($D43,'Simplified Tables'!$C$8:$L$17,AB$11,FALSE))</f>
        <v/>
      </c>
      <c r="AC43" s="782"/>
      <c r="AD43" s="1026" t="str">
        <f>IF($C43="","",VLOOKUP($D43,'Simplified Tables'!$C$8:$L$17,AD$11,FALSE))</f>
        <v/>
      </c>
      <c r="AE43" s="782"/>
      <c r="AF43" s="1026" t="str">
        <f>IF($C43="","",VLOOKUP($D43,'Simplified Tables'!$C$8:$L$17,AF$11,FALSE))</f>
        <v/>
      </c>
      <c r="AG43" s="782"/>
      <c r="AH43" s="1026" t="str">
        <f>IF($C43="","",VLOOKUP($D43,'Simplified Tables'!$C$8:$L$17,AH$11,FALSE))</f>
        <v/>
      </c>
      <c r="AI43" s="782"/>
      <c r="AJ43" s="992" t="str">
        <f t="shared" si="27"/>
        <v/>
      </c>
      <c r="AK43" s="507"/>
      <c r="AL43" s="508">
        <f t="shared" si="4"/>
        <v>0</v>
      </c>
      <c r="AM43" s="508">
        <f t="shared" si="5"/>
        <v>0</v>
      </c>
      <c r="AN43" s="508">
        <f t="shared" si="6"/>
        <v>0</v>
      </c>
      <c r="AO43" s="508">
        <f t="shared" si="7"/>
        <v>0</v>
      </c>
      <c r="AP43" s="508">
        <f t="shared" si="8"/>
        <v>0</v>
      </c>
      <c r="AQ43" s="508">
        <f t="shared" si="9"/>
        <v>0</v>
      </c>
      <c r="AR43" s="508">
        <f t="shared" si="10"/>
        <v>0</v>
      </c>
      <c r="AS43" s="508">
        <f t="shared" si="11"/>
        <v>0</v>
      </c>
      <c r="AT43" s="508">
        <f t="shared" si="12"/>
        <v>0</v>
      </c>
      <c r="AU43" s="508">
        <f t="shared" si="13"/>
        <v>0</v>
      </c>
      <c r="AV43" s="509">
        <f t="shared" si="14"/>
        <v>0</v>
      </c>
      <c r="AW43" s="510" t="str">
        <f t="shared" si="15"/>
        <v/>
      </c>
      <c r="AZ43" s="1218" t="str">
        <f t="shared" si="28"/>
        <v/>
      </c>
      <c r="BA43" s="1190">
        <f t="shared" si="29"/>
        <v>0</v>
      </c>
      <c r="BB43" s="1190" t="str">
        <f t="shared" si="17"/>
        <v xml:space="preserve"> </v>
      </c>
      <c r="BC43" s="1190" t="str">
        <f t="shared" si="18"/>
        <v xml:space="preserve"> </v>
      </c>
      <c r="BD43" s="1190" t="str">
        <f t="shared" si="30"/>
        <v xml:space="preserve"> </v>
      </c>
      <c r="BE43" s="1219" t="str">
        <f t="shared" si="31"/>
        <v/>
      </c>
      <c r="BF43" s="1219" t="str">
        <f t="shared" si="25"/>
        <v/>
      </c>
      <c r="BG43" s="1190" t="str">
        <f t="shared" si="32"/>
        <v/>
      </c>
    </row>
    <row r="44" spans="1:59" s="510" customFormat="1" ht="15" customHeight="1" x14ac:dyDescent="0.25">
      <c r="A44" s="470">
        <v>23</v>
      </c>
      <c r="B44" s="1614"/>
      <c r="C44" s="1168" t="str">
        <f t="shared" si="0"/>
        <v/>
      </c>
      <c r="D44" s="1795"/>
      <c r="E44" s="1795"/>
      <c r="F44" s="1795"/>
      <c r="G44" s="1796"/>
      <c r="H44" s="1380"/>
      <c r="I44" s="1377"/>
      <c r="J44" s="1006"/>
      <c r="K44" s="1007"/>
      <c r="L44" s="1003" t="str">
        <f t="shared" si="1"/>
        <v xml:space="preserve"> </v>
      </c>
      <c r="M44" s="1003" t="str">
        <f t="shared" si="2"/>
        <v xml:space="preserve"> </v>
      </c>
      <c r="N44" s="1171" t="str">
        <f t="shared" si="22"/>
        <v xml:space="preserve"> </v>
      </c>
      <c r="O44" s="1184" t="str">
        <f>IF(D44="","",VLOOKUP(D44,'Simplified Tables'!$C$8:$L$17,2,FALSE))</f>
        <v/>
      </c>
      <c r="P44" s="90"/>
      <c r="Q44" s="913"/>
      <c r="R44" s="1222" t="str">
        <f t="shared" si="23"/>
        <v/>
      </c>
      <c r="S44" s="90"/>
      <c r="T44" s="1024" t="str">
        <f>IF($C44="","",VLOOKUP($D44,'Simplified Tables'!$C$8:$L$17,T$11,FALSE))</f>
        <v/>
      </c>
      <c r="U44" s="782"/>
      <c r="V44" s="1026" t="str">
        <f>IF($C44="","",VLOOKUP($D44,'Simplified Tables'!$C$8:$L$17,V$11,FALSE))</f>
        <v/>
      </c>
      <c r="W44" s="782"/>
      <c r="X44" s="1026" t="str">
        <f>IF($C44="","",VLOOKUP($D44,'Simplified Tables'!$C$8:$L$17,X$11,FALSE))</f>
        <v/>
      </c>
      <c r="Y44" s="782"/>
      <c r="Z44" s="1026" t="str">
        <f>IF($C44="","",VLOOKUP($D44,'Simplified Tables'!$C$8:$L$17,Z$11,FALSE))</f>
        <v/>
      </c>
      <c r="AA44" s="782"/>
      <c r="AB44" s="1026" t="str">
        <f>IF($C44="","",VLOOKUP($D44,'Simplified Tables'!$C$8:$L$17,AB$11,FALSE))</f>
        <v/>
      </c>
      <c r="AC44" s="782"/>
      <c r="AD44" s="1026" t="str">
        <f>IF($C44="","",VLOOKUP($D44,'Simplified Tables'!$C$8:$L$17,AD$11,FALSE))</f>
        <v/>
      </c>
      <c r="AE44" s="782"/>
      <c r="AF44" s="1026" t="str">
        <f>IF($C44="","",VLOOKUP($D44,'Simplified Tables'!$C$8:$L$17,AF$11,FALSE))</f>
        <v/>
      </c>
      <c r="AG44" s="782"/>
      <c r="AH44" s="1026" t="str">
        <f>IF($C44="","",VLOOKUP($D44,'Simplified Tables'!$C$8:$L$17,AH$11,FALSE))</f>
        <v/>
      </c>
      <c r="AI44" s="782"/>
      <c r="AJ44" s="992" t="str">
        <f t="shared" si="27"/>
        <v/>
      </c>
      <c r="AK44" s="507"/>
      <c r="AL44" s="508">
        <f t="shared" si="4"/>
        <v>0</v>
      </c>
      <c r="AM44" s="508">
        <f t="shared" si="5"/>
        <v>0</v>
      </c>
      <c r="AN44" s="508">
        <f t="shared" si="6"/>
        <v>0</v>
      </c>
      <c r="AO44" s="508">
        <f t="shared" si="7"/>
        <v>0</v>
      </c>
      <c r="AP44" s="508">
        <f t="shared" si="8"/>
        <v>0</v>
      </c>
      <c r="AQ44" s="508">
        <f t="shared" si="9"/>
        <v>0</v>
      </c>
      <c r="AR44" s="508">
        <f t="shared" si="10"/>
        <v>0</v>
      </c>
      <c r="AS44" s="508">
        <f t="shared" si="11"/>
        <v>0</v>
      </c>
      <c r="AT44" s="508">
        <f t="shared" si="12"/>
        <v>0</v>
      </c>
      <c r="AU44" s="508">
        <f t="shared" si="13"/>
        <v>0</v>
      </c>
      <c r="AV44" s="509">
        <f t="shared" si="14"/>
        <v>0</v>
      </c>
      <c r="AW44" s="510" t="str">
        <f t="shared" si="15"/>
        <v/>
      </c>
      <c r="AZ44" s="1218" t="str">
        <f t="shared" si="28"/>
        <v/>
      </c>
      <c r="BA44" s="1190">
        <f t="shared" si="29"/>
        <v>0</v>
      </c>
      <c r="BB44" s="1190" t="str">
        <f t="shared" si="17"/>
        <v xml:space="preserve"> </v>
      </c>
      <c r="BC44" s="1190" t="str">
        <f t="shared" si="18"/>
        <v xml:space="preserve"> </v>
      </c>
      <c r="BD44" s="1190" t="str">
        <f t="shared" si="30"/>
        <v xml:space="preserve"> </v>
      </c>
      <c r="BE44" s="1219" t="str">
        <f t="shared" si="31"/>
        <v/>
      </c>
      <c r="BF44" s="1219" t="str">
        <f t="shared" si="25"/>
        <v/>
      </c>
      <c r="BG44" s="1190" t="str">
        <f t="shared" si="32"/>
        <v/>
      </c>
    </row>
    <row r="45" spans="1:59" s="510" customFormat="1" ht="15" customHeight="1" x14ac:dyDescent="0.25">
      <c r="A45" s="470">
        <v>24</v>
      </c>
      <c r="B45" s="1614"/>
      <c r="C45" s="1168" t="str">
        <f t="shared" si="0"/>
        <v/>
      </c>
      <c r="D45" s="1795"/>
      <c r="E45" s="1795"/>
      <c r="F45" s="1795"/>
      <c r="G45" s="1796"/>
      <c r="H45" s="1380"/>
      <c r="I45" s="1377"/>
      <c r="J45" s="1006"/>
      <c r="K45" s="1007"/>
      <c r="L45" s="1003" t="str">
        <f t="shared" si="1"/>
        <v xml:space="preserve"> </v>
      </c>
      <c r="M45" s="1003" t="str">
        <f t="shared" si="2"/>
        <v xml:space="preserve"> </v>
      </c>
      <c r="N45" s="1171" t="str">
        <f t="shared" si="22"/>
        <v xml:space="preserve"> </v>
      </c>
      <c r="O45" s="1184" t="str">
        <f>IF(D45="","",VLOOKUP(D45,'Simplified Tables'!$C$8:$L$17,2,FALSE))</f>
        <v/>
      </c>
      <c r="P45" s="90"/>
      <c r="Q45" s="913"/>
      <c r="R45" s="1222" t="str">
        <f t="shared" si="23"/>
        <v/>
      </c>
      <c r="S45" s="90"/>
      <c r="T45" s="1024" t="str">
        <f>IF($C45="","",VLOOKUP($D45,'Simplified Tables'!$C$8:$L$17,T$11,FALSE))</f>
        <v/>
      </c>
      <c r="U45" s="782"/>
      <c r="V45" s="1026" t="str">
        <f>IF($C45="","",VLOOKUP($D45,'Simplified Tables'!$C$8:$L$17,V$11,FALSE))</f>
        <v/>
      </c>
      <c r="W45" s="782"/>
      <c r="X45" s="1026" t="str">
        <f>IF($C45="","",VLOOKUP($D45,'Simplified Tables'!$C$8:$L$17,X$11,FALSE))</f>
        <v/>
      </c>
      <c r="Y45" s="782"/>
      <c r="Z45" s="1026" t="str">
        <f>IF($C45="","",VLOOKUP($D45,'Simplified Tables'!$C$8:$L$17,Z$11,FALSE))</f>
        <v/>
      </c>
      <c r="AA45" s="782"/>
      <c r="AB45" s="1026" t="str">
        <f>IF($C45="","",VLOOKUP($D45,'Simplified Tables'!$C$8:$L$17,AB$11,FALSE))</f>
        <v/>
      </c>
      <c r="AC45" s="782"/>
      <c r="AD45" s="1026" t="str">
        <f>IF($C45="","",VLOOKUP($D45,'Simplified Tables'!$C$8:$L$17,AD$11,FALSE))</f>
        <v/>
      </c>
      <c r="AE45" s="782"/>
      <c r="AF45" s="1026" t="str">
        <f>IF($C45="","",VLOOKUP($D45,'Simplified Tables'!$C$8:$L$17,AF$11,FALSE))</f>
        <v/>
      </c>
      <c r="AG45" s="782"/>
      <c r="AH45" s="1026" t="str">
        <f>IF($C45="","",VLOOKUP($D45,'Simplified Tables'!$C$8:$L$17,AH$11,FALSE))</f>
        <v/>
      </c>
      <c r="AI45" s="782"/>
      <c r="AJ45" s="992" t="str">
        <f t="shared" si="27"/>
        <v/>
      </c>
      <c r="AK45" s="507"/>
      <c r="AL45" s="508">
        <f t="shared" si="4"/>
        <v>0</v>
      </c>
      <c r="AM45" s="508">
        <f t="shared" si="5"/>
        <v>0</v>
      </c>
      <c r="AN45" s="508">
        <f t="shared" si="6"/>
        <v>0</v>
      </c>
      <c r="AO45" s="508">
        <f t="shared" si="7"/>
        <v>0</v>
      </c>
      <c r="AP45" s="508">
        <f t="shared" si="8"/>
        <v>0</v>
      </c>
      <c r="AQ45" s="508">
        <f t="shared" si="9"/>
        <v>0</v>
      </c>
      <c r="AR45" s="508">
        <f t="shared" si="10"/>
        <v>0</v>
      </c>
      <c r="AS45" s="508">
        <f t="shared" si="11"/>
        <v>0</v>
      </c>
      <c r="AT45" s="508">
        <f t="shared" si="12"/>
        <v>0</v>
      </c>
      <c r="AU45" s="508">
        <f t="shared" si="13"/>
        <v>0</v>
      </c>
      <c r="AV45" s="509">
        <f t="shared" si="14"/>
        <v>0</v>
      </c>
      <c r="AW45" s="510" t="str">
        <f t="shared" si="15"/>
        <v/>
      </c>
      <c r="AZ45" s="1218" t="str">
        <f t="shared" si="28"/>
        <v/>
      </c>
      <c r="BA45" s="1190">
        <f t="shared" si="29"/>
        <v>0</v>
      </c>
      <c r="BB45" s="1190" t="str">
        <f t="shared" si="17"/>
        <v xml:space="preserve"> </v>
      </c>
      <c r="BC45" s="1190" t="str">
        <f t="shared" si="18"/>
        <v xml:space="preserve"> </v>
      </c>
      <c r="BD45" s="1190" t="str">
        <f t="shared" si="30"/>
        <v xml:space="preserve"> </v>
      </c>
      <c r="BE45" s="1219" t="str">
        <f t="shared" si="31"/>
        <v/>
      </c>
      <c r="BF45" s="1219" t="str">
        <f t="shared" si="25"/>
        <v/>
      </c>
      <c r="BG45" s="1190" t="str">
        <f t="shared" si="32"/>
        <v/>
      </c>
    </row>
    <row r="46" spans="1:59" s="510" customFormat="1" ht="15" customHeight="1" thickBot="1" x14ac:dyDescent="0.3">
      <c r="A46" s="470">
        <v>25</v>
      </c>
      <c r="B46" s="1614"/>
      <c r="C46" s="1185" t="str">
        <f t="shared" si="0"/>
        <v/>
      </c>
      <c r="D46" s="1797"/>
      <c r="E46" s="1797"/>
      <c r="F46" s="1797"/>
      <c r="G46" s="1798"/>
      <c r="H46" s="1381"/>
      <c r="I46" s="1378"/>
      <c r="J46" s="1010"/>
      <c r="K46" s="1011"/>
      <c r="L46" s="1012" t="str">
        <f t="shared" si="1"/>
        <v xml:space="preserve"> </v>
      </c>
      <c r="M46" s="1012" t="str">
        <f t="shared" si="2"/>
        <v xml:space="preserve"> </v>
      </c>
      <c r="N46" s="1172" t="str">
        <f t="shared" si="22"/>
        <v xml:space="preserve"> </v>
      </c>
      <c r="O46" s="1186" t="str">
        <f>IF(D46="","",VLOOKUP(D46,'Simplified Tables'!$C$8:$L$17,2,FALSE))</f>
        <v/>
      </c>
      <c r="P46" s="90"/>
      <c r="Q46" s="914"/>
      <c r="R46" s="1222" t="str">
        <f t="shared" si="23"/>
        <v/>
      </c>
      <c r="S46" s="90"/>
      <c r="T46" s="993" t="str">
        <f>IF($C46="","",VLOOKUP($D46,'Simplified Tables'!$C$8:$L$17,T$11,FALSE))</f>
        <v/>
      </c>
      <c r="U46" s="994"/>
      <c r="V46" s="995" t="str">
        <f>IF($C46="","",VLOOKUP($D46,'Simplified Tables'!$C$8:$L$17,V$11,FALSE))</f>
        <v/>
      </c>
      <c r="W46" s="994"/>
      <c r="X46" s="995" t="str">
        <f>IF($C46="","",VLOOKUP($D46,'Simplified Tables'!$C$8:$L$17,X$11,FALSE))</f>
        <v/>
      </c>
      <c r="Y46" s="994"/>
      <c r="Z46" s="995" t="str">
        <f>IF($C46="","",VLOOKUP($D46,'Simplified Tables'!$C$8:$L$17,Z$11,FALSE))</f>
        <v/>
      </c>
      <c r="AA46" s="994"/>
      <c r="AB46" s="995" t="str">
        <f>IF($C46="","",VLOOKUP($D46,'Simplified Tables'!$C$8:$L$17,AB$11,FALSE))</f>
        <v/>
      </c>
      <c r="AC46" s="994"/>
      <c r="AD46" s="995" t="str">
        <f>IF($C46="","",VLOOKUP($D46,'Simplified Tables'!$C$8:$L$17,AD$11,FALSE))</f>
        <v/>
      </c>
      <c r="AE46" s="994"/>
      <c r="AF46" s="995" t="str">
        <f>IF($C46="","",VLOOKUP($D46,'Simplified Tables'!$C$8:$L$17,AF$11,FALSE))</f>
        <v/>
      </c>
      <c r="AG46" s="994"/>
      <c r="AH46" s="995" t="str">
        <f>IF($C46="","",VLOOKUP($D46,'Simplified Tables'!$C$8:$L$17,AH$11,FALSE))</f>
        <v/>
      </c>
      <c r="AI46" s="994"/>
      <c r="AJ46" s="996" t="str">
        <f t="shared" si="27"/>
        <v/>
      </c>
      <c r="AK46" s="507"/>
      <c r="AL46" s="508">
        <f t="shared" si="4"/>
        <v>0</v>
      </c>
      <c r="AM46" s="508">
        <f t="shared" si="5"/>
        <v>0</v>
      </c>
      <c r="AN46" s="508">
        <f t="shared" si="6"/>
        <v>0</v>
      </c>
      <c r="AO46" s="508">
        <f t="shared" si="7"/>
        <v>0</v>
      </c>
      <c r="AP46" s="508">
        <f t="shared" si="8"/>
        <v>0</v>
      </c>
      <c r="AQ46" s="508">
        <f t="shared" si="9"/>
        <v>0</v>
      </c>
      <c r="AR46" s="508">
        <f t="shared" si="10"/>
        <v>0</v>
      </c>
      <c r="AS46" s="508">
        <f t="shared" si="11"/>
        <v>0</v>
      </c>
      <c r="AT46" s="508">
        <f t="shared" si="12"/>
        <v>0</v>
      </c>
      <c r="AU46" s="508">
        <f t="shared" si="13"/>
        <v>0</v>
      </c>
      <c r="AV46" s="509">
        <f t="shared" si="14"/>
        <v>0</v>
      </c>
      <c r="AW46" s="510" t="str">
        <f t="shared" si="15"/>
        <v/>
      </c>
      <c r="AZ46" s="1218" t="str">
        <f t="shared" si="28"/>
        <v/>
      </c>
      <c r="BA46" s="1190">
        <f t="shared" si="29"/>
        <v>0</v>
      </c>
      <c r="BB46" s="1190" t="str">
        <f t="shared" si="17"/>
        <v xml:space="preserve"> </v>
      </c>
      <c r="BC46" s="1190" t="str">
        <f t="shared" si="18"/>
        <v xml:space="preserve"> </v>
      </c>
      <c r="BD46" s="1190" t="str">
        <f t="shared" si="30"/>
        <v xml:space="preserve"> </v>
      </c>
      <c r="BE46" s="1219" t="str">
        <f t="shared" si="31"/>
        <v/>
      </c>
      <c r="BF46" s="1219" t="str">
        <f t="shared" si="25"/>
        <v/>
      </c>
      <c r="BG46" s="1190" t="str">
        <f t="shared" si="32"/>
        <v/>
      </c>
    </row>
    <row r="47" spans="1:59" s="43" customFormat="1" x14ac:dyDescent="0.25">
      <c r="N47" s="197"/>
      <c r="O47" s="1187"/>
      <c r="P47" s="236"/>
      <c r="Q47" s="42"/>
      <c r="R47" s="236"/>
      <c r="S47" s="236"/>
      <c r="AJ47" s="450"/>
      <c r="AK47" s="1188"/>
      <c r="AL47" s="501">
        <f>SUM(AL22:AL46)</f>
        <v>0</v>
      </c>
      <c r="AM47" s="501">
        <f>AL47</f>
        <v>0</v>
      </c>
      <c r="AN47" s="501">
        <f t="shared" ref="AN47:AU47" si="33">IF(SUM(AN22:AN46)&gt;=$AL47,$AL47,SUM(AN22:AN46))</f>
        <v>0</v>
      </c>
      <c r="AO47" s="501">
        <f t="shared" si="33"/>
        <v>0</v>
      </c>
      <c r="AP47" s="501">
        <f t="shared" si="33"/>
        <v>0</v>
      </c>
      <c r="AQ47" s="501">
        <f t="shared" si="33"/>
        <v>0</v>
      </c>
      <c r="AR47" s="501">
        <f t="shared" si="33"/>
        <v>0</v>
      </c>
      <c r="AS47" s="501">
        <f t="shared" si="33"/>
        <v>0</v>
      </c>
      <c r="AT47" s="501">
        <f t="shared" si="33"/>
        <v>0</v>
      </c>
      <c r="AU47" s="501">
        <f t="shared" si="33"/>
        <v>0</v>
      </c>
    </row>
    <row r="48" spans="1:59" hidden="1" x14ac:dyDescent="0.25">
      <c r="C48" s="121"/>
      <c r="D48" s="67"/>
      <c r="E48" s="122"/>
      <c r="F48" s="122"/>
      <c r="G48" s="121"/>
      <c r="H48" s="121"/>
      <c r="I48" s="121"/>
      <c r="J48" s="121"/>
      <c r="K48" s="121"/>
      <c r="L48" s="63"/>
      <c r="M48" s="63"/>
      <c r="N48" s="63"/>
      <c r="O48" s="237"/>
      <c r="P48" s="73"/>
      <c r="R48" s="73"/>
      <c r="S48" s="73"/>
      <c r="T48" s="115">
        <f>IF(T15="Incomplete",1,0)</f>
        <v>0</v>
      </c>
      <c r="U48" s="115">
        <f>IF(T15="Incomplete",1,0)</f>
        <v>0</v>
      </c>
      <c r="V48" s="115">
        <f>IF(V15="Incomplete",1,0)</f>
        <v>0</v>
      </c>
      <c r="W48" s="115">
        <f>IF(V15="Incomplete",1,0)</f>
        <v>0</v>
      </c>
      <c r="X48" s="115">
        <f>IF(X15="Incomplete",1,0)</f>
        <v>0</v>
      </c>
      <c r="Y48" s="115">
        <f>IF(X15="Incomplete",1,0)</f>
        <v>0</v>
      </c>
      <c r="Z48" s="115">
        <f>IF(Z15="Incomplete",1,0)</f>
        <v>0</v>
      </c>
      <c r="AA48" s="115">
        <f>IF(Z15="Incomplete",1,0)</f>
        <v>0</v>
      </c>
      <c r="AB48" s="115">
        <f>IF(AB15="Incomplete",1,0)</f>
        <v>0</v>
      </c>
      <c r="AC48" s="115">
        <f>IF(AB15="Incomplete",1,0)</f>
        <v>0</v>
      </c>
      <c r="AD48" s="115">
        <f>IF(AD15="Incomplete",1,0)</f>
        <v>0</v>
      </c>
      <c r="AE48" s="115">
        <f>IF(AD15="Incomplete",1,0)</f>
        <v>0</v>
      </c>
      <c r="AF48" s="115">
        <f>IF(AF15="Incomplete",1,0)</f>
        <v>0</v>
      </c>
      <c r="AG48" s="115">
        <f>IF(AF15="Incomplete",1,0)</f>
        <v>0</v>
      </c>
      <c r="AH48" s="115">
        <f>IF(AH15="Incomplete",1,0)</f>
        <v>0</v>
      </c>
      <c r="AI48" s="115">
        <f>IF(AH15="Incomplete",1,0)</f>
        <v>0</v>
      </c>
      <c r="AJ48" s="115">
        <f>IF(AJ15="Incomplete",1,0)</f>
        <v>0</v>
      </c>
      <c r="AK48" s="63"/>
      <c r="AM48" s="43"/>
      <c r="AP48" s="43"/>
      <c r="AS48" s="43"/>
    </row>
    <row r="49" spans="1:47" hidden="1" x14ac:dyDescent="0.25">
      <c r="C49" s="43"/>
      <c r="D49" s="43"/>
      <c r="E49" s="43"/>
      <c r="F49" s="43"/>
      <c r="G49" s="43"/>
      <c r="H49" s="43"/>
      <c r="I49" s="43"/>
      <c r="J49" s="43"/>
      <c r="K49" s="43"/>
      <c r="L49" s="43"/>
      <c r="M49" s="43"/>
      <c r="N49" s="43"/>
      <c r="O49" s="491"/>
      <c r="P49" s="237"/>
      <c r="R49" s="237"/>
      <c r="S49" s="237"/>
      <c r="T49" s="43"/>
      <c r="U49" s="43"/>
      <c r="V49" s="43"/>
      <c r="W49" s="43"/>
      <c r="X49" s="43"/>
      <c r="Y49" s="43"/>
      <c r="Z49" s="43"/>
      <c r="AA49" s="43"/>
      <c r="AB49" s="43"/>
      <c r="AC49" s="43"/>
      <c r="AD49" s="1103"/>
      <c r="AE49" s="1103"/>
      <c r="AN49" s="43"/>
      <c r="AQ49" s="43"/>
      <c r="AT49" s="43"/>
    </row>
    <row r="50" spans="1:47" ht="22.5" hidden="1" customHeight="1" x14ac:dyDescent="0.25">
      <c r="C50" s="1612" t="s">
        <v>135</v>
      </c>
      <c r="D50" s="1613"/>
      <c r="E50" s="1605" t="s">
        <v>136</v>
      </c>
      <c r="F50" s="1607"/>
      <c r="G50" s="1606"/>
      <c r="H50" s="1109"/>
      <c r="I50" s="1603" t="s">
        <v>137</v>
      </c>
      <c r="J50" s="1604"/>
      <c r="K50" s="1605" t="s">
        <v>138</v>
      </c>
      <c r="L50" s="1606"/>
      <c r="N50" s="1110">
        <f>ROUND(SUM(N51:N56),0)</f>
        <v>0</v>
      </c>
      <c r="P50" s="73"/>
      <c r="R50" s="73"/>
      <c r="S50" s="73"/>
      <c r="AO50" s="43"/>
      <c r="AR50" s="43"/>
      <c r="AU50" s="43"/>
    </row>
    <row r="51" spans="1:47" hidden="1" x14ac:dyDescent="0.25">
      <c r="C51" s="1593">
        <f>'Int Room Schedule'!J16</f>
        <v>0</v>
      </c>
      <c r="D51" s="1594"/>
      <c r="E51" s="1598" t="str">
        <f t="shared" ref="E51:E56" si="34">IF(I51=" ",0,IF(K51&gt;0,I51*K51," "))</f>
        <v xml:space="preserve"> </v>
      </c>
      <c r="F51" s="1599"/>
      <c r="G51" s="1600"/>
      <c r="H51" s="1108"/>
      <c r="I51" s="1592" t="str">
        <f>IF($C51&lt;&gt;"",'Int Room Schedule'!M16," ")</f>
        <v/>
      </c>
      <c r="J51" s="1592"/>
      <c r="K51" s="1592">
        <f>IF($C51&lt;&gt;"",'Int Room Schedule'!L16," ")</f>
        <v>0</v>
      </c>
      <c r="L51" s="1597"/>
      <c r="M51" s="730">
        <f t="shared" ref="M51:M56" si="35">COUNTIFS($C$22:$C$46,C51,N$22:N$46,"&gt;0")</f>
        <v>0</v>
      </c>
      <c r="N51" s="730">
        <f t="shared" ref="N51:N56" si="36">IF(M51&lt;&gt;0,I51*K51,0)</f>
        <v>0</v>
      </c>
      <c r="P51" s="504"/>
      <c r="R51" s="504"/>
      <c r="S51" s="504"/>
    </row>
    <row r="52" spans="1:47" hidden="1" x14ac:dyDescent="0.25">
      <c r="C52" s="1593">
        <f>'Int Room Schedule'!J17</f>
        <v>0</v>
      </c>
      <c r="D52" s="1594"/>
      <c r="E52" s="1598" t="str">
        <f t="shared" si="34"/>
        <v xml:space="preserve"> </v>
      </c>
      <c r="F52" s="1599"/>
      <c r="G52" s="1600"/>
      <c r="H52" s="1108"/>
      <c r="I52" s="1592" t="str">
        <f>IF($C52&lt;&gt;"",'Int Room Schedule'!M17," ")</f>
        <v/>
      </c>
      <c r="J52" s="1592"/>
      <c r="K52" s="1592">
        <f>IF($C52&lt;&gt;"",'Int Room Schedule'!L17," ")</f>
        <v>0</v>
      </c>
      <c r="L52" s="1597"/>
      <c r="M52" s="730">
        <f t="shared" si="35"/>
        <v>0</v>
      </c>
      <c r="N52" s="730">
        <f t="shared" si="36"/>
        <v>0</v>
      </c>
      <c r="P52" s="504"/>
      <c r="R52" s="504"/>
      <c r="S52" s="504"/>
    </row>
    <row r="53" spans="1:47" hidden="1" x14ac:dyDescent="0.25">
      <c r="C53" s="1593">
        <f>'Int Room Schedule'!J18</f>
        <v>0</v>
      </c>
      <c r="D53" s="1594"/>
      <c r="E53" s="1598" t="str">
        <f t="shared" si="34"/>
        <v xml:space="preserve"> </v>
      </c>
      <c r="F53" s="1599"/>
      <c r="G53" s="1600"/>
      <c r="H53" s="1108"/>
      <c r="I53" s="1592" t="str">
        <f>IF($C53&lt;&gt;"",'Int Room Schedule'!M18," ")</f>
        <v/>
      </c>
      <c r="J53" s="1592"/>
      <c r="K53" s="1592">
        <f>IF($C53&lt;&gt;"",'Int Room Schedule'!L18," ")</f>
        <v>0</v>
      </c>
      <c r="L53" s="1597"/>
      <c r="M53" s="730">
        <f t="shared" si="35"/>
        <v>0</v>
      </c>
      <c r="N53" s="730">
        <f t="shared" si="36"/>
        <v>0</v>
      </c>
      <c r="P53" s="504"/>
      <c r="R53" s="504"/>
      <c r="S53" s="504"/>
    </row>
    <row r="54" spans="1:47" hidden="1" x14ac:dyDescent="0.25">
      <c r="C54" s="1593">
        <f>'Int Room Schedule'!J19</f>
        <v>0</v>
      </c>
      <c r="D54" s="1594"/>
      <c r="E54" s="1598" t="str">
        <f t="shared" si="34"/>
        <v xml:space="preserve"> </v>
      </c>
      <c r="F54" s="1599"/>
      <c r="G54" s="1600"/>
      <c r="H54" s="1108"/>
      <c r="I54" s="1592" t="str">
        <f>IF($C54&lt;&gt;"",'Int Room Schedule'!M19," ")</f>
        <v/>
      </c>
      <c r="J54" s="1592"/>
      <c r="K54" s="1592">
        <f>IF($C54&lt;&gt;"",'Int Room Schedule'!L19," ")</f>
        <v>0</v>
      </c>
      <c r="L54" s="1597"/>
      <c r="M54" s="730">
        <f t="shared" si="35"/>
        <v>0</v>
      </c>
      <c r="N54" s="730">
        <f t="shared" si="36"/>
        <v>0</v>
      </c>
      <c r="P54" s="504"/>
      <c r="R54" s="504"/>
      <c r="S54" s="504"/>
    </row>
    <row r="55" spans="1:47" hidden="1" x14ac:dyDescent="0.25">
      <c r="C55" s="1593">
        <f>'Int Room Schedule'!J20</f>
        <v>0</v>
      </c>
      <c r="D55" s="1594"/>
      <c r="E55" s="1598" t="str">
        <f t="shared" si="34"/>
        <v xml:space="preserve"> </v>
      </c>
      <c r="F55" s="1599"/>
      <c r="G55" s="1600"/>
      <c r="H55" s="1108"/>
      <c r="I55" s="1592" t="str">
        <f>IF($C55&lt;&gt;"",'Int Room Schedule'!M20," ")</f>
        <v/>
      </c>
      <c r="J55" s="1592"/>
      <c r="K55" s="1592">
        <f>IF($C55&lt;&gt;"",'Int Room Schedule'!L20," ")</f>
        <v>0</v>
      </c>
      <c r="L55" s="1597"/>
      <c r="M55" s="730">
        <f t="shared" si="35"/>
        <v>0</v>
      </c>
      <c r="N55" s="730">
        <f t="shared" si="36"/>
        <v>0</v>
      </c>
      <c r="P55" s="190"/>
      <c r="R55" s="190"/>
      <c r="S55" s="190"/>
    </row>
    <row r="56" spans="1:47" hidden="1" x14ac:dyDescent="0.25">
      <c r="C56" s="1593">
        <f>'Int Room Schedule'!J21</f>
        <v>0</v>
      </c>
      <c r="D56" s="1594"/>
      <c r="E56" s="1598" t="str">
        <f t="shared" si="34"/>
        <v xml:space="preserve"> </v>
      </c>
      <c r="F56" s="1599"/>
      <c r="G56" s="1600"/>
      <c r="H56" s="1108"/>
      <c r="I56" s="1592" t="str">
        <f>IF($C56&lt;&gt;"",'Int Room Schedule'!M21," ")</f>
        <v/>
      </c>
      <c r="J56" s="1592"/>
      <c r="K56" s="1592">
        <f>IF($C56&lt;&gt;"",'Int Room Schedule'!L21," ")</f>
        <v>0</v>
      </c>
      <c r="L56" s="1597"/>
      <c r="M56" s="730">
        <f t="shared" si="35"/>
        <v>0</v>
      </c>
      <c r="N56" s="730">
        <f t="shared" si="36"/>
        <v>0</v>
      </c>
      <c r="P56" s="190"/>
      <c r="R56" s="190"/>
      <c r="S56" s="190"/>
    </row>
    <row r="57" spans="1:47" ht="13.5" hidden="1" thickBot="1" x14ac:dyDescent="0.35">
      <c r="C57" s="1110"/>
      <c r="D57" s="168" t="s">
        <v>124</v>
      </c>
      <c r="E57" s="1589">
        <f>SUM(E51:G56)</f>
        <v>0</v>
      </c>
      <c r="F57" s="1590"/>
      <c r="G57" s="1591"/>
      <c r="H57" s="543"/>
      <c r="L57" s="91"/>
      <c r="Z57" s="79">
        <v>0.6</v>
      </c>
      <c r="AA57" s="79">
        <v>0.6</v>
      </c>
    </row>
    <row r="58" spans="1:47" hidden="1" x14ac:dyDescent="0.25">
      <c r="A58" s="65"/>
      <c r="B58" s="65"/>
      <c r="C58" s="605"/>
      <c r="I58" s="121"/>
      <c r="J58" s="67"/>
      <c r="K58" s="122"/>
      <c r="L58" s="121"/>
      <c r="M58" s="121"/>
      <c r="N58" s="121"/>
      <c r="O58" s="121"/>
      <c r="P58" s="121"/>
      <c r="R58" s="121"/>
      <c r="S58" s="121"/>
      <c r="AB58" s="43"/>
      <c r="AC58" s="43"/>
      <c r="AD58" s="68"/>
      <c r="AE58" s="68"/>
    </row>
    <row r="59" spans="1:47" hidden="1" x14ac:dyDescent="0.25">
      <c r="C59" s="121"/>
      <c r="D59" s="67"/>
      <c r="E59" s="122"/>
      <c r="F59" s="122"/>
      <c r="G59" s="121"/>
      <c r="H59" s="121"/>
      <c r="I59" s="121"/>
      <c r="J59" s="121"/>
      <c r="K59" s="121"/>
      <c r="L59" s="63"/>
      <c r="M59" s="63"/>
      <c r="N59" s="63"/>
      <c r="O59" s="63"/>
      <c r="P59" s="63"/>
      <c r="R59" s="63"/>
      <c r="S59" s="63"/>
      <c r="T59" s="115"/>
      <c r="U59" s="115"/>
      <c r="V59" s="115"/>
      <c r="W59" s="115"/>
      <c r="X59" s="115"/>
      <c r="Y59" s="115"/>
      <c r="Z59" s="115"/>
      <c r="AA59" s="115"/>
      <c r="AB59" s="115"/>
      <c r="AC59" s="115"/>
      <c r="AD59" s="115"/>
      <c r="AE59" s="115"/>
      <c r="AF59" s="115"/>
      <c r="AG59" s="115"/>
      <c r="AH59" s="115"/>
      <c r="AI59" s="115"/>
      <c r="AJ59" s="115"/>
      <c r="AK59" s="63"/>
    </row>
    <row r="85" spans="2:2" x14ac:dyDescent="0.25">
      <c r="B85" s="65"/>
    </row>
  </sheetData>
  <sheetProtection sheet="1" objects="1" scenarios="1" selectLockedCells="1"/>
  <mergeCells count="100">
    <mergeCell ref="E1:G1"/>
    <mergeCell ref="J1:N1"/>
    <mergeCell ref="J3:N3"/>
    <mergeCell ref="AL11:AL17"/>
    <mergeCell ref="AM11:AM17"/>
    <mergeCell ref="Z17:AA19"/>
    <mergeCell ref="AB17:AC19"/>
    <mergeCell ref="O18:O20"/>
    <mergeCell ref="Z3:Z5"/>
    <mergeCell ref="Y3:Y5"/>
    <mergeCell ref="AD17:AE19"/>
    <mergeCell ref="AF17:AG19"/>
    <mergeCell ref="AH17:AI19"/>
    <mergeCell ref="Q18:Q20"/>
    <mergeCell ref="AT11:AT17"/>
    <mergeCell ref="AU11:AU17"/>
    <mergeCell ref="AV11:AV17"/>
    <mergeCell ref="C13:D13"/>
    <mergeCell ref="T13:AJ13"/>
    <mergeCell ref="AD15:AE15"/>
    <mergeCell ref="AF15:AG15"/>
    <mergeCell ref="AH15:AI15"/>
    <mergeCell ref="AN11:AN17"/>
    <mergeCell ref="AO11:AO17"/>
    <mergeCell ref="AP11:AP17"/>
    <mergeCell ref="AQ11:AQ17"/>
    <mergeCell ref="AR11:AR17"/>
    <mergeCell ref="AS11:AS17"/>
    <mergeCell ref="AJ17:AJ20"/>
    <mergeCell ref="AB15:AC15"/>
    <mergeCell ref="B15:B46"/>
    <mergeCell ref="T15:U15"/>
    <mergeCell ref="V15:W15"/>
    <mergeCell ref="X15:Y15"/>
    <mergeCell ref="Z15:AA15"/>
    <mergeCell ref="D17:G17"/>
    <mergeCell ref="T17:U19"/>
    <mergeCell ref="V17:W19"/>
    <mergeCell ref="X17:Y19"/>
    <mergeCell ref="C18:C20"/>
    <mergeCell ref="D18:G20"/>
    <mergeCell ref="J18:J20"/>
    <mergeCell ref="K18:K20"/>
    <mergeCell ref="M18:M20"/>
    <mergeCell ref="I21:K21"/>
    <mergeCell ref="D30:G30"/>
    <mergeCell ref="T21:AJ21"/>
    <mergeCell ref="D22:G22"/>
    <mergeCell ref="D23:G23"/>
    <mergeCell ref="D24:G24"/>
    <mergeCell ref="D25:G25"/>
    <mergeCell ref="D26:G26"/>
    <mergeCell ref="D27:G27"/>
    <mergeCell ref="D28:G28"/>
    <mergeCell ref="D29:G29"/>
    <mergeCell ref="D42:G42"/>
    <mergeCell ref="D36:G36"/>
    <mergeCell ref="D37:G37"/>
    <mergeCell ref="D38:G38"/>
    <mergeCell ref="D39:G39"/>
    <mergeCell ref="D40:G40"/>
    <mergeCell ref="D41:G41"/>
    <mergeCell ref="D31:G31"/>
    <mergeCell ref="D32:G32"/>
    <mergeCell ref="D33:G33"/>
    <mergeCell ref="D34:G34"/>
    <mergeCell ref="D35:G35"/>
    <mergeCell ref="D43:G43"/>
    <mergeCell ref="D44:G44"/>
    <mergeCell ref="D45:G45"/>
    <mergeCell ref="D46:G46"/>
    <mergeCell ref="C50:D50"/>
    <mergeCell ref="E50:G50"/>
    <mergeCell ref="C52:D52"/>
    <mergeCell ref="E52:G52"/>
    <mergeCell ref="I52:J52"/>
    <mergeCell ref="K52:L52"/>
    <mergeCell ref="C53:D53"/>
    <mergeCell ref="E53:G53"/>
    <mergeCell ref="I53:J53"/>
    <mergeCell ref="K53:L53"/>
    <mergeCell ref="I50:J50"/>
    <mergeCell ref="K50:L50"/>
    <mergeCell ref="C51:D51"/>
    <mergeCell ref="E51:G51"/>
    <mergeCell ref="I51:J51"/>
    <mergeCell ref="K51:L51"/>
    <mergeCell ref="C56:D56"/>
    <mergeCell ref="E56:G56"/>
    <mergeCell ref="I56:J56"/>
    <mergeCell ref="K56:L56"/>
    <mergeCell ref="E57:G57"/>
    <mergeCell ref="C54:D54"/>
    <mergeCell ref="E54:G54"/>
    <mergeCell ref="I54:J54"/>
    <mergeCell ref="K54:L54"/>
    <mergeCell ref="C55:D55"/>
    <mergeCell ref="E55:G55"/>
    <mergeCell ref="I55:J55"/>
    <mergeCell ref="K55:L55"/>
  </mergeCells>
  <conditionalFormatting sqref="D22:I46">
    <cfRule type="expression" dxfId="84" priority="63">
      <formula>AND($C22&lt;&gt;"",$D22="")</formula>
    </cfRule>
    <cfRule type="expression" dxfId="83" priority="65">
      <formula>AND($C22&lt;&gt;"",$C22&lt;&gt;"")</formula>
    </cfRule>
  </conditionalFormatting>
  <conditionalFormatting sqref="D22:K46">
    <cfRule type="expression" dxfId="82" priority="21">
      <formula>$C22=""</formula>
    </cfRule>
  </conditionalFormatting>
  <conditionalFormatting sqref="J22:J46">
    <cfRule type="expression" dxfId="81" priority="3099">
      <formula>AND($C22&lt;&gt;"",$J22="")</formula>
    </cfRule>
    <cfRule type="expression" dxfId="80" priority="3098">
      <formula>AND($C22&lt;&gt;"",$J22&lt;&gt;"")</formula>
    </cfRule>
  </conditionalFormatting>
  <conditionalFormatting sqref="K22:K46">
    <cfRule type="expression" dxfId="79" priority="2941">
      <formula>AND($C22&lt;&gt;"",$K22="")</formula>
    </cfRule>
    <cfRule type="expression" dxfId="78" priority="2940">
      <formula>AND($C22&lt;&gt;"",$K22&lt;&gt;"")</formula>
    </cfRule>
  </conditionalFormatting>
  <conditionalFormatting sqref="L22:O46">
    <cfRule type="notContainsBlanks" dxfId="77" priority="19">
      <formula>LEN(TRIM(L22))&gt;0</formula>
    </cfRule>
  </conditionalFormatting>
  <conditionalFormatting sqref="N15">
    <cfRule type="expression" dxfId="76" priority="17">
      <formula>$N$15&lt;=$O$15</formula>
    </cfRule>
    <cfRule type="expression" dxfId="75" priority="2966">
      <formula>$N$15&gt;$O$15</formula>
    </cfRule>
  </conditionalFormatting>
  <conditionalFormatting sqref="O47">
    <cfRule type="cellIs" dxfId="74" priority="80" operator="equal">
      <formula>"Incomplete"</formula>
    </cfRule>
  </conditionalFormatting>
  <conditionalFormatting sqref="Q9">
    <cfRule type="cellIs" dxfId="73" priority="14" operator="equal">
      <formula>FALSE</formula>
    </cfRule>
  </conditionalFormatting>
  <conditionalFormatting sqref="Q15">
    <cfRule type="cellIs" dxfId="72" priority="3" operator="equal">
      <formula>"Compliant"</formula>
    </cfRule>
    <cfRule type="cellIs" dxfId="71" priority="4" operator="equal">
      <formula>"Not Compliant"</formula>
    </cfRule>
  </conditionalFormatting>
  <conditionalFormatting sqref="Q22:Q46">
    <cfRule type="expression" dxfId="70" priority="3201">
      <formula>AND($D22&lt;&gt;"",$Q22="")</formula>
    </cfRule>
    <cfRule type="expression" dxfId="69" priority="3200">
      <formula>AND($D22&lt;&gt;"",$Q22&lt;&gt;"")</formula>
    </cfRule>
    <cfRule type="expression" dxfId="68" priority="3199">
      <formula>$Q$9=FALSE</formula>
    </cfRule>
  </conditionalFormatting>
  <conditionalFormatting sqref="R22:R46">
    <cfRule type="cellIs" dxfId="67" priority="2" operator="equal">
      <formula>"ý"</formula>
    </cfRule>
    <cfRule type="cellIs" dxfId="66" priority="1" operator="equal">
      <formula>"þ"</formula>
    </cfRule>
  </conditionalFormatting>
  <conditionalFormatting sqref="T15:AI15">
    <cfRule type="cellIs" dxfId="65" priority="25" operator="equal">
      <formula>"Incomplete"</formula>
    </cfRule>
    <cfRule type="cellIs" dxfId="64" priority="24" operator="equal">
      <formula>"Complete"</formula>
    </cfRule>
  </conditionalFormatting>
  <conditionalFormatting sqref="T16:AJ16">
    <cfRule type="cellIs" dxfId="63" priority="69" operator="equal">
      <formula>"incomplete"</formula>
    </cfRule>
    <cfRule type="cellIs" dxfId="62" priority="68" operator="equal">
      <formula>"Complete"</formula>
    </cfRule>
  </conditionalFormatting>
  <conditionalFormatting sqref="U22:U46 W22:W46 Y22:Y46 AA22:AA46 AC22:AC46 AE22:AE46 AG22:AG46 AI22:AI46">
    <cfRule type="expression" dxfId="61" priority="67">
      <formula>$C22=""</formula>
    </cfRule>
    <cfRule type="expression" dxfId="60" priority="3167">
      <formula>T22="NA"</formula>
    </cfRule>
    <cfRule type="expression" dxfId="59" priority="3168">
      <formula>AND($C22&lt;&gt;"",$U22&lt;&gt;"")</formula>
    </cfRule>
    <cfRule type="notContainsBlanks" dxfId="58" priority="3169">
      <formula>LEN(TRIM(U22))&gt;0</formula>
    </cfRule>
    <cfRule type="expression" dxfId="57" priority="3170">
      <formula>AND($C22&lt;&gt;"",$U22="")</formula>
    </cfRule>
  </conditionalFormatting>
  <conditionalFormatting sqref="AJ15">
    <cfRule type="cellIs" dxfId="56" priority="23" operator="equal">
      <formula>"Not Compliant"</formula>
    </cfRule>
    <cfRule type="cellIs" dxfId="55" priority="22" operator="equal">
      <formula>"Compliant"</formula>
    </cfRule>
  </conditionalFormatting>
  <conditionalFormatting sqref="AJ16">
    <cfRule type="cellIs" dxfId="54" priority="62" operator="equal">
      <formula>"Not Compliant"</formula>
    </cfRule>
  </conditionalFormatting>
  <conditionalFormatting sqref="AJ22:AJ46">
    <cfRule type="cellIs" dxfId="53" priority="71" operator="equal">
      <formula>"Incomplete"</formula>
    </cfRule>
    <cfRule type="cellIs" dxfId="52" priority="70" operator="equal">
      <formula>"Complete"</formula>
    </cfRule>
  </conditionalFormatting>
  <conditionalFormatting sqref="AK47">
    <cfRule type="cellIs" dxfId="51" priority="78" operator="equal">
      <formula>"Compliant"</formula>
    </cfRule>
    <cfRule type="cellIs" dxfId="50" priority="79" operator="equal">
      <formula>"Non Compliant"</formula>
    </cfRule>
  </conditionalFormatting>
  <dataValidations count="7">
    <dataValidation type="list" allowBlank="1" showInputMessage="1" showErrorMessage="1" sqref="AG22:AG46 AE22:AE46 AC22:AC46 AA22:AA46 U22:U46" xr:uid="{00000000-0002-0000-1000-000000000000}">
      <formula1>"Yes,N/A"</formula1>
    </dataValidation>
    <dataValidation type="list" allowBlank="1" showInputMessage="1" showErrorMessage="1" sqref="AI22:AI46" xr:uid="{00000000-0002-0000-1000-000001000000}">
      <formula1>"Yes,N/A,9.4.1.1i"</formula1>
    </dataValidation>
    <dataValidation type="list" allowBlank="1" showInputMessage="1" showErrorMessage="1" sqref="Y22:Y46" xr:uid="{00000000-0002-0000-1000-000002000000}">
      <formula1>"Yes,N/A,9.4.1.1b"</formula1>
    </dataValidation>
    <dataValidation type="list" allowBlank="1" showInputMessage="1" showErrorMessage="1" sqref="W22:W46" xr:uid="{00000000-0002-0000-1000-000003000000}">
      <formula1>"Yes,N/A,9.4.1.1c"</formula1>
    </dataValidation>
    <dataValidation type="list" allowBlank="1" showInputMessage="1" showErrorMessage="1" sqref="J22:J46 Q22:Q46" xr:uid="{00000000-0002-0000-1000-000004000000}">
      <formula1>_FixtureList</formula1>
    </dataValidation>
    <dataValidation type="list" allowBlank="1" showInputMessage="1" showErrorMessage="1" sqref="C23:C46" xr:uid="{00000000-0002-0000-1000-000005000000}">
      <formula1>_SpaceList_BAM</formula1>
    </dataValidation>
    <dataValidation type="list" allowBlank="1" showInputMessage="1" showErrorMessage="1" sqref="L7" xr:uid="{00000000-0002-0000-1000-000006000000}">
      <formula1>"Office, School, Retail"</formula1>
    </dataValidation>
  </dataValidations>
  <pageMargins left="0.5" right="0.5" top="1" bottom="1" header="0.5" footer="0.5"/>
  <pageSetup scale="51" orientation="landscape" r:id="rId1"/>
  <headerFooter alignWithMargins="0">
    <oddHeader>&amp;LLighting Compliance Documentation&amp;R&amp;D</oddHeader>
    <oddFooter>&amp;RPage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7000000}">
          <x14:formula1>
            <xm:f>'Simplified Tables'!$C$8:$C$17</xm:f>
          </x14:formula1>
          <xm:sqref>D22:G46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249977111117893"/>
    <pageSetUpPr fitToPage="1"/>
  </sheetPr>
  <dimension ref="A1:AX85"/>
  <sheetViews>
    <sheetView showGridLines="0" showRowColHeaders="0" workbookViewId="0">
      <pane xSplit="8" ySplit="20" topLeftCell="I21" activePane="bottomRight" state="frozen"/>
      <selection pane="topRight" activeCell="I1" sqref="I1"/>
      <selection pane="bottomLeft" activeCell="A21" sqref="A21"/>
      <selection pane="bottomRight" activeCell="I21" sqref="I21:L21"/>
    </sheetView>
  </sheetViews>
  <sheetFormatPr defaultColWidth="9.1796875" defaultRowHeight="12.5" x14ac:dyDescent="0.25"/>
  <cols>
    <col min="1" max="1" width="2.54296875" style="42" customWidth="1"/>
    <col min="2" max="2" width="2.54296875" style="42" hidden="1" customWidth="1"/>
    <col min="3" max="3" width="12.81640625" style="42" customWidth="1"/>
    <col min="4" max="6" width="10.54296875" style="42" customWidth="1"/>
    <col min="7" max="7" width="2.54296875" style="42" customWidth="1"/>
    <col min="8" max="8" width="0.453125" style="42" hidden="1" customWidth="1"/>
    <col min="9" max="9" width="2.1796875" style="42" customWidth="1"/>
    <col min="10" max="10" width="12.7265625" style="42" customWidth="1"/>
    <col min="11" max="11" width="25.7265625" style="42" customWidth="1"/>
    <col min="12" max="17" width="12.7265625" style="42" customWidth="1"/>
    <col min="18" max="18" width="2.7265625" style="42" customWidth="1"/>
    <col min="19" max="19" width="25.7265625" style="42" customWidth="1"/>
    <col min="20" max="21" width="2.7265625" style="42" customWidth="1"/>
    <col min="22" max="27" width="6.7265625" style="42" customWidth="1"/>
    <col min="28" max="28" width="12.7265625" style="42" customWidth="1"/>
    <col min="29" max="29" width="11.54296875" style="42" customWidth="1"/>
    <col min="30" max="35" width="5.54296875" style="42" hidden="1" customWidth="1"/>
    <col min="36" max="36" width="9.1796875" style="42" hidden="1" customWidth="1"/>
    <col min="37" max="38" width="0" style="42" hidden="1" customWidth="1"/>
    <col min="39" max="39" width="25.7265625" style="42" hidden="1" customWidth="1"/>
    <col min="40" max="40" width="0" style="42" hidden="1" customWidth="1"/>
    <col min="41" max="46" width="12.7265625" style="42" hidden="1" customWidth="1"/>
    <col min="47" max="48" width="0" style="42" hidden="1" customWidth="1"/>
    <col min="49" max="49" width="16.453125" style="42" hidden="1" customWidth="1"/>
    <col min="50" max="50" width="0" style="42" hidden="1" customWidth="1"/>
    <col min="51" max="16384" width="9.1796875" style="42"/>
  </cols>
  <sheetData>
    <row r="1" spans="2:41" ht="15" customHeight="1" x14ac:dyDescent="0.3">
      <c r="E1" s="1498" t="s">
        <v>0</v>
      </c>
      <c r="F1" s="1498"/>
      <c r="G1" s="1498"/>
      <c r="H1" s="1135"/>
      <c r="I1" s="1135"/>
      <c r="J1" s="1135"/>
      <c r="K1" s="1555" t="str">
        <f>'Main Compliance Page'!K1</f>
        <v>ASHRAE/IES 90.1-2019 Lighting Compliance Documentation (v4.0)</v>
      </c>
      <c r="L1" s="1555"/>
      <c r="M1" s="1555"/>
      <c r="N1" s="1555"/>
      <c r="O1" s="1555"/>
      <c r="P1" s="143"/>
      <c r="Q1" s="143"/>
      <c r="R1" s="143"/>
      <c r="S1" s="143"/>
      <c r="T1" s="143"/>
      <c r="U1" s="143"/>
      <c r="V1" s="143"/>
      <c r="W1" s="143"/>
      <c r="X1" s="143"/>
      <c r="Y1" s="143" t="s">
        <v>878</v>
      </c>
      <c r="Z1" s="143"/>
      <c r="AA1" s="143"/>
    </row>
    <row r="2" spans="2:41" ht="5.15" customHeight="1" x14ac:dyDescent="0.3">
      <c r="E2" s="1135"/>
      <c r="F2" s="1135"/>
      <c r="G2" s="1135"/>
      <c r="H2" s="1135"/>
      <c r="I2" s="1135"/>
      <c r="J2" s="1135"/>
      <c r="K2" s="1137"/>
      <c r="L2" s="1137"/>
      <c r="M2" s="1137"/>
      <c r="N2" s="1137"/>
      <c r="O2" s="1137"/>
      <c r="P2" s="143"/>
      <c r="Q2" s="143"/>
      <c r="R2" s="143"/>
      <c r="S2" s="143"/>
      <c r="T2" s="143"/>
      <c r="U2" s="143"/>
      <c r="V2" s="143"/>
      <c r="W2" s="143"/>
      <c r="X2" s="143"/>
      <c r="Y2" s="143"/>
      <c r="Z2" s="143"/>
      <c r="AA2" s="143"/>
    </row>
    <row r="3" spans="2:41" ht="15" customHeight="1" x14ac:dyDescent="0.3">
      <c r="I3" s="118"/>
      <c r="J3" s="118"/>
      <c r="K3" s="1555" t="s">
        <v>1283</v>
      </c>
      <c r="L3" s="1555"/>
      <c r="M3" s="1555"/>
      <c r="N3" s="1555"/>
      <c r="O3" s="1555"/>
      <c r="P3" s="73"/>
      <c r="Q3" s="73"/>
      <c r="R3" s="73"/>
      <c r="S3" s="73"/>
      <c r="T3" s="73"/>
      <c r="U3" s="73"/>
      <c r="V3" s="1200">
        <f>_Step2_AlterationsYesNo</f>
        <v>0</v>
      </c>
      <c r="W3" s="1201" t="s">
        <v>849</v>
      </c>
      <c r="X3" s="360"/>
      <c r="Y3" s="360"/>
      <c r="Z3" s="360"/>
      <c r="AA3" s="1766"/>
    </row>
    <row r="4" spans="2:41" ht="5.15" customHeight="1" x14ac:dyDescent="0.3">
      <c r="I4" s="118"/>
      <c r="J4" s="118"/>
      <c r="K4" s="1137"/>
      <c r="L4" s="1137"/>
      <c r="M4" s="1137"/>
      <c r="N4" s="1137"/>
      <c r="O4" s="1137"/>
      <c r="P4" s="73"/>
      <c r="Q4" s="73"/>
      <c r="R4" s="73"/>
      <c r="S4" s="73"/>
      <c r="T4" s="73"/>
      <c r="U4" s="73"/>
      <c r="V4" s="1201"/>
      <c r="W4" s="1201"/>
      <c r="X4" s="360"/>
      <c r="Y4" s="360"/>
      <c r="Z4" s="360"/>
      <c r="AA4" s="1766"/>
    </row>
    <row r="5" spans="2:41" ht="15" customHeight="1" x14ac:dyDescent="0.25">
      <c r="I5" s="118"/>
      <c r="J5" s="118"/>
      <c r="K5" s="514"/>
      <c r="L5" s="514"/>
      <c r="M5" s="514"/>
      <c r="N5" s="514"/>
      <c r="O5" s="514"/>
      <c r="P5" s="90"/>
      <c r="Q5" s="90"/>
      <c r="R5" s="90"/>
      <c r="S5" s="90"/>
      <c r="T5" s="90"/>
      <c r="U5" s="90"/>
      <c r="V5" s="1200">
        <f>IF(V3="Yes",15,0)</f>
        <v>0</v>
      </c>
      <c r="W5" s="1202" t="s">
        <v>1179</v>
      </c>
      <c r="X5" s="365"/>
      <c r="Y5" s="365"/>
      <c r="Z5" s="365"/>
      <c r="AA5" s="1766"/>
      <c r="AO5" s="95"/>
    </row>
    <row r="6" spans="2:41" ht="5.15" customHeight="1" x14ac:dyDescent="0.25">
      <c r="I6" s="118"/>
      <c r="J6" s="118"/>
      <c r="K6" s="514"/>
      <c r="L6" s="514"/>
      <c r="M6" s="514"/>
      <c r="N6" s="514"/>
      <c r="O6" s="514"/>
      <c r="P6" s="90"/>
      <c r="Q6" s="90"/>
      <c r="R6" s="90"/>
      <c r="S6" s="90"/>
      <c r="T6" s="90"/>
      <c r="U6" s="90"/>
      <c r="V6" s="365"/>
      <c r="W6" s="365"/>
      <c r="X6" s="365"/>
      <c r="Y6" s="365"/>
      <c r="Z6" s="365"/>
      <c r="AA6" s="365"/>
    </row>
    <row r="7" spans="2:41" ht="15" customHeight="1" x14ac:dyDescent="0.25">
      <c r="I7" s="118"/>
      <c r="J7" s="118"/>
      <c r="M7" s="1804" t="s">
        <v>857</v>
      </c>
      <c r="N7" s="1804" t="s">
        <v>1301</v>
      </c>
      <c r="O7" s="1804" t="s">
        <v>1305</v>
      </c>
      <c r="P7" s="1804" t="s">
        <v>188</v>
      </c>
      <c r="R7" s="73"/>
      <c r="S7" s="73"/>
      <c r="T7" s="73"/>
      <c r="U7" s="73"/>
      <c r="V7" s="360"/>
      <c r="W7" s="360"/>
      <c r="X7" s="360"/>
      <c r="Y7" s="360"/>
      <c r="Z7" s="360"/>
      <c r="AA7" s="360"/>
      <c r="AO7" s="95"/>
    </row>
    <row r="8" spans="2:41" ht="5.15" customHeight="1" x14ac:dyDescent="0.25">
      <c r="I8" s="118"/>
      <c r="J8" s="118"/>
      <c r="K8" s="1174"/>
      <c r="L8" s="1166"/>
      <c r="M8" s="1804"/>
      <c r="N8" s="1804"/>
      <c r="O8" s="1804"/>
      <c r="P8" s="1804"/>
      <c r="R8" s="73"/>
      <c r="S8" s="73"/>
      <c r="T8" s="73"/>
      <c r="U8" s="73"/>
      <c r="V8" s="360"/>
      <c r="W8" s="360"/>
      <c r="X8" s="360"/>
      <c r="Y8" s="360"/>
      <c r="Z8" s="360"/>
      <c r="AA8" s="360"/>
    </row>
    <row r="9" spans="2:41" ht="15" customHeight="1" x14ac:dyDescent="0.25">
      <c r="I9" s="118"/>
      <c r="J9" s="1233"/>
      <c r="K9" s="1208" t="s">
        <v>1306</v>
      </c>
      <c r="M9" s="1804"/>
      <c r="N9" s="1804"/>
      <c r="O9" s="1804"/>
      <c r="P9" s="1804"/>
      <c r="R9" s="90"/>
      <c r="S9" s="90"/>
      <c r="T9" s="90"/>
      <c r="U9" s="90"/>
      <c r="V9" s="365"/>
      <c r="W9" s="365"/>
      <c r="Y9" s="365"/>
      <c r="Z9" s="365"/>
      <c r="AA9" s="365"/>
      <c r="AF9" s="290"/>
      <c r="AG9" s="290"/>
      <c r="AH9" s="290"/>
      <c r="AO9" s="95"/>
    </row>
    <row r="10" spans="2:41" ht="5.15" customHeight="1" thickBot="1" x14ac:dyDescent="0.3">
      <c r="I10" s="118"/>
      <c r="J10" s="1176"/>
      <c r="K10" s="1176"/>
      <c r="N10" s="1178"/>
      <c r="O10" s="1177"/>
      <c r="Q10" s="90"/>
      <c r="R10" s="90"/>
      <c r="S10" s="90"/>
      <c r="T10" s="90"/>
      <c r="U10" s="90"/>
      <c r="V10" s="365"/>
      <c r="W10" s="365"/>
      <c r="X10" s="365"/>
      <c r="Y10" s="365"/>
      <c r="Z10" s="365"/>
      <c r="AA10" s="365"/>
    </row>
    <row r="11" spans="2:41" ht="15" customHeight="1" thickBot="1" x14ac:dyDescent="0.3">
      <c r="I11" s="118"/>
      <c r="J11" s="1233"/>
      <c r="K11" s="1208" t="s">
        <v>1307</v>
      </c>
      <c r="L11" s="1175" t="s">
        <v>16</v>
      </c>
      <c r="M11" s="1199">
        <f ca="1">Q60-M13</f>
        <v>0</v>
      </c>
      <c r="N11" s="1193">
        <f ca="1">SUM(O22:O46)-N13</f>
        <v>0</v>
      </c>
      <c r="O11" s="1199">
        <f ca="1">IF(N11&gt;M11,N11-M11,0)</f>
        <v>0</v>
      </c>
      <c r="P11" s="1206">
        <f ca="1">J13-O11</f>
        <v>0</v>
      </c>
      <c r="Q11" s="1207" t="str">
        <f ca="1">IF(AND(N11&gt;0,P11&gt;0),"Compliant","Not Compliant")</f>
        <v>Not Compliant</v>
      </c>
      <c r="R11" s="73"/>
      <c r="S11" s="121" t="b">
        <f>IF(_Step2_AlterationsYesNo="Yes",TRUE,FALSE)</f>
        <v>0</v>
      </c>
      <c r="T11" s="73"/>
      <c r="U11" s="73"/>
      <c r="AA11" s="1203"/>
      <c r="AB11" s="573"/>
      <c r="AD11" s="1619" t="s">
        <v>639</v>
      </c>
      <c r="AE11" s="1621"/>
      <c r="AF11" s="1619" t="str">
        <f>V17</f>
        <v>Auto off during daylight hours</v>
      </c>
      <c r="AG11" s="1619" t="str">
        <f>X17</f>
        <v>power reduced
by a minimum of 75% during nonoperating hours</v>
      </c>
      <c r="AH11" s="1619" t="str">
        <f>Z17</f>
        <v>Luminaires mounted 25 ft or less above grade shall be controlled to reduce the power by at least 50% when no activity is detected for not longer than 15 minutes.</v>
      </c>
      <c r="AI11" s="1619" t="s">
        <v>879</v>
      </c>
    </row>
    <row r="12" spans="2:41" ht="5.15" customHeight="1" thickBot="1" x14ac:dyDescent="0.3">
      <c r="I12" s="118"/>
      <c r="J12" s="100"/>
      <c r="K12" s="324"/>
      <c r="L12" s="100"/>
      <c r="M12" s="100"/>
      <c r="R12" s="73"/>
      <c r="S12" s="73"/>
      <c r="T12" s="73"/>
      <c r="U12" s="73"/>
      <c r="V12" s="498"/>
      <c r="W12" s="360"/>
      <c r="X12" s="498"/>
      <c r="Y12" s="360"/>
      <c r="Z12" s="498"/>
      <c r="AA12" s="360"/>
      <c r="AD12" s="1619"/>
      <c r="AE12" s="1621"/>
      <c r="AF12" s="1619"/>
      <c r="AG12" s="1619"/>
      <c r="AH12" s="1619"/>
      <c r="AI12" s="1619"/>
    </row>
    <row r="13" spans="2:41" ht="15" customHeight="1" thickBot="1" x14ac:dyDescent="0.3">
      <c r="C13" s="1520" t="str">
        <f>CONCATENATE("90.1-",Compliance_Version_Year)</f>
        <v>90.1-2019</v>
      </c>
      <c r="D13" s="1520"/>
      <c r="I13" s="118"/>
      <c r="J13" s="1195">
        <f>'Simplified Tables'!E89</f>
        <v>0</v>
      </c>
      <c r="K13" s="1208" t="s">
        <v>1308</v>
      </c>
      <c r="L13" s="1175" t="s">
        <v>1304</v>
      </c>
      <c r="M13" s="1194">
        <f ca="1">SUMIF(D22:G46,"Façade Lighting",Q22:Q46)</f>
        <v>0</v>
      </c>
      <c r="N13" s="1195">
        <f ca="1">SUMIF(D22:G46,"Façade Lighting",O22:O46)</f>
        <v>0</v>
      </c>
      <c r="O13" s="1199">
        <f ca="1">IF(N13&gt;M13,N13-M13,0)</f>
        <v>0</v>
      </c>
      <c r="P13" s="1206">
        <f ca="1">P11-O13</f>
        <v>0</v>
      </c>
      <c r="Q13" s="1207" t="str">
        <f ca="1">IF(AND(N13&gt;0,P13&gt;0),"Compliant","Not Compliant")</f>
        <v>Not Compliant</v>
      </c>
      <c r="R13" s="73"/>
      <c r="S13" s="73"/>
      <c r="T13" s="73"/>
      <c r="U13" s="73"/>
      <c r="V13" s="1576" t="s">
        <v>125</v>
      </c>
      <c r="W13" s="1576"/>
      <c r="X13" s="1576"/>
      <c r="Y13" s="1576"/>
      <c r="Z13" s="1576"/>
      <c r="AA13" s="1576"/>
      <c r="AB13" s="1576"/>
      <c r="AD13" s="1619"/>
      <c r="AE13" s="1621"/>
      <c r="AF13" s="1619"/>
      <c r="AG13" s="1619"/>
      <c r="AH13" s="1619"/>
      <c r="AI13" s="1619"/>
    </row>
    <row r="14" spans="2:41" ht="5.15" customHeight="1" x14ac:dyDescent="0.25">
      <c r="C14" s="1136"/>
      <c r="D14" s="1136"/>
      <c r="I14" s="118"/>
      <c r="J14" s="118"/>
      <c r="K14" s="118"/>
      <c r="L14" s="118"/>
      <c r="M14" s="73"/>
      <c r="N14" s="73"/>
      <c r="O14" s="73"/>
      <c r="Q14" s="73"/>
      <c r="R14" s="73"/>
      <c r="S14" s="73"/>
      <c r="T14" s="73"/>
      <c r="U14" s="73"/>
      <c r="W14" s="360"/>
      <c r="X14" s="360"/>
      <c r="Y14" s="360"/>
      <c r="Z14" s="360"/>
      <c r="AA14" s="360"/>
      <c r="AD14" s="1619"/>
      <c r="AE14" s="1621"/>
      <c r="AF14" s="1619"/>
      <c r="AG14" s="1619"/>
      <c r="AH14" s="1619"/>
      <c r="AI14" s="1619"/>
    </row>
    <row r="15" spans="2:41" ht="15" customHeight="1" x14ac:dyDescent="0.25">
      <c r="B15" s="1563"/>
      <c r="I15" s="127"/>
      <c r="J15" s="127"/>
      <c r="O15" s="63"/>
      <c r="R15" s="90"/>
      <c r="S15" s="1221" t="str">
        <f>IF(S11=FALSE,"",IF(AT19=0,"Compliant","Not Compliant"))</f>
        <v/>
      </c>
      <c r="T15" s="90"/>
      <c r="U15" s="90"/>
      <c r="V15" s="1575" t="str">
        <f>IF($AD47&lt;&gt;AF47,"Incomplete","Complete")</f>
        <v>Complete</v>
      </c>
      <c r="W15" s="1574"/>
      <c r="X15" s="1574" t="str">
        <f>IF($AD47&lt;&gt;AG47,"Incomplete","Complete")</f>
        <v>Complete</v>
      </c>
      <c r="Y15" s="1574"/>
      <c r="Z15" s="1574" t="str">
        <f>IF($AD47&lt;&gt;AH47,"Incomplete","Complete")</f>
        <v>Complete</v>
      </c>
      <c r="AA15" s="1574"/>
      <c r="AB15" s="1014" t="str">
        <f>IF(OR(V15="Incomplete",X15="Incomplete",Z15="Incomplete",),"Not Compliant","Compliant")</f>
        <v>Compliant</v>
      </c>
      <c r="AD15" s="1619"/>
      <c r="AE15" s="1621"/>
      <c r="AF15" s="1619"/>
      <c r="AG15" s="1619"/>
      <c r="AH15" s="1619"/>
      <c r="AI15" s="1619"/>
    </row>
    <row r="16" spans="2:41" ht="5.15" customHeight="1" thickBot="1" x14ac:dyDescent="0.3">
      <c r="B16" s="1614"/>
      <c r="I16" s="127"/>
      <c r="J16" s="127"/>
      <c r="N16" s="519"/>
      <c r="O16" s="1205"/>
      <c r="P16" s="118"/>
      <c r="Q16" s="118"/>
      <c r="R16" s="90"/>
      <c r="S16" s="90"/>
      <c r="T16" s="90"/>
      <c r="U16" s="90"/>
      <c r="V16" s="1200">
        <v>4</v>
      </c>
      <c r="W16" s="1203"/>
      <c r="X16" s="1200">
        <v>5</v>
      </c>
      <c r="Y16" s="1203"/>
      <c r="Z16" s="1200">
        <v>6</v>
      </c>
      <c r="AA16" s="780"/>
      <c r="AB16" s="779"/>
      <c r="AC16" s="63"/>
      <c r="AD16" s="1619"/>
      <c r="AE16" s="1621"/>
      <c r="AF16" s="1619"/>
      <c r="AG16" s="1619"/>
      <c r="AH16" s="1619"/>
      <c r="AI16" s="1619"/>
    </row>
    <row r="17" spans="1:50" ht="32.25" customHeight="1" x14ac:dyDescent="0.3">
      <c r="B17" s="1614"/>
      <c r="C17" s="998" t="s">
        <v>126</v>
      </c>
      <c r="D17" s="1610"/>
      <c r="E17" s="1611"/>
      <c r="F17" s="1611"/>
      <c r="G17" s="1807"/>
      <c r="H17" s="1143"/>
      <c r="I17" s="896"/>
      <c r="J17" s="1144" t="s">
        <v>1299</v>
      </c>
      <c r="K17" s="999" t="s">
        <v>127</v>
      </c>
      <c r="L17" s="1000" t="s">
        <v>128</v>
      </c>
      <c r="M17" s="897" t="s">
        <v>129</v>
      </c>
      <c r="N17" s="898" t="s">
        <v>130</v>
      </c>
      <c r="O17" s="897" t="s">
        <v>1301</v>
      </c>
      <c r="P17" s="898" t="s">
        <v>1284</v>
      </c>
      <c r="Q17" s="899" t="s">
        <v>857</v>
      </c>
      <c r="R17" s="90"/>
      <c r="S17" s="811" t="str">
        <f>IF(S11=TRUE,"For Alterations Only.","Column not used.")</f>
        <v>Column not used.</v>
      </c>
      <c r="T17" s="90"/>
      <c r="U17" s="90"/>
      <c r="V17" s="1615" t="str">
        <f>'Simplified Tables'!F83</f>
        <v>Auto off during daylight hours</v>
      </c>
      <c r="W17" s="1578"/>
      <c r="X17" s="1577" t="str">
        <f>'Simplified Tables'!G83</f>
        <v>power reduced
by a minimum of 75% during nonoperating hours</v>
      </c>
      <c r="Y17" s="1578"/>
      <c r="Z17" s="1577" t="str">
        <f>'Simplified Tables'!H83</f>
        <v>Luminaires mounted 25 ft or less above grade shall be controlled to reduce the power by at least 50% when no activity is detected for not longer than 15 minutes.</v>
      </c>
      <c r="AA17" s="1578"/>
      <c r="AB17" s="1569" t="s">
        <v>132</v>
      </c>
      <c r="AD17" s="1620"/>
      <c r="AE17" s="1622"/>
      <c r="AF17" s="1620"/>
      <c r="AG17" s="1620"/>
      <c r="AH17" s="1620"/>
      <c r="AI17" s="1620"/>
      <c r="AM17" s="95" t="s">
        <v>1038</v>
      </c>
    </row>
    <row r="18" spans="1:50" ht="13.5" customHeight="1" x14ac:dyDescent="0.3">
      <c r="B18" s="1614"/>
      <c r="C18" s="1595"/>
      <c r="D18" s="1585" t="s">
        <v>1291</v>
      </c>
      <c r="E18" s="1586"/>
      <c r="F18" s="1586"/>
      <c r="G18" s="1808"/>
      <c r="H18" s="1139"/>
      <c r="I18" s="478"/>
      <c r="J18" s="1572" t="s">
        <v>1300</v>
      </c>
      <c r="K18" s="1608" t="s">
        <v>876</v>
      </c>
      <c r="L18" s="1572" t="s">
        <v>877</v>
      </c>
      <c r="M18" s="288"/>
      <c r="N18" s="1572" t="s">
        <v>134</v>
      </c>
      <c r="O18" s="240"/>
      <c r="P18" s="1572" t="s">
        <v>843</v>
      </c>
      <c r="Q18" s="1179"/>
      <c r="R18" s="90"/>
      <c r="S18" s="1657" t="str">
        <f>IF(S11=TRUE,"Select the ""Existing"" Luminaire below","Leave cells blank.")</f>
        <v>Leave cells blank.</v>
      </c>
      <c r="T18" s="90"/>
      <c r="U18" s="90"/>
      <c r="V18" s="1616"/>
      <c r="W18" s="1580"/>
      <c r="X18" s="1579"/>
      <c r="Y18" s="1580"/>
      <c r="Z18" s="1579"/>
      <c r="AA18" s="1580"/>
      <c r="AB18" s="1570"/>
      <c r="AF18" s="241"/>
      <c r="AG18" s="241"/>
      <c r="AH18" s="241"/>
    </row>
    <row r="19" spans="1:50" ht="13" x14ac:dyDescent="0.3">
      <c r="B19" s="1614"/>
      <c r="C19" s="1595"/>
      <c r="D19" s="1585"/>
      <c r="E19" s="1586"/>
      <c r="F19" s="1586"/>
      <c r="G19" s="1808"/>
      <c r="H19" s="1139"/>
      <c r="I19" s="478"/>
      <c r="J19" s="1572"/>
      <c r="K19" s="1608"/>
      <c r="L19" s="1572"/>
      <c r="M19" s="288"/>
      <c r="N19" s="1572"/>
      <c r="O19" s="240"/>
      <c r="P19" s="1572"/>
      <c r="Q19" s="1179"/>
      <c r="R19" s="90"/>
      <c r="S19" s="1657"/>
      <c r="T19" s="90"/>
      <c r="U19" s="90"/>
      <c r="V19" s="1616"/>
      <c r="W19" s="1580"/>
      <c r="X19" s="1579"/>
      <c r="Y19" s="1580"/>
      <c r="Z19" s="1579"/>
      <c r="AA19" s="1580"/>
      <c r="AB19" s="1570"/>
      <c r="AF19" s="544"/>
      <c r="AG19" s="544"/>
      <c r="AH19" s="544"/>
      <c r="AI19" s="95"/>
      <c r="AM19" s="50"/>
      <c r="AN19" s="50"/>
      <c r="AO19" s="50"/>
      <c r="AP19" s="50"/>
      <c r="AQ19" s="50"/>
      <c r="AR19" s="50"/>
      <c r="AS19" s="50"/>
      <c r="AT19" s="1190">
        <f>SUM(AT22:AT32)</f>
        <v>0</v>
      </c>
    </row>
    <row r="20" spans="1:50" ht="13.5" thickBot="1" x14ac:dyDescent="0.35">
      <c r="B20" s="1614"/>
      <c r="C20" s="1596"/>
      <c r="D20" s="1587"/>
      <c r="E20" s="1588"/>
      <c r="F20" s="1588"/>
      <c r="G20" s="1809"/>
      <c r="H20" s="1140"/>
      <c r="I20" s="1015"/>
      <c r="J20" s="1573"/>
      <c r="K20" s="1609"/>
      <c r="L20" s="1573"/>
      <c r="M20" s="289"/>
      <c r="N20" s="1573"/>
      <c r="O20" s="1173"/>
      <c r="P20" s="1573" t="s">
        <v>843</v>
      </c>
      <c r="Q20" s="1180"/>
      <c r="R20" s="90"/>
      <c r="S20" s="1803"/>
      <c r="T20" s="90"/>
      <c r="U20" s="90"/>
      <c r="V20" s="1028"/>
      <c r="W20" s="775" t="str">
        <f>IF(V15="Incomplete","Select","")</f>
        <v/>
      </c>
      <c r="X20" s="1029"/>
      <c r="Y20" s="775" t="str">
        <f>IF(X15="Incomplete","Select","")</f>
        <v/>
      </c>
      <c r="Z20" s="1029"/>
      <c r="AA20" s="775" t="str">
        <f>IF(Z15="Incomplete","Select","")</f>
        <v/>
      </c>
      <c r="AB20" s="1571"/>
      <c r="AM20" s="1220" t="s">
        <v>1311</v>
      </c>
      <c r="AN20" s="603" t="s">
        <v>1312</v>
      </c>
      <c r="AO20" s="603" t="s">
        <v>74</v>
      </c>
      <c r="AP20" s="603" t="s">
        <v>130</v>
      </c>
      <c r="AQ20" s="603" t="s">
        <v>1313</v>
      </c>
      <c r="AR20" s="603" t="s">
        <v>1314</v>
      </c>
      <c r="AS20" s="603" t="s">
        <v>1315</v>
      </c>
      <c r="AT20" s="603" t="s">
        <v>1316</v>
      </c>
    </row>
    <row r="21" spans="1:50" s="73" customFormat="1" ht="1" customHeight="1" thickBot="1" x14ac:dyDescent="0.35">
      <c r="B21" s="1614"/>
      <c r="C21" s="969"/>
      <c r="D21" s="969"/>
      <c r="E21" s="969"/>
      <c r="F21" s="969"/>
      <c r="G21" s="969"/>
      <c r="H21" s="969"/>
      <c r="I21" s="1618"/>
      <c r="J21" s="1618"/>
      <c r="K21" s="1618"/>
      <c r="L21" s="1618"/>
      <c r="M21" s="839"/>
      <c r="N21" s="196"/>
      <c r="O21" s="1134"/>
      <c r="P21" s="502"/>
      <c r="Q21" s="1209"/>
      <c r="R21" s="90"/>
      <c r="S21" s="90"/>
      <c r="T21" s="90"/>
      <c r="U21" s="90"/>
      <c r="V21" s="1623"/>
      <c r="W21" s="1623"/>
      <c r="X21" s="1623"/>
      <c r="Y21" s="1623"/>
      <c r="Z21" s="1623"/>
      <c r="AA21" s="1623"/>
      <c r="AB21" s="1623"/>
    </row>
    <row r="22" spans="1:50" s="510" customFormat="1" ht="15" customHeight="1" x14ac:dyDescent="0.25">
      <c r="A22" s="470">
        <v>1</v>
      </c>
      <c r="B22" s="1614"/>
      <c r="C22" s="1167" t="str">
        <f t="shared" ref="C22:C46" si="0">IF(D22="","",$J$9)</f>
        <v/>
      </c>
      <c r="D22" s="1799"/>
      <c r="E22" s="1799"/>
      <c r="F22" s="1799"/>
      <c r="G22" s="1799"/>
      <c r="H22" s="1237"/>
      <c r="I22" s="1234"/>
      <c r="J22" s="1182"/>
      <c r="K22" s="1181"/>
      <c r="L22" s="1182"/>
      <c r="M22" s="1170" t="str">
        <f t="shared" ref="M22:M46" si="1">IFERROR(IF($C22&lt;&gt;"",VLOOKUP($K22,_Luminaire_Schedule,5,FALSE)," "),"")</f>
        <v xml:space="preserve"> </v>
      </c>
      <c r="N22" s="1170" t="str">
        <f t="shared" ref="N22:N46" si="2">IFERROR(IF($C22&lt;&gt;"",VLOOKUP($K22,_Luminaire_Schedule,9,FALSE)," "),"")</f>
        <v xml:space="preserve"> </v>
      </c>
      <c r="O22" s="1169" t="str">
        <f t="shared" ref="O22:O46" si="3">IFERROR(IF(L22&gt;0,ROUND(L22*N22,0)," "),"")</f>
        <v xml:space="preserve"> </v>
      </c>
      <c r="P22" s="1204" t="str">
        <f>IF(D22="","",VLOOKUP(D22,'Simplified Tables'!$C$89:$H$97,3,FALSE))</f>
        <v/>
      </c>
      <c r="Q22" s="1210" t="str">
        <f t="shared" ref="Q22:Q24" si="4">IFERROR(J22*P22,"")</f>
        <v/>
      </c>
      <c r="R22" s="90"/>
      <c r="S22" s="887"/>
      <c r="T22" s="1223" t="str">
        <f t="shared" ref="T22:T46" si="5">IF(OR(D22="",S$11=FALSE),"",IF(AT22=0,"þ","ý"))</f>
        <v/>
      </c>
      <c r="U22" s="90"/>
      <c r="V22" s="1024" t="str">
        <f>IF($C22="","",VLOOKUP($D22,'Simplified Tables'!$C$89:$H$97,V$16,FALSE))</f>
        <v/>
      </c>
      <c r="W22" s="1025"/>
      <c r="X22" s="1026" t="str">
        <f>IF($C22="","",VLOOKUP($D22,'Simplified Tables'!$C$89:$H$97,X$16,FALSE))</f>
        <v/>
      </c>
      <c r="Y22" s="1025"/>
      <c r="Z22" s="1026" t="str">
        <f>IF($C22="","",VLOOKUP($D22,'Simplified Tables'!$C$89:$H$97,Z$16,FALSE))</f>
        <v/>
      </c>
      <c r="AA22" s="1025"/>
      <c r="AB22" s="1027" t="str">
        <f t="shared" ref="AB22:AB27" si="6">IF(AJ22="","",IF(AJ22=TRUE,"Complete","Incomplete"))</f>
        <v/>
      </c>
      <c r="AC22" s="507"/>
      <c r="AD22" s="508">
        <f t="shared" ref="AD22:AD46" si="7">IF(C22&lt;&gt;"",1,0)</f>
        <v>0</v>
      </c>
      <c r="AE22" s="508">
        <f t="shared" ref="AE22:AE46" si="8">IF(P22&lt;&gt;"",1,0)</f>
        <v>0</v>
      </c>
      <c r="AF22" s="508">
        <f t="shared" ref="AF22:AF46" si="9">IF($C22="",0,IF(V22="NA",1,IF(W22&lt;&gt;"",1,0)))</f>
        <v>0</v>
      </c>
      <c r="AG22" s="508">
        <f t="shared" ref="AG22:AG46" si="10">IF($C22="",0,IF(X22="NA",1,IF(Y22&lt;&gt;"",1,0)))</f>
        <v>0</v>
      </c>
      <c r="AH22" s="508">
        <f t="shared" ref="AH22:AH46" si="11">IF($C22="",0,IF(Z22="NA",1,IF(AA22&lt;&gt;"",1,0)))</f>
        <v>0</v>
      </c>
      <c r="AI22" s="509">
        <f>SUM(AF22:AH22)</f>
        <v>0</v>
      </c>
      <c r="AJ22" s="510" t="str">
        <f t="shared" ref="AJ22:AJ46" si="12">IF(C22="","",IF(AI22=3,TRUE,FALSE))</f>
        <v/>
      </c>
      <c r="AM22" s="1218" t="str">
        <f t="shared" ref="AM22:AM46" si="13">IF(D22="","",IF(S22="","ERROR",S22))</f>
        <v/>
      </c>
      <c r="AN22" s="1190">
        <f>L22</f>
        <v>0</v>
      </c>
      <c r="AO22" s="1190" t="str">
        <f t="shared" ref="AO22:AO46" si="14">IFERROR(IF($C22&lt;&gt;"",VLOOKUP($AM22,_Luminaire_Schedule,5,FALSE)," "),"")</f>
        <v xml:space="preserve"> </v>
      </c>
      <c r="AP22" s="1190" t="str">
        <f t="shared" ref="AP22:AP46" si="15">IFERROR(IF($C22&lt;&gt;"",VLOOKUP($AM22,_Luminaire_Schedule,9,FALSE)," "),0)</f>
        <v xml:space="preserve"> </v>
      </c>
      <c r="AQ22" s="1190" t="str">
        <f t="shared" ref="AQ22:AQ26" si="16">IFERROR(IF(AN22&gt;0,ROUND(AN22*AP22,0)," "),"")</f>
        <v xml:space="preserve"> </v>
      </c>
      <c r="AR22" s="1219" t="str">
        <f t="shared" ref="AR22:AR46" si="17">IFERROR(ROUND(1-(O22/AQ22),2),"")</f>
        <v/>
      </c>
      <c r="AS22" s="1219" t="str">
        <f>IFERROR(VLOOKUP(AO22,AW$22:AX$31,2,FALSE)/100,"")</f>
        <v/>
      </c>
      <c r="AT22" s="1190" t="str">
        <f t="shared" ref="AT22:AT46" si="18">IF(D22="","",IF(AM22="ERROR",1,IF(OR(ISNUMBER(SEARCH("Track",AM22)),AR22&gt;=AS22),0,1)))</f>
        <v/>
      </c>
      <c r="AW22" s="510" t="s">
        <v>91</v>
      </c>
      <c r="AX22" s="510">
        <v>0</v>
      </c>
    </row>
    <row r="23" spans="1:50" s="510" customFormat="1" ht="15" customHeight="1" x14ac:dyDescent="0.25">
      <c r="A23" s="470">
        <v>2</v>
      </c>
      <c r="B23" s="1614"/>
      <c r="C23" s="1168" t="str">
        <f t="shared" si="0"/>
        <v/>
      </c>
      <c r="D23" s="1795"/>
      <c r="E23" s="1795"/>
      <c r="F23" s="1795"/>
      <c r="G23" s="1795"/>
      <c r="H23" s="1016"/>
      <c r="I23" s="1235"/>
      <c r="J23" s="1007"/>
      <c r="K23" s="1006"/>
      <c r="L23" s="1007"/>
      <c r="M23" s="1003" t="str">
        <f t="shared" si="1"/>
        <v xml:space="preserve"> </v>
      </c>
      <c r="N23" s="1003" t="str">
        <f t="shared" si="2"/>
        <v xml:space="preserve"> </v>
      </c>
      <c r="O23" s="1171" t="str">
        <f t="shared" si="3"/>
        <v xml:space="preserve"> </v>
      </c>
      <c r="P23" s="1204" t="str">
        <f>IF(D23="","",VLOOKUP(D23,'Simplified Tables'!$C$89:$H$97,3,FALSE))</f>
        <v/>
      </c>
      <c r="Q23" s="1210" t="str">
        <f t="shared" si="4"/>
        <v/>
      </c>
      <c r="R23" s="90"/>
      <c r="S23" s="913"/>
      <c r="T23" s="1223" t="str">
        <f t="shared" si="5"/>
        <v/>
      </c>
      <c r="U23" s="90"/>
      <c r="V23" s="1024" t="str">
        <f>IF($C23="","",VLOOKUP($D23,'Simplified Tables'!$C$89:$H$97,V$16,FALSE))</f>
        <v/>
      </c>
      <c r="W23" s="782"/>
      <c r="X23" s="1026" t="str">
        <f>IF($C23="","",VLOOKUP($D23,'Simplified Tables'!$C$89:$H$97,X$16,FALSE))</f>
        <v/>
      </c>
      <c r="Y23" s="782"/>
      <c r="Z23" s="1026" t="str">
        <f>IF($C23="","",VLOOKUP($D23,'Simplified Tables'!$C$89:$H$97,Z$16,FALSE))</f>
        <v/>
      </c>
      <c r="AA23" s="782"/>
      <c r="AB23" s="992" t="str">
        <f t="shared" si="6"/>
        <v/>
      </c>
      <c r="AC23" s="507"/>
      <c r="AD23" s="508">
        <f t="shared" si="7"/>
        <v>0</v>
      </c>
      <c r="AE23" s="508">
        <f t="shared" si="8"/>
        <v>0</v>
      </c>
      <c r="AF23" s="508">
        <f t="shared" si="9"/>
        <v>0</v>
      </c>
      <c r="AG23" s="508">
        <f t="shared" si="10"/>
        <v>0</v>
      </c>
      <c r="AH23" s="508">
        <f t="shared" si="11"/>
        <v>0</v>
      </c>
      <c r="AI23" s="509">
        <f t="shared" ref="AI23:AI46" si="19">SUM(AF23:AH23)</f>
        <v>0</v>
      </c>
      <c r="AJ23" s="510" t="str">
        <f t="shared" si="12"/>
        <v/>
      </c>
      <c r="AM23" s="1218" t="str">
        <f t="shared" si="13"/>
        <v/>
      </c>
      <c r="AN23" s="1190">
        <f t="shared" ref="AN23:AN29" si="20">L23</f>
        <v>0</v>
      </c>
      <c r="AO23" s="1190" t="str">
        <f t="shared" si="14"/>
        <v xml:space="preserve"> </v>
      </c>
      <c r="AP23" s="1190" t="str">
        <f t="shared" si="15"/>
        <v xml:space="preserve"> </v>
      </c>
      <c r="AQ23" s="1190" t="str">
        <f t="shared" si="16"/>
        <v xml:space="preserve"> </v>
      </c>
      <c r="AR23" s="1219" t="str">
        <f t="shared" si="17"/>
        <v/>
      </c>
      <c r="AS23" s="1219" t="str">
        <f t="shared" ref="AS23:AS29" si="21">IFERROR(VLOOKUP(AO23,AW$22:AX$31,2,FALSE)/100,"")</f>
        <v/>
      </c>
      <c r="AT23" s="1190" t="str">
        <f t="shared" si="18"/>
        <v/>
      </c>
      <c r="AW23" s="510" t="s">
        <v>745</v>
      </c>
      <c r="AX23" s="510">
        <v>20</v>
      </c>
    </row>
    <row r="24" spans="1:50" s="510" customFormat="1" ht="15" customHeight="1" x14ac:dyDescent="0.25">
      <c r="A24" s="470">
        <v>3</v>
      </c>
      <c r="B24" s="1614"/>
      <c r="C24" s="1168" t="str">
        <f t="shared" si="0"/>
        <v/>
      </c>
      <c r="D24" s="1795"/>
      <c r="E24" s="1795"/>
      <c r="F24" s="1795"/>
      <c r="G24" s="1795"/>
      <c r="H24" s="1016"/>
      <c r="I24" s="1235"/>
      <c r="J24" s="1007"/>
      <c r="K24" s="1006"/>
      <c r="L24" s="1007"/>
      <c r="M24" s="1003" t="str">
        <f t="shared" si="1"/>
        <v xml:space="preserve"> </v>
      </c>
      <c r="N24" s="1003" t="str">
        <f t="shared" si="2"/>
        <v xml:space="preserve"> </v>
      </c>
      <c r="O24" s="1171" t="str">
        <f t="shared" si="3"/>
        <v xml:space="preserve"> </v>
      </c>
      <c r="P24" s="1204" t="str">
        <f>IF(D24="","",VLOOKUP(D24,'Simplified Tables'!$C$89:$H$97,3,FALSE))</f>
        <v/>
      </c>
      <c r="Q24" s="1210" t="str">
        <f t="shared" si="4"/>
        <v/>
      </c>
      <c r="R24" s="90"/>
      <c r="S24" s="913"/>
      <c r="T24" s="1223" t="str">
        <f t="shared" si="5"/>
        <v/>
      </c>
      <c r="U24" s="90"/>
      <c r="V24" s="1024" t="str">
        <f>IF($C24="","",VLOOKUP($D24,'Simplified Tables'!$C$89:$H$97,V$16,FALSE))</f>
        <v/>
      </c>
      <c r="W24" s="782"/>
      <c r="X24" s="1026" t="str">
        <f>IF($C24="","",VLOOKUP($D24,'Simplified Tables'!$C$89:$H$97,X$16,FALSE))</f>
        <v/>
      </c>
      <c r="Y24" s="782"/>
      <c r="Z24" s="1026" t="str">
        <f>IF($C24="","",VLOOKUP($D24,'Simplified Tables'!$C$89:$H$97,Z$16,FALSE))</f>
        <v/>
      </c>
      <c r="AA24" s="782"/>
      <c r="AB24" s="992" t="str">
        <f t="shared" si="6"/>
        <v/>
      </c>
      <c r="AC24" s="507"/>
      <c r="AD24" s="508">
        <f t="shared" si="7"/>
        <v>0</v>
      </c>
      <c r="AE24" s="508">
        <f t="shared" si="8"/>
        <v>0</v>
      </c>
      <c r="AF24" s="508">
        <f t="shared" si="9"/>
        <v>0</v>
      </c>
      <c r="AG24" s="508">
        <f t="shared" si="10"/>
        <v>0</v>
      </c>
      <c r="AH24" s="508">
        <f t="shared" si="11"/>
        <v>0</v>
      </c>
      <c r="AI24" s="509">
        <f t="shared" si="19"/>
        <v>0</v>
      </c>
      <c r="AJ24" s="510" t="str">
        <f t="shared" si="12"/>
        <v/>
      </c>
      <c r="AM24" s="1218" t="str">
        <f t="shared" si="13"/>
        <v/>
      </c>
      <c r="AN24" s="1190">
        <f t="shared" si="20"/>
        <v>0</v>
      </c>
      <c r="AO24" s="1190" t="str">
        <f t="shared" si="14"/>
        <v xml:space="preserve"> </v>
      </c>
      <c r="AP24" s="1190" t="str">
        <f t="shared" si="15"/>
        <v xml:space="preserve"> </v>
      </c>
      <c r="AQ24" s="1190" t="str">
        <f t="shared" si="16"/>
        <v xml:space="preserve"> </v>
      </c>
      <c r="AR24" s="1219" t="str">
        <f t="shared" si="17"/>
        <v/>
      </c>
      <c r="AS24" s="1219" t="str">
        <f t="shared" si="21"/>
        <v/>
      </c>
      <c r="AT24" s="1190" t="str">
        <f t="shared" si="18"/>
        <v/>
      </c>
      <c r="AW24" s="510" t="s">
        <v>747</v>
      </c>
      <c r="AX24" s="510">
        <v>45</v>
      </c>
    </row>
    <row r="25" spans="1:50" s="510" customFormat="1" ht="15" customHeight="1" x14ac:dyDescent="0.25">
      <c r="A25" s="470">
        <v>4</v>
      </c>
      <c r="B25" s="1614"/>
      <c r="C25" s="1168" t="str">
        <f t="shared" si="0"/>
        <v/>
      </c>
      <c r="D25" s="1795"/>
      <c r="E25" s="1795"/>
      <c r="F25" s="1795"/>
      <c r="G25" s="1795"/>
      <c r="H25" s="1016"/>
      <c r="I25" s="1235"/>
      <c r="J25" s="1007"/>
      <c r="K25" s="1006"/>
      <c r="L25" s="1007"/>
      <c r="M25" s="1003" t="str">
        <f t="shared" si="1"/>
        <v xml:space="preserve"> </v>
      </c>
      <c r="N25" s="1003" t="str">
        <f t="shared" si="2"/>
        <v xml:space="preserve"> </v>
      </c>
      <c r="O25" s="1171" t="str">
        <f t="shared" si="3"/>
        <v xml:space="preserve"> </v>
      </c>
      <c r="P25" s="1204" t="str">
        <f>IF(D25="","",VLOOKUP(D25,'Simplified Tables'!$C$89:$H$97,3,FALSE))</f>
        <v/>
      </c>
      <c r="Q25" s="1210" t="str">
        <f>IFERROR(J25*P25,"")</f>
        <v/>
      </c>
      <c r="R25" s="90"/>
      <c r="S25" s="913"/>
      <c r="T25" s="1223" t="str">
        <f t="shared" si="5"/>
        <v/>
      </c>
      <c r="U25" s="90"/>
      <c r="V25" s="1024" t="str">
        <f>IF($C25="","",VLOOKUP($D25,'Simplified Tables'!$C$89:$H$97,V$16,FALSE))</f>
        <v/>
      </c>
      <c r="W25" s="782"/>
      <c r="X25" s="1026" t="str">
        <f>IF($C25="","",VLOOKUP($D25,'Simplified Tables'!$C$89:$H$97,X$16,FALSE))</f>
        <v/>
      </c>
      <c r="Y25" s="782"/>
      <c r="Z25" s="1026" t="str">
        <f>IF($C25="","",VLOOKUP($D25,'Simplified Tables'!$C$89:$H$97,Z$16,FALSE))</f>
        <v/>
      </c>
      <c r="AA25" s="782"/>
      <c r="AB25" s="992" t="str">
        <f t="shared" si="6"/>
        <v/>
      </c>
      <c r="AC25" s="507"/>
      <c r="AD25" s="508">
        <f t="shared" si="7"/>
        <v>0</v>
      </c>
      <c r="AE25" s="508">
        <f t="shared" si="8"/>
        <v>0</v>
      </c>
      <c r="AF25" s="508">
        <f t="shared" si="9"/>
        <v>0</v>
      </c>
      <c r="AG25" s="508">
        <f t="shared" si="10"/>
        <v>0</v>
      </c>
      <c r="AH25" s="508">
        <f t="shared" si="11"/>
        <v>0</v>
      </c>
      <c r="AI25" s="509">
        <f t="shared" si="19"/>
        <v>0</v>
      </c>
      <c r="AJ25" s="510" t="str">
        <f t="shared" si="12"/>
        <v/>
      </c>
      <c r="AM25" s="1218" t="str">
        <f t="shared" si="13"/>
        <v/>
      </c>
      <c r="AN25" s="1190">
        <f t="shared" si="20"/>
        <v>0</v>
      </c>
      <c r="AO25" s="1190" t="str">
        <f t="shared" si="14"/>
        <v xml:space="preserve"> </v>
      </c>
      <c r="AP25" s="1190" t="str">
        <f t="shared" si="15"/>
        <v xml:space="preserve"> </v>
      </c>
      <c r="AQ25" s="1190" t="str">
        <f t="shared" si="16"/>
        <v xml:space="preserve"> </v>
      </c>
      <c r="AR25" s="1219" t="str">
        <f t="shared" si="17"/>
        <v/>
      </c>
      <c r="AS25" s="1219" t="str">
        <f t="shared" si="21"/>
        <v/>
      </c>
      <c r="AT25" s="1190" t="str">
        <f t="shared" si="18"/>
        <v/>
      </c>
      <c r="AW25" s="510" t="s">
        <v>748</v>
      </c>
      <c r="AX25" s="510">
        <v>45</v>
      </c>
    </row>
    <row r="26" spans="1:50" s="510" customFormat="1" ht="15" customHeight="1" x14ac:dyDescent="0.25">
      <c r="A26" s="470">
        <v>5</v>
      </c>
      <c r="B26" s="1614"/>
      <c r="C26" s="1168" t="str">
        <f t="shared" si="0"/>
        <v/>
      </c>
      <c r="D26" s="1795"/>
      <c r="E26" s="1795"/>
      <c r="F26" s="1795"/>
      <c r="G26" s="1795"/>
      <c r="H26" s="1016"/>
      <c r="I26" s="1235"/>
      <c r="J26" s="1007"/>
      <c r="K26" s="1006"/>
      <c r="L26" s="1007"/>
      <c r="M26" s="1003" t="str">
        <f t="shared" si="1"/>
        <v xml:space="preserve"> </v>
      </c>
      <c r="N26" s="1003" t="str">
        <f t="shared" si="2"/>
        <v xml:space="preserve"> </v>
      </c>
      <c r="O26" s="1171" t="str">
        <f t="shared" si="3"/>
        <v xml:space="preserve"> </v>
      </c>
      <c r="P26" s="1204" t="str">
        <f>IF(D26="","",VLOOKUP(D26,'Simplified Tables'!$C$89:$H$97,3,FALSE))</f>
        <v/>
      </c>
      <c r="Q26" s="1210" t="str">
        <f t="shared" ref="Q26:Q46" si="22">IFERROR(J26*P26,"")</f>
        <v/>
      </c>
      <c r="R26" s="90"/>
      <c r="S26" s="913"/>
      <c r="T26" s="1223" t="str">
        <f t="shared" si="5"/>
        <v/>
      </c>
      <c r="U26" s="90"/>
      <c r="V26" s="1024" t="str">
        <f>IF($C26="","",VLOOKUP($D26,'Simplified Tables'!$C$89:$H$97,V$16,FALSE))</f>
        <v/>
      </c>
      <c r="W26" s="782"/>
      <c r="X26" s="1026" t="str">
        <f>IF($C26="","",VLOOKUP($D26,'Simplified Tables'!$C$89:$H$97,X$16,FALSE))</f>
        <v/>
      </c>
      <c r="Y26" s="782"/>
      <c r="Z26" s="1026" t="str">
        <f>IF($C26="","",VLOOKUP($D26,'Simplified Tables'!$C$89:$H$97,Z$16,FALSE))</f>
        <v/>
      </c>
      <c r="AA26" s="782"/>
      <c r="AB26" s="992" t="str">
        <f t="shared" si="6"/>
        <v/>
      </c>
      <c r="AC26" s="507"/>
      <c r="AD26" s="508">
        <f t="shared" si="7"/>
        <v>0</v>
      </c>
      <c r="AE26" s="508">
        <f t="shared" si="8"/>
        <v>0</v>
      </c>
      <c r="AF26" s="508">
        <f t="shared" si="9"/>
        <v>0</v>
      </c>
      <c r="AG26" s="508">
        <f t="shared" si="10"/>
        <v>0</v>
      </c>
      <c r="AH26" s="508">
        <f t="shared" si="11"/>
        <v>0</v>
      </c>
      <c r="AI26" s="509">
        <f t="shared" si="19"/>
        <v>0</v>
      </c>
      <c r="AJ26" s="510" t="str">
        <f t="shared" si="12"/>
        <v/>
      </c>
      <c r="AM26" s="1218" t="str">
        <f t="shared" si="13"/>
        <v/>
      </c>
      <c r="AN26" s="1190">
        <f t="shared" si="20"/>
        <v>0</v>
      </c>
      <c r="AO26" s="1190" t="str">
        <f t="shared" si="14"/>
        <v xml:space="preserve"> </v>
      </c>
      <c r="AP26" s="1190" t="str">
        <f t="shared" si="15"/>
        <v xml:space="preserve"> </v>
      </c>
      <c r="AQ26" s="1190" t="str">
        <f t="shared" si="16"/>
        <v xml:space="preserve"> </v>
      </c>
      <c r="AR26" s="1219" t="str">
        <f t="shared" si="17"/>
        <v/>
      </c>
      <c r="AS26" s="1219" t="str">
        <f t="shared" si="21"/>
        <v/>
      </c>
      <c r="AT26" s="1190" t="str">
        <f t="shared" si="18"/>
        <v/>
      </c>
      <c r="AW26" s="510" t="s">
        <v>751</v>
      </c>
      <c r="AX26" s="510">
        <v>45</v>
      </c>
    </row>
    <row r="27" spans="1:50" s="510" customFormat="1" ht="15" customHeight="1" x14ac:dyDescent="0.25">
      <c r="A27" s="470">
        <v>6</v>
      </c>
      <c r="B27" s="1614"/>
      <c r="C27" s="1168" t="str">
        <f t="shared" si="0"/>
        <v/>
      </c>
      <c r="D27" s="1795"/>
      <c r="E27" s="1795"/>
      <c r="F27" s="1795"/>
      <c r="G27" s="1795"/>
      <c r="H27" s="1016"/>
      <c r="I27" s="1235"/>
      <c r="J27" s="1007"/>
      <c r="K27" s="1006"/>
      <c r="L27" s="1007"/>
      <c r="M27" s="1003" t="str">
        <f t="shared" si="1"/>
        <v xml:space="preserve"> </v>
      </c>
      <c r="N27" s="1003" t="str">
        <f t="shared" si="2"/>
        <v xml:space="preserve"> </v>
      </c>
      <c r="O27" s="1171" t="str">
        <f t="shared" si="3"/>
        <v xml:space="preserve"> </v>
      </c>
      <c r="P27" s="1204" t="str">
        <f>IF(D27="","",VLOOKUP(D27,'Simplified Tables'!$C$89:$H$97,3,FALSE))</f>
        <v/>
      </c>
      <c r="Q27" s="1210" t="str">
        <f t="shared" si="22"/>
        <v/>
      </c>
      <c r="R27" s="90"/>
      <c r="S27" s="913"/>
      <c r="T27" s="1223" t="str">
        <f t="shared" si="5"/>
        <v/>
      </c>
      <c r="U27" s="90"/>
      <c r="V27" s="1024" t="str">
        <f>IF($C27="","",VLOOKUP($D27,'Simplified Tables'!$C$89:$H$97,V$16,FALSE))</f>
        <v/>
      </c>
      <c r="W27" s="782"/>
      <c r="X27" s="1026" t="str">
        <f>IF($C27="","",VLOOKUP($D27,'Simplified Tables'!$C$89:$H$97,X$16,FALSE))</f>
        <v/>
      </c>
      <c r="Y27" s="782"/>
      <c r="Z27" s="1026" t="str">
        <f>IF($C27="","",VLOOKUP($D27,'Simplified Tables'!$C$89:$H$97,Z$16,FALSE))</f>
        <v/>
      </c>
      <c r="AA27" s="782"/>
      <c r="AB27" s="992" t="str">
        <f t="shared" si="6"/>
        <v/>
      </c>
      <c r="AC27" s="507"/>
      <c r="AD27" s="508">
        <f t="shared" si="7"/>
        <v>0</v>
      </c>
      <c r="AE27" s="508">
        <f t="shared" si="8"/>
        <v>0</v>
      </c>
      <c r="AF27" s="508">
        <f t="shared" si="9"/>
        <v>0</v>
      </c>
      <c r="AG27" s="508">
        <f t="shared" si="10"/>
        <v>0</v>
      </c>
      <c r="AH27" s="508">
        <f t="shared" si="11"/>
        <v>0</v>
      </c>
      <c r="AI27" s="509">
        <f t="shared" si="19"/>
        <v>0</v>
      </c>
      <c r="AJ27" s="510" t="str">
        <f t="shared" si="12"/>
        <v/>
      </c>
      <c r="AM27" s="1218" t="str">
        <f t="shared" si="13"/>
        <v/>
      </c>
      <c r="AN27" s="1190">
        <f t="shared" si="20"/>
        <v>0</v>
      </c>
      <c r="AO27" s="1190" t="str">
        <f t="shared" si="14"/>
        <v xml:space="preserve"> </v>
      </c>
      <c r="AP27" s="1190" t="str">
        <f t="shared" si="15"/>
        <v xml:space="preserve"> </v>
      </c>
      <c r="AQ27" s="1190" t="str">
        <f>IFERROR(IF(AN27&gt;0,ROUND(AN27*AP27,0)," "),"")</f>
        <v xml:space="preserve"> </v>
      </c>
      <c r="AR27" s="1219" t="str">
        <f t="shared" si="17"/>
        <v/>
      </c>
      <c r="AS27" s="1219" t="str">
        <f t="shared" si="21"/>
        <v/>
      </c>
      <c r="AT27" s="1190" t="str">
        <f t="shared" si="18"/>
        <v/>
      </c>
      <c r="AW27" s="510" t="s">
        <v>752</v>
      </c>
      <c r="AX27" s="510">
        <v>45</v>
      </c>
    </row>
    <row r="28" spans="1:50" s="510" customFormat="1" ht="15" customHeight="1" x14ac:dyDescent="0.25">
      <c r="A28" s="470">
        <v>7</v>
      </c>
      <c r="B28" s="1614"/>
      <c r="C28" s="1168" t="str">
        <f t="shared" si="0"/>
        <v/>
      </c>
      <c r="D28" s="1795"/>
      <c r="E28" s="1795"/>
      <c r="F28" s="1795"/>
      <c r="G28" s="1795"/>
      <c r="H28" s="1016"/>
      <c r="I28" s="1235"/>
      <c r="J28" s="1007"/>
      <c r="K28" s="1006"/>
      <c r="L28" s="1007"/>
      <c r="M28" s="1003" t="str">
        <f t="shared" si="1"/>
        <v xml:space="preserve"> </v>
      </c>
      <c r="N28" s="1003" t="str">
        <f t="shared" si="2"/>
        <v xml:space="preserve"> </v>
      </c>
      <c r="O28" s="1171" t="str">
        <f t="shared" si="3"/>
        <v xml:space="preserve"> </v>
      </c>
      <c r="P28" s="1204" t="str">
        <f>IF(D28="","",VLOOKUP(D28,'Simplified Tables'!$C$89:$H$97,3,FALSE))</f>
        <v/>
      </c>
      <c r="Q28" s="1210" t="str">
        <f t="shared" si="22"/>
        <v/>
      </c>
      <c r="R28" s="90"/>
      <c r="S28" s="913"/>
      <c r="T28" s="1223" t="str">
        <f t="shared" si="5"/>
        <v/>
      </c>
      <c r="U28" s="90"/>
      <c r="V28" s="1024" t="str">
        <f>IF($C28="","",VLOOKUP($D28,'Simplified Tables'!$C$89:$H$97,V$16,FALSE))</f>
        <v/>
      </c>
      <c r="W28" s="782"/>
      <c r="X28" s="1026" t="str">
        <f>IF($C28="","",VLOOKUP($D28,'Simplified Tables'!$C$89:$H$97,X$16,FALSE))</f>
        <v/>
      </c>
      <c r="Y28" s="782"/>
      <c r="Z28" s="1026" t="str">
        <f>IF($C28="","",VLOOKUP($D28,'Simplified Tables'!$C$89:$H$97,Z$16,FALSE))</f>
        <v/>
      </c>
      <c r="AA28" s="782"/>
      <c r="AB28" s="992" t="str">
        <f>IF(AJ28="","",IF(AJ28=TRUE,"Complete","Incomplete"))</f>
        <v/>
      </c>
      <c r="AC28" s="507"/>
      <c r="AD28" s="508">
        <f t="shared" si="7"/>
        <v>0</v>
      </c>
      <c r="AE28" s="508">
        <f t="shared" si="8"/>
        <v>0</v>
      </c>
      <c r="AF28" s="508">
        <f t="shared" si="9"/>
        <v>0</v>
      </c>
      <c r="AG28" s="508">
        <f t="shared" si="10"/>
        <v>0</v>
      </c>
      <c r="AH28" s="508">
        <f t="shared" si="11"/>
        <v>0</v>
      </c>
      <c r="AI28" s="509">
        <f t="shared" si="19"/>
        <v>0</v>
      </c>
      <c r="AJ28" s="510" t="str">
        <f t="shared" si="12"/>
        <v/>
      </c>
      <c r="AM28" s="1218" t="str">
        <f t="shared" si="13"/>
        <v/>
      </c>
      <c r="AN28" s="1190">
        <f t="shared" si="20"/>
        <v>0</v>
      </c>
      <c r="AO28" s="1190" t="str">
        <f t="shared" si="14"/>
        <v xml:space="preserve"> </v>
      </c>
      <c r="AP28" s="1190" t="str">
        <f t="shared" si="15"/>
        <v xml:space="preserve"> </v>
      </c>
      <c r="AQ28" s="1190" t="str">
        <f t="shared" ref="AQ28" si="23">IFERROR(IF(AN28&gt;0,ROUND(AN28*AP28,0)," "),"")</f>
        <v xml:space="preserve"> </v>
      </c>
      <c r="AR28" s="1219" t="str">
        <f t="shared" si="17"/>
        <v/>
      </c>
      <c r="AS28" s="1219" t="str">
        <f t="shared" si="21"/>
        <v/>
      </c>
      <c r="AT28" s="1190" t="str">
        <f t="shared" si="18"/>
        <v/>
      </c>
      <c r="AW28" s="510" t="s">
        <v>754</v>
      </c>
      <c r="AX28" s="510">
        <v>75</v>
      </c>
    </row>
    <row r="29" spans="1:50" s="510" customFormat="1" ht="15" customHeight="1" x14ac:dyDescent="0.25">
      <c r="A29" s="470">
        <v>8</v>
      </c>
      <c r="B29" s="1614"/>
      <c r="C29" s="1168" t="str">
        <f t="shared" si="0"/>
        <v/>
      </c>
      <c r="D29" s="1795"/>
      <c r="E29" s="1795"/>
      <c r="F29" s="1795"/>
      <c r="G29" s="1795"/>
      <c r="H29" s="1016"/>
      <c r="I29" s="1235"/>
      <c r="J29" s="1007"/>
      <c r="K29" s="1006"/>
      <c r="L29" s="1007"/>
      <c r="M29" s="1003" t="str">
        <f t="shared" si="1"/>
        <v xml:space="preserve"> </v>
      </c>
      <c r="N29" s="1003" t="str">
        <f t="shared" si="2"/>
        <v xml:space="preserve"> </v>
      </c>
      <c r="O29" s="1171" t="str">
        <f t="shared" si="3"/>
        <v xml:space="preserve"> </v>
      </c>
      <c r="P29" s="1204" t="str">
        <f>IF(D29="","",VLOOKUP(D29,'Simplified Tables'!$C$89:$H$97,3,FALSE))</f>
        <v/>
      </c>
      <c r="Q29" s="1210" t="str">
        <f t="shared" si="22"/>
        <v/>
      </c>
      <c r="R29" s="90"/>
      <c r="S29" s="913"/>
      <c r="T29" s="1223" t="str">
        <f t="shared" si="5"/>
        <v/>
      </c>
      <c r="U29" s="90"/>
      <c r="V29" s="1024" t="str">
        <f>IF($C29="","",VLOOKUP($D29,'Simplified Tables'!$C$89:$H$97,V$16,FALSE))</f>
        <v/>
      </c>
      <c r="W29" s="782"/>
      <c r="X29" s="1026" t="str">
        <f>IF($C29="","",VLOOKUP($D29,'Simplified Tables'!$C$89:$H$97,X$16,FALSE))</f>
        <v/>
      </c>
      <c r="Y29" s="782"/>
      <c r="Z29" s="1026" t="str">
        <f>IF($C29="","",VLOOKUP($D29,'Simplified Tables'!$C$89:$H$97,Z$16,FALSE))</f>
        <v/>
      </c>
      <c r="AA29" s="782"/>
      <c r="AB29" s="992" t="str">
        <f t="shared" ref="AB29:AB46" si="24">IF(AJ29="","",IF(AJ29=TRUE,"Complete","Incomplete"))</f>
        <v/>
      </c>
      <c r="AC29" s="507"/>
      <c r="AD29" s="508">
        <f t="shared" si="7"/>
        <v>0</v>
      </c>
      <c r="AE29" s="508">
        <f t="shared" si="8"/>
        <v>0</v>
      </c>
      <c r="AF29" s="508">
        <f t="shared" si="9"/>
        <v>0</v>
      </c>
      <c r="AG29" s="508">
        <f t="shared" si="10"/>
        <v>0</v>
      </c>
      <c r="AH29" s="508">
        <f t="shared" si="11"/>
        <v>0</v>
      </c>
      <c r="AI29" s="509">
        <f t="shared" si="19"/>
        <v>0</v>
      </c>
      <c r="AJ29" s="510" t="str">
        <f t="shared" si="12"/>
        <v/>
      </c>
      <c r="AM29" s="1218" t="str">
        <f t="shared" si="13"/>
        <v/>
      </c>
      <c r="AN29" s="1190">
        <f t="shared" si="20"/>
        <v>0</v>
      </c>
      <c r="AO29" s="1190" t="str">
        <f t="shared" si="14"/>
        <v xml:space="preserve"> </v>
      </c>
      <c r="AP29" s="1190" t="str">
        <f t="shared" si="15"/>
        <v xml:space="preserve"> </v>
      </c>
      <c r="AQ29" s="1190" t="str">
        <f>IFERROR(IF(AN29&gt;0,ROUND(AN29*AP29,0)," "),"")</f>
        <v xml:space="preserve"> </v>
      </c>
      <c r="AR29" s="1219" t="str">
        <f t="shared" si="17"/>
        <v/>
      </c>
      <c r="AS29" s="1219" t="str">
        <f t="shared" si="21"/>
        <v/>
      </c>
      <c r="AT29" s="1190" t="str">
        <f t="shared" si="18"/>
        <v/>
      </c>
      <c r="AW29" s="510" t="s">
        <v>756</v>
      </c>
      <c r="AX29" s="510">
        <v>45</v>
      </c>
    </row>
    <row r="30" spans="1:50" s="510" customFormat="1" ht="15" customHeight="1" x14ac:dyDescent="0.25">
      <c r="A30" s="470">
        <v>9</v>
      </c>
      <c r="B30" s="1614"/>
      <c r="C30" s="1168" t="str">
        <f t="shared" si="0"/>
        <v/>
      </c>
      <c r="D30" s="1795"/>
      <c r="E30" s="1795"/>
      <c r="F30" s="1795"/>
      <c r="G30" s="1795"/>
      <c r="H30" s="1016"/>
      <c r="I30" s="1235"/>
      <c r="J30" s="1007"/>
      <c r="K30" s="1006"/>
      <c r="L30" s="1007"/>
      <c r="M30" s="1003" t="str">
        <f t="shared" si="1"/>
        <v xml:space="preserve"> </v>
      </c>
      <c r="N30" s="1003" t="str">
        <f t="shared" si="2"/>
        <v xml:space="preserve"> </v>
      </c>
      <c r="O30" s="1171" t="str">
        <f t="shared" si="3"/>
        <v xml:space="preserve"> </v>
      </c>
      <c r="P30" s="1204" t="str">
        <f>IF(D30="","",VLOOKUP(D30,'Simplified Tables'!$C$89:$H$97,3,FALSE))</f>
        <v/>
      </c>
      <c r="Q30" s="1210" t="str">
        <f t="shared" si="22"/>
        <v/>
      </c>
      <c r="R30" s="90"/>
      <c r="S30" s="913"/>
      <c r="T30" s="1223" t="str">
        <f t="shared" si="5"/>
        <v/>
      </c>
      <c r="U30" s="90"/>
      <c r="V30" s="1024" t="str">
        <f>IF($C30="","",VLOOKUP($D30,'Simplified Tables'!$C$89:$H$97,V$16,FALSE))</f>
        <v/>
      </c>
      <c r="W30" s="782"/>
      <c r="X30" s="1026" t="str">
        <f>IF($C30="","",VLOOKUP($D30,'Simplified Tables'!$C$89:$H$97,X$16,FALSE))</f>
        <v/>
      </c>
      <c r="Y30" s="782"/>
      <c r="Z30" s="1026" t="str">
        <f>IF($C30="","",VLOOKUP($D30,'Simplified Tables'!$C$89:$H$97,Z$16,FALSE))</f>
        <v/>
      </c>
      <c r="AA30" s="782"/>
      <c r="AB30" s="992" t="str">
        <f t="shared" si="24"/>
        <v/>
      </c>
      <c r="AC30" s="507"/>
      <c r="AD30" s="508">
        <f t="shared" si="7"/>
        <v>0</v>
      </c>
      <c r="AE30" s="508">
        <f t="shared" si="8"/>
        <v>0</v>
      </c>
      <c r="AF30" s="508">
        <f t="shared" si="9"/>
        <v>0</v>
      </c>
      <c r="AG30" s="508">
        <f t="shared" si="10"/>
        <v>0</v>
      </c>
      <c r="AH30" s="508">
        <f t="shared" si="11"/>
        <v>0</v>
      </c>
      <c r="AI30" s="509">
        <f t="shared" si="19"/>
        <v>0</v>
      </c>
      <c r="AJ30" s="510" t="str">
        <f t="shared" si="12"/>
        <v/>
      </c>
      <c r="AM30" s="1218" t="str">
        <f t="shared" si="13"/>
        <v/>
      </c>
      <c r="AN30" s="1190">
        <f t="shared" ref="AN30:AN46" si="25">L30</f>
        <v>0</v>
      </c>
      <c r="AO30" s="1190" t="str">
        <f t="shared" si="14"/>
        <v xml:space="preserve"> </v>
      </c>
      <c r="AP30" s="1190" t="str">
        <f t="shared" si="15"/>
        <v xml:space="preserve"> </v>
      </c>
      <c r="AQ30" s="1190" t="str">
        <f t="shared" ref="AQ30:AQ46" si="26">IFERROR(IF(AN30&gt;0,ROUND(AN30*AP30,0)," "),"")</f>
        <v xml:space="preserve"> </v>
      </c>
      <c r="AR30" s="1219" t="str">
        <f t="shared" si="17"/>
        <v/>
      </c>
      <c r="AS30" s="1219" t="str">
        <f t="shared" ref="AS30:AS46" si="27">IFERROR(VLOOKUP(AO30,AW$22:AX$31,2,FALSE)/100,"")</f>
        <v/>
      </c>
      <c r="AT30" s="1190" t="str">
        <f t="shared" si="18"/>
        <v/>
      </c>
      <c r="AW30" s="510" t="s">
        <v>757</v>
      </c>
      <c r="AX30" s="510">
        <v>45</v>
      </c>
    </row>
    <row r="31" spans="1:50" s="510" customFormat="1" ht="15" customHeight="1" x14ac:dyDescent="0.25">
      <c r="A31" s="470">
        <v>10</v>
      </c>
      <c r="B31" s="1614"/>
      <c r="C31" s="1168" t="str">
        <f t="shared" si="0"/>
        <v/>
      </c>
      <c r="D31" s="1795"/>
      <c r="E31" s="1795"/>
      <c r="F31" s="1795"/>
      <c r="G31" s="1795"/>
      <c r="H31" s="1016"/>
      <c r="I31" s="1235"/>
      <c r="J31" s="1007"/>
      <c r="K31" s="1006"/>
      <c r="L31" s="1007"/>
      <c r="M31" s="1003" t="str">
        <f t="shared" si="1"/>
        <v xml:space="preserve"> </v>
      </c>
      <c r="N31" s="1003" t="str">
        <f t="shared" si="2"/>
        <v xml:space="preserve"> </v>
      </c>
      <c r="O31" s="1171" t="str">
        <f t="shared" si="3"/>
        <v xml:space="preserve"> </v>
      </c>
      <c r="P31" s="1204" t="str">
        <f>IF(D31="","",VLOOKUP(D31,'Simplified Tables'!$C$89:$H$97,3,FALSE))</f>
        <v/>
      </c>
      <c r="Q31" s="1210" t="str">
        <f t="shared" si="22"/>
        <v/>
      </c>
      <c r="R31" s="90"/>
      <c r="S31" s="913"/>
      <c r="T31" s="1223" t="str">
        <f t="shared" si="5"/>
        <v/>
      </c>
      <c r="U31" s="90"/>
      <c r="V31" s="1024" t="str">
        <f>IF($C31="","",VLOOKUP($D31,'Simplified Tables'!$C$89:$H$97,V$16,FALSE))</f>
        <v/>
      </c>
      <c r="W31" s="782"/>
      <c r="X31" s="1026" t="str">
        <f>IF($C31="","",VLOOKUP($D31,'Simplified Tables'!$C$89:$H$97,X$16,FALSE))</f>
        <v/>
      </c>
      <c r="Y31" s="782"/>
      <c r="Z31" s="1026" t="str">
        <f>IF($C31="","",VLOOKUP($D31,'Simplified Tables'!$C$89:$H$97,Z$16,FALSE))</f>
        <v/>
      </c>
      <c r="AA31" s="782"/>
      <c r="AB31" s="992" t="str">
        <f t="shared" si="24"/>
        <v/>
      </c>
      <c r="AC31" s="507"/>
      <c r="AD31" s="508">
        <f t="shared" si="7"/>
        <v>0</v>
      </c>
      <c r="AE31" s="508">
        <f t="shared" si="8"/>
        <v>0</v>
      </c>
      <c r="AF31" s="508">
        <f t="shared" si="9"/>
        <v>0</v>
      </c>
      <c r="AG31" s="508">
        <f t="shared" si="10"/>
        <v>0</v>
      </c>
      <c r="AH31" s="508">
        <f t="shared" si="11"/>
        <v>0</v>
      </c>
      <c r="AI31" s="509">
        <f t="shared" si="19"/>
        <v>0</v>
      </c>
      <c r="AJ31" s="510" t="str">
        <f t="shared" si="12"/>
        <v/>
      </c>
      <c r="AM31" s="1218" t="str">
        <f t="shared" si="13"/>
        <v/>
      </c>
      <c r="AN31" s="1190">
        <f t="shared" si="25"/>
        <v>0</v>
      </c>
      <c r="AO31" s="1190" t="str">
        <f t="shared" si="14"/>
        <v xml:space="preserve"> </v>
      </c>
      <c r="AP31" s="1190" t="str">
        <f t="shared" si="15"/>
        <v xml:space="preserve"> </v>
      </c>
      <c r="AQ31" s="1190" t="str">
        <f t="shared" si="26"/>
        <v xml:space="preserve"> </v>
      </c>
      <c r="AR31" s="1219" t="str">
        <f t="shared" si="17"/>
        <v/>
      </c>
      <c r="AS31" s="1219" t="str">
        <f t="shared" si="27"/>
        <v/>
      </c>
      <c r="AT31" s="1190" t="str">
        <f t="shared" si="18"/>
        <v/>
      </c>
      <c r="AW31" s="510" t="s">
        <v>759</v>
      </c>
      <c r="AX31" s="510">
        <v>45</v>
      </c>
    </row>
    <row r="32" spans="1:50" s="510" customFormat="1" ht="15" customHeight="1" x14ac:dyDescent="0.25">
      <c r="A32" s="470">
        <v>11</v>
      </c>
      <c r="B32" s="1614"/>
      <c r="C32" s="1168" t="str">
        <f t="shared" si="0"/>
        <v/>
      </c>
      <c r="D32" s="1795"/>
      <c r="E32" s="1795"/>
      <c r="F32" s="1795"/>
      <c r="G32" s="1795"/>
      <c r="H32" s="1016"/>
      <c r="I32" s="1235"/>
      <c r="J32" s="1007"/>
      <c r="K32" s="1006"/>
      <c r="L32" s="1007"/>
      <c r="M32" s="1003" t="str">
        <f t="shared" si="1"/>
        <v xml:space="preserve"> </v>
      </c>
      <c r="N32" s="1003" t="str">
        <f t="shared" si="2"/>
        <v xml:space="preserve"> </v>
      </c>
      <c r="O32" s="1171" t="str">
        <f t="shared" si="3"/>
        <v xml:space="preserve"> </v>
      </c>
      <c r="P32" s="1204" t="str">
        <f>IF(D32="","",VLOOKUP(D32,'Simplified Tables'!$C$89:$H$97,3,FALSE))</f>
        <v/>
      </c>
      <c r="Q32" s="1210" t="str">
        <f t="shared" si="22"/>
        <v/>
      </c>
      <c r="R32" s="90"/>
      <c r="S32" s="913"/>
      <c r="T32" s="1223" t="str">
        <f t="shared" si="5"/>
        <v/>
      </c>
      <c r="U32" s="90"/>
      <c r="V32" s="1024" t="str">
        <f>IF($C32="","",VLOOKUP($D32,'Simplified Tables'!$C$89:$H$97,V$16,FALSE))</f>
        <v/>
      </c>
      <c r="W32" s="782"/>
      <c r="X32" s="1026" t="str">
        <f>IF($C32="","",VLOOKUP($D32,'Simplified Tables'!$C$89:$H$97,X$16,FALSE))</f>
        <v/>
      </c>
      <c r="Y32" s="782"/>
      <c r="Z32" s="1026" t="str">
        <f>IF($C32="","",VLOOKUP($D32,'Simplified Tables'!$C$89:$H$97,Z$16,FALSE))</f>
        <v/>
      </c>
      <c r="AA32" s="782"/>
      <c r="AB32" s="992" t="str">
        <f t="shared" si="24"/>
        <v/>
      </c>
      <c r="AC32" s="507"/>
      <c r="AD32" s="508">
        <f t="shared" si="7"/>
        <v>0</v>
      </c>
      <c r="AE32" s="508">
        <f t="shared" si="8"/>
        <v>0</v>
      </c>
      <c r="AF32" s="508">
        <f t="shared" si="9"/>
        <v>0</v>
      </c>
      <c r="AG32" s="508">
        <f t="shared" si="10"/>
        <v>0</v>
      </c>
      <c r="AH32" s="508">
        <f t="shared" si="11"/>
        <v>0</v>
      </c>
      <c r="AI32" s="509">
        <f t="shared" si="19"/>
        <v>0</v>
      </c>
      <c r="AJ32" s="510" t="str">
        <f t="shared" si="12"/>
        <v/>
      </c>
      <c r="AM32" s="1218" t="str">
        <f t="shared" si="13"/>
        <v/>
      </c>
      <c r="AN32" s="1190">
        <f t="shared" si="25"/>
        <v>0</v>
      </c>
      <c r="AO32" s="1190" t="str">
        <f t="shared" si="14"/>
        <v xml:space="preserve"> </v>
      </c>
      <c r="AP32" s="1190" t="str">
        <f t="shared" si="15"/>
        <v xml:space="preserve"> </v>
      </c>
      <c r="AQ32" s="1190" t="str">
        <f t="shared" si="26"/>
        <v xml:space="preserve"> </v>
      </c>
      <c r="AR32" s="1219" t="str">
        <f t="shared" si="17"/>
        <v/>
      </c>
      <c r="AS32" s="1219" t="str">
        <f t="shared" si="27"/>
        <v/>
      </c>
      <c r="AT32" s="1190" t="str">
        <f t="shared" si="18"/>
        <v/>
      </c>
    </row>
    <row r="33" spans="1:46" s="510" customFormat="1" ht="15" customHeight="1" x14ac:dyDescent="0.25">
      <c r="A33" s="470">
        <v>12</v>
      </c>
      <c r="B33" s="1614"/>
      <c r="C33" s="1168" t="str">
        <f t="shared" si="0"/>
        <v/>
      </c>
      <c r="D33" s="1795"/>
      <c r="E33" s="1795"/>
      <c r="F33" s="1795"/>
      <c r="G33" s="1795"/>
      <c r="H33" s="1016"/>
      <c r="I33" s="1235"/>
      <c r="J33" s="1007"/>
      <c r="K33" s="1006"/>
      <c r="L33" s="1007"/>
      <c r="M33" s="1003" t="str">
        <f t="shared" si="1"/>
        <v xml:space="preserve"> </v>
      </c>
      <c r="N33" s="1003" t="str">
        <f t="shared" si="2"/>
        <v xml:space="preserve"> </v>
      </c>
      <c r="O33" s="1171" t="str">
        <f t="shared" si="3"/>
        <v xml:space="preserve"> </v>
      </c>
      <c r="P33" s="1204" t="str">
        <f>IF(D33="","",VLOOKUP(D33,'Simplified Tables'!$C$89:$H$97,3,FALSE))</f>
        <v/>
      </c>
      <c r="Q33" s="1210" t="str">
        <f t="shared" si="22"/>
        <v/>
      </c>
      <c r="R33" s="90"/>
      <c r="S33" s="913"/>
      <c r="T33" s="1223" t="str">
        <f t="shared" si="5"/>
        <v/>
      </c>
      <c r="U33" s="90"/>
      <c r="V33" s="1024" t="str">
        <f>IF($C33="","",VLOOKUP($D33,'Simplified Tables'!$C$89:$H$97,V$16,FALSE))</f>
        <v/>
      </c>
      <c r="W33" s="782"/>
      <c r="X33" s="1026" t="str">
        <f>IF($C33="","",VLOOKUP($D33,'Simplified Tables'!$C$89:$H$97,X$16,FALSE))</f>
        <v/>
      </c>
      <c r="Y33" s="782"/>
      <c r="Z33" s="1026" t="str">
        <f>IF($C33="","",VLOOKUP($D33,'Simplified Tables'!$C$89:$H$97,Z$16,FALSE))</f>
        <v/>
      </c>
      <c r="AA33" s="782"/>
      <c r="AB33" s="992" t="str">
        <f t="shared" si="24"/>
        <v/>
      </c>
      <c r="AC33" s="507"/>
      <c r="AD33" s="508">
        <f t="shared" si="7"/>
        <v>0</v>
      </c>
      <c r="AE33" s="508">
        <f t="shared" si="8"/>
        <v>0</v>
      </c>
      <c r="AF33" s="508">
        <f t="shared" si="9"/>
        <v>0</v>
      </c>
      <c r="AG33" s="508">
        <f t="shared" si="10"/>
        <v>0</v>
      </c>
      <c r="AH33" s="508">
        <f t="shared" si="11"/>
        <v>0</v>
      </c>
      <c r="AI33" s="509">
        <f t="shared" si="19"/>
        <v>0</v>
      </c>
      <c r="AJ33" s="510" t="str">
        <f t="shared" si="12"/>
        <v/>
      </c>
      <c r="AM33" s="1218" t="str">
        <f t="shared" si="13"/>
        <v/>
      </c>
      <c r="AN33" s="1190">
        <f t="shared" si="25"/>
        <v>0</v>
      </c>
      <c r="AO33" s="1190" t="str">
        <f t="shared" si="14"/>
        <v xml:space="preserve"> </v>
      </c>
      <c r="AP33" s="1190" t="str">
        <f t="shared" si="15"/>
        <v xml:space="preserve"> </v>
      </c>
      <c r="AQ33" s="1190" t="str">
        <f t="shared" si="26"/>
        <v xml:space="preserve"> </v>
      </c>
      <c r="AR33" s="1219" t="str">
        <f t="shared" si="17"/>
        <v/>
      </c>
      <c r="AS33" s="1219" t="str">
        <f t="shared" si="27"/>
        <v/>
      </c>
      <c r="AT33" s="1190" t="str">
        <f t="shared" si="18"/>
        <v/>
      </c>
    </row>
    <row r="34" spans="1:46" s="510" customFormat="1" ht="15" customHeight="1" x14ac:dyDescent="0.25">
      <c r="A34" s="470">
        <v>13</v>
      </c>
      <c r="B34" s="1614"/>
      <c r="C34" s="1168" t="str">
        <f t="shared" si="0"/>
        <v/>
      </c>
      <c r="D34" s="1795"/>
      <c r="E34" s="1795"/>
      <c r="F34" s="1795"/>
      <c r="G34" s="1795"/>
      <c r="H34" s="1016"/>
      <c r="I34" s="1235"/>
      <c r="J34" s="1007"/>
      <c r="K34" s="1006"/>
      <c r="L34" s="1007"/>
      <c r="M34" s="1003" t="str">
        <f t="shared" si="1"/>
        <v xml:space="preserve"> </v>
      </c>
      <c r="N34" s="1003" t="str">
        <f t="shared" si="2"/>
        <v xml:space="preserve"> </v>
      </c>
      <c r="O34" s="1171" t="str">
        <f t="shared" si="3"/>
        <v xml:space="preserve"> </v>
      </c>
      <c r="P34" s="1204" t="str">
        <f>IF(D34="","",VLOOKUP(D34,'Simplified Tables'!$C$89:$H$97,3,FALSE))</f>
        <v/>
      </c>
      <c r="Q34" s="1210" t="str">
        <f t="shared" si="22"/>
        <v/>
      </c>
      <c r="R34" s="90"/>
      <c r="S34" s="913"/>
      <c r="T34" s="1223" t="str">
        <f t="shared" si="5"/>
        <v/>
      </c>
      <c r="U34" s="90"/>
      <c r="V34" s="1024" t="str">
        <f>IF($C34="","",VLOOKUP($D34,'Simplified Tables'!$C$89:$H$97,V$16,FALSE))</f>
        <v/>
      </c>
      <c r="W34" s="782"/>
      <c r="X34" s="1026" t="str">
        <f>IF($C34="","",VLOOKUP($D34,'Simplified Tables'!$C$89:$H$97,X$16,FALSE))</f>
        <v/>
      </c>
      <c r="Y34" s="782"/>
      <c r="Z34" s="1026" t="str">
        <f>IF($C34="","",VLOOKUP($D34,'Simplified Tables'!$C$89:$H$97,Z$16,FALSE))</f>
        <v/>
      </c>
      <c r="AA34" s="782"/>
      <c r="AB34" s="992" t="str">
        <f t="shared" si="24"/>
        <v/>
      </c>
      <c r="AC34" s="507"/>
      <c r="AD34" s="508">
        <f t="shared" si="7"/>
        <v>0</v>
      </c>
      <c r="AE34" s="508">
        <f t="shared" si="8"/>
        <v>0</v>
      </c>
      <c r="AF34" s="508">
        <f t="shared" si="9"/>
        <v>0</v>
      </c>
      <c r="AG34" s="508">
        <f t="shared" si="10"/>
        <v>0</v>
      </c>
      <c r="AH34" s="508">
        <f t="shared" si="11"/>
        <v>0</v>
      </c>
      <c r="AI34" s="509">
        <f t="shared" si="19"/>
        <v>0</v>
      </c>
      <c r="AJ34" s="510" t="str">
        <f t="shared" si="12"/>
        <v/>
      </c>
      <c r="AM34" s="1218" t="str">
        <f t="shared" si="13"/>
        <v/>
      </c>
      <c r="AN34" s="1190">
        <f t="shared" si="25"/>
        <v>0</v>
      </c>
      <c r="AO34" s="1190" t="str">
        <f t="shared" si="14"/>
        <v xml:space="preserve"> </v>
      </c>
      <c r="AP34" s="1190" t="str">
        <f t="shared" si="15"/>
        <v xml:space="preserve"> </v>
      </c>
      <c r="AQ34" s="1190" t="str">
        <f t="shared" si="26"/>
        <v xml:space="preserve"> </v>
      </c>
      <c r="AR34" s="1219" t="str">
        <f t="shared" si="17"/>
        <v/>
      </c>
      <c r="AS34" s="1219" t="str">
        <f t="shared" si="27"/>
        <v/>
      </c>
      <c r="AT34" s="1190" t="str">
        <f t="shared" si="18"/>
        <v/>
      </c>
    </row>
    <row r="35" spans="1:46" s="510" customFormat="1" ht="15" customHeight="1" x14ac:dyDescent="0.25">
      <c r="A35" s="470">
        <v>14</v>
      </c>
      <c r="B35" s="1614"/>
      <c r="C35" s="1168" t="str">
        <f t="shared" si="0"/>
        <v/>
      </c>
      <c r="D35" s="1795"/>
      <c r="E35" s="1795"/>
      <c r="F35" s="1795"/>
      <c r="G35" s="1795"/>
      <c r="H35" s="1016"/>
      <c r="I35" s="1235"/>
      <c r="J35" s="1007"/>
      <c r="K35" s="1006"/>
      <c r="L35" s="1007"/>
      <c r="M35" s="1003" t="str">
        <f t="shared" si="1"/>
        <v xml:space="preserve"> </v>
      </c>
      <c r="N35" s="1003" t="str">
        <f t="shared" si="2"/>
        <v xml:space="preserve"> </v>
      </c>
      <c r="O35" s="1171" t="str">
        <f t="shared" si="3"/>
        <v xml:space="preserve"> </v>
      </c>
      <c r="P35" s="1204" t="str">
        <f>IF(D35="","",VLOOKUP(D35,'Simplified Tables'!$C$89:$H$97,3,FALSE))</f>
        <v/>
      </c>
      <c r="Q35" s="1210" t="str">
        <f t="shared" si="22"/>
        <v/>
      </c>
      <c r="R35" s="90"/>
      <c r="S35" s="913"/>
      <c r="T35" s="1223" t="str">
        <f t="shared" si="5"/>
        <v/>
      </c>
      <c r="U35" s="90"/>
      <c r="V35" s="1024" t="str">
        <f>IF($C35="","",VLOOKUP($D35,'Simplified Tables'!$C$89:$H$97,V$16,FALSE))</f>
        <v/>
      </c>
      <c r="W35" s="782"/>
      <c r="X35" s="1026" t="str">
        <f>IF($C35="","",VLOOKUP($D35,'Simplified Tables'!$C$89:$H$97,X$16,FALSE))</f>
        <v/>
      </c>
      <c r="Y35" s="782"/>
      <c r="Z35" s="1026" t="str">
        <f>IF($C35="","",VLOOKUP($D35,'Simplified Tables'!$C$89:$H$97,Z$16,FALSE))</f>
        <v/>
      </c>
      <c r="AA35" s="782"/>
      <c r="AB35" s="992" t="str">
        <f t="shared" si="24"/>
        <v/>
      </c>
      <c r="AC35" s="507"/>
      <c r="AD35" s="508">
        <f t="shared" si="7"/>
        <v>0</v>
      </c>
      <c r="AE35" s="508">
        <f t="shared" si="8"/>
        <v>0</v>
      </c>
      <c r="AF35" s="508">
        <f t="shared" si="9"/>
        <v>0</v>
      </c>
      <c r="AG35" s="508">
        <f t="shared" si="10"/>
        <v>0</v>
      </c>
      <c r="AH35" s="508">
        <f t="shared" si="11"/>
        <v>0</v>
      </c>
      <c r="AI35" s="509">
        <f t="shared" si="19"/>
        <v>0</v>
      </c>
      <c r="AJ35" s="510" t="str">
        <f t="shared" si="12"/>
        <v/>
      </c>
      <c r="AM35" s="1218" t="str">
        <f t="shared" si="13"/>
        <v/>
      </c>
      <c r="AN35" s="1190">
        <f t="shared" si="25"/>
        <v>0</v>
      </c>
      <c r="AO35" s="1190" t="str">
        <f t="shared" si="14"/>
        <v xml:space="preserve"> </v>
      </c>
      <c r="AP35" s="1190" t="str">
        <f t="shared" si="15"/>
        <v xml:space="preserve"> </v>
      </c>
      <c r="AQ35" s="1190" t="str">
        <f t="shared" si="26"/>
        <v xml:space="preserve"> </v>
      </c>
      <c r="AR35" s="1219" t="str">
        <f t="shared" si="17"/>
        <v/>
      </c>
      <c r="AS35" s="1219" t="str">
        <f t="shared" si="27"/>
        <v/>
      </c>
      <c r="AT35" s="1190" t="str">
        <f t="shared" si="18"/>
        <v/>
      </c>
    </row>
    <row r="36" spans="1:46" s="510" customFormat="1" ht="15" customHeight="1" x14ac:dyDescent="0.25">
      <c r="A36" s="470">
        <v>15</v>
      </c>
      <c r="B36" s="1614"/>
      <c r="C36" s="1168" t="str">
        <f t="shared" si="0"/>
        <v/>
      </c>
      <c r="D36" s="1795"/>
      <c r="E36" s="1795"/>
      <c r="F36" s="1795"/>
      <c r="G36" s="1795"/>
      <c r="H36" s="1016"/>
      <c r="I36" s="1235"/>
      <c r="J36" s="1007"/>
      <c r="K36" s="1006"/>
      <c r="L36" s="1007"/>
      <c r="M36" s="1003" t="str">
        <f t="shared" si="1"/>
        <v xml:space="preserve"> </v>
      </c>
      <c r="N36" s="1003" t="str">
        <f t="shared" si="2"/>
        <v xml:space="preserve"> </v>
      </c>
      <c r="O36" s="1171" t="str">
        <f t="shared" si="3"/>
        <v xml:space="preserve"> </v>
      </c>
      <c r="P36" s="1204" t="str">
        <f>IF(D36="","",VLOOKUP(D36,'Simplified Tables'!$C$89:$H$97,3,FALSE))</f>
        <v/>
      </c>
      <c r="Q36" s="1210" t="str">
        <f t="shared" si="22"/>
        <v/>
      </c>
      <c r="R36" s="90"/>
      <c r="S36" s="913"/>
      <c r="T36" s="1223" t="str">
        <f t="shared" si="5"/>
        <v/>
      </c>
      <c r="U36" s="90"/>
      <c r="V36" s="1024" t="str">
        <f>IF($C36="","",VLOOKUP($D36,'Simplified Tables'!$C$89:$H$97,V$16,FALSE))</f>
        <v/>
      </c>
      <c r="W36" s="782"/>
      <c r="X36" s="1026" t="str">
        <f>IF($C36="","",VLOOKUP($D36,'Simplified Tables'!$C$89:$H$97,X$16,FALSE))</f>
        <v/>
      </c>
      <c r="Y36" s="782"/>
      <c r="Z36" s="1026" t="str">
        <f>IF($C36="","",VLOOKUP($D36,'Simplified Tables'!$C$89:$H$97,Z$16,FALSE))</f>
        <v/>
      </c>
      <c r="AA36" s="782"/>
      <c r="AB36" s="992" t="str">
        <f t="shared" si="24"/>
        <v/>
      </c>
      <c r="AC36" s="507"/>
      <c r="AD36" s="508">
        <f t="shared" si="7"/>
        <v>0</v>
      </c>
      <c r="AE36" s="508">
        <f t="shared" si="8"/>
        <v>0</v>
      </c>
      <c r="AF36" s="508">
        <f t="shared" si="9"/>
        <v>0</v>
      </c>
      <c r="AG36" s="508">
        <f t="shared" si="10"/>
        <v>0</v>
      </c>
      <c r="AH36" s="508">
        <f t="shared" si="11"/>
        <v>0</v>
      </c>
      <c r="AI36" s="509">
        <f t="shared" si="19"/>
        <v>0</v>
      </c>
      <c r="AJ36" s="510" t="str">
        <f t="shared" si="12"/>
        <v/>
      </c>
      <c r="AM36" s="1218" t="str">
        <f t="shared" si="13"/>
        <v/>
      </c>
      <c r="AN36" s="1190">
        <f t="shared" si="25"/>
        <v>0</v>
      </c>
      <c r="AO36" s="1190" t="str">
        <f t="shared" si="14"/>
        <v xml:space="preserve"> </v>
      </c>
      <c r="AP36" s="1190" t="str">
        <f t="shared" si="15"/>
        <v xml:space="preserve"> </v>
      </c>
      <c r="AQ36" s="1190" t="str">
        <f t="shared" si="26"/>
        <v xml:space="preserve"> </v>
      </c>
      <c r="AR36" s="1219" t="str">
        <f t="shared" si="17"/>
        <v/>
      </c>
      <c r="AS36" s="1219" t="str">
        <f t="shared" si="27"/>
        <v/>
      </c>
      <c r="AT36" s="1190" t="str">
        <f t="shared" si="18"/>
        <v/>
      </c>
    </row>
    <row r="37" spans="1:46" s="510" customFormat="1" ht="15" customHeight="1" x14ac:dyDescent="0.25">
      <c r="A37" s="470">
        <v>16</v>
      </c>
      <c r="B37" s="1614"/>
      <c r="C37" s="1168" t="str">
        <f t="shared" si="0"/>
        <v/>
      </c>
      <c r="D37" s="1795"/>
      <c r="E37" s="1795"/>
      <c r="F37" s="1795"/>
      <c r="G37" s="1795"/>
      <c r="H37" s="1016"/>
      <c r="I37" s="1235"/>
      <c r="J37" s="1007"/>
      <c r="K37" s="1006"/>
      <c r="L37" s="1007"/>
      <c r="M37" s="1003" t="str">
        <f t="shared" si="1"/>
        <v xml:space="preserve"> </v>
      </c>
      <c r="N37" s="1003" t="str">
        <f t="shared" si="2"/>
        <v xml:space="preserve"> </v>
      </c>
      <c r="O37" s="1171" t="str">
        <f t="shared" si="3"/>
        <v xml:space="preserve"> </v>
      </c>
      <c r="P37" s="1204" t="str">
        <f>IF(D37="","",VLOOKUP(D37,'Simplified Tables'!$C$89:$H$97,3,FALSE))</f>
        <v/>
      </c>
      <c r="Q37" s="1210" t="str">
        <f t="shared" si="22"/>
        <v/>
      </c>
      <c r="R37" s="90"/>
      <c r="S37" s="913"/>
      <c r="T37" s="1223" t="str">
        <f t="shared" si="5"/>
        <v/>
      </c>
      <c r="U37" s="90"/>
      <c r="V37" s="1024" t="str">
        <f>IF($C37="","",VLOOKUP($D37,'Simplified Tables'!$C$89:$H$97,V$16,FALSE))</f>
        <v/>
      </c>
      <c r="W37" s="782"/>
      <c r="X37" s="1026" t="str">
        <f>IF($C37="","",VLOOKUP($D37,'Simplified Tables'!$C$89:$H$97,X$16,FALSE))</f>
        <v/>
      </c>
      <c r="Y37" s="782"/>
      <c r="Z37" s="1026" t="str">
        <f>IF($C37="","",VLOOKUP($D37,'Simplified Tables'!$C$89:$H$97,Z$16,FALSE))</f>
        <v/>
      </c>
      <c r="AA37" s="782"/>
      <c r="AB37" s="992" t="str">
        <f t="shared" si="24"/>
        <v/>
      </c>
      <c r="AC37" s="507"/>
      <c r="AD37" s="508">
        <f t="shared" si="7"/>
        <v>0</v>
      </c>
      <c r="AE37" s="508">
        <f t="shared" si="8"/>
        <v>0</v>
      </c>
      <c r="AF37" s="508">
        <f t="shared" si="9"/>
        <v>0</v>
      </c>
      <c r="AG37" s="508">
        <f t="shared" si="10"/>
        <v>0</v>
      </c>
      <c r="AH37" s="508">
        <f t="shared" si="11"/>
        <v>0</v>
      </c>
      <c r="AI37" s="509">
        <f t="shared" si="19"/>
        <v>0</v>
      </c>
      <c r="AJ37" s="510" t="str">
        <f t="shared" si="12"/>
        <v/>
      </c>
      <c r="AM37" s="1218" t="str">
        <f t="shared" si="13"/>
        <v/>
      </c>
      <c r="AN37" s="1190">
        <f t="shared" si="25"/>
        <v>0</v>
      </c>
      <c r="AO37" s="1190" t="str">
        <f t="shared" si="14"/>
        <v xml:space="preserve"> </v>
      </c>
      <c r="AP37" s="1190" t="str">
        <f t="shared" si="15"/>
        <v xml:space="preserve"> </v>
      </c>
      <c r="AQ37" s="1190" t="str">
        <f t="shared" si="26"/>
        <v xml:space="preserve"> </v>
      </c>
      <c r="AR37" s="1219" t="str">
        <f t="shared" si="17"/>
        <v/>
      </c>
      <c r="AS37" s="1219" t="str">
        <f t="shared" si="27"/>
        <v/>
      </c>
      <c r="AT37" s="1190" t="str">
        <f t="shared" si="18"/>
        <v/>
      </c>
    </row>
    <row r="38" spans="1:46" s="510" customFormat="1" ht="15" customHeight="1" x14ac:dyDescent="0.25">
      <c r="A38" s="470">
        <v>17</v>
      </c>
      <c r="B38" s="1614"/>
      <c r="C38" s="1168" t="str">
        <f t="shared" si="0"/>
        <v/>
      </c>
      <c r="D38" s="1795"/>
      <c r="E38" s="1795"/>
      <c r="F38" s="1795"/>
      <c r="G38" s="1795"/>
      <c r="H38" s="1016"/>
      <c r="I38" s="1235"/>
      <c r="J38" s="1007"/>
      <c r="K38" s="1006"/>
      <c r="L38" s="1007"/>
      <c r="M38" s="1003" t="str">
        <f t="shared" si="1"/>
        <v xml:space="preserve"> </v>
      </c>
      <c r="N38" s="1003" t="str">
        <f t="shared" si="2"/>
        <v xml:space="preserve"> </v>
      </c>
      <c r="O38" s="1171" t="str">
        <f t="shared" si="3"/>
        <v xml:space="preserve"> </v>
      </c>
      <c r="P38" s="1204" t="str">
        <f>IF(D38="","",VLOOKUP(D38,'Simplified Tables'!$C$89:$H$97,3,FALSE))</f>
        <v/>
      </c>
      <c r="Q38" s="1210" t="str">
        <f t="shared" si="22"/>
        <v/>
      </c>
      <c r="R38" s="90"/>
      <c r="S38" s="913"/>
      <c r="T38" s="1223" t="str">
        <f t="shared" si="5"/>
        <v/>
      </c>
      <c r="U38" s="90"/>
      <c r="V38" s="1024" t="str">
        <f>IF($C38="","",VLOOKUP($D38,'Simplified Tables'!$C$89:$H$97,V$16,FALSE))</f>
        <v/>
      </c>
      <c r="W38" s="782"/>
      <c r="X38" s="1026" t="str">
        <f>IF($C38="","",VLOOKUP($D38,'Simplified Tables'!$C$89:$H$97,X$16,FALSE))</f>
        <v/>
      </c>
      <c r="Y38" s="782"/>
      <c r="Z38" s="1026" t="str">
        <f>IF($C38="","",VLOOKUP($D38,'Simplified Tables'!$C$89:$H$97,Z$16,FALSE))</f>
        <v/>
      </c>
      <c r="AA38" s="782"/>
      <c r="AB38" s="992" t="str">
        <f t="shared" si="24"/>
        <v/>
      </c>
      <c r="AC38" s="507"/>
      <c r="AD38" s="508">
        <f t="shared" si="7"/>
        <v>0</v>
      </c>
      <c r="AE38" s="508">
        <f t="shared" si="8"/>
        <v>0</v>
      </c>
      <c r="AF38" s="508">
        <f t="shared" si="9"/>
        <v>0</v>
      </c>
      <c r="AG38" s="508">
        <f t="shared" si="10"/>
        <v>0</v>
      </c>
      <c r="AH38" s="508">
        <f t="shared" si="11"/>
        <v>0</v>
      </c>
      <c r="AI38" s="509">
        <f t="shared" si="19"/>
        <v>0</v>
      </c>
      <c r="AJ38" s="510" t="str">
        <f t="shared" si="12"/>
        <v/>
      </c>
      <c r="AM38" s="1218" t="str">
        <f t="shared" si="13"/>
        <v/>
      </c>
      <c r="AN38" s="1190">
        <f t="shared" si="25"/>
        <v>0</v>
      </c>
      <c r="AO38" s="1190" t="str">
        <f t="shared" si="14"/>
        <v xml:space="preserve"> </v>
      </c>
      <c r="AP38" s="1190" t="str">
        <f t="shared" si="15"/>
        <v xml:space="preserve"> </v>
      </c>
      <c r="AQ38" s="1190" t="str">
        <f t="shared" si="26"/>
        <v xml:space="preserve"> </v>
      </c>
      <c r="AR38" s="1219" t="str">
        <f t="shared" si="17"/>
        <v/>
      </c>
      <c r="AS38" s="1219" t="str">
        <f t="shared" si="27"/>
        <v/>
      </c>
      <c r="AT38" s="1190" t="str">
        <f t="shared" si="18"/>
        <v/>
      </c>
    </row>
    <row r="39" spans="1:46" s="510" customFormat="1" ht="15" customHeight="1" x14ac:dyDescent="0.25">
      <c r="A39" s="470">
        <v>18</v>
      </c>
      <c r="B39" s="1614"/>
      <c r="C39" s="1168" t="str">
        <f t="shared" si="0"/>
        <v/>
      </c>
      <c r="D39" s="1795"/>
      <c r="E39" s="1795"/>
      <c r="F39" s="1795"/>
      <c r="G39" s="1795"/>
      <c r="H39" s="1016"/>
      <c r="I39" s="1235"/>
      <c r="J39" s="1007"/>
      <c r="K39" s="1006"/>
      <c r="L39" s="1007"/>
      <c r="M39" s="1003" t="str">
        <f t="shared" si="1"/>
        <v xml:space="preserve"> </v>
      </c>
      <c r="N39" s="1003" t="str">
        <f t="shared" si="2"/>
        <v xml:space="preserve"> </v>
      </c>
      <c r="O39" s="1171" t="str">
        <f t="shared" si="3"/>
        <v xml:space="preserve"> </v>
      </c>
      <c r="P39" s="1204" t="str">
        <f>IF(D39="","",VLOOKUP(D39,'Simplified Tables'!$C$89:$H$97,3,FALSE))</f>
        <v/>
      </c>
      <c r="Q39" s="1210" t="str">
        <f t="shared" si="22"/>
        <v/>
      </c>
      <c r="R39" s="90"/>
      <c r="S39" s="913"/>
      <c r="T39" s="1223" t="str">
        <f t="shared" si="5"/>
        <v/>
      </c>
      <c r="U39" s="90"/>
      <c r="V39" s="1024" t="str">
        <f>IF($C39="","",VLOOKUP($D39,'Simplified Tables'!$C$89:$H$97,V$16,FALSE))</f>
        <v/>
      </c>
      <c r="W39" s="782"/>
      <c r="X39" s="1026" t="str">
        <f>IF($C39="","",VLOOKUP($D39,'Simplified Tables'!$C$89:$H$97,X$16,FALSE))</f>
        <v/>
      </c>
      <c r="Y39" s="782"/>
      <c r="Z39" s="1026" t="str">
        <f>IF($C39="","",VLOOKUP($D39,'Simplified Tables'!$C$89:$H$97,Z$16,FALSE))</f>
        <v/>
      </c>
      <c r="AA39" s="782"/>
      <c r="AB39" s="992" t="str">
        <f t="shared" si="24"/>
        <v/>
      </c>
      <c r="AC39" s="507"/>
      <c r="AD39" s="508">
        <f t="shared" si="7"/>
        <v>0</v>
      </c>
      <c r="AE39" s="508">
        <f t="shared" si="8"/>
        <v>0</v>
      </c>
      <c r="AF39" s="508">
        <f t="shared" si="9"/>
        <v>0</v>
      </c>
      <c r="AG39" s="508">
        <f t="shared" si="10"/>
        <v>0</v>
      </c>
      <c r="AH39" s="508">
        <f t="shared" si="11"/>
        <v>0</v>
      </c>
      <c r="AI39" s="509">
        <f t="shared" si="19"/>
        <v>0</v>
      </c>
      <c r="AJ39" s="510" t="str">
        <f t="shared" si="12"/>
        <v/>
      </c>
      <c r="AM39" s="1218" t="str">
        <f t="shared" si="13"/>
        <v/>
      </c>
      <c r="AN39" s="1190">
        <f t="shared" si="25"/>
        <v>0</v>
      </c>
      <c r="AO39" s="1190" t="str">
        <f t="shared" si="14"/>
        <v xml:space="preserve"> </v>
      </c>
      <c r="AP39" s="1190" t="str">
        <f t="shared" si="15"/>
        <v xml:space="preserve"> </v>
      </c>
      <c r="AQ39" s="1190" t="str">
        <f t="shared" si="26"/>
        <v xml:space="preserve"> </v>
      </c>
      <c r="AR39" s="1219" t="str">
        <f t="shared" si="17"/>
        <v/>
      </c>
      <c r="AS39" s="1219" t="str">
        <f t="shared" si="27"/>
        <v/>
      </c>
      <c r="AT39" s="1190" t="str">
        <f t="shared" si="18"/>
        <v/>
      </c>
    </row>
    <row r="40" spans="1:46" s="510" customFormat="1" ht="15" customHeight="1" x14ac:dyDescent="0.25">
      <c r="A40" s="470">
        <v>19</v>
      </c>
      <c r="B40" s="1614"/>
      <c r="C40" s="1168" t="str">
        <f t="shared" si="0"/>
        <v/>
      </c>
      <c r="D40" s="1795"/>
      <c r="E40" s="1795"/>
      <c r="F40" s="1795"/>
      <c r="G40" s="1795"/>
      <c r="H40" s="1016"/>
      <c r="I40" s="1235"/>
      <c r="J40" s="1007"/>
      <c r="K40" s="1006"/>
      <c r="L40" s="1007"/>
      <c r="M40" s="1003" t="str">
        <f t="shared" si="1"/>
        <v xml:space="preserve"> </v>
      </c>
      <c r="N40" s="1003" t="str">
        <f t="shared" si="2"/>
        <v xml:space="preserve"> </v>
      </c>
      <c r="O40" s="1171" t="str">
        <f t="shared" si="3"/>
        <v xml:space="preserve"> </v>
      </c>
      <c r="P40" s="1204" t="str">
        <f>IF(D40="","",VLOOKUP(D40,'Simplified Tables'!$C$89:$H$97,3,FALSE))</f>
        <v/>
      </c>
      <c r="Q40" s="1210" t="str">
        <f t="shared" si="22"/>
        <v/>
      </c>
      <c r="R40" s="90"/>
      <c r="S40" s="913"/>
      <c r="T40" s="1223" t="str">
        <f t="shared" si="5"/>
        <v/>
      </c>
      <c r="U40" s="90"/>
      <c r="V40" s="1024" t="str">
        <f>IF($C40="","",VLOOKUP($D40,'Simplified Tables'!$C$89:$H$97,V$16,FALSE))</f>
        <v/>
      </c>
      <c r="W40" s="782"/>
      <c r="X40" s="1026" t="str">
        <f>IF($C40="","",VLOOKUP($D40,'Simplified Tables'!$C$89:$H$97,X$16,FALSE))</f>
        <v/>
      </c>
      <c r="Y40" s="782"/>
      <c r="Z40" s="1026" t="str">
        <f>IF($C40="","",VLOOKUP($D40,'Simplified Tables'!$C$89:$H$97,Z$16,FALSE))</f>
        <v/>
      </c>
      <c r="AA40" s="782"/>
      <c r="AB40" s="992" t="str">
        <f t="shared" si="24"/>
        <v/>
      </c>
      <c r="AC40" s="507"/>
      <c r="AD40" s="508">
        <f t="shared" si="7"/>
        <v>0</v>
      </c>
      <c r="AE40" s="508">
        <f t="shared" si="8"/>
        <v>0</v>
      </c>
      <c r="AF40" s="508">
        <f t="shared" si="9"/>
        <v>0</v>
      </c>
      <c r="AG40" s="508">
        <f t="shared" si="10"/>
        <v>0</v>
      </c>
      <c r="AH40" s="508">
        <f t="shared" si="11"/>
        <v>0</v>
      </c>
      <c r="AI40" s="509">
        <f t="shared" si="19"/>
        <v>0</v>
      </c>
      <c r="AJ40" s="510" t="str">
        <f t="shared" si="12"/>
        <v/>
      </c>
      <c r="AM40" s="1218" t="str">
        <f t="shared" si="13"/>
        <v/>
      </c>
      <c r="AN40" s="1190">
        <f t="shared" si="25"/>
        <v>0</v>
      </c>
      <c r="AO40" s="1190" t="str">
        <f t="shared" si="14"/>
        <v xml:space="preserve"> </v>
      </c>
      <c r="AP40" s="1190" t="str">
        <f t="shared" si="15"/>
        <v xml:space="preserve"> </v>
      </c>
      <c r="AQ40" s="1190" t="str">
        <f t="shared" si="26"/>
        <v xml:space="preserve"> </v>
      </c>
      <c r="AR40" s="1219" t="str">
        <f t="shared" si="17"/>
        <v/>
      </c>
      <c r="AS40" s="1219" t="str">
        <f t="shared" si="27"/>
        <v/>
      </c>
      <c r="AT40" s="1190" t="str">
        <f t="shared" si="18"/>
        <v/>
      </c>
    </row>
    <row r="41" spans="1:46" s="510" customFormat="1" ht="15" customHeight="1" x14ac:dyDescent="0.25">
      <c r="A41" s="470">
        <v>20</v>
      </c>
      <c r="B41" s="1614"/>
      <c r="C41" s="1168" t="str">
        <f t="shared" si="0"/>
        <v/>
      </c>
      <c r="D41" s="1795"/>
      <c r="E41" s="1795"/>
      <c r="F41" s="1795"/>
      <c r="G41" s="1795"/>
      <c r="H41" s="1016"/>
      <c r="I41" s="1235"/>
      <c r="J41" s="1007"/>
      <c r="K41" s="1006"/>
      <c r="L41" s="1007"/>
      <c r="M41" s="1003" t="str">
        <f t="shared" si="1"/>
        <v xml:space="preserve"> </v>
      </c>
      <c r="N41" s="1003" t="str">
        <f t="shared" si="2"/>
        <v xml:space="preserve"> </v>
      </c>
      <c r="O41" s="1171" t="str">
        <f t="shared" si="3"/>
        <v xml:space="preserve"> </v>
      </c>
      <c r="P41" s="1204" t="str">
        <f>IF(D41="","",VLOOKUP(D41,'Simplified Tables'!$C$89:$H$97,3,FALSE))</f>
        <v/>
      </c>
      <c r="Q41" s="1210" t="str">
        <f t="shared" si="22"/>
        <v/>
      </c>
      <c r="R41" s="90"/>
      <c r="S41" s="913"/>
      <c r="T41" s="1223" t="str">
        <f t="shared" si="5"/>
        <v/>
      </c>
      <c r="U41" s="90"/>
      <c r="V41" s="1024" t="str">
        <f>IF($C41="","",VLOOKUP($D41,'Simplified Tables'!$C$89:$H$97,V$16,FALSE))</f>
        <v/>
      </c>
      <c r="W41" s="782"/>
      <c r="X41" s="1026" t="str">
        <f>IF($C41="","",VLOOKUP($D41,'Simplified Tables'!$C$89:$H$97,X$16,FALSE))</f>
        <v/>
      </c>
      <c r="Y41" s="782"/>
      <c r="Z41" s="1026" t="str">
        <f>IF($C41="","",VLOOKUP($D41,'Simplified Tables'!$C$89:$H$97,Z$16,FALSE))</f>
        <v/>
      </c>
      <c r="AA41" s="782"/>
      <c r="AB41" s="992" t="str">
        <f t="shared" si="24"/>
        <v/>
      </c>
      <c r="AC41" s="507"/>
      <c r="AD41" s="508">
        <f t="shared" si="7"/>
        <v>0</v>
      </c>
      <c r="AE41" s="508">
        <f t="shared" si="8"/>
        <v>0</v>
      </c>
      <c r="AF41" s="508">
        <f t="shared" si="9"/>
        <v>0</v>
      </c>
      <c r="AG41" s="508">
        <f t="shared" si="10"/>
        <v>0</v>
      </c>
      <c r="AH41" s="508">
        <f t="shared" si="11"/>
        <v>0</v>
      </c>
      <c r="AI41" s="509">
        <f t="shared" si="19"/>
        <v>0</v>
      </c>
      <c r="AJ41" s="510" t="str">
        <f t="shared" si="12"/>
        <v/>
      </c>
      <c r="AM41" s="1218" t="str">
        <f t="shared" si="13"/>
        <v/>
      </c>
      <c r="AN41" s="1190">
        <f t="shared" si="25"/>
        <v>0</v>
      </c>
      <c r="AO41" s="1190" t="str">
        <f t="shared" si="14"/>
        <v xml:space="preserve"> </v>
      </c>
      <c r="AP41" s="1190" t="str">
        <f t="shared" si="15"/>
        <v xml:space="preserve"> </v>
      </c>
      <c r="AQ41" s="1190" t="str">
        <f t="shared" si="26"/>
        <v xml:space="preserve"> </v>
      </c>
      <c r="AR41" s="1219" t="str">
        <f t="shared" si="17"/>
        <v/>
      </c>
      <c r="AS41" s="1219" t="str">
        <f t="shared" si="27"/>
        <v/>
      </c>
      <c r="AT41" s="1190" t="str">
        <f t="shared" si="18"/>
        <v/>
      </c>
    </row>
    <row r="42" spans="1:46" s="510" customFormat="1" ht="15" customHeight="1" x14ac:dyDescent="0.25">
      <c r="A42" s="470">
        <v>21</v>
      </c>
      <c r="B42" s="1614"/>
      <c r="C42" s="1168" t="str">
        <f t="shared" si="0"/>
        <v/>
      </c>
      <c r="D42" s="1795"/>
      <c r="E42" s="1795"/>
      <c r="F42" s="1795"/>
      <c r="G42" s="1795"/>
      <c r="H42" s="1016"/>
      <c r="I42" s="1235"/>
      <c r="J42" s="1007"/>
      <c r="K42" s="1006"/>
      <c r="L42" s="1007"/>
      <c r="M42" s="1003" t="str">
        <f t="shared" si="1"/>
        <v xml:space="preserve"> </v>
      </c>
      <c r="N42" s="1003" t="str">
        <f t="shared" si="2"/>
        <v xml:space="preserve"> </v>
      </c>
      <c r="O42" s="1171" t="str">
        <f t="shared" si="3"/>
        <v xml:space="preserve"> </v>
      </c>
      <c r="P42" s="1204" t="str">
        <f>IF(D42="","",VLOOKUP(D42,'Simplified Tables'!$C$89:$H$97,3,FALSE))</f>
        <v/>
      </c>
      <c r="Q42" s="1210" t="str">
        <f t="shared" si="22"/>
        <v/>
      </c>
      <c r="R42" s="90"/>
      <c r="S42" s="913"/>
      <c r="T42" s="1223" t="str">
        <f t="shared" si="5"/>
        <v/>
      </c>
      <c r="U42" s="90"/>
      <c r="V42" s="1024" t="str">
        <f>IF($C42="","",VLOOKUP($D42,'Simplified Tables'!$C$89:$H$97,V$16,FALSE))</f>
        <v/>
      </c>
      <c r="W42" s="782"/>
      <c r="X42" s="1026" t="str">
        <f>IF($C42="","",VLOOKUP($D42,'Simplified Tables'!$C$89:$H$97,X$16,FALSE))</f>
        <v/>
      </c>
      <c r="Y42" s="782"/>
      <c r="Z42" s="1026" t="str">
        <f>IF($C42="","",VLOOKUP($D42,'Simplified Tables'!$C$89:$H$97,Z$16,FALSE))</f>
        <v/>
      </c>
      <c r="AA42" s="782"/>
      <c r="AB42" s="992" t="str">
        <f t="shared" si="24"/>
        <v/>
      </c>
      <c r="AC42" s="507"/>
      <c r="AD42" s="508">
        <f t="shared" si="7"/>
        <v>0</v>
      </c>
      <c r="AE42" s="508">
        <f t="shared" si="8"/>
        <v>0</v>
      </c>
      <c r="AF42" s="508">
        <f t="shared" si="9"/>
        <v>0</v>
      </c>
      <c r="AG42" s="508">
        <f t="shared" si="10"/>
        <v>0</v>
      </c>
      <c r="AH42" s="508">
        <f t="shared" si="11"/>
        <v>0</v>
      </c>
      <c r="AI42" s="509">
        <f t="shared" si="19"/>
        <v>0</v>
      </c>
      <c r="AJ42" s="510" t="str">
        <f t="shared" si="12"/>
        <v/>
      </c>
      <c r="AM42" s="1218" t="str">
        <f t="shared" si="13"/>
        <v/>
      </c>
      <c r="AN42" s="1190">
        <f t="shared" si="25"/>
        <v>0</v>
      </c>
      <c r="AO42" s="1190" t="str">
        <f t="shared" si="14"/>
        <v xml:space="preserve"> </v>
      </c>
      <c r="AP42" s="1190" t="str">
        <f t="shared" si="15"/>
        <v xml:space="preserve"> </v>
      </c>
      <c r="AQ42" s="1190" t="str">
        <f t="shared" si="26"/>
        <v xml:space="preserve"> </v>
      </c>
      <c r="AR42" s="1219" t="str">
        <f t="shared" si="17"/>
        <v/>
      </c>
      <c r="AS42" s="1219" t="str">
        <f t="shared" si="27"/>
        <v/>
      </c>
      <c r="AT42" s="1190" t="str">
        <f t="shared" si="18"/>
        <v/>
      </c>
    </row>
    <row r="43" spans="1:46" s="510" customFormat="1" ht="15" customHeight="1" x14ac:dyDescent="0.25">
      <c r="A43" s="470">
        <v>22</v>
      </c>
      <c r="B43" s="1614"/>
      <c r="C43" s="1168" t="str">
        <f t="shared" si="0"/>
        <v/>
      </c>
      <c r="D43" s="1795"/>
      <c r="E43" s="1795"/>
      <c r="F43" s="1795"/>
      <c r="G43" s="1795"/>
      <c r="H43" s="1016"/>
      <c r="I43" s="1235"/>
      <c r="J43" s="1007"/>
      <c r="K43" s="1006"/>
      <c r="L43" s="1007"/>
      <c r="M43" s="1003" t="str">
        <f t="shared" si="1"/>
        <v xml:space="preserve"> </v>
      </c>
      <c r="N43" s="1003" t="str">
        <f t="shared" si="2"/>
        <v xml:space="preserve"> </v>
      </c>
      <c r="O43" s="1171" t="str">
        <f t="shared" si="3"/>
        <v xml:space="preserve"> </v>
      </c>
      <c r="P43" s="1204" t="str">
        <f>IF(D43="","",VLOOKUP(D43,'Simplified Tables'!$C$89:$H$97,3,FALSE))</f>
        <v/>
      </c>
      <c r="Q43" s="1210" t="str">
        <f t="shared" si="22"/>
        <v/>
      </c>
      <c r="R43" s="90"/>
      <c r="S43" s="913"/>
      <c r="T43" s="1223" t="str">
        <f t="shared" si="5"/>
        <v/>
      </c>
      <c r="U43" s="90"/>
      <c r="V43" s="1024" t="str">
        <f>IF($C43="","",VLOOKUP($D43,'Simplified Tables'!$C$89:$H$97,V$16,FALSE))</f>
        <v/>
      </c>
      <c r="W43" s="782"/>
      <c r="X43" s="1026" t="str">
        <f>IF($C43="","",VLOOKUP($D43,'Simplified Tables'!$C$89:$H$97,X$16,FALSE))</f>
        <v/>
      </c>
      <c r="Y43" s="782"/>
      <c r="Z43" s="1026" t="str">
        <f>IF($C43="","",VLOOKUP($D43,'Simplified Tables'!$C$89:$H$97,Z$16,FALSE))</f>
        <v/>
      </c>
      <c r="AA43" s="782"/>
      <c r="AB43" s="992" t="str">
        <f t="shared" si="24"/>
        <v/>
      </c>
      <c r="AC43" s="507"/>
      <c r="AD43" s="508">
        <f t="shared" si="7"/>
        <v>0</v>
      </c>
      <c r="AE43" s="508">
        <f t="shared" si="8"/>
        <v>0</v>
      </c>
      <c r="AF43" s="508">
        <f t="shared" si="9"/>
        <v>0</v>
      </c>
      <c r="AG43" s="508">
        <f t="shared" si="10"/>
        <v>0</v>
      </c>
      <c r="AH43" s="508">
        <f t="shared" si="11"/>
        <v>0</v>
      </c>
      <c r="AI43" s="509">
        <f t="shared" si="19"/>
        <v>0</v>
      </c>
      <c r="AJ43" s="510" t="str">
        <f t="shared" si="12"/>
        <v/>
      </c>
      <c r="AM43" s="1218" t="str">
        <f t="shared" si="13"/>
        <v/>
      </c>
      <c r="AN43" s="1190">
        <f t="shared" si="25"/>
        <v>0</v>
      </c>
      <c r="AO43" s="1190" t="str">
        <f t="shared" si="14"/>
        <v xml:space="preserve"> </v>
      </c>
      <c r="AP43" s="1190" t="str">
        <f t="shared" si="15"/>
        <v xml:space="preserve"> </v>
      </c>
      <c r="AQ43" s="1190" t="str">
        <f t="shared" si="26"/>
        <v xml:space="preserve"> </v>
      </c>
      <c r="AR43" s="1219" t="str">
        <f t="shared" si="17"/>
        <v/>
      </c>
      <c r="AS43" s="1219" t="str">
        <f t="shared" si="27"/>
        <v/>
      </c>
      <c r="AT43" s="1190" t="str">
        <f t="shared" si="18"/>
        <v/>
      </c>
    </row>
    <row r="44" spans="1:46" s="510" customFormat="1" ht="15" customHeight="1" x14ac:dyDescent="0.25">
      <c r="A44" s="470">
        <v>23</v>
      </c>
      <c r="B44" s="1614"/>
      <c r="C44" s="1168" t="str">
        <f t="shared" si="0"/>
        <v/>
      </c>
      <c r="D44" s="1795"/>
      <c r="E44" s="1795"/>
      <c r="F44" s="1795"/>
      <c r="G44" s="1795"/>
      <c r="H44" s="1016"/>
      <c r="I44" s="1235"/>
      <c r="J44" s="1007"/>
      <c r="K44" s="1006"/>
      <c r="L44" s="1007"/>
      <c r="M44" s="1003" t="str">
        <f t="shared" si="1"/>
        <v xml:space="preserve"> </v>
      </c>
      <c r="N44" s="1003" t="str">
        <f t="shared" si="2"/>
        <v xml:space="preserve"> </v>
      </c>
      <c r="O44" s="1171" t="str">
        <f t="shared" si="3"/>
        <v xml:space="preserve"> </v>
      </c>
      <c r="P44" s="1204" t="str">
        <f>IF(D44="","",VLOOKUP(D44,'Simplified Tables'!$C$89:$H$97,3,FALSE))</f>
        <v/>
      </c>
      <c r="Q44" s="1210" t="str">
        <f t="shared" si="22"/>
        <v/>
      </c>
      <c r="R44" s="90"/>
      <c r="S44" s="913"/>
      <c r="T44" s="1223" t="str">
        <f t="shared" si="5"/>
        <v/>
      </c>
      <c r="U44" s="90"/>
      <c r="V44" s="1024" t="str">
        <f>IF($C44="","",VLOOKUP($D44,'Simplified Tables'!$C$89:$H$97,V$16,FALSE))</f>
        <v/>
      </c>
      <c r="W44" s="782"/>
      <c r="X44" s="1026" t="str">
        <f>IF($C44="","",VLOOKUP($D44,'Simplified Tables'!$C$89:$H$97,X$16,FALSE))</f>
        <v/>
      </c>
      <c r="Y44" s="782"/>
      <c r="Z44" s="1026" t="str">
        <f>IF($C44="","",VLOOKUP($D44,'Simplified Tables'!$C$89:$H$97,Z$16,FALSE))</f>
        <v/>
      </c>
      <c r="AA44" s="782"/>
      <c r="AB44" s="992" t="str">
        <f t="shared" si="24"/>
        <v/>
      </c>
      <c r="AC44" s="507"/>
      <c r="AD44" s="508">
        <f t="shared" si="7"/>
        <v>0</v>
      </c>
      <c r="AE44" s="508">
        <f t="shared" si="8"/>
        <v>0</v>
      </c>
      <c r="AF44" s="508">
        <f t="shared" si="9"/>
        <v>0</v>
      </c>
      <c r="AG44" s="508">
        <f t="shared" si="10"/>
        <v>0</v>
      </c>
      <c r="AH44" s="508">
        <f t="shared" si="11"/>
        <v>0</v>
      </c>
      <c r="AI44" s="509">
        <f t="shared" si="19"/>
        <v>0</v>
      </c>
      <c r="AJ44" s="510" t="str">
        <f t="shared" si="12"/>
        <v/>
      </c>
      <c r="AM44" s="1218" t="str">
        <f t="shared" si="13"/>
        <v/>
      </c>
      <c r="AN44" s="1190">
        <f t="shared" si="25"/>
        <v>0</v>
      </c>
      <c r="AO44" s="1190" t="str">
        <f t="shared" si="14"/>
        <v xml:space="preserve"> </v>
      </c>
      <c r="AP44" s="1190" t="str">
        <f t="shared" si="15"/>
        <v xml:space="preserve"> </v>
      </c>
      <c r="AQ44" s="1190" t="str">
        <f t="shared" si="26"/>
        <v xml:space="preserve"> </v>
      </c>
      <c r="AR44" s="1219" t="str">
        <f t="shared" si="17"/>
        <v/>
      </c>
      <c r="AS44" s="1219" t="str">
        <f t="shared" si="27"/>
        <v/>
      </c>
      <c r="AT44" s="1190" t="str">
        <f t="shared" si="18"/>
        <v/>
      </c>
    </row>
    <row r="45" spans="1:46" s="510" customFormat="1" ht="15" customHeight="1" x14ac:dyDescent="0.25">
      <c r="A45" s="470">
        <v>24</v>
      </c>
      <c r="B45" s="1614"/>
      <c r="C45" s="1168" t="str">
        <f t="shared" si="0"/>
        <v/>
      </c>
      <c r="D45" s="1795"/>
      <c r="E45" s="1795"/>
      <c r="F45" s="1795"/>
      <c r="G45" s="1795"/>
      <c r="H45" s="1016"/>
      <c r="I45" s="1235"/>
      <c r="J45" s="1007"/>
      <c r="K45" s="1006"/>
      <c r="L45" s="1007"/>
      <c r="M45" s="1003" t="str">
        <f t="shared" si="1"/>
        <v xml:space="preserve"> </v>
      </c>
      <c r="N45" s="1003" t="str">
        <f t="shared" si="2"/>
        <v xml:space="preserve"> </v>
      </c>
      <c r="O45" s="1171" t="str">
        <f t="shared" si="3"/>
        <v xml:space="preserve"> </v>
      </c>
      <c r="P45" s="1204" t="str">
        <f>IF(D45="","",VLOOKUP(D45,'Simplified Tables'!$C$89:$H$97,3,FALSE))</f>
        <v/>
      </c>
      <c r="Q45" s="1210" t="str">
        <f t="shared" si="22"/>
        <v/>
      </c>
      <c r="R45" s="90"/>
      <c r="S45" s="913"/>
      <c r="T45" s="1223" t="str">
        <f t="shared" si="5"/>
        <v/>
      </c>
      <c r="U45" s="90"/>
      <c r="V45" s="1024" t="str">
        <f>IF($C45="","",VLOOKUP($D45,'Simplified Tables'!$C$89:$H$97,V$16,FALSE))</f>
        <v/>
      </c>
      <c r="W45" s="782"/>
      <c r="X45" s="1026" t="str">
        <f>IF($C45="","",VLOOKUP($D45,'Simplified Tables'!$C$89:$H$97,X$16,FALSE))</f>
        <v/>
      </c>
      <c r="Y45" s="782"/>
      <c r="Z45" s="1026" t="str">
        <f>IF($C45="","",VLOOKUP($D45,'Simplified Tables'!$C$89:$H$97,Z$16,FALSE))</f>
        <v/>
      </c>
      <c r="AA45" s="782"/>
      <c r="AB45" s="992" t="str">
        <f t="shared" si="24"/>
        <v/>
      </c>
      <c r="AC45" s="507"/>
      <c r="AD45" s="508">
        <f t="shared" si="7"/>
        <v>0</v>
      </c>
      <c r="AE45" s="508">
        <f t="shared" si="8"/>
        <v>0</v>
      </c>
      <c r="AF45" s="508">
        <f t="shared" si="9"/>
        <v>0</v>
      </c>
      <c r="AG45" s="508">
        <f t="shared" si="10"/>
        <v>0</v>
      </c>
      <c r="AH45" s="508">
        <f t="shared" si="11"/>
        <v>0</v>
      </c>
      <c r="AI45" s="509">
        <f t="shared" si="19"/>
        <v>0</v>
      </c>
      <c r="AJ45" s="510" t="str">
        <f t="shared" si="12"/>
        <v/>
      </c>
      <c r="AM45" s="1218" t="str">
        <f t="shared" si="13"/>
        <v/>
      </c>
      <c r="AN45" s="1190">
        <f t="shared" si="25"/>
        <v>0</v>
      </c>
      <c r="AO45" s="1190" t="str">
        <f t="shared" si="14"/>
        <v xml:space="preserve"> </v>
      </c>
      <c r="AP45" s="1190" t="str">
        <f t="shared" si="15"/>
        <v xml:space="preserve"> </v>
      </c>
      <c r="AQ45" s="1190" t="str">
        <f t="shared" si="26"/>
        <v xml:space="preserve"> </v>
      </c>
      <c r="AR45" s="1219" t="str">
        <f t="shared" si="17"/>
        <v/>
      </c>
      <c r="AS45" s="1219" t="str">
        <f t="shared" si="27"/>
        <v/>
      </c>
      <c r="AT45" s="1190" t="str">
        <f t="shared" si="18"/>
        <v/>
      </c>
    </row>
    <row r="46" spans="1:46" s="510" customFormat="1" ht="15" customHeight="1" thickBot="1" x14ac:dyDescent="0.3">
      <c r="A46" s="470">
        <v>25</v>
      </c>
      <c r="B46" s="1614"/>
      <c r="C46" s="1185" t="str">
        <f t="shared" si="0"/>
        <v/>
      </c>
      <c r="D46" s="1797"/>
      <c r="E46" s="1797"/>
      <c r="F46" s="1797"/>
      <c r="G46" s="1797"/>
      <c r="H46" s="1017"/>
      <c r="I46" s="1236"/>
      <c r="J46" s="1011"/>
      <c r="K46" s="1010"/>
      <c r="L46" s="1011"/>
      <c r="M46" s="1012" t="str">
        <f t="shared" si="1"/>
        <v xml:space="preserve"> </v>
      </c>
      <c r="N46" s="1012" t="str">
        <f t="shared" si="2"/>
        <v xml:space="preserve"> </v>
      </c>
      <c r="O46" s="1172" t="str">
        <f t="shared" si="3"/>
        <v xml:space="preserve"> </v>
      </c>
      <c r="P46" s="1204" t="str">
        <f>IF(D46="","",VLOOKUP(D46,'Simplified Tables'!$C$89:$H$97,3,FALSE))</f>
        <v/>
      </c>
      <c r="Q46" s="1211" t="str">
        <f t="shared" si="22"/>
        <v/>
      </c>
      <c r="R46" s="90"/>
      <c r="S46" s="913"/>
      <c r="T46" s="1223" t="str">
        <f t="shared" si="5"/>
        <v/>
      </c>
      <c r="U46" s="90"/>
      <c r="V46" s="993" t="str">
        <f>IF($C46="","",VLOOKUP($D46,'Simplified Tables'!$C$89:$H$97,V$16,FALSE))</f>
        <v/>
      </c>
      <c r="W46" s="994"/>
      <c r="X46" s="995" t="str">
        <f>IF($C46="","",VLOOKUP($D46,'Simplified Tables'!$C$89:$H$97,X$16,FALSE))</f>
        <v/>
      </c>
      <c r="Y46" s="994"/>
      <c r="Z46" s="995" t="str">
        <f>IF($C46="","",VLOOKUP($D46,'Simplified Tables'!$C$89:$H$97,Z$16,FALSE))</f>
        <v/>
      </c>
      <c r="AA46" s="994"/>
      <c r="AB46" s="996" t="str">
        <f t="shared" si="24"/>
        <v/>
      </c>
      <c r="AC46" s="507"/>
      <c r="AD46" s="508">
        <f t="shared" si="7"/>
        <v>0</v>
      </c>
      <c r="AE46" s="508">
        <f t="shared" si="8"/>
        <v>0</v>
      </c>
      <c r="AF46" s="508">
        <f t="shared" si="9"/>
        <v>0</v>
      </c>
      <c r="AG46" s="508">
        <f t="shared" si="10"/>
        <v>0</v>
      </c>
      <c r="AH46" s="508">
        <f t="shared" si="11"/>
        <v>0</v>
      </c>
      <c r="AI46" s="509">
        <f t="shared" si="19"/>
        <v>0</v>
      </c>
      <c r="AJ46" s="510" t="str">
        <f t="shared" si="12"/>
        <v/>
      </c>
      <c r="AM46" s="1218" t="str">
        <f t="shared" si="13"/>
        <v/>
      </c>
      <c r="AN46" s="1190">
        <f t="shared" si="25"/>
        <v>0</v>
      </c>
      <c r="AO46" s="1190" t="str">
        <f t="shared" si="14"/>
        <v xml:space="preserve"> </v>
      </c>
      <c r="AP46" s="1190" t="str">
        <f t="shared" si="15"/>
        <v xml:space="preserve"> </v>
      </c>
      <c r="AQ46" s="1190" t="str">
        <f t="shared" si="26"/>
        <v xml:space="preserve"> </v>
      </c>
      <c r="AR46" s="1219" t="str">
        <f t="shared" si="17"/>
        <v/>
      </c>
      <c r="AS46" s="1219" t="str">
        <f t="shared" si="27"/>
        <v/>
      </c>
      <c r="AT46" s="1190" t="str">
        <f t="shared" si="18"/>
        <v/>
      </c>
    </row>
    <row r="47" spans="1:46" s="43" customFormat="1" ht="11" thickBot="1" x14ac:dyDescent="0.3">
      <c r="O47" s="197"/>
      <c r="P47" s="1187"/>
      <c r="Q47" s="1198"/>
      <c r="R47" s="236"/>
      <c r="S47" s="236"/>
      <c r="T47" s="236"/>
      <c r="U47" s="236"/>
      <c r="AB47" s="450"/>
      <c r="AC47" s="1188"/>
      <c r="AD47" s="501">
        <f>SUM(AD22:AD46)</f>
        <v>0</v>
      </c>
      <c r="AE47" s="501">
        <f>AD47</f>
        <v>0</v>
      </c>
      <c r="AF47" s="501">
        <f t="shared" ref="AF47:AH47" si="28">IF(SUM(AF22:AF46)&gt;=$AD47,$AD47,SUM(AF22:AF46))</f>
        <v>0</v>
      </c>
      <c r="AG47" s="501">
        <f t="shared" si="28"/>
        <v>0</v>
      </c>
      <c r="AH47" s="501">
        <f t="shared" si="28"/>
        <v>0</v>
      </c>
    </row>
    <row r="48" spans="1:46" ht="13" hidden="1" thickBot="1" x14ac:dyDescent="0.3">
      <c r="C48" s="121"/>
      <c r="D48" s="67"/>
      <c r="E48" s="122"/>
      <c r="F48" s="122"/>
      <c r="G48" s="121"/>
      <c r="H48" s="121"/>
      <c r="I48" s="121"/>
      <c r="J48" s="121"/>
      <c r="K48" s="121"/>
      <c r="L48" s="121"/>
      <c r="M48" s="63"/>
      <c r="N48" s="63"/>
      <c r="O48" s="63"/>
      <c r="P48" s="237"/>
      <c r="Q48" s="237"/>
      <c r="R48" s="73"/>
      <c r="S48" s="73"/>
      <c r="T48" s="73"/>
      <c r="U48" s="73"/>
      <c r="V48" s="115">
        <f>IF(V15="Incomplete",1,0)</f>
        <v>0</v>
      </c>
      <c r="W48" s="115">
        <f>IF(V15="Incomplete",1,0)</f>
        <v>0</v>
      </c>
      <c r="X48" s="115">
        <f>IF(X15="Incomplete",1,0)</f>
        <v>0</v>
      </c>
      <c r="Y48" s="115">
        <f>IF(X15="Incomplete",1,0)</f>
        <v>0</v>
      </c>
      <c r="Z48" s="115">
        <f>IF(Z15="Incomplete",1,0)</f>
        <v>0</v>
      </c>
      <c r="AA48" s="115">
        <f>IF(Z15="Incomplete",1,0)</f>
        <v>0</v>
      </c>
      <c r="AB48" s="115">
        <f>IF(AB15="Incomplete",1,0)</f>
        <v>0</v>
      </c>
      <c r="AC48" s="63"/>
      <c r="AE48" s="43"/>
      <c r="AH48" s="43"/>
    </row>
    <row r="49" spans="1:33" ht="13" hidden="1" thickBot="1" x14ac:dyDescent="0.3">
      <c r="C49" s="43"/>
      <c r="D49" s="43"/>
      <c r="E49" s="43"/>
      <c r="F49" s="43"/>
      <c r="G49" s="43"/>
      <c r="H49" s="43"/>
      <c r="I49" s="43"/>
      <c r="J49" s="43"/>
      <c r="K49" s="43"/>
      <c r="L49" s="43"/>
      <c r="M49" s="43"/>
      <c r="N49" s="43"/>
      <c r="O49" s="43"/>
      <c r="P49" s="491"/>
      <c r="Q49" s="491"/>
      <c r="R49" s="237"/>
      <c r="S49" s="237"/>
      <c r="T49" s="237"/>
      <c r="U49" s="237"/>
      <c r="V49" s="43"/>
      <c r="W49" s="43"/>
      <c r="X49" s="43"/>
      <c r="Y49" s="43"/>
      <c r="Z49" s="43"/>
      <c r="AA49" s="43"/>
      <c r="AF49" s="43"/>
    </row>
    <row r="50" spans="1:33" ht="22.5" hidden="1" customHeight="1" x14ac:dyDescent="0.25">
      <c r="C50" s="1612" t="s">
        <v>135</v>
      </c>
      <c r="D50" s="1613"/>
      <c r="E50" s="1605" t="s">
        <v>136</v>
      </c>
      <c r="F50" s="1607"/>
      <c r="G50" s="1606"/>
      <c r="H50" s="1142"/>
      <c r="I50" s="1603" t="s">
        <v>137</v>
      </c>
      <c r="J50" s="1805"/>
      <c r="K50" s="1604"/>
      <c r="L50" s="1605" t="s">
        <v>138</v>
      </c>
      <c r="M50" s="1606"/>
      <c r="O50" s="1145">
        <f>ROUND(SUM(O51:O56),0)</f>
        <v>0</v>
      </c>
      <c r="R50" s="73"/>
      <c r="S50" s="73"/>
      <c r="T50" s="73"/>
      <c r="U50" s="73"/>
      <c r="AG50" s="43"/>
    </row>
    <row r="51" spans="1:33" ht="13" hidden="1" thickBot="1" x14ac:dyDescent="0.3">
      <c r="C51" s="1593">
        <f>'Int Room Schedule'!J16</f>
        <v>0</v>
      </c>
      <c r="D51" s="1594"/>
      <c r="E51" s="1598" t="str">
        <f t="shared" ref="E51:E56" si="29">IF(I51=" ",0,IF(L51&gt;0,I51*L51," "))</f>
        <v xml:space="preserve"> </v>
      </c>
      <c r="F51" s="1599"/>
      <c r="G51" s="1600"/>
      <c r="H51" s="1141"/>
      <c r="I51" s="1592" t="str">
        <f>IF($C51&lt;&gt;"",'Int Room Schedule'!M16," ")</f>
        <v/>
      </c>
      <c r="J51" s="1806"/>
      <c r="K51" s="1592"/>
      <c r="L51" s="1592">
        <f>IF($C51&lt;&gt;"",'Int Room Schedule'!L16," ")</f>
        <v>0</v>
      </c>
      <c r="M51" s="1597"/>
      <c r="N51" s="730">
        <f t="shared" ref="N51:N56" si="30">COUNTIFS($C$22:$C$46,C51,O$22:O$46,"&gt;0")</f>
        <v>0</v>
      </c>
      <c r="O51" s="730">
        <f t="shared" ref="O51:O56" si="31">IF(N51&lt;&gt;0,I51*L51,0)</f>
        <v>0</v>
      </c>
      <c r="R51" s="504"/>
      <c r="S51" s="504"/>
      <c r="T51" s="504"/>
      <c r="U51" s="504"/>
    </row>
    <row r="52" spans="1:33" ht="13" hidden="1" thickBot="1" x14ac:dyDescent="0.3">
      <c r="C52" s="1593">
        <f>'Int Room Schedule'!J17</f>
        <v>0</v>
      </c>
      <c r="D52" s="1594"/>
      <c r="E52" s="1598" t="str">
        <f t="shared" si="29"/>
        <v xml:space="preserve"> </v>
      </c>
      <c r="F52" s="1599"/>
      <c r="G52" s="1600"/>
      <c r="H52" s="1141"/>
      <c r="I52" s="1592" t="str">
        <f>IF($C52&lt;&gt;"",'Int Room Schedule'!M17," ")</f>
        <v/>
      </c>
      <c r="J52" s="1806"/>
      <c r="K52" s="1592"/>
      <c r="L52" s="1592">
        <f>IF($C52&lt;&gt;"",'Int Room Schedule'!L17," ")</f>
        <v>0</v>
      </c>
      <c r="M52" s="1597"/>
      <c r="N52" s="730">
        <f t="shared" si="30"/>
        <v>0</v>
      </c>
      <c r="O52" s="730">
        <f t="shared" si="31"/>
        <v>0</v>
      </c>
      <c r="R52" s="504"/>
      <c r="S52" s="504"/>
      <c r="T52" s="504"/>
      <c r="U52" s="504"/>
    </row>
    <row r="53" spans="1:33" ht="13" hidden="1" thickBot="1" x14ac:dyDescent="0.3">
      <c r="C53" s="1593">
        <f>'Int Room Schedule'!J18</f>
        <v>0</v>
      </c>
      <c r="D53" s="1594"/>
      <c r="E53" s="1598" t="str">
        <f t="shared" si="29"/>
        <v xml:space="preserve"> </v>
      </c>
      <c r="F53" s="1599"/>
      <c r="G53" s="1600"/>
      <c r="H53" s="1141"/>
      <c r="I53" s="1592" t="str">
        <f>IF($C53&lt;&gt;"",'Int Room Schedule'!M18," ")</f>
        <v/>
      </c>
      <c r="J53" s="1806"/>
      <c r="K53" s="1592"/>
      <c r="L53" s="1592">
        <f>IF($C53&lt;&gt;"",'Int Room Schedule'!L18," ")</f>
        <v>0</v>
      </c>
      <c r="M53" s="1597"/>
      <c r="N53" s="730">
        <f t="shared" si="30"/>
        <v>0</v>
      </c>
      <c r="O53" s="730">
        <f t="shared" si="31"/>
        <v>0</v>
      </c>
      <c r="R53" s="504"/>
      <c r="S53" s="504"/>
      <c r="T53" s="504"/>
      <c r="U53" s="504"/>
    </row>
    <row r="54" spans="1:33" ht="13" hidden="1" thickBot="1" x14ac:dyDescent="0.3">
      <c r="C54" s="1593">
        <f>'Int Room Schedule'!J19</f>
        <v>0</v>
      </c>
      <c r="D54" s="1594"/>
      <c r="E54" s="1598" t="str">
        <f t="shared" si="29"/>
        <v xml:space="preserve"> </v>
      </c>
      <c r="F54" s="1599"/>
      <c r="G54" s="1600"/>
      <c r="H54" s="1141"/>
      <c r="I54" s="1592" t="str">
        <f>IF($C54&lt;&gt;"",'Int Room Schedule'!M19," ")</f>
        <v/>
      </c>
      <c r="J54" s="1806"/>
      <c r="K54" s="1592"/>
      <c r="L54" s="1592">
        <f>IF($C54&lt;&gt;"",'Int Room Schedule'!L19," ")</f>
        <v>0</v>
      </c>
      <c r="M54" s="1597"/>
      <c r="N54" s="730">
        <f t="shared" si="30"/>
        <v>0</v>
      </c>
      <c r="O54" s="730">
        <f t="shared" si="31"/>
        <v>0</v>
      </c>
      <c r="R54" s="504"/>
      <c r="S54" s="504"/>
      <c r="T54" s="504"/>
      <c r="U54" s="504"/>
    </row>
    <row r="55" spans="1:33" ht="13" hidden="1" thickBot="1" x14ac:dyDescent="0.3">
      <c r="C55" s="1593">
        <f>'Int Room Schedule'!J20</f>
        <v>0</v>
      </c>
      <c r="D55" s="1594"/>
      <c r="E55" s="1598" t="str">
        <f t="shared" si="29"/>
        <v xml:space="preserve"> </v>
      </c>
      <c r="F55" s="1599"/>
      <c r="G55" s="1600"/>
      <c r="H55" s="1141"/>
      <c r="I55" s="1592" t="str">
        <f>IF($C55&lt;&gt;"",'Int Room Schedule'!M20," ")</f>
        <v/>
      </c>
      <c r="J55" s="1806"/>
      <c r="K55" s="1592"/>
      <c r="L55" s="1592">
        <f>IF($C55&lt;&gt;"",'Int Room Schedule'!L20," ")</f>
        <v>0</v>
      </c>
      <c r="M55" s="1597"/>
      <c r="N55" s="730">
        <f t="shared" si="30"/>
        <v>0</v>
      </c>
      <c r="O55" s="730">
        <f t="shared" si="31"/>
        <v>0</v>
      </c>
      <c r="R55" s="190"/>
      <c r="S55" s="190"/>
      <c r="T55" s="190"/>
      <c r="U55" s="190"/>
    </row>
    <row r="56" spans="1:33" ht="13" hidden="1" thickBot="1" x14ac:dyDescent="0.3">
      <c r="C56" s="1593">
        <f>'Int Room Schedule'!J21</f>
        <v>0</v>
      </c>
      <c r="D56" s="1594"/>
      <c r="E56" s="1598" t="str">
        <f t="shared" si="29"/>
        <v xml:space="preserve"> </v>
      </c>
      <c r="F56" s="1599"/>
      <c r="G56" s="1600"/>
      <c r="H56" s="1141"/>
      <c r="I56" s="1592" t="str">
        <f>IF($C56&lt;&gt;"",'Int Room Schedule'!M21," ")</f>
        <v/>
      </c>
      <c r="J56" s="1806"/>
      <c r="K56" s="1592"/>
      <c r="L56" s="1592">
        <f>IF($C56&lt;&gt;"",'Int Room Schedule'!L21," ")</f>
        <v>0</v>
      </c>
      <c r="M56" s="1597"/>
      <c r="N56" s="730">
        <f t="shared" si="30"/>
        <v>0</v>
      </c>
      <c r="O56" s="730">
        <f t="shared" si="31"/>
        <v>0</v>
      </c>
      <c r="R56" s="190"/>
      <c r="S56" s="190"/>
      <c r="T56" s="190"/>
      <c r="U56" s="190"/>
    </row>
    <row r="57" spans="1:33" ht="13.5" hidden="1" thickBot="1" x14ac:dyDescent="0.35">
      <c r="C57" s="1145"/>
      <c r="D57" s="168" t="s">
        <v>124</v>
      </c>
      <c r="E57" s="1589">
        <f>SUM(E51:G56)</f>
        <v>0</v>
      </c>
      <c r="F57" s="1590"/>
      <c r="G57" s="1591"/>
      <c r="H57" s="543"/>
      <c r="M57" s="91"/>
    </row>
    <row r="58" spans="1:33" ht="13" hidden="1" thickBot="1" x14ac:dyDescent="0.3">
      <c r="A58" s="65"/>
      <c r="B58" s="65"/>
      <c r="C58" s="605"/>
      <c r="I58" s="121"/>
      <c r="J58" s="121"/>
      <c r="K58" s="67"/>
      <c r="L58" s="122"/>
      <c r="M58" s="121"/>
      <c r="N58" s="121"/>
      <c r="O58" s="121"/>
      <c r="P58" s="121"/>
      <c r="Q58" s="121"/>
      <c r="R58" s="121"/>
      <c r="S58" s="121"/>
      <c r="T58" s="121"/>
      <c r="U58" s="121"/>
    </row>
    <row r="59" spans="1:33" ht="13" hidden="1" thickBot="1" x14ac:dyDescent="0.3">
      <c r="C59" s="121"/>
      <c r="D59" s="67"/>
      <c r="E59" s="122"/>
      <c r="F59" s="122"/>
      <c r="G59" s="121"/>
      <c r="H59" s="121"/>
      <c r="I59" s="121"/>
      <c r="J59" s="121"/>
      <c r="K59" s="121"/>
      <c r="L59" s="121"/>
      <c r="M59" s="63"/>
      <c r="N59" s="63"/>
      <c r="O59" s="63"/>
      <c r="P59" s="63"/>
      <c r="Q59" s="63"/>
      <c r="R59" s="63"/>
      <c r="S59" s="63"/>
      <c r="T59" s="63"/>
      <c r="U59" s="63"/>
      <c r="V59" s="115"/>
      <c r="W59" s="115"/>
      <c r="X59" s="115"/>
      <c r="Y59" s="115"/>
      <c r="Z59" s="115"/>
      <c r="AA59" s="115"/>
      <c r="AB59" s="115"/>
      <c r="AC59" s="63"/>
    </row>
    <row r="60" spans="1:33" ht="13.5" thickBot="1" x14ac:dyDescent="0.3">
      <c r="Q60" s="536">
        <f>SUM(Q22:Q46)</f>
        <v>0</v>
      </c>
    </row>
    <row r="85" spans="2:2" x14ac:dyDescent="0.25">
      <c r="B85" s="65"/>
    </row>
  </sheetData>
  <sheetProtection sheet="1" objects="1" scenarios="1" selectLockedCells="1"/>
  <mergeCells count="89">
    <mergeCell ref="E1:G1"/>
    <mergeCell ref="K1:O1"/>
    <mergeCell ref="K3:O3"/>
    <mergeCell ref="AA3:AA5"/>
    <mergeCell ref="AD11:AD17"/>
    <mergeCell ref="P7:P9"/>
    <mergeCell ref="N7:N9"/>
    <mergeCell ref="O7:O9"/>
    <mergeCell ref="AI11:AI17"/>
    <mergeCell ref="C13:D13"/>
    <mergeCell ref="V13:AB13"/>
    <mergeCell ref="AE11:AE17"/>
    <mergeCell ref="AF11:AF17"/>
    <mergeCell ref="AG11:AG17"/>
    <mergeCell ref="AH11:AH17"/>
    <mergeCell ref="AB17:AB20"/>
    <mergeCell ref="B15:B46"/>
    <mergeCell ref="V15:W15"/>
    <mergeCell ref="X15:Y15"/>
    <mergeCell ref="Z15:AA15"/>
    <mergeCell ref="D17:G17"/>
    <mergeCell ref="V17:W19"/>
    <mergeCell ref="X17:Y19"/>
    <mergeCell ref="Z17:AA19"/>
    <mergeCell ref="S18:S20"/>
    <mergeCell ref="C18:C20"/>
    <mergeCell ref="D18:G20"/>
    <mergeCell ref="K18:K20"/>
    <mergeCell ref="L18:L20"/>
    <mergeCell ref="N18:N20"/>
    <mergeCell ref="P18:P20"/>
    <mergeCell ref="D31:G31"/>
    <mergeCell ref="I21:L21"/>
    <mergeCell ref="V21:AB21"/>
    <mergeCell ref="D22:G22"/>
    <mergeCell ref="D23:G23"/>
    <mergeCell ref="D24:G24"/>
    <mergeCell ref="D25:G25"/>
    <mergeCell ref="D26:G26"/>
    <mergeCell ref="D27:G27"/>
    <mergeCell ref="D28:G28"/>
    <mergeCell ref="D29:G29"/>
    <mergeCell ref="D30:G30"/>
    <mergeCell ref="D33:G33"/>
    <mergeCell ref="D34:G34"/>
    <mergeCell ref="D35:G35"/>
    <mergeCell ref="D36:G36"/>
    <mergeCell ref="D37:G37"/>
    <mergeCell ref="C56:D56"/>
    <mergeCell ref="E56:G56"/>
    <mergeCell ref="I56:K56"/>
    <mergeCell ref="L56:M56"/>
    <mergeCell ref="C53:D53"/>
    <mergeCell ref="E53:G53"/>
    <mergeCell ref="I53:K53"/>
    <mergeCell ref="L53:M53"/>
    <mergeCell ref="C54:D54"/>
    <mergeCell ref="E54:G54"/>
    <mergeCell ref="I54:K54"/>
    <mergeCell ref="L54:M54"/>
    <mergeCell ref="C55:D55"/>
    <mergeCell ref="E55:G55"/>
    <mergeCell ref="I55:K55"/>
    <mergeCell ref="L55:M55"/>
    <mergeCell ref="L50:M50"/>
    <mergeCell ref="C51:D51"/>
    <mergeCell ref="E51:G51"/>
    <mergeCell ref="I51:K51"/>
    <mergeCell ref="L51:M51"/>
    <mergeCell ref="C52:D52"/>
    <mergeCell ref="E52:G52"/>
    <mergeCell ref="I52:K52"/>
    <mergeCell ref="L52:M52"/>
    <mergeCell ref="D44:G44"/>
    <mergeCell ref="D45:G45"/>
    <mergeCell ref="E57:G57"/>
    <mergeCell ref="J18:J20"/>
    <mergeCell ref="M7:M9"/>
    <mergeCell ref="D46:G46"/>
    <mergeCell ref="C50:D50"/>
    <mergeCell ref="E50:G50"/>
    <mergeCell ref="I50:K50"/>
    <mergeCell ref="D38:G38"/>
    <mergeCell ref="D39:G39"/>
    <mergeCell ref="D40:G40"/>
    <mergeCell ref="D41:G41"/>
    <mergeCell ref="D42:G42"/>
    <mergeCell ref="D43:G43"/>
    <mergeCell ref="D32:G32"/>
  </mergeCells>
  <conditionalFormatting sqref="J9">
    <cfRule type="containsBlanks" dxfId="49" priority="13">
      <formula>LEN(TRIM(J9))=0</formula>
    </cfRule>
  </conditionalFormatting>
  <conditionalFormatting sqref="J11">
    <cfRule type="containsBlanks" dxfId="48" priority="3051">
      <formula>LEN(TRIM(J11))=0</formula>
    </cfRule>
  </conditionalFormatting>
  <conditionalFormatting sqref="J22:J46">
    <cfRule type="expression" dxfId="47" priority="15">
      <formula>AND($C22&lt;&gt;"",$J22="")</formula>
    </cfRule>
    <cfRule type="expression" dxfId="46" priority="16">
      <formula>AND($C22&lt;&gt;"",$L22&lt;&gt;"")</formula>
    </cfRule>
  </conditionalFormatting>
  <conditionalFormatting sqref="K22:K46">
    <cfRule type="expression" dxfId="45" priority="40">
      <formula>AND($C22&lt;&gt;"",$K22&lt;&gt;"")</formula>
    </cfRule>
    <cfRule type="expression" dxfId="44" priority="41">
      <formula>AND($C22&lt;&gt;"",$K22="")</formula>
    </cfRule>
  </conditionalFormatting>
  <conditionalFormatting sqref="L22:L46">
    <cfRule type="expression" dxfId="43" priority="39">
      <formula>AND($C22&lt;&gt;"",$L22="")</formula>
    </cfRule>
    <cfRule type="expression" dxfId="42" priority="35">
      <formula>AND($C22&lt;&gt;"",$L22&lt;&gt;"")</formula>
    </cfRule>
  </conditionalFormatting>
  <conditionalFormatting sqref="M22:Q46">
    <cfRule type="notContainsBlanks" dxfId="41" priority="20">
      <formula>LEN(TRIM(M22))&gt;0</formula>
    </cfRule>
  </conditionalFormatting>
  <conditionalFormatting sqref="P47:Q47">
    <cfRule type="cellIs" dxfId="40" priority="38" operator="equal">
      <formula>"Incomplete"</formula>
    </cfRule>
  </conditionalFormatting>
  <conditionalFormatting sqref="Q11">
    <cfRule type="cellIs" dxfId="39" priority="11" operator="equal">
      <formula>"Compliant"</formula>
    </cfRule>
    <cfRule type="cellIs" dxfId="38" priority="12" operator="equal">
      <formula>"Not Compliant"</formula>
    </cfRule>
  </conditionalFormatting>
  <conditionalFormatting sqref="Q13">
    <cfRule type="cellIs" dxfId="37" priority="9" operator="equal">
      <formula>"Compliant"</formula>
    </cfRule>
    <cfRule type="cellIs" dxfId="36" priority="10" operator="equal">
      <formula>"Not Compliant"</formula>
    </cfRule>
  </conditionalFormatting>
  <conditionalFormatting sqref="S11">
    <cfRule type="cellIs" dxfId="35" priority="8" operator="equal">
      <formula>FALSE</formula>
    </cfRule>
  </conditionalFormatting>
  <conditionalFormatting sqref="S15">
    <cfRule type="cellIs" dxfId="34" priority="1" operator="equal">
      <formula>"Compliant"</formula>
    </cfRule>
    <cfRule type="cellIs" dxfId="33" priority="2" operator="equal">
      <formula>"Not Compliant"</formula>
    </cfRule>
  </conditionalFormatting>
  <conditionalFormatting sqref="S22:S46">
    <cfRule type="expression" dxfId="32" priority="5">
      <formula>$S$11=FALSE</formula>
    </cfRule>
    <cfRule type="expression" dxfId="31" priority="6">
      <formula>AND($D22&lt;&gt;"",$S22&lt;&gt;"")</formula>
    </cfRule>
    <cfRule type="expression" dxfId="30" priority="7">
      <formula>AND($D22&lt;&gt;"",$S22="")</formula>
    </cfRule>
  </conditionalFormatting>
  <conditionalFormatting sqref="T22:T46">
    <cfRule type="cellIs" dxfId="29" priority="3" operator="equal">
      <formula>"þ"</formula>
    </cfRule>
    <cfRule type="cellIs" dxfId="28" priority="4" operator="equal">
      <formula>"ý"</formula>
    </cfRule>
  </conditionalFormatting>
  <conditionalFormatting sqref="V15:AA15">
    <cfRule type="cellIs" dxfId="27" priority="24" operator="equal">
      <formula>"Complete"</formula>
    </cfRule>
    <cfRule type="cellIs" dxfId="26" priority="25" operator="equal">
      <formula>"Incomplete"</formula>
    </cfRule>
  </conditionalFormatting>
  <conditionalFormatting sqref="W22:W46 Y22:Y46 AA22:AA46">
    <cfRule type="expression" dxfId="25" priority="29">
      <formula>$C22=""</formula>
    </cfRule>
    <cfRule type="expression" dxfId="24" priority="3070">
      <formula>V22="NA"</formula>
    </cfRule>
    <cfRule type="expression" dxfId="23" priority="3071">
      <formula>AND($C22&lt;&gt;"",$W22&lt;&gt;"")</formula>
    </cfRule>
    <cfRule type="notContainsBlanks" dxfId="22" priority="3072">
      <formula>LEN(TRIM(W22))&gt;0</formula>
    </cfRule>
    <cfRule type="expression" dxfId="21" priority="3073">
      <formula>AND($C22&lt;&gt;"",$W22="")</formula>
    </cfRule>
  </conditionalFormatting>
  <conditionalFormatting sqref="AA16:AB16">
    <cfRule type="cellIs" dxfId="20" priority="30" operator="equal">
      <formula>"Complete"</formula>
    </cfRule>
    <cfRule type="cellIs" dxfId="19" priority="31" operator="equal">
      <formula>"incomplete"</formula>
    </cfRule>
  </conditionalFormatting>
  <conditionalFormatting sqref="AB15">
    <cfRule type="cellIs" dxfId="18" priority="23" operator="equal">
      <formula>"Not Compliant"</formula>
    </cfRule>
    <cfRule type="cellIs" dxfId="17" priority="22" operator="equal">
      <formula>"Compliant"</formula>
    </cfRule>
  </conditionalFormatting>
  <conditionalFormatting sqref="AB16">
    <cfRule type="cellIs" dxfId="16" priority="26" operator="equal">
      <formula>"Not Compliant"</formula>
    </cfRule>
  </conditionalFormatting>
  <conditionalFormatting sqref="AB22:AB46">
    <cfRule type="cellIs" dxfId="15" priority="32" operator="equal">
      <formula>"Complete"</formula>
    </cfRule>
    <cfRule type="cellIs" dxfId="14" priority="33" operator="equal">
      <formula>"Incomplete"</formula>
    </cfRule>
  </conditionalFormatting>
  <conditionalFormatting sqref="AC47">
    <cfRule type="cellIs" dxfId="13" priority="36" operator="equal">
      <formula>"Compliant"</formula>
    </cfRule>
    <cfRule type="cellIs" dxfId="12" priority="37" operator="equal">
      <formula>"Non Compliant"</formula>
    </cfRule>
  </conditionalFormatting>
  <dataValidations count="7">
    <dataValidation type="list" allowBlank="1" showInputMessage="1" showErrorMessage="1" sqref="J9" xr:uid="{00000000-0002-0000-1100-000000000000}">
      <formula1>"Office, School, Retail"</formula1>
    </dataValidation>
    <dataValidation type="list" allowBlank="1" showInputMessage="1" showErrorMessage="1" sqref="C23:C46" xr:uid="{00000000-0002-0000-1100-000001000000}">
      <formula1>_SpaceList_BAM</formula1>
    </dataValidation>
    <dataValidation type="list" allowBlank="1" showInputMessage="1" showErrorMessage="1" sqref="K22:K46 S22:S46" xr:uid="{00000000-0002-0000-1100-000002000000}">
      <formula1>_FixtureList</formula1>
    </dataValidation>
    <dataValidation type="list" allowBlank="1" showInputMessage="1" showErrorMessage="1" sqref="Y22:Y46" xr:uid="{00000000-0002-0000-1100-000003000000}">
      <formula1>"Yes,N/A,9.4.1.1c"</formula1>
    </dataValidation>
    <dataValidation type="list" allowBlank="1" showInputMessage="1" showErrorMessage="1" sqref="AA22:AA46" xr:uid="{00000000-0002-0000-1100-000004000000}">
      <formula1>"Yes,N/A,9.4.1.1b"</formula1>
    </dataValidation>
    <dataValidation type="list" allowBlank="1" showInputMessage="1" showErrorMessage="1" sqref="W22:W46" xr:uid="{00000000-0002-0000-1100-000005000000}">
      <formula1>"Yes,N/A"</formula1>
    </dataValidation>
    <dataValidation type="list" allowBlank="1" showInputMessage="1" showErrorMessage="1" sqref="J11" xr:uid="{00000000-0002-0000-1100-000006000000}">
      <formula1>"LZ1,LZ2,LZ3,LZ4"</formula1>
    </dataValidation>
  </dataValidations>
  <pageMargins left="0.5" right="0.5" top="1" bottom="1" header="0.5" footer="0.5"/>
  <pageSetup scale="58" orientation="landscape" r:id="rId1"/>
  <headerFooter alignWithMargins="0">
    <oddHeader>&amp;LLighting Compliance Documentation&amp;R&amp;D</oddHeader>
    <oddFooter>&amp;RPage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7000000}">
          <x14:formula1>
            <xm:f>'Simplified Tables'!$C$90:$C$97</xm:f>
          </x14:formula1>
          <xm:sqref>D22:G46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5">
    <tabColor rgb="FFFF0000"/>
  </sheetPr>
  <dimension ref="B1:AJ164"/>
  <sheetViews>
    <sheetView workbookViewId="0">
      <selection activeCell="L4" sqref="L4"/>
    </sheetView>
  </sheetViews>
  <sheetFormatPr defaultRowHeight="12.5" x14ac:dyDescent="0.25"/>
  <cols>
    <col min="1" max="1" width="2.54296875" customWidth="1"/>
    <col min="2" max="2" width="40.7265625" customWidth="1"/>
    <col min="3" max="8" width="10.7265625" customWidth="1"/>
    <col min="9" max="9" width="2.54296875" customWidth="1"/>
    <col min="10" max="14" width="10.7265625" customWidth="1"/>
    <col min="15" max="15" width="51.54296875" bestFit="1" customWidth="1"/>
    <col min="18" max="18" width="2.54296875" customWidth="1"/>
    <col min="19" max="19" width="31.453125" customWidth="1"/>
    <col min="20" max="25" width="9.1796875" customWidth="1"/>
    <col min="26" max="26" width="2.54296875" customWidth="1"/>
    <col min="27" max="28" width="10.54296875" customWidth="1"/>
    <col min="29" max="30" width="10.7265625" customWidth="1"/>
    <col min="31" max="31" width="26.81640625" customWidth="1"/>
    <col min="32" max="32" width="25.7265625" bestFit="1" customWidth="1"/>
    <col min="33" max="33" width="9.1796875" customWidth="1"/>
    <col min="34" max="34" width="2.54296875" customWidth="1"/>
    <col min="35" max="35" width="30.54296875" customWidth="1"/>
    <col min="36" max="41" width="9.1796875" customWidth="1"/>
  </cols>
  <sheetData>
    <row r="1" spans="2:36" ht="13" x14ac:dyDescent="0.3">
      <c r="B1" s="1819" t="str">
        <f>CONCATENATE(Compliance_Version_Year," TABLE  9.4.2-1 Exterior Lighting Zones")</f>
        <v>2019 TABLE  9.4.2-1 Exterior Lighting Zones</v>
      </c>
      <c r="C1" s="1820"/>
      <c r="D1" s="1820"/>
      <c r="E1" s="1820"/>
      <c r="F1" s="1820"/>
      <c r="G1" s="1820"/>
      <c r="H1" s="1820"/>
    </row>
    <row r="2" spans="2:36" ht="13.5" thickBot="1" x14ac:dyDescent="0.35">
      <c r="AD2" s="148"/>
      <c r="AE2" s="165" t="s">
        <v>1074</v>
      </c>
      <c r="AF2" s="165" t="s">
        <v>1072</v>
      </c>
    </row>
    <row r="3" spans="2:36" ht="13" x14ac:dyDescent="0.25">
      <c r="B3" s="108" t="s">
        <v>208</v>
      </c>
      <c r="C3" s="1817"/>
      <c r="D3" s="1817"/>
      <c r="E3" s="1817"/>
      <c r="F3" s="1817"/>
      <c r="G3" s="1817"/>
      <c r="H3" s="1818"/>
      <c r="AD3" s="148"/>
      <c r="AE3" s="148"/>
      <c r="AF3" s="148"/>
    </row>
    <row r="4" spans="2:36" ht="13" x14ac:dyDescent="0.3">
      <c r="B4" s="109" t="s">
        <v>209</v>
      </c>
      <c r="C4" s="371">
        <f>C13</f>
        <v>0</v>
      </c>
      <c r="D4" s="1824" t="s">
        <v>50</v>
      </c>
      <c r="E4" s="1824"/>
      <c r="F4" s="1824"/>
      <c r="G4" s="1824"/>
      <c r="H4" s="1825"/>
      <c r="AD4" s="938">
        <v>2010</v>
      </c>
      <c r="AE4" s="659" t="s">
        <v>1080</v>
      </c>
      <c r="AF4" s="659" t="s">
        <v>1084</v>
      </c>
    </row>
    <row r="5" spans="2:36" ht="13" x14ac:dyDescent="0.3">
      <c r="B5" s="109" t="s">
        <v>210</v>
      </c>
      <c r="C5" s="371">
        <f>D13</f>
        <v>350</v>
      </c>
      <c r="D5" s="1824" t="s">
        <v>51</v>
      </c>
      <c r="E5" s="1824"/>
      <c r="F5" s="1824"/>
      <c r="G5" s="1824"/>
      <c r="H5" s="1825"/>
      <c r="AD5" s="938">
        <v>2016</v>
      </c>
      <c r="AE5" s="659" t="s">
        <v>1081</v>
      </c>
      <c r="AF5" s="659" t="s">
        <v>1083</v>
      </c>
    </row>
    <row r="6" spans="2:36" ht="13" x14ac:dyDescent="0.3">
      <c r="B6" s="109" t="s">
        <v>211</v>
      </c>
      <c r="C6" s="371">
        <f>E13</f>
        <v>400</v>
      </c>
      <c r="D6" s="1824" t="s">
        <v>52</v>
      </c>
      <c r="E6" s="1824"/>
      <c r="F6" s="1824"/>
      <c r="G6" s="1824"/>
      <c r="H6" s="1825"/>
      <c r="AD6" s="938">
        <v>2019</v>
      </c>
      <c r="AE6" s="659" t="s">
        <v>1082</v>
      </c>
      <c r="AF6" s="659" t="s">
        <v>1085</v>
      </c>
    </row>
    <row r="7" spans="2:36" ht="13" x14ac:dyDescent="0.3">
      <c r="B7" s="109" t="s">
        <v>212</v>
      </c>
      <c r="C7" s="371">
        <f>F13</f>
        <v>500</v>
      </c>
      <c r="D7" s="1824" t="s">
        <v>54</v>
      </c>
      <c r="E7" s="1824"/>
      <c r="F7" s="1824"/>
      <c r="G7" s="1824"/>
      <c r="H7" s="1825"/>
      <c r="AD7" s="938"/>
      <c r="AE7" s="659"/>
      <c r="AF7" s="659"/>
    </row>
    <row r="8" spans="2:36" ht="13.5" thickBot="1" x14ac:dyDescent="0.35">
      <c r="B8" s="110" t="s">
        <v>213</v>
      </c>
      <c r="C8" s="225">
        <f>G13</f>
        <v>900</v>
      </c>
      <c r="D8" s="1815" t="s">
        <v>56</v>
      </c>
      <c r="E8" s="1815"/>
      <c r="F8" s="1815"/>
      <c r="G8" s="1815"/>
      <c r="H8" s="1816"/>
      <c r="AD8" s="938">
        <f>Compliance_Version_Year</f>
        <v>2019</v>
      </c>
      <c r="AE8" s="659" t="str">
        <f>VLOOKUP(AD8,AD4:AF6,2,FALSE)</f>
        <v>Ext_Tradable_Areas_2019</v>
      </c>
      <c r="AF8" s="659" t="str">
        <f>VLOOKUP(AD8,AD4:AF6,3,FALSE)</f>
        <v>Ext_Tradable_Table_2019</v>
      </c>
    </row>
    <row r="9" spans="2:36" ht="13" x14ac:dyDescent="0.3">
      <c r="AD9" s="453"/>
    </row>
    <row r="10" spans="2:36" ht="13" x14ac:dyDescent="0.3">
      <c r="B10" s="1819" t="str">
        <f>CONCATENATE(Compliance_Version_Year," TABLE  9.4.2-2 Individual Lighting Power Allowances for Building Exteriors")</f>
        <v>2019 TABLE  9.4.2-2 Individual Lighting Power Allowances for Building Exteriors</v>
      </c>
      <c r="C10" s="1820"/>
      <c r="D10" s="1820"/>
      <c r="E10" s="1820"/>
      <c r="F10" s="1820"/>
      <c r="G10" s="1820"/>
      <c r="H10" s="1820"/>
      <c r="AD10" s="453"/>
    </row>
    <row r="11" spans="2:36" ht="13.5" thickBot="1" x14ac:dyDescent="0.35">
      <c r="J11" s="1811" t="str">
        <f>IF(Compliance_Version_Year=2010,J53,IF(Compliance_Version_Year=2016,J97,IF(Compliance_Version_Year=2019,J138,"")))</f>
        <v>9.4.1.4.a
Daylight hours  OFF</v>
      </c>
      <c r="K11" s="1811" t="str">
        <f>IF(Compliance_Version_Year=2010,K53,IF(Compliance_Version_Year=2016,K97,IF(Compliance_Version_Year=2019,K138,"")))</f>
        <v>9.4.1.4.b
Façade automatic shutoff</v>
      </c>
      <c r="L11" s="1811" t="str">
        <f>IF(Compliance_Version_Year=2010,L53,IF(Compliance_Version_Year=2016,L97,IF(Compliance_Version_Year=2019,L138,"")))</f>
        <v>9.4.1.4.c
50% reduction</v>
      </c>
      <c r="M11" s="1811" t="str">
        <f>IF(Compliance_Version_Year=2010,M53,IF(Compliance_Version_Year=2016,M97,IF(Compliance_Version_Year=2019,M138,"")))</f>
        <v>9.4.1.4.d
Parking 50% reduction</v>
      </c>
      <c r="N11" s="1811" t="str">
        <f>IF(Compliance_Version_Year=2010,N53,IF(Compliance_Version_Year=2016,N97,IF(Compliance_Version_Year=2019,N138,"")))</f>
        <v>9.4.2
Controlled separately</v>
      </c>
      <c r="AD11" s="938">
        <v>2010</v>
      </c>
      <c r="AE11" s="659" t="s">
        <v>1110</v>
      </c>
      <c r="AF11" s="659" t="s">
        <v>1113</v>
      </c>
    </row>
    <row r="12" spans="2:36" ht="13" x14ac:dyDescent="0.3">
      <c r="B12" s="185"/>
      <c r="C12" s="104" t="s">
        <v>209</v>
      </c>
      <c r="D12" s="104" t="s">
        <v>210</v>
      </c>
      <c r="E12" s="104" t="s">
        <v>211</v>
      </c>
      <c r="F12" s="104" t="s">
        <v>212</v>
      </c>
      <c r="G12" s="104" t="s">
        <v>213</v>
      </c>
      <c r="H12" s="105" t="s">
        <v>215</v>
      </c>
      <c r="J12" s="1812"/>
      <c r="K12" s="1812"/>
      <c r="L12" s="1812"/>
      <c r="M12" s="1812"/>
      <c r="N12" s="1812"/>
      <c r="AD12" s="938">
        <v>2016</v>
      </c>
      <c r="AE12" s="659" t="s">
        <v>1111</v>
      </c>
      <c r="AF12" s="659" t="s">
        <v>1114</v>
      </c>
    </row>
    <row r="13" spans="2:36" ht="13" x14ac:dyDescent="0.3">
      <c r="B13" s="184" t="s">
        <v>22</v>
      </c>
      <c r="C13" s="372">
        <f>IF(Compliance_Version_Year=2010,C55,IF(Compliance_Version_Year=2016,C99,IF(Compliance_Version_Year=2019,C140,"")))</f>
        <v>0</v>
      </c>
      <c r="D13" s="372">
        <f>IF(Compliance_Version_Year=2010,D55,IF(Compliance_Version_Year=2016,D99,IF(Compliance_Version_Year=2019,D140,"")))</f>
        <v>350</v>
      </c>
      <c r="E13" s="372">
        <f>IF(Compliance_Version_Year=2010,E55,IF(Compliance_Version_Year=2016,E99,IF(Compliance_Version_Year=2019,E140,"")))</f>
        <v>400</v>
      </c>
      <c r="F13" s="372">
        <f>IF(Compliance_Version_Year=2010,F55,IF(Compliance_Version_Year=2016,F99,IF(Compliance_Version_Year=2019,F140,"")))</f>
        <v>500</v>
      </c>
      <c r="G13" s="372">
        <f>IF(Compliance_Version_Year=2010,G55,IF(Compliance_Version_Year=2016,G99,IF(Compliance_Version_Year=2019,G140,"")))</f>
        <v>900</v>
      </c>
      <c r="H13" s="106" t="s">
        <v>216</v>
      </c>
      <c r="J13" s="1812"/>
      <c r="K13" s="1812"/>
      <c r="L13" s="1812"/>
      <c r="M13" s="1812"/>
      <c r="N13" s="1812"/>
      <c r="AD13" s="938">
        <v>2019</v>
      </c>
      <c r="AE13" s="659" t="s">
        <v>1112</v>
      </c>
      <c r="AF13" s="659" t="s">
        <v>1115</v>
      </c>
    </row>
    <row r="14" spans="2:36" ht="13" x14ac:dyDescent="0.3">
      <c r="B14" s="1821" t="str">
        <f>CONCATENATE(Compliance_Version_Year," Base Allowance TRADABLE SURFACES")</f>
        <v>2019 Base Allowance TRADABLE SURFACES</v>
      </c>
      <c r="C14" s="1822"/>
      <c r="D14" s="1822"/>
      <c r="E14" s="1822"/>
      <c r="F14" s="1822"/>
      <c r="G14" s="1822"/>
      <c r="H14" s="1823"/>
      <c r="J14" s="1813"/>
      <c r="K14" s="1813"/>
      <c r="L14" s="1813"/>
      <c r="M14" s="1813"/>
      <c r="N14" s="1813"/>
      <c r="P14" s="7"/>
      <c r="Q14" s="111"/>
      <c r="Z14" s="111"/>
      <c r="AD14" s="938"/>
      <c r="AE14" s="659"/>
      <c r="AF14" s="659"/>
      <c r="AJ14" s="111"/>
    </row>
    <row r="15" spans="2:36" ht="13" x14ac:dyDescent="0.3">
      <c r="B15" s="656" t="str">
        <f t="shared" ref="B15:G27" si="0">IF(Compliance_Version_Year=2010,B57,IF(Compliance_Version_Year=2016,B101,IF(Compliance_Version_Year=2019,B142,"")))</f>
        <v>Uncovered parking areas and drives</v>
      </c>
      <c r="C15" s="372">
        <f t="shared" si="0"/>
        <v>0</v>
      </c>
      <c r="D15" s="372">
        <f t="shared" si="0"/>
        <v>0.03</v>
      </c>
      <c r="E15" s="372">
        <f t="shared" si="0"/>
        <v>0.04</v>
      </c>
      <c r="F15" s="372">
        <f t="shared" si="0"/>
        <v>0.06</v>
      </c>
      <c r="G15" s="372">
        <f t="shared" si="0"/>
        <v>0.08</v>
      </c>
      <c r="H15" s="113" t="s">
        <v>218</v>
      </c>
      <c r="I15" s="112"/>
      <c r="J15" s="372" t="str">
        <f t="shared" ref="J15:O27" si="1">IF(Compliance_Version_Year=2010,J57,IF(Compliance_Version_Year=2016,J101,IF(Compliance_Version_Year=2019,J142,"")))</f>
        <v>REQ</v>
      </c>
      <c r="K15" s="372" t="str">
        <f t="shared" si="1"/>
        <v>NA</v>
      </c>
      <c r="L15" s="372" t="str">
        <f t="shared" si="1"/>
        <v>REQ</v>
      </c>
      <c r="M15" s="372" t="str">
        <f t="shared" si="1"/>
        <v>REQ</v>
      </c>
      <c r="N15" s="372" t="str">
        <f t="shared" si="1"/>
        <v>REQ</v>
      </c>
      <c r="O15" s="372" t="str">
        <f t="shared" si="1"/>
        <v>Meet control requirements of Section 9.4.1.4 a, c, d &amp; 9.4.2</v>
      </c>
      <c r="P15" s="111"/>
      <c r="Q15" s="111"/>
      <c r="Z15" s="111"/>
      <c r="AD15" s="938">
        <f>Compliance_Version_Year</f>
        <v>2019</v>
      </c>
      <c r="AE15" s="659" t="str">
        <f>VLOOKUP(AD15,AD11:AF13,2,FALSE)</f>
        <v>Ext_Nontradable_Areas_2019</v>
      </c>
      <c r="AF15" s="659" t="str">
        <f>VLOOKUP(AD15,AD11:AF13,3,FALSE)</f>
        <v>Ext_Nontradable_Table_2019</v>
      </c>
      <c r="AJ15" s="111"/>
    </row>
    <row r="16" spans="2:36" x14ac:dyDescent="0.25">
      <c r="B16" s="656" t="str">
        <f t="shared" si="0"/>
        <v>Walkways &lt; 10' wide (by length)</v>
      </c>
      <c r="C16" s="372">
        <f t="shared" si="0"/>
        <v>0</v>
      </c>
      <c r="D16" s="372">
        <f t="shared" si="0"/>
        <v>0.5</v>
      </c>
      <c r="E16" s="372">
        <f t="shared" si="0"/>
        <v>0.5</v>
      </c>
      <c r="F16" s="372">
        <f t="shared" si="0"/>
        <v>0.6</v>
      </c>
      <c r="G16" s="372">
        <f t="shared" si="0"/>
        <v>0.7</v>
      </c>
      <c r="H16" s="113" t="s">
        <v>220</v>
      </c>
      <c r="I16" s="112"/>
      <c r="J16" s="372" t="str">
        <f t="shared" si="1"/>
        <v>REQ</v>
      </c>
      <c r="K16" s="372" t="str">
        <f t="shared" si="1"/>
        <v>NA</v>
      </c>
      <c r="L16" s="372" t="str">
        <f t="shared" si="1"/>
        <v>REQ</v>
      </c>
      <c r="M16" s="372" t="str">
        <f t="shared" si="1"/>
        <v>NA</v>
      </c>
      <c r="N16" s="372" t="str">
        <f t="shared" si="1"/>
        <v>REQ</v>
      </c>
      <c r="O16" s="372" t="str">
        <f t="shared" si="1"/>
        <v>Meet control requirements of Section 9.4.1.4 a, c &amp; 9.4.2</v>
      </c>
      <c r="P16" s="111"/>
      <c r="Q16" s="111"/>
      <c r="Z16" s="111"/>
      <c r="AH16" s="111"/>
    </row>
    <row r="17" spans="2:34" x14ac:dyDescent="0.25">
      <c r="B17" s="656" t="str">
        <f t="shared" si="0"/>
        <v>Walkways ≥ 10' wide OR plaza (by area)</v>
      </c>
      <c r="C17" s="372">
        <f t="shared" si="0"/>
        <v>0</v>
      </c>
      <c r="D17" s="372">
        <f t="shared" si="0"/>
        <v>0.1</v>
      </c>
      <c r="E17" s="372">
        <f t="shared" si="0"/>
        <v>0.1</v>
      </c>
      <c r="F17" s="372">
        <f t="shared" si="0"/>
        <v>0.11</v>
      </c>
      <c r="G17" s="372">
        <f t="shared" si="0"/>
        <v>0.14000000000000001</v>
      </c>
      <c r="H17" s="113" t="s">
        <v>218</v>
      </c>
      <c r="I17" s="112"/>
      <c r="J17" s="372" t="str">
        <f t="shared" si="1"/>
        <v>REQ</v>
      </c>
      <c r="K17" s="372" t="str">
        <f t="shared" si="1"/>
        <v>NA</v>
      </c>
      <c r="L17" s="372" t="str">
        <f t="shared" si="1"/>
        <v>REQ</v>
      </c>
      <c r="M17" s="372" t="str">
        <f t="shared" si="1"/>
        <v>NA</v>
      </c>
      <c r="N17" s="372" t="str">
        <f t="shared" si="1"/>
        <v>REQ</v>
      </c>
      <c r="O17" s="372" t="str">
        <f t="shared" si="1"/>
        <v>Meet control requirements of Section 9.4.1.4 a, c &amp; 9.4.2</v>
      </c>
      <c r="P17" s="111"/>
      <c r="Q17" s="111"/>
      <c r="Z17" s="111"/>
      <c r="AH17" s="111"/>
    </row>
    <row r="18" spans="2:34" x14ac:dyDescent="0.25">
      <c r="B18" s="656" t="str">
        <f t="shared" si="0"/>
        <v>Dining Areas</v>
      </c>
      <c r="C18" s="372">
        <f t="shared" si="0"/>
        <v>0</v>
      </c>
      <c r="D18" s="372">
        <f t="shared" si="0"/>
        <v>0.65</v>
      </c>
      <c r="E18" s="372">
        <f t="shared" si="0"/>
        <v>0.65</v>
      </c>
      <c r="F18" s="372">
        <f t="shared" si="0"/>
        <v>0.75</v>
      </c>
      <c r="G18" s="372">
        <f t="shared" si="0"/>
        <v>0.95</v>
      </c>
      <c r="H18" s="113" t="s">
        <v>218</v>
      </c>
      <c r="I18" s="112"/>
      <c r="J18" s="372" t="str">
        <f t="shared" si="1"/>
        <v>REQ</v>
      </c>
      <c r="K18" s="372" t="str">
        <f t="shared" si="1"/>
        <v>NA</v>
      </c>
      <c r="L18" s="372" t="str">
        <f t="shared" si="1"/>
        <v>REQ</v>
      </c>
      <c r="M18" s="372" t="str">
        <f t="shared" si="1"/>
        <v>NA</v>
      </c>
      <c r="N18" s="372" t="str">
        <f t="shared" si="1"/>
        <v>REQ</v>
      </c>
      <c r="O18" s="372" t="str">
        <f t="shared" si="1"/>
        <v>Meet control requirements of Section 9.4.1.4 a, c &amp; 9.4.2</v>
      </c>
      <c r="P18" s="111"/>
      <c r="Q18" s="111"/>
      <c r="Z18" s="111"/>
      <c r="AH18" s="111"/>
    </row>
    <row r="19" spans="2:34" x14ac:dyDescent="0.25">
      <c r="B19" s="656" t="str">
        <f t="shared" si="0"/>
        <v>Stairways</v>
      </c>
      <c r="C19" s="372">
        <f t="shared" si="0"/>
        <v>0</v>
      </c>
      <c r="D19" s="372">
        <f t="shared" si="0"/>
        <v>0.6</v>
      </c>
      <c r="E19" s="372">
        <f t="shared" si="0"/>
        <v>0.7</v>
      </c>
      <c r="F19" s="372">
        <f t="shared" si="0"/>
        <v>0.7</v>
      </c>
      <c r="G19" s="372">
        <f t="shared" si="0"/>
        <v>0.7</v>
      </c>
      <c r="H19" s="113" t="s">
        <v>218</v>
      </c>
      <c r="I19" s="112"/>
      <c r="J19" s="372" t="str">
        <f t="shared" si="1"/>
        <v>REQ</v>
      </c>
      <c r="K19" s="372" t="str">
        <f t="shared" si="1"/>
        <v>NA</v>
      </c>
      <c r="L19" s="372" t="str">
        <f t="shared" si="1"/>
        <v>REQ</v>
      </c>
      <c r="M19" s="372" t="str">
        <f t="shared" si="1"/>
        <v>NA</v>
      </c>
      <c r="N19" s="372" t="str">
        <f t="shared" si="1"/>
        <v>REQ</v>
      </c>
      <c r="O19" s="372" t="str">
        <f t="shared" si="1"/>
        <v>Meet control requirements of Section 9.4.1.4 a, c &amp; 9.4.2</v>
      </c>
      <c r="P19" s="111"/>
      <c r="Q19" s="111"/>
      <c r="Z19" s="111"/>
      <c r="AH19" s="111"/>
    </row>
    <row r="20" spans="2:34" x14ac:dyDescent="0.25">
      <c r="B20" s="656" t="str">
        <f t="shared" si="0"/>
        <v>Pedestrian tunnels</v>
      </c>
      <c r="C20" s="372">
        <f t="shared" si="0"/>
        <v>0</v>
      </c>
      <c r="D20" s="372">
        <f t="shared" si="0"/>
        <v>0.12</v>
      </c>
      <c r="E20" s="372">
        <f t="shared" si="0"/>
        <v>0.12</v>
      </c>
      <c r="F20" s="372">
        <f t="shared" si="0"/>
        <v>0.14000000000000001</v>
      </c>
      <c r="G20" s="372">
        <f t="shared" si="0"/>
        <v>0.21</v>
      </c>
      <c r="H20" s="113" t="s">
        <v>218</v>
      </c>
      <c r="I20" s="112"/>
      <c r="J20" s="372" t="str">
        <f t="shared" si="1"/>
        <v>REQ</v>
      </c>
      <c r="K20" s="372" t="str">
        <f t="shared" si="1"/>
        <v>NA</v>
      </c>
      <c r="L20" s="372" t="str">
        <f t="shared" si="1"/>
        <v>REQ</v>
      </c>
      <c r="M20" s="372" t="str">
        <f t="shared" si="1"/>
        <v>NA</v>
      </c>
      <c r="N20" s="372" t="str">
        <f t="shared" si="1"/>
        <v>REQ</v>
      </c>
      <c r="O20" s="372" t="str">
        <f t="shared" si="1"/>
        <v>Meet control requirements of Section 9.4.1.4 a, c &amp; 9.4.2</v>
      </c>
      <c r="P20" s="111"/>
      <c r="Q20" s="111"/>
      <c r="Z20" s="111"/>
      <c r="AH20" s="111"/>
    </row>
    <row r="21" spans="2:34" x14ac:dyDescent="0.25">
      <c r="B21" s="656" t="str">
        <f t="shared" si="0"/>
        <v>Landscaping</v>
      </c>
      <c r="C21" s="372">
        <f t="shared" si="0"/>
        <v>0</v>
      </c>
      <c r="D21" s="372">
        <f t="shared" si="0"/>
        <v>0.03</v>
      </c>
      <c r="E21" s="372">
        <f t="shared" si="0"/>
        <v>0.04</v>
      </c>
      <c r="F21" s="372">
        <f t="shared" si="0"/>
        <v>0.04</v>
      </c>
      <c r="G21" s="372">
        <f t="shared" si="0"/>
        <v>0.04</v>
      </c>
      <c r="H21" s="113" t="s">
        <v>218</v>
      </c>
      <c r="I21" s="112"/>
      <c r="J21" s="372" t="str">
        <f t="shared" si="1"/>
        <v>REQ</v>
      </c>
      <c r="K21" s="372" t="str">
        <f t="shared" si="1"/>
        <v>REQ</v>
      </c>
      <c r="L21" s="372" t="str">
        <f t="shared" si="1"/>
        <v>REQ</v>
      </c>
      <c r="M21" s="372" t="str">
        <f t="shared" si="1"/>
        <v>NA</v>
      </c>
      <c r="N21" s="372" t="str">
        <f t="shared" si="1"/>
        <v>REQ</v>
      </c>
      <c r="O21" s="372" t="str">
        <f t="shared" si="1"/>
        <v>Meet control requirements of Section 9.4.1.4 a, b, &amp; 9.4.2</v>
      </c>
      <c r="P21" s="111"/>
      <c r="Q21" s="111"/>
      <c r="Z21" s="111"/>
      <c r="AH21" s="111"/>
    </row>
    <row r="22" spans="2:34" x14ac:dyDescent="0.25">
      <c r="B22" s="656" t="str">
        <f t="shared" si="0"/>
        <v>Pedestrian and vehicular entry/exit</v>
      </c>
      <c r="C22" s="372">
        <f t="shared" si="0"/>
        <v>0</v>
      </c>
      <c r="D22" s="372">
        <f t="shared" si="0"/>
        <v>14</v>
      </c>
      <c r="E22" s="372">
        <f t="shared" si="0"/>
        <v>14</v>
      </c>
      <c r="F22" s="372">
        <f t="shared" si="0"/>
        <v>21</v>
      </c>
      <c r="G22" s="372">
        <f t="shared" si="0"/>
        <v>21</v>
      </c>
      <c r="H22" s="113" t="s">
        <v>220</v>
      </c>
      <c r="I22" s="112"/>
      <c r="J22" s="372" t="str">
        <f t="shared" si="1"/>
        <v>REQ</v>
      </c>
      <c r="K22" s="372" t="str">
        <f t="shared" si="1"/>
        <v>NA</v>
      </c>
      <c r="L22" s="372" t="str">
        <f t="shared" si="1"/>
        <v>REQ</v>
      </c>
      <c r="M22" s="372" t="str">
        <f t="shared" si="1"/>
        <v>NA</v>
      </c>
      <c r="N22" s="372" t="str">
        <f t="shared" si="1"/>
        <v>REQ</v>
      </c>
      <c r="O22" s="372" t="str">
        <f t="shared" si="1"/>
        <v>Meet control requirements of Section 9.4.1.4 a, c &amp; 9.4.2</v>
      </c>
      <c r="P22" s="111"/>
      <c r="Q22" s="111"/>
      <c r="Z22" s="111"/>
      <c r="AH22" s="111"/>
    </row>
    <row r="23" spans="2:34" x14ac:dyDescent="0.25">
      <c r="B23" s="656" t="str">
        <f t="shared" si="0"/>
        <v>Entry canopies</v>
      </c>
      <c r="C23" s="372">
        <f t="shared" si="0"/>
        <v>0</v>
      </c>
      <c r="D23" s="372">
        <f t="shared" si="0"/>
        <v>0.2</v>
      </c>
      <c r="E23" s="372">
        <f t="shared" si="0"/>
        <v>0.2</v>
      </c>
      <c r="F23" s="372">
        <f t="shared" si="0"/>
        <v>0.2</v>
      </c>
      <c r="G23" s="372">
        <f t="shared" si="0"/>
        <v>0.2</v>
      </c>
      <c r="H23" s="113" t="s">
        <v>220</v>
      </c>
      <c r="I23" s="112"/>
      <c r="J23" s="372" t="str">
        <f t="shared" si="1"/>
        <v>REQ</v>
      </c>
      <c r="K23" s="372" t="str">
        <f t="shared" si="1"/>
        <v>NA</v>
      </c>
      <c r="L23" s="372" t="str">
        <f t="shared" si="1"/>
        <v>REQ</v>
      </c>
      <c r="M23" s="372" t="str">
        <f t="shared" si="1"/>
        <v>NA</v>
      </c>
      <c r="N23" s="372" t="str">
        <f t="shared" si="1"/>
        <v>REQ</v>
      </c>
      <c r="O23" s="372" t="str">
        <f t="shared" si="1"/>
        <v>Meet control requirements of Section 9.4.1.4 a, c &amp; 9.4.2</v>
      </c>
      <c r="P23" s="111"/>
      <c r="Q23" s="111"/>
      <c r="Z23" s="111"/>
      <c r="AH23" s="111"/>
    </row>
    <row r="24" spans="2:34" x14ac:dyDescent="0.25">
      <c r="B24" s="656" t="str">
        <f t="shared" si="0"/>
        <v>Loading Docks</v>
      </c>
      <c r="C24" s="372">
        <f t="shared" si="0"/>
        <v>0</v>
      </c>
      <c r="D24" s="372">
        <f t="shared" si="0"/>
        <v>0.35</v>
      </c>
      <c r="E24" s="372">
        <f t="shared" si="0"/>
        <v>0.35</v>
      </c>
      <c r="F24" s="372">
        <f t="shared" si="0"/>
        <v>0.35</v>
      </c>
      <c r="G24" s="372">
        <f t="shared" si="0"/>
        <v>0.35</v>
      </c>
      <c r="H24" s="113" t="s">
        <v>218</v>
      </c>
      <c r="I24" s="112"/>
      <c r="J24" s="372" t="str">
        <f t="shared" si="1"/>
        <v>REQ</v>
      </c>
      <c r="K24" s="372" t="str">
        <f t="shared" si="1"/>
        <v>NA</v>
      </c>
      <c r="L24" s="372" t="str">
        <f t="shared" si="1"/>
        <v>REQ</v>
      </c>
      <c r="M24" s="372" t="str">
        <f t="shared" si="1"/>
        <v>NA</v>
      </c>
      <c r="N24" s="372" t="str">
        <f t="shared" si="1"/>
        <v>REQ</v>
      </c>
      <c r="O24" s="372" t="str">
        <f t="shared" si="1"/>
        <v>Meet control requirements of Section 9.4.1.4 a, c &amp; 9.4.2</v>
      </c>
      <c r="P24" s="111"/>
      <c r="Q24" s="111"/>
      <c r="Z24" s="111"/>
      <c r="AH24" s="111"/>
    </row>
    <row r="25" spans="2:34" x14ac:dyDescent="0.25">
      <c r="B25" s="656" t="str">
        <f t="shared" si="0"/>
        <v>Sales canopies</v>
      </c>
      <c r="C25" s="372">
        <f t="shared" si="0"/>
        <v>0</v>
      </c>
      <c r="D25" s="372">
        <f t="shared" si="0"/>
        <v>0.4</v>
      </c>
      <c r="E25" s="372">
        <f t="shared" si="0"/>
        <v>0.4</v>
      </c>
      <c r="F25" s="372">
        <f t="shared" si="0"/>
        <v>0.6</v>
      </c>
      <c r="G25" s="372">
        <f t="shared" si="0"/>
        <v>0.7</v>
      </c>
      <c r="H25" s="113" t="s">
        <v>218</v>
      </c>
      <c r="I25" s="112"/>
      <c r="J25" s="372" t="str">
        <f t="shared" si="1"/>
        <v>REQ</v>
      </c>
      <c r="K25" s="372" t="str">
        <f t="shared" si="1"/>
        <v>NA</v>
      </c>
      <c r="L25" s="372" t="str">
        <f t="shared" si="1"/>
        <v>REQ</v>
      </c>
      <c r="M25" s="372" t="str">
        <f t="shared" si="1"/>
        <v>NA</v>
      </c>
      <c r="N25" s="372" t="str">
        <f t="shared" si="1"/>
        <v>REQ</v>
      </c>
      <c r="O25" s="372" t="str">
        <f t="shared" si="1"/>
        <v>Meet control requirements of Section 9.4.1.4 a, c &amp; 9.4.2</v>
      </c>
      <c r="P25" s="111"/>
      <c r="Q25" s="111"/>
      <c r="Z25" s="111"/>
      <c r="AH25" s="111"/>
    </row>
    <row r="26" spans="2:34" ht="25" x14ac:dyDescent="0.25">
      <c r="B26" s="656" t="str">
        <f t="shared" si="0"/>
        <v>Outdoor Sales - Open areas (including vehicle sales lots)</v>
      </c>
      <c r="C26" s="372">
        <f t="shared" si="0"/>
        <v>0</v>
      </c>
      <c r="D26" s="372">
        <f t="shared" si="0"/>
        <v>0.2</v>
      </c>
      <c r="E26" s="372">
        <f t="shared" si="0"/>
        <v>0.2</v>
      </c>
      <c r="F26" s="372">
        <f t="shared" si="0"/>
        <v>0.2</v>
      </c>
      <c r="G26" s="372">
        <f t="shared" si="0"/>
        <v>0.2</v>
      </c>
      <c r="H26" s="113" t="s">
        <v>218</v>
      </c>
      <c r="I26" s="112"/>
      <c r="J26" s="372" t="str">
        <f t="shared" si="1"/>
        <v>REQ</v>
      </c>
      <c r="K26" s="372" t="str">
        <f t="shared" si="1"/>
        <v>NA</v>
      </c>
      <c r="L26" s="372" t="str">
        <f t="shared" si="1"/>
        <v>REQ</v>
      </c>
      <c r="M26" s="372" t="str">
        <f t="shared" si="1"/>
        <v>NA</v>
      </c>
      <c r="N26" s="372" t="str">
        <f t="shared" si="1"/>
        <v>REQ</v>
      </c>
      <c r="O26" s="372" t="str">
        <f t="shared" si="1"/>
        <v>Meet control requirements of Section 9.4.1.4 a, c &amp; 9.4.2</v>
      </c>
      <c r="P26" s="111"/>
      <c r="Q26" s="111"/>
      <c r="Z26" s="111"/>
      <c r="AH26" s="111"/>
    </row>
    <row r="27" spans="2:34" x14ac:dyDescent="0.25">
      <c r="B27" s="656" t="str">
        <f t="shared" si="0"/>
        <v>Street frontage for vehicle sales lots</v>
      </c>
      <c r="C27" s="372">
        <f t="shared" si="0"/>
        <v>0</v>
      </c>
      <c r="D27" s="372">
        <f t="shared" si="0"/>
        <v>0</v>
      </c>
      <c r="E27" s="372">
        <f t="shared" si="0"/>
        <v>7</v>
      </c>
      <c r="F27" s="372">
        <f t="shared" si="0"/>
        <v>7</v>
      </c>
      <c r="G27" s="372">
        <f t="shared" si="0"/>
        <v>21</v>
      </c>
      <c r="H27" s="113" t="s">
        <v>220</v>
      </c>
      <c r="J27" s="372" t="str">
        <f t="shared" si="1"/>
        <v>REQ</v>
      </c>
      <c r="K27" s="372" t="str">
        <f t="shared" si="1"/>
        <v>NA</v>
      </c>
      <c r="L27" s="372" t="str">
        <f t="shared" si="1"/>
        <v>REQ</v>
      </c>
      <c r="M27" s="372" t="str">
        <f t="shared" si="1"/>
        <v>NA</v>
      </c>
      <c r="N27" s="372" t="str">
        <f t="shared" si="1"/>
        <v>REQ</v>
      </c>
      <c r="O27" s="372" t="str">
        <f t="shared" si="1"/>
        <v>Meet control requirements of Section 9.4.1.4 a, c &amp; 9.4.2</v>
      </c>
    </row>
    <row r="28" spans="2:34" ht="13" x14ac:dyDescent="0.3">
      <c r="B28" s="1821" t="str">
        <f>CONCATENATE(Compliance_Version_Year," NONTRADABLE SURFACES")</f>
        <v>2019 NONTRADABLE SURFACES</v>
      </c>
      <c r="C28" s="1822"/>
      <c r="D28" s="1822"/>
      <c r="E28" s="1822"/>
      <c r="F28" s="1822"/>
      <c r="G28" s="1822"/>
      <c r="H28" s="1823"/>
      <c r="J28" s="372"/>
      <c r="K28" s="372"/>
      <c r="L28" s="372"/>
      <c r="M28" s="372"/>
      <c r="N28" s="372"/>
      <c r="O28" s="372"/>
    </row>
    <row r="29" spans="2:34" x14ac:dyDescent="0.25">
      <c r="B29" s="656" t="str">
        <f t="shared" ref="B29:G37" si="2">IF(Compliance_Version_Year=2010,B71,IF(Compliance_Version_Year=2016,B115,IF(Compliance_Version_Year=2019,B156,"")))</f>
        <v>Building facades (by area)</v>
      </c>
      <c r="C29" s="372">
        <f t="shared" si="2"/>
        <v>0</v>
      </c>
      <c r="D29" s="372">
        <f t="shared" si="2"/>
        <v>0</v>
      </c>
      <c r="E29" s="372">
        <f t="shared" si="2"/>
        <v>0.1</v>
      </c>
      <c r="F29" s="372">
        <f t="shared" si="2"/>
        <v>0.15</v>
      </c>
      <c r="G29" s="372">
        <f t="shared" si="2"/>
        <v>0.2</v>
      </c>
      <c r="H29" s="113" t="s">
        <v>238</v>
      </c>
      <c r="J29" s="372" t="str">
        <f t="shared" ref="J29:O37" si="3">IF(Compliance_Version_Year=2010,J71,IF(Compliance_Version_Year=2016,J115,IF(Compliance_Version_Year=2019,J156,"")))</f>
        <v>REQ</v>
      </c>
      <c r="K29" s="372" t="str">
        <f t="shared" si="3"/>
        <v>REQ</v>
      </c>
      <c r="L29" s="372" t="str">
        <f t="shared" si="3"/>
        <v>NA</v>
      </c>
      <c r="M29" s="372" t="str">
        <f t="shared" si="3"/>
        <v>NA</v>
      </c>
      <c r="N29" s="372" t="str">
        <f t="shared" si="3"/>
        <v>REQ</v>
      </c>
      <c r="O29" s="372" t="str">
        <f t="shared" si="3"/>
        <v>Meet control requirements of Section 9.4.1.4 a, b, &amp; 9.4.2</v>
      </c>
    </row>
    <row r="30" spans="2:34" x14ac:dyDescent="0.25">
      <c r="B30" s="656" t="str">
        <f t="shared" si="2"/>
        <v>Building facades (by length)</v>
      </c>
      <c r="C30" s="372">
        <f t="shared" si="2"/>
        <v>0</v>
      </c>
      <c r="D30" s="372">
        <f t="shared" si="2"/>
        <v>0</v>
      </c>
      <c r="E30" s="372">
        <f t="shared" si="2"/>
        <v>2.5</v>
      </c>
      <c r="F30" s="372">
        <f t="shared" si="2"/>
        <v>3.75</v>
      </c>
      <c r="G30" s="372">
        <f t="shared" si="2"/>
        <v>5</v>
      </c>
      <c r="H30" s="113" t="s">
        <v>220</v>
      </c>
      <c r="J30" s="372" t="str">
        <f t="shared" si="3"/>
        <v>REQ</v>
      </c>
      <c r="K30" s="372" t="str">
        <f t="shared" si="3"/>
        <v>REQ</v>
      </c>
      <c r="L30" s="372" t="str">
        <f t="shared" si="3"/>
        <v>NA</v>
      </c>
      <c r="M30" s="372" t="str">
        <f t="shared" si="3"/>
        <v>NA</v>
      </c>
      <c r="N30" s="372" t="str">
        <f t="shared" si="3"/>
        <v>REQ</v>
      </c>
      <c r="O30" s="372" t="str">
        <f t="shared" si="3"/>
        <v>Meet control requirements of Section 9.4.1.4 a, b, &amp; 9.4.2</v>
      </c>
    </row>
    <row r="31" spans="2:34" x14ac:dyDescent="0.25">
      <c r="B31" s="656" t="str">
        <f t="shared" si="2"/>
        <v>ATMs &amp; night depository location</v>
      </c>
      <c r="C31" s="372">
        <f t="shared" si="2"/>
        <v>0</v>
      </c>
      <c r="D31" s="372">
        <f t="shared" si="2"/>
        <v>135</v>
      </c>
      <c r="E31" s="372">
        <f t="shared" si="2"/>
        <v>135</v>
      </c>
      <c r="F31" s="372">
        <f t="shared" si="2"/>
        <v>135</v>
      </c>
      <c r="G31" s="372">
        <f t="shared" si="2"/>
        <v>135</v>
      </c>
      <c r="H31" s="113" t="s">
        <v>241</v>
      </c>
      <c r="J31" s="372" t="str">
        <f t="shared" si="3"/>
        <v>REQ</v>
      </c>
      <c r="K31" s="372" t="str">
        <f t="shared" si="3"/>
        <v>NA</v>
      </c>
      <c r="L31" s="372" t="str">
        <f t="shared" si="3"/>
        <v>REQ</v>
      </c>
      <c r="M31" s="372" t="str">
        <f t="shared" si="3"/>
        <v>NA</v>
      </c>
      <c r="N31" s="372" t="str">
        <f t="shared" si="3"/>
        <v>REQ</v>
      </c>
      <c r="O31" s="372" t="str">
        <f t="shared" si="3"/>
        <v>Meet control requirements of Section 9.4.1.4 a, c &amp; 9.4.2</v>
      </c>
    </row>
    <row r="32" spans="2:34" x14ac:dyDescent="0.25">
      <c r="B32" s="656" t="str">
        <f t="shared" si="2"/>
        <v>Additional ATMs</v>
      </c>
      <c r="C32" s="372">
        <f t="shared" si="2"/>
        <v>0</v>
      </c>
      <c r="D32" s="372">
        <f t="shared" si="2"/>
        <v>45</v>
      </c>
      <c r="E32" s="372">
        <f t="shared" si="2"/>
        <v>45</v>
      </c>
      <c r="F32" s="372">
        <f t="shared" si="2"/>
        <v>45</v>
      </c>
      <c r="G32" s="372">
        <f t="shared" si="2"/>
        <v>45</v>
      </c>
      <c r="H32" s="113" t="s">
        <v>241</v>
      </c>
      <c r="J32" s="372" t="str">
        <f t="shared" si="3"/>
        <v>REQ</v>
      </c>
      <c r="K32" s="372" t="str">
        <f t="shared" si="3"/>
        <v>NA</v>
      </c>
      <c r="L32" s="372" t="str">
        <f t="shared" si="3"/>
        <v>REQ</v>
      </c>
      <c r="M32" s="372" t="str">
        <f t="shared" si="3"/>
        <v>NA</v>
      </c>
      <c r="N32" s="372" t="str">
        <f t="shared" si="3"/>
        <v>REQ</v>
      </c>
      <c r="O32" s="372" t="str">
        <f t="shared" si="3"/>
        <v>Meet control requirements of Section 9.4.1.4 a, c &amp; 9.4.2</v>
      </c>
    </row>
    <row r="33" spans="2:25" ht="25" x14ac:dyDescent="0.25">
      <c r="B33" s="656" t="str">
        <f t="shared" si="2"/>
        <v>Uncovered entrances &amp; gatehouse inspection facilities at guarded facilities</v>
      </c>
      <c r="C33" s="372">
        <f t="shared" si="2"/>
        <v>0</v>
      </c>
      <c r="D33" s="372">
        <f t="shared" si="2"/>
        <v>0.5</v>
      </c>
      <c r="E33" s="372">
        <f t="shared" si="2"/>
        <v>0.5</v>
      </c>
      <c r="F33" s="372">
        <f t="shared" si="2"/>
        <v>0.5</v>
      </c>
      <c r="G33" s="372">
        <f t="shared" si="2"/>
        <v>0.5</v>
      </c>
      <c r="H33" s="113" t="s">
        <v>238</v>
      </c>
      <c r="J33" s="372" t="str">
        <f t="shared" si="3"/>
        <v>REQ</v>
      </c>
      <c r="K33" s="372" t="str">
        <f t="shared" si="3"/>
        <v>NA</v>
      </c>
      <c r="L33" s="372" t="str">
        <f t="shared" si="3"/>
        <v>REQ</v>
      </c>
      <c r="M33" s="372" t="str">
        <f t="shared" si="3"/>
        <v>NA</v>
      </c>
      <c r="N33" s="372" t="str">
        <f t="shared" si="3"/>
        <v>REQ</v>
      </c>
      <c r="O33" s="372" t="str">
        <f t="shared" si="3"/>
        <v>Meet control requirements of Section 9.4.1.4 a, c &amp; 9.4.2</v>
      </c>
    </row>
    <row r="34" spans="2:25" ht="37.5" x14ac:dyDescent="0.25">
      <c r="B34" s="656" t="str">
        <f t="shared" si="2"/>
        <v>Uncovered loading areas for law enforcement, fire, ambulance, and other emergency service vehicles</v>
      </c>
      <c r="C34" s="372">
        <f t="shared" si="2"/>
        <v>0</v>
      </c>
      <c r="D34" s="372">
        <f t="shared" si="2"/>
        <v>0.35</v>
      </c>
      <c r="E34" s="372">
        <f t="shared" si="2"/>
        <v>0.35</v>
      </c>
      <c r="F34" s="372">
        <f t="shared" si="2"/>
        <v>0.35</v>
      </c>
      <c r="G34" s="372">
        <f t="shared" si="2"/>
        <v>0.35</v>
      </c>
      <c r="H34" s="113" t="s">
        <v>238</v>
      </c>
      <c r="J34" s="372" t="str">
        <f t="shared" si="3"/>
        <v>REQ</v>
      </c>
      <c r="K34" s="372" t="str">
        <f t="shared" si="3"/>
        <v>NA</v>
      </c>
      <c r="L34" s="372" t="str">
        <f t="shared" si="3"/>
        <v>REQ</v>
      </c>
      <c r="M34" s="372" t="str">
        <f t="shared" si="3"/>
        <v>NA</v>
      </c>
      <c r="N34" s="372" t="str">
        <f t="shared" si="3"/>
        <v>REQ</v>
      </c>
      <c r="O34" s="372" t="str">
        <f t="shared" si="3"/>
        <v>Meet control requirements of Section 9.4.1.4 a, c &amp; 9.4.2</v>
      </c>
    </row>
    <row r="35" spans="2:25" x14ac:dyDescent="0.25">
      <c r="B35" s="656" t="str">
        <f t="shared" si="2"/>
        <v>Drive-through windows/doors (per drive through)</v>
      </c>
      <c r="C35" s="372">
        <f t="shared" si="2"/>
        <v>0</v>
      </c>
      <c r="D35" s="372">
        <f t="shared" si="2"/>
        <v>200</v>
      </c>
      <c r="E35" s="372">
        <f t="shared" si="2"/>
        <v>200</v>
      </c>
      <c r="F35" s="372">
        <f t="shared" si="2"/>
        <v>200</v>
      </c>
      <c r="G35" s="372">
        <f t="shared" si="2"/>
        <v>200</v>
      </c>
      <c r="H35" s="113" t="s">
        <v>241</v>
      </c>
      <c r="J35" s="372" t="str">
        <f t="shared" si="3"/>
        <v>REQ</v>
      </c>
      <c r="K35" s="372" t="str">
        <f t="shared" si="3"/>
        <v>NA</v>
      </c>
      <c r="L35" s="372" t="str">
        <f t="shared" si="3"/>
        <v>REQ</v>
      </c>
      <c r="M35" s="372" t="str">
        <f t="shared" si="3"/>
        <v>NA</v>
      </c>
      <c r="N35" s="372" t="str">
        <f t="shared" si="3"/>
        <v>REQ</v>
      </c>
      <c r="O35" s="372" t="str">
        <f t="shared" si="3"/>
        <v>Meet control requirements of Section 9.4.1.4 a, c &amp; 9.4.2</v>
      </c>
    </row>
    <row r="36" spans="2:25" x14ac:dyDescent="0.25">
      <c r="B36" s="656" t="str">
        <f t="shared" si="2"/>
        <v>Parking near 24-hour retail entrances</v>
      </c>
      <c r="C36" s="372">
        <f t="shared" si="2"/>
        <v>0</v>
      </c>
      <c r="D36" s="372">
        <f t="shared" si="2"/>
        <v>400</v>
      </c>
      <c r="E36" s="372">
        <f t="shared" si="2"/>
        <v>400</v>
      </c>
      <c r="F36" s="372">
        <f t="shared" si="2"/>
        <v>400</v>
      </c>
      <c r="G36" s="372">
        <f t="shared" si="2"/>
        <v>400</v>
      </c>
      <c r="H36" s="113" t="s">
        <v>241</v>
      </c>
      <c r="J36" s="372" t="str">
        <f t="shared" si="3"/>
        <v>REQ</v>
      </c>
      <c r="K36" s="372" t="str">
        <f t="shared" si="3"/>
        <v>NA</v>
      </c>
      <c r="L36" s="372" t="str">
        <f t="shared" si="3"/>
        <v>REQ</v>
      </c>
      <c r="M36" s="372" t="str">
        <f t="shared" si="3"/>
        <v>REQ</v>
      </c>
      <c r="N36" s="372" t="str">
        <f t="shared" si="3"/>
        <v>REQ</v>
      </c>
      <c r="O36" s="372" t="str">
        <f t="shared" si="3"/>
        <v>Meet control requirements of Section 9.4.1.4 a, c, d &amp; 9.4.2</v>
      </c>
    </row>
    <row r="37" spans="2:25" ht="38" thickBot="1" x14ac:dyDescent="0.3">
      <c r="B37" s="656" t="str">
        <f t="shared" si="2"/>
        <v>Roadway/parking entry, trail head, and toilet facility, or other locations approved by the authority having jurisdiction.</v>
      </c>
      <c r="C37" s="372">
        <f t="shared" si="2"/>
        <v>25</v>
      </c>
      <c r="D37" s="372">
        <f t="shared" si="2"/>
        <v>0</v>
      </c>
      <c r="E37" s="372">
        <f t="shared" si="2"/>
        <v>0</v>
      </c>
      <c r="F37" s="372">
        <f t="shared" si="2"/>
        <v>0</v>
      </c>
      <c r="G37" s="372">
        <f t="shared" si="2"/>
        <v>0</v>
      </c>
      <c r="H37" s="114" t="s">
        <v>241</v>
      </c>
      <c r="J37" s="372" t="str">
        <f t="shared" si="3"/>
        <v>REQ</v>
      </c>
      <c r="K37" s="372" t="str">
        <f t="shared" si="3"/>
        <v>NA</v>
      </c>
      <c r="L37" s="372" t="str">
        <f t="shared" si="3"/>
        <v>REQ</v>
      </c>
      <c r="M37" s="372" t="str">
        <f t="shared" si="3"/>
        <v>NA</v>
      </c>
      <c r="N37" s="372" t="str">
        <f t="shared" si="3"/>
        <v>REQ</v>
      </c>
      <c r="O37" s="372" t="str">
        <f t="shared" si="3"/>
        <v>Meet control requirements of Section 9.4.1.4 a, c &amp; 9.4.2</v>
      </c>
    </row>
    <row r="38" spans="2:25" x14ac:dyDescent="0.25">
      <c r="B38" s="4"/>
      <c r="C38" s="81"/>
      <c r="D38" s="81"/>
      <c r="E38" s="81"/>
      <c r="F38" s="81"/>
      <c r="G38" s="81"/>
      <c r="H38" s="81"/>
      <c r="S38" s="4"/>
      <c r="T38" s="81"/>
      <c r="U38" s="81"/>
      <c r="V38" s="81"/>
      <c r="W38" s="81"/>
      <c r="X38" s="81"/>
      <c r="Y38" s="81"/>
    </row>
    <row r="39" spans="2:25" x14ac:dyDescent="0.25">
      <c r="B39" s="4"/>
      <c r="C39" s="81"/>
      <c r="D39" s="81"/>
      <c r="E39" s="81"/>
      <c r="F39" s="81"/>
      <c r="G39" s="81"/>
      <c r="H39" s="81"/>
      <c r="S39" s="4"/>
      <c r="T39" s="81"/>
      <c r="U39" s="81"/>
      <c r="V39" s="81"/>
      <c r="W39" s="81"/>
      <c r="X39" s="81"/>
      <c r="Y39" s="81"/>
    </row>
    <row r="43" spans="2:25" ht="13" x14ac:dyDescent="0.3">
      <c r="B43" s="1819" t="s">
        <v>206</v>
      </c>
      <c r="C43" s="1820"/>
      <c r="D43" s="1820"/>
      <c r="E43" s="1820"/>
      <c r="F43" s="1820"/>
      <c r="G43" s="1820"/>
      <c r="H43" s="1820"/>
    </row>
    <row r="44" spans="2:25" ht="13" thickBot="1" x14ac:dyDescent="0.3"/>
    <row r="45" spans="2:25" ht="13" x14ac:dyDescent="0.25">
      <c r="B45" s="108" t="s">
        <v>208</v>
      </c>
      <c r="C45" s="1817"/>
      <c r="D45" s="1817"/>
      <c r="E45" s="1817"/>
      <c r="F45" s="1817"/>
      <c r="G45" s="1817"/>
      <c r="H45" s="1818"/>
    </row>
    <row r="46" spans="2:25" x14ac:dyDescent="0.25">
      <c r="B46" s="109" t="s">
        <v>209</v>
      </c>
      <c r="C46" s="371">
        <f>C55</f>
        <v>0</v>
      </c>
      <c r="D46" s="1824" t="s">
        <v>50</v>
      </c>
      <c r="E46" s="1824"/>
      <c r="F46" s="1824"/>
      <c r="G46" s="1824"/>
      <c r="H46" s="1825"/>
    </row>
    <row r="47" spans="2:25" x14ac:dyDescent="0.25">
      <c r="B47" s="109" t="s">
        <v>210</v>
      </c>
      <c r="C47" s="371">
        <f>D55</f>
        <v>500</v>
      </c>
      <c r="D47" s="1824" t="s">
        <v>51</v>
      </c>
      <c r="E47" s="1824"/>
      <c r="F47" s="1824"/>
      <c r="G47" s="1824"/>
      <c r="H47" s="1825"/>
    </row>
    <row r="48" spans="2:25" x14ac:dyDescent="0.25">
      <c r="B48" s="109" t="s">
        <v>211</v>
      </c>
      <c r="C48" s="371">
        <f>E55</f>
        <v>600</v>
      </c>
      <c r="D48" s="1824" t="s">
        <v>52</v>
      </c>
      <c r="E48" s="1824"/>
      <c r="F48" s="1824"/>
      <c r="G48" s="1824"/>
      <c r="H48" s="1825"/>
    </row>
    <row r="49" spans="2:15" x14ac:dyDescent="0.25">
      <c r="B49" s="109" t="s">
        <v>212</v>
      </c>
      <c r="C49" s="371">
        <f>F55</f>
        <v>750</v>
      </c>
      <c r="D49" s="1824" t="s">
        <v>54</v>
      </c>
      <c r="E49" s="1824"/>
      <c r="F49" s="1824"/>
      <c r="G49" s="1824"/>
      <c r="H49" s="1825"/>
    </row>
    <row r="50" spans="2:15" ht="13" thickBot="1" x14ac:dyDescent="0.3">
      <c r="B50" s="110" t="s">
        <v>213</v>
      </c>
      <c r="C50" s="225">
        <f>G55</f>
        <v>1300</v>
      </c>
      <c r="D50" s="1815" t="s">
        <v>56</v>
      </c>
      <c r="E50" s="1815"/>
      <c r="F50" s="1815"/>
      <c r="G50" s="1815"/>
      <c r="H50" s="1816"/>
    </row>
    <row r="52" spans="2:15" ht="13" x14ac:dyDescent="0.3">
      <c r="B52" s="1819" t="s">
        <v>214</v>
      </c>
      <c r="C52" s="1820"/>
      <c r="D52" s="1820"/>
      <c r="E52" s="1820"/>
      <c r="F52" s="1820"/>
      <c r="G52" s="1820"/>
      <c r="H52" s="1820"/>
    </row>
    <row r="53" spans="2:15" ht="13" thickBot="1" x14ac:dyDescent="0.3">
      <c r="J53" s="1810" t="s">
        <v>1331</v>
      </c>
      <c r="K53" s="1810" t="s">
        <v>1332</v>
      </c>
      <c r="L53" s="1810" t="s">
        <v>1333</v>
      </c>
      <c r="M53" s="1810" t="s">
        <v>1336</v>
      </c>
      <c r="N53" s="1810" t="s">
        <v>723</v>
      </c>
    </row>
    <row r="54" spans="2:15" ht="13" x14ac:dyDescent="0.3">
      <c r="B54" s="185"/>
      <c r="C54" s="104" t="s">
        <v>209</v>
      </c>
      <c r="D54" s="104" t="s">
        <v>210</v>
      </c>
      <c r="E54" s="104" t="s">
        <v>211</v>
      </c>
      <c r="F54" s="104" t="s">
        <v>212</v>
      </c>
      <c r="G54" s="104" t="s">
        <v>213</v>
      </c>
      <c r="H54" s="105" t="s">
        <v>215</v>
      </c>
      <c r="J54" s="1810"/>
      <c r="K54" s="1810"/>
      <c r="L54" s="1810"/>
      <c r="M54" s="1810"/>
      <c r="N54" s="1810"/>
    </row>
    <row r="55" spans="2:15" x14ac:dyDescent="0.25">
      <c r="B55" s="184" t="s">
        <v>22</v>
      </c>
      <c r="C55" s="372">
        <v>0</v>
      </c>
      <c r="D55" s="372">
        <v>500</v>
      </c>
      <c r="E55" s="372">
        <v>600</v>
      </c>
      <c r="F55" s="372">
        <v>750</v>
      </c>
      <c r="G55" s="372">
        <v>1300</v>
      </c>
      <c r="H55" s="106" t="s">
        <v>216</v>
      </c>
      <c r="J55" s="1810"/>
      <c r="K55" s="1810"/>
      <c r="L55" s="1810"/>
      <c r="M55" s="1810"/>
      <c r="N55" s="1810"/>
    </row>
    <row r="56" spans="2:15" ht="13" x14ac:dyDescent="0.3">
      <c r="B56" s="1821" t="s">
        <v>217</v>
      </c>
      <c r="C56" s="1822"/>
      <c r="D56" s="1822"/>
      <c r="E56" s="1822"/>
      <c r="F56" s="1822"/>
      <c r="G56" s="1822"/>
      <c r="H56" s="1823"/>
      <c r="J56" s="1810"/>
      <c r="K56" s="1810"/>
      <c r="L56" s="1810"/>
      <c r="M56" s="1810"/>
      <c r="N56" s="1810"/>
    </row>
    <row r="57" spans="2:15" x14ac:dyDescent="0.25">
      <c r="B57" s="180" t="s">
        <v>219</v>
      </c>
      <c r="C57" s="372">
        <v>0</v>
      </c>
      <c r="D57" s="372">
        <v>0.04</v>
      </c>
      <c r="E57" s="372">
        <v>0.06</v>
      </c>
      <c r="F57" s="372">
        <v>0.1</v>
      </c>
      <c r="G57" s="372">
        <v>0.13</v>
      </c>
      <c r="H57" s="113" t="s">
        <v>218</v>
      </c>
      <c r="J57" s="790" t="s">
        <v>305</v>
      </c>
      <c r="K57" s="1123" t="s">
        <v>304</v>
      </c>
      <c r="L57" s="790" t="s">
        <v>305</v>
      </c>
      <c r="M57" s="790" t="s">
        <v>305</v>
      </c>
      <c r="N57" s="790" t="s">
        <v>304</v>
      </c>
      <c r="O57" t="s">
        <v>1334</v>
      </c>
    </row>
    <row r="58" spans="2:15" x14ac:dyDescent="0.25">
      <c r="B58" s="180" t="s">
        <v>1086</v>
      </c>
      <c r="C58" s="372">
        <v>0</v>
      </c>
      <c r="D58" s="372">
        <v>0.7</v>
      </c>
      <c r="E58" s="372">
        <v>0.7</v>
      </c>
      <c r="F58" s="372">
        <v>0.8</v>
      </c>
      <c r="G58" s="372">
        <v>1</v>
      </c>
      <c r="H58" s="113" t="s">
        <v>220</v>
      </c>
      <c r="J58" s="790" t="s">
        <v>305</v>
      </c>
      <c r="K58" s="1123" t="s">
        <v>304</v>
      </c>
      <c r="L58" s="790" t="s">
        <v>305</v>
      </c>
      <c r="M58" s="790" t="s">
        <v>305</v>
      </c>
      <c r="N58" s="790" t="s">
        <v>304</v>
      </c>
      <c r="O58" t="s">
        <v>1334</v>
      </c>
    </row>
    <row r="59" spans="2:15" x14ac:dyDescent="0.25">
      <c r="B59" s="180" t="s">
        <v>1089</v>
      </c>
      <c r="C59" s="372">
        <v>0</v>
      </c>
      <c r="D59" s="372">
        <v>0.14000000000000001</v>
      </c>
      <c r="E59" s="372">
        <v>0.14000000000000001</v>
      </c>
      <c r="F59" s="372">
        <v>0.16</v>
      </c>
      <c r="G59" s="372">
        <v>0.2</v>
      </c>
      <c r="H59" s="113" t="s">
        <v>218</v>
      </c>
      <c r="J59" s="790" t="s">
        <v>305</v>
      </c>
      <c r="K59" s="1123" t="s">
        <v>304</v>
      </c>
      <c r="L59" s="790" t="s">
        <v>305</v>
      </c>
      <c r="M59" s="790" t="s">
        <v>305</v>
      </c>
      <c r="N59" s="790" t="s">
        <v>304</v>
      </c>
      <c r="O59" t="s">
        <v>1334</v>
      </c>
    </row>
    <row r="60" spans="2:15" x14ac:dyDescent="0.25">
      <c r="B60" s="180"/>
      <c r="C60" s="372"/>
      <c r="D60" s="372"/>
      <c r="E60" s="372"/>
      <c r="F60" s="372"/>
      <c r="G60" s="372"/>
      <c r="H60" s="113"/>
      <c r="J60" s="790" t="s">
        <v>304</v>
      </c>
      <c r="K60" s="1123" t="s">
        <v>304</v>
      </c>
      <c r="L60" s="1123" t="s">
        <v>304</v>
      </c>
      <c r="M60" s="1123" t="s">
        <v>304</v>
      </c>
      <c r="N60" s="790" t="s">
        <v>304</v>
      </c>
    </row>
    <row r="61" spans="2:15" x14ac:dyDescent="0.25">
      <c r="B61" s="180" t="s">
        <v>224</v>
      </c>
      <c r="C61" s="372">
        <v>0</v>
      </c>
      <c r="D61" s="372">
        <v>0.75</v>
      </c>
      <c r="E61" s="372">
        <v>1</v>
      </c>
      <c r="F61" s="372">
        <v>1</v>
      </c>
      <c r="G61" s="372">
        <v>1</v>
      </c>
      <c r="H61" s="113" t="s">
        <v>218</v>
      </c>
      <c r="J61" s="790" t="s">
        <v>305</v>
      </c>
      <c r="K61" s="1123" t="s">
        <v>304</v>
      </c>
      <c r="L61" s="790" t="s">
        <v>305</v>
      </c>
      <c r="M61" s="790" t="s">
        <v>305</v>
      </c>
      <c r="N61" s="790" t="s">
        <v>304</v>
      </c>
      <c r="O61" t="s">
        <v>1334</v>
      </c>
    </row>
    <row r="62" spans="2:15" x14ac:dyDescent="0.25">
      <c r="B62" s="180" t="s">
        <v>225</v>
      </c>
      <c r="C62" s="372">
        <v>0</v>
      </c>
      <c r="D62" s="372">
        <v>0.15</v>
      </c>
      <c r="E62" s="372">
        <v>0.15</v>
      </c>
      <c r="F62" s="372">
        <v>0.2</v>
      </c>
      <c r="G62" s="372">
        <v>0.3</v>
      </c>
      <c r="H62" s="113" t="s">
        <v>218</v>
      </c>
      <c r="J62" s="790" t="s">
        <v>305</v>
      </c>
      <c r="K62" s="1123" t="s">
        <v>304</v>
      </c>
      <c r="L62" s="790" t="s">
        <v>305</v>
      </c>
      <c r="M62" s="790" t="s">
        <v>305</v>
      </c>
      <c r="N62" s="790" t="s">
        <v>304</v>
      </c>
      <c r="O62" t="s">
        <v>1334</v>
      </c>
    </row>
    <row r="63" spans="2:15" x14ac:dyDescent="0.25">
      <c r="B63" s="180" t="s">
        <v>226</v>
      </c>
      <c r="C63" s="372">
        <v>0</v>
      </c>
      <c r="D63" s="372">
        <v>0.04</v>
      </c>
      <c r="E63" s="372">
        <v>0.05</v>
      </c>
      <c r="F63" s="372">
        <v>0.05</v>
      </c>
      <c r="G63" s="372">
        <v>0.05</v>
      </c>
      <c r="H63" s="113" t="s">
        <v>218</v>
      </c>
      <c r="J63" s="790" t="s">
        <v>305</v>
      </c>
      <c r="K63" s="790" t="s">
        <v>305</v>
      </c>
      <c r="L63" s="790" t="s">
        <v>304</v>
      </c>
      <c r="M63" s="790" t="s">
        <v>305</v>
      </c>
      <c r="N63" s="790" t="s">
        <v>304</v>
      </c>
      <c r="O63" t="s">
        <v>1335</v>
      </c>
    </row>
    <row r="64" spans="2:15" x14ac:dyDescent="0.25">
      <c r="B64" s="180" t="s">
        <v>227</v>
      </c>
      <c r="C64" s="372">
        <v>0</v>
      </c>
      <c r="D64" s="372">
        <v>20</v>
      </c>
      <c r="E64" s="372">
        <v>20</v>
      </c>
      <c r="F64" s="372">
        <v>30</v>
      </c>
      <c r="G64" s="372">
        <v>30</v>
      </c>
      <c r="H64" s="113" t="s">
        <v>220</v>
      </c>
      <c r="J64" s="790" t="s">
        <v>305</v>
      </c>
      <c r="K64" s="1123" t="s">
        <v>304</v>
      </c>
      <c r="L64" s="790" t="s">
        <v>305</v>
      </c>
      <c r="M64" s="790" t="s">
        <v>305</v>
      </c>
      <c r="N64" s="790" t="s">
        <v>304</v>
      </c>
      <c r="O64" t="s">
        <v>1334</v>
      </c>
    </row>
    <row r="65" spans="2:15" x14ac:dyDescent="0.25">
      <c r="B65" s="180" t="s">
        <v>229</v>
      </c>
      <c r="C65" s="372">
        <v>0</v>
      </c>
      <c r="D65" s="372">
        <v>20</v>
      </c>
      <c r="E65" s="372">
        <v>20</v>
      </c>
      <c r="F65" s="372">
        <v>20</v>
      </c>
      <c r="G65" s="372">
        <v>20</v>
      </c>
      <c r="H65" s="113" t="s">
        <v>220</v>
      </c>
      <c r="J65" s="790" t="s">
        <v>305</v>
      </c>
      <c r="K65" s="1123" t="s">
        <v>304</v>
      </c>
      <c r="L65" s="790" t="s">
        <v>305</v>
      </c>
      <c r="M65" s="790" t="s">
        <v>305</v>
      </c>
      <c r="N65" s="790" t="s">
        <v>304</v>
      </c>
      <c r="O65" t="s">
        <v>1334</v>
      </c>
    </row>
    <row r="66" spans="2:15" x14ac:dyDescent="0.25">
      <c r="B66" s="180" t="s">
        <v>230</v>
      </c>
      <c r="C66" s="372">
        <v>0</v>
      </c>
      <c r="D66" s="372">
        <v>0.25</v>
      </c>
      <c r="E66" s="372">
        <v>0.25</v>
      </c>
      <c r="F66" s="372">
        <v>0.4</v>
      </c>
      <c r="G66" s="372">
        <v>0.4</v>
      </c>
      <c r="H66" s="113" t="s">
        <v>218</v>
      </c>
      <c r="J66" s="790" t="s">
        <v>305</v>
      </c>
      <c r="K66" s="1123" t="s">
        <v>304</v>
      </c>
      <c r="L66" s="790" t="s">
        <v>305</v>
      </c>
      <c r="M66" s="790" t="s">
        <v>305</v>
      </c>
      <c r="N66" s="790" t="s">
        <v>304</v>
      </c>
      <c r="O66" t="s">
        <v>1334</v>
      </c>
    </row>
    <row r="67" spans="2:15" x14ac:dyDescent="0.25">
      <c r="B67" s="180" t="s">
        <v>232</v>
      </c>
      <c r="C67" s="372">
        <v>0</v>
      </c>
      <c r="D67" s="372">
        <v>0.6</v>
      </c>
      <c r="E67" s="372">
        <v>0.6</v>
      </c>
      <c r="F67" s="372">
        <v>0.8</v>
      </c>
      <c r="G67" s="372">
        <v>1</v>
      </c>
      <c r="H67" s="113" t="s">
        <v>218</v>
      </c>
      <c r="J67" s="790" t="s">
        <v>305</v>
      </c>
      <c r="K67" s="1123" t="s">
        <v>304</v>
      </c>
      <c r="L67" s="790" t="s">
        <v>305</v>
      </c>
      <c r="M67" s="790" t="s">
        <v>305</v>
      </c>
      <c r="N67" s="790" t="s">
        <v>304</v>
      </c>
      <c r="O67" t="s">
        <v>1334</v>
      </c>
    </row>
    <row r="68" spans="2:15" x14ac:dyDescent="0.25">
      <c r="B68" s="180" t="s">
        <v>233</v>
      </c>
      <c r="C68" s="372">
        <v>0</v>
      </c>
      <c r="D68" s="372">
        <v>0.25</v>
      </c>
      <c r="E68" s="372">
        <v>0.25</v>
      </c>
      <c r="F68" s="372">
        <v>0.5</v>
      </c>
      <c r="G68" s="372">
        <v>0.7</v>
      </c>
      <c r="H68" s="113" t="s">
        <v>218</v>
      </c>
      <c r="J68" s="790" t="s">
        <v>305</v>
      </c>
      <c r="K68" s="1123" t="s">
        <v>304</v>
      </c>
      <c r="L68" s="790" t="s">
        <v>305</v>
      </c>
      <c r="M68" s="790" t="s">
        <v>305</v>
      </c>
      <c r="N68" s="790" t="s">
        <v>304</v>
      </c>
    </row>
    <row r="69" spans="2:15" x14ac:dyDescent="0.25">
      <c r="B69" s="180" t="s">
        <v>235</v>
      </c>
      <c r="C69" s="372">
        <v>0</v>
      </c>
      <c r="D69" s="372">
        <v>0</v>
      </c>
      <c r="E69" s="372">
        <v>10</v>
      </c>
      <c r="F69" s="372">
        <v>10</v>
      </c>
      <c r="G69" s="372">
        <v>30</v>
      </c>
      <c r="H69" s="113" t="s">
        <v>220</v>
      </c>
      <c r="J69" s="790" t="s">
        <v>305</v>
      </c>
      <c r="K69" s="1123" t="s">
        <v>304</v>
      </c>
      <c r="L69" s="790" t="s">
        <v>305</v>
      </c>
      <c r="M69" s="790" t="s">
        <v>305</v>
      </c>
      <c r="N69" s="790" t="s">
        <v>304</v>
      </c>
      <c r="O69" t="s">
        <v>1334</v>
      </c>
    </row>
    <row r="70" spans="2:15" ht="13" x14ac:dyDescent="0.3">
      <c r="B70" s="1821" t="s">
        <v>237</v>
      </c>
      <c r="C70" s="1822"/>
      <c r="D70" s="1822"/>
      <c r="E70" s="1822"/>
      <c r="F70" s="1822"/>
      <c r="G70" s="1822"/>
      <c r="H70" s="1823"/>
    </row>
    <row r="71" spans="2:15" x14ac:dyDescent="0.25">
      <c r="B71" s="182" t="s">
        <v>1088</v>
      </c>
      <c r="C71" s="372">
        <v>0</v>
      </c>
      <c r="D71" s="372">
        <v>0</v>
      </c>
      <c r="E71" s="372">
        <v>0.1</v>
      </c>
      <c r="F71" s="372">
        <v>0.15</v>
      </c>
      <c r="G71" s="372">
        <v>0.2</v>
      </c>
      <c r="H71" s="113" t="s">
        <v>238</v>
      </c>
      <c r="J71" s="790" t="s">
        <v>305</v>
      </c>
      <c r="K71" s="790" t="s">
        <v>305</v>
      </c>
      <c r="L71" s="1123" t="s">
        <v>304</v>
      </c>
      <c r="M71" s="790" t="s">
        <v>305</v>
      </c>
      <c r="N71" s="790" t="s">
        <v>304</v>
      </c>
      <c r="O71" t="s">
        <v>1335</v>
      </c>
    </row>
    <row r="72" spans="2:15" x14ac:dyDescent="0.25">
      <c r="B72" s="182" t="s">
        <v>1087</v>
      </c>
      <c r="C72" s="372">
        <v>0</v>
      </c>
      <c r="D72" s="372">
        <v>0</v>
      </c>
      <c r="E72" s="372">
        <v>2.5</v>
      </c>
      <c r="F72" s="372">
        <v>3.75</v>
      </c>
      <c r="G72" s="372">
        <v>5</v>
      </c>
      <c r="H72" s="113" t="s">
        <v>220</v>
      </c>
      <c r="J72" s="790" t="s">
        <v>305</v>
      </c>
      <c r="K72" s="790" t="s">
        <v>305</v>
      </c>
      <c r="L72" s="1123" t="s">
        <v>304</v>
      </c>
      <c r="M72" s="790" t="s">
        <v>305</v>
      </c>
      <c r="N72" s="790" t="s">
        <v>304</v>
      </c>
      <c r="O72" t="s">
        <v>1335</v>
      </c>
    </row>
    <row r="73" spans="2:15" x14ac:dyDescent="0.25">
      <c r="B73" s="182" t="s">
        <v>242</v>
      </c>
      <c r="C73" s="372">
        <v>0</v>
      </c>
      <c r="D73" s="372">
        <v>270</v>
      </c>
      <c r="E73" s="372">
        <v>270</v>
      </c>
      <c r="F73" s="372">
        <v>270</v>
      </c>
      <c r="G73" s="372">
        <v>270</v>
      </c>
      <c r="H73" s="113" t="s">
        <v>241</v>
      </c>
      <c r="J73" s="790" t="s">
        <v>305</v>
      </c>
      <c r="K73" s="1123" t="s">
        <v>304</v>
      </c>
      <c r="L73" s="790" t="s">
        <v>305</v>
      </c>
      <c r="M73" s="790" t="s">
        <v>305</v>
      </c>
      <c r="N73" s="790" t="s">
        <v>304</v>
      </c>
      <c r="O73" t="s">
        <v>1334</v>
      </c>
    </row>
    <row r="74" spans="2:15" x14ac:dyDescent="0.25">
      <c r="B74" s="182" t="s">
        <v>243</v>
      </c>
      <c r="C74" s="372">
        <v>0</v>
      </c>
      <c r="D74" s="372">
        <v>90</v>
      </c>
      <c r="E74" s="372">
        <v>90</v>
      </c>
      <c r="F74" s="372">
        <v>90</v>
      </c>
      <c r="G74" s="372">
        <v>90</v>
      </c>
      <c r="H74" s="113" t="s">
        <v>241</v>
      </c>
      <c r="J74" s="790" t="s">
        <v>305</v>
      </c>
      <c r="K74" s="1123" t="s">
        <v>304</v>
      </c>
      <c r="L74" s="790" t="s">
        <v>305</v>
      </c>
      <c r="M74" s="790" t="s">
        <v>305</v>
      </c>
      <c r="N74" s="790" t="s">
        <v>304</v>
      </c>
      <c r="O74" t="s">
        <v>1334</v>
      </c>
    </row>
    <row r="75" spans="2:15" ht="25" x14ac:dyDescent="0.25">
      <c r="B75" s="183" t="s">
        <v>244</v>
      </c>
      <c r="C75" s="372">
        <v>0</v>
      </c>
      <c r="D75" s="372">
        <v>0.75</v>
      </c>
      <c r="E75" s="372">
        <v>0.75</v>
      </c>
      <c r="F75" s="372">
        <v>0.75</v>
      </c>
      <c r="G75" s="372">
        <v>0.75</v>
      </c>
      <c r="H75" s="113" t="s">
        <v>238</v>
      </c>
      <c r="J75" s="790" t="s">
        <v>305</v>
      </c>
      <c r="K75" s="1123" t="s">
        <v>304</v>
      </c>
      <c r="L75" s="790" t="s">
        <v>305</v>
      </c>
      <c r="M75" s="790" t="s">
        <v>305</v>
      </c>
      <c r="N75" s="790" t="s">
        <v>304</v>
      </c>
      <c r="O75" t="s">
        <v>1334</v>
      </c>
    </row>
    <row r="76" spans="2:15" ht="37.5" x14ac:dyDescent="0.25">
      <c r="B76" s="182" t="s">
        <v>245</v>
      </c>
      <c r="C76" s="372">
        <v>0</v>
      </c>
      <c r="D76" s="372">
        <v>0.5</v>
      </c>
      <c r="E76" s="372">
        <v>0.5</v>
      </c>
      <c r="F76" s="372">
        <v>0.5</v>
      </c>
      <c r="G76" s="372">
        <v>0.5</v>
      </c>
      <c r="H76" s="113" t="s">
        <v>238</v>
      </c>
      <c r="J76" s="790" t="s">
        <v>305</v>
      </c>
      <c r="K76" s="1123" t="s">
        <v>304</v>
      </c>
      <c r="L76" s="790" t="s">
        <v>305</v>
      </c>
      <c r="M76" s="790" t="s">
        <v>305</v>
      </c>
      <c r="N76" s="790" t="s">
        <v>304</v>
      </c>
      <c r="O76" t="s">
        <v>1334</v>
      </c>
    </row>
    <row r="77" spans="2:15" x14ac:dyDescent="0.25">
      <c r="B77" s="182" t="s">
        <v>246</v>
      </c>
      <c r="C77" s="372">
        <v>0</v>
      </c>
      <c r="D77" s="372">
        <v>400</v>
      </c>
      <c r="E77" s="372">
        <v>400</v>
      </c>
      <c r="F77" s="372">
        <v>400</v>
      </c>
      <c r="G77" s="372">
        <v>400</v>
      </c>
      <c r="H77" s="113" t="s">
        <v>241</v>
      </c>
      <c r="J77" s="790" t="s">
        <v>305</v>
      </c>
      <c r="K77" s="1123" t="s">
        <v>304</v>
      </c>
      <c r="L77" s="790" t="s">
        <v>305</v>
      </c>
      <c r="M77" s="790" t="s">
        <v>305</v>
      </c>
      <c r="N77" s="790" t="s">
        <v>304</v>
      </c>
      <c r="O77" t="s">
        <v>1334</v>
      </c>
    </row>
    <row r="78" spans="2:15" x14ac:dyDescent="0.25">
      <c r="B78" s="182" t="s">
        <v>247</v>
      </c>
      <c r="C78" s="372">
        <v>0</v>
      </c>
      <c r="D78" s="372">
        <v>800</v>
      </c>
      <c r="E78" s="372">
        <v>800</v>
      </c>
      <c r="F78" s="372">
        <v>800</v>
      </c>
      <c r="G78" s="372">
        <v>800</v>
      </c>
      <c r="H78" s="113" t="s">
        <v>241</v>
      </c>
      <c r="J78" s="790" t="s">
        <v>305</v>
      </c>
      <c r="K78" s="1123" t="s">
        <v>304</v>
      </c>
      <c r="L78" s="790" t="s">
        <v>305</v>
      </c>
      <c r="M78" s="790" t="s">
        <v>305</v>
      </c>
      <c r="N78" s="790" t="s">
        <v>304</v>
      </c>
      <c r="O78" t="s">
        <v>1334</v>
      </c>
    </row>
    <row r="79" spans="2:15" ht="38" thickBot="1" x14ac:dyDescent="0.3">
      <c r="B79" s="181" t="s">
        <v>248</v>
      </c>
      <c r="C79" s="107">
        <v>60</v>
      </c>
      <c r="D79" s="107">
        <v>0</v>
      </c>
      <c r="E79" s="107">
        <v>0</v>
      </c>
      <c r="F79" s="107">
        <v>0</v>
      </c>
      <c r="G79" s="107">
        <v>0</v>
      </c>
      <c r="H79" s="114" t="s">
        <v>241</v>
      </c>
      <c r="J79" s="790" t="s">
        <v>305</v>
      </c>
      <c r="K79" s="1123" t="s">
        <v>304</v>
      </c>
      <c r="L79" s="790" t="s">
        <v>305</v>
      </c>
      <c r="M79" s="790" t="s">
        <v>305</v>
      </c>
      <c r="N79" s="790" t="s">
        <v>304</v>
      </c>
      <c r="O79" t="s">
        <v>1334</v>
      </c>
    </row>
    <row r="85" spans="2:14" x14ac:dyDescent="0.25">
      <c r="B85">
        <v>1</v>
      </c>
      <c r="C85" s="748">
        <v>2</v>
      </c>
      <c r="D85">
        <v>3</v>
      </c>
      <c r="E85" s="748">
        <v>4</v>
      </c>
      <c r="F85">
        <v>5</v>
      </c>
      <c r="G85" s="748">
        <v>6</v>
      </c>
      <c r="H85">
        <v>7</v>
      </c>
      <c r="I85" s="748">
        <v>8</v>
      </c>
      <c r="J85">
        <v>9</v>
      </c>
      <c r="K85" s="748">
        <v>10</v>
      </c>
      <c r="L85">
        <v>11</v>
      </c>
      <c r="M85" s="748">
        <v>12</v>
      </c>
      <c r="N85" s="748"/>
    </row>
    <row r="87" spans="2:14" ht="13" x14ac:dyDescent="0.3">
      <c r="B87" s="1819" t="s">
        <v>207</v>
      </c>
      <c r="C87" s="1820"/>
      <c r="D87" s="1820"/>
      <c r="E87" s="1820"/>
      <c r="F87" s="1820"/>
      <c r="G87" s="1820"/>
      <c r="H87" s="1820"/>
    </row>
    <row r="88" spans="2:14" ht="13" thickBot="1" x14ac:dyDescent="0.3"/>
    <row r="89" spans="2:14" ht="13" x14ac:dyDescent="0.25">
      <c r="B89" s="108" t="s">
        <v>208</v>
      </c>
      <c r="C89" s="1817"/>
      <c r="D89" s="1817"/>
      <c r="E89" s="1817"/>
      <c r="F89" s="1817"/>
      <c r="G89" s="1817"/>
      <c r="H89" s="1818"/>
    </row>
    <row r="90" spans="2:14" x14ac:dyDescent="0.25">
      <c r="B90" s="109" t="s">
        <v>209</v>
      </c>
      <c r="C90" s="371">
        <f>C99</f>
        <v>0</v>
      </c>
      <c r="D90" s="1826" t="s">
        <v>50</v>
      </c>
      <c r="E90" s="1826"/>
      <c r="F90" s="1826"/>
      <c r="G90" s="1826"/>
      <c r="H90" s="1827"/>
    </row>
    <row r="91" spans="2:14" x14ac:dyDescent="0.25">
      <c r="B91" s="109" t="s">
        <v>210</v>
      </c>
      <c r="C91" s="371">
        <f>D99</f>
        <v>350</v>
      </c>
      <c r="D91" s="1826" t="s">
        <v>51</v>
      </c>
      <c r="E91" s="1826"/>
      <c r="F91" s="1826"/>
      <c r="G91" s="1826"/>
      <c r="H91" s="1827"/>
    </row>
    <row r="92" spans="2:14" x14ac:dyDescent="0.25">
      <c r="B92" s="109" t="s">
        <v>211</v>
      </c>
      <c r="C92" s="371">
        <f>E99</f>
        <v>400</v>
      </c>
      <c r="D92" s="1826" t="s">
        <v>52</v>
      </c>
      <c r="E92" s="1826"/>
      <c r="F92" s="1826"/>
      <c r="G92" s="1826"/>
      <c r="H92" s="1827"/>
    </row>
    <row r="93" spans="2:14" x14ac:dyDescent="0.25">
      <c r="B93" s="109" t="s">
        <v>212</v>
      </c>
      <c r="C93" s="371">
        <f>F99</f>
        <v>500</v>
      </c>
      <c r="D93" s="1826" t="s">
        <v>54</v>
      </c>
      <c r="E93" s="1826"/>
      <c r="F93" s="1826"/>
      <c r="G93" s="1826"/>
      <c r="H93" s="1827"/>
    </row>
    <row r="94" spans="2:14" ht="13" thickBot="1" x14ac:dyDescent="0.3">
      <c r="B94" s="110" t="s">
        <v>213</v>
      </c>
      <c r="C94" s="225">
        <f>G99</f>
        <v>900</v>
      </c>
      <c r="D94" s="1828" t="s">
        <v>56</v>
      </c>
      <c r="E94" s="1828"/>
      <c r="F94" s="1828"/>
      <c r="G94" s="1828"/>
      <c r="H94" s="1829"/>
    </row>
    <row r="96" spans="2:14" ht="13" x14ac:dyDescent="0.3">
      <c r="B96" s="1819" t="s">
        <v>214</v>
      </c>
      <c r="C96" s="1820"/>
      <c r="D96" s="1820"/>
      <c r="E96" s="1820"/>
      <c r="F96" s="1820"/>
      <c r="G96" s="1820"/>
      <c r="H96" s="1820"/>
    </row>
    <row r="97" spans="2:15" ht="13" thickBot="1" x14ac:dyDescent="0.3">
      <c r="J97" s="1810" t="s">
        <v>1071</v>
      </c>
      <c r="K97" s="1810" t="s">
        <v>1337</v>
      </c>
      <c r="L97" s="1810" t="s">
        <v>1338</v>
      </c>
      <c r="M97" s="1810" t="s">
        <v>1339</v>
      </c>
      <c r="N97" s="1810" t="s">
        <v>1090</v>
      </c>
    </row>
    <row r="98" spans="2:15" ht="13" x14ac:dyDescent="0.3">
      <c r="B98" s="185"/>
      <c r="C98" s="104" t="s">
        <v>209</v>
      </c>
      <c r="D98" s="104" t="s">
        <v>210</v>
      </c>
      <c r="E98" s="104" t="s">
        <v>211</v>
      </c>
      <c r="F98" s="104" t="s">
        <v>212</v>
      </c>
      <c r="G98" s="104" t="s">
        <v>213</v>
      </c>
      <c r="H98" s="105" t="s">
        <v>215</v>
      </c>
      <c r="J98" s="1810"/>
      <c r="K98" s="1810"/>
      <c r="L98" s="1810"/>
      <c r="M98" s="1810"/>
      <c r="N98" s="1810"/>
    </row>
    <row r="99" spans="2:15" x14ac:dyDescent="0.25">
      <c r="B99" s="184" t="s">
        <v>22</v>
      </c>
      <c r="C99" s="372">
        <v>0</v>
      </c>
      <c r="D99" s="372">
        <v>350</v>
      </c>
      <c r="E99" s="372">
        <v>400</v>
      </c>
      <c r="F99" s="372">
        <v>500</v>
      </c>
      <c r="G99" s="372">
        <v>900</v>
      </c>
      <c r="H99" s="106" t="s">
        <v>216</v>
      </c>
      <c r="J99" s="1810"/>
      <c r="K99" s="1810"/>
      <c r="L99" s="1810"/>
      <c r="M99" s="1810"/>
      <c r="N99" s="1810"/>
    </row>
    <row r="100" spans="2:15" ht="13" x14ac:dyDescent="0.3">
      <c r="B100" s="1821" t="s">
        <v>217</v>
      </c>
      <c r="C100" s="1822"/>
      <c r="D100" s="1822"/>
      <c r="E100" s="1822"/>
      <c r="F100" s="1822"/>
      <c r="G100" s="1822"/>
      <c r="H100" s="1823"/>
      <c r="J100" s="1810"/>
      <c r="K100" s="1810"/>
      <c r="L100" s="1810"/>
      <c r="M100" s="1810"/>
      <c r="N100" s="1810"/>
    </row>
    <row r="101" spans="2:15" x14ac:dyDescent="0.25">
      <c r="B101" s="180" t="s">
        <v>219</v>
      </c>
      <c r="C101" s="372">
        <v>0</v>
      </c>
      <c r="D101" s="372">
        <v>0.03</v>
      </c>
      <c r="E101" s="372">
        <v>0.04</v>
      </c>
      <c r="F101" s="372">
        <v>0.06</v>
      </c>
      <c r="G101" s="372">
        <v>0.08</v>
      </c>
      <c r="H101" s="113" t="s">
        <v>218</v>
      </c>
      <c r="J101" s="790" t="s">
        <v>305</v>
      </c>
      <c r="K101" s="703" t="s">
        <v>304</v>
      </c>
      <c r="L101" s="790" t="s">
        <v>305</v>
      </c>
      <c r="M101" s="790" t="s">
        <v>305</v>
      </c>
      <c r="N101" s="790" t="s">
        <v>305</v>
      </c>
      <c r="O101" s="70" t="s">
        <v>1104</v>
      </c>
    </row>
    <row r="102" spans="2:15" x14ac:dyDescent="0.25">
      <c r="B102" s="180" t="s">
        <v>1086</v>
      </c>
      <c r="C102" s="372">
        <v>0</v>
      </c>
      <c r="D102" s="372">
        <v>0.5</v>
      </c>
      <c r="E102" s="372">
        <v>0.5</v>
      </c>
      <c r="F102" s="372">
        <v>0.6</v>
      </c>
      <c r="G102" s="372">
        <v>0.7</v>
      </c>
      <c r="H102" s="113" t="s">
        <v>220</v>
      </c>
      <c r="J102" s="790" t="s">
        <v>305</v>
      </c>
      <c r="K102" s="703" t="s">
        <v>304</v>
      </c>
      <c r="L102" s="790" t="s">
        <v>305</v>
      </c>
      <c r="M102" s="703" t="s">
        <v>304</v>
      </c>
      <c r="N102" s="790" t="s">
        <v>305</v>
      </c>
      <c r="O102" s="70" t="s">
        <v>1105</v>
      </c>
    </row>
    <row r="103" spans="2:15" x14ac:dyDescent="0.25">
      <c r="B103" s="180" t="s">
        <v>1089</v>
      </c>
      <c r="C103" s="372">
        <v>0</v>
      </c>
      <c r="D103" s="372">
        <v>0.1</v>
      </c>
      <c r="E103" s="372">
        <v>0.1</v>
      </c>
      <c r="F103" s="372">
        <v>0.11</v>
      </c>
      <c r="G103" s="372">
        <v>0.14000000000000001</v>
      </c>
      <c r="H103" s="113" t="s">
        <v>218</v>
      </c>
      <c r="J103" s="790" t="s">
        <v>305</v>
      </c>
      <c r="K103" s="703" t="s">
        <v>304</v>
      </c>
      <c r="L103" s="790" t="s">
        <v>305</v>
      </c>
      <c r="M103" s="703" t="s">
        <v>304</v>
      </c>
      <c r="N103" s="790" t="s">
        <v>305</v>
      </c>
      <c r="O103" s="70" t="s">
        <v>1105</v>
      </c>
    </row>
    <row r="104" spans="2:15" x14ac:dyDescent="0.25">
      <c r="B104" s="180" t="s">
        <v>223</v>
      </c>
      <c r="C104" s="372">
        <v>0</v>
      </c>
      <c r="D104" s="372">
        <v>0.65</v>
      </c>
      <c r="E104" s="372">
        <v>0.65</v>
      </c>
      <c r="F104" s="372">
        <v>0.75</v>
      </c>
      <c r="G104" s="372">
        <v>0.95</v>
      </c>
      <c r="H104" s="113" t="s">
        <v>218</v>
      </c>
      <c r="J104" s="790" t="s">
        <v>305</v>
      </c>
      <c r="K104" s="703" t="s">
        <v>304</v>
      </c>
      <c r="L104" s="790" t="s">
        <v>305</v>
      </c>
      <c r="M104" s="703" t="s">
        <v>304</v>
      </c>
      <c r="N104" s="790" t="s">
        <v>305</v>
      </c>
      <c r="O104" s="70" t="s">
        <v>1105</v>
      </c>
    </row>
    <row r="105" spans="2:15" x14ac:dyDescent="0.25">
      <c r="B105" s="180" t="s">
        <v>224</v>
      </c>
      <c r="C105" s="372">
        <v>0</v>
      </c>
      <c r="D105" s="372">
        <v>0.6</v>
      </c>
      <c r="E105" s="372">
        <v>0.7</v>
      </c>
      <c r="F105" s="372">
        <v>0.7</v>
      </c>
      <c r="G105" s="372">
        <v>0.7</v>
      </c>
      <c r="H105" s="113" t="s">
        <v>218</v>
      </c>
      <c r="J105" s="790" t="s">
        <v>305</v>
      </c>
      <c r="K105" s="703" t="s">
        <v>304</v>
      </c>
      <c r="L105" s="790" t="s">
        <v>305</v>
      </c>
      <c r="M105" s="703" t="s">
        <v>304</v>
      </c>
      <c r="N105" s="790" t="s">
        <v>305</v>
      </c>
      <c r="O105" s="70" t="s">
        <v>1105</v>
      </c>
    </row>
    <row r="106" spans="2:15" x14ac:dyDescent="0.25">
      <c r="B106" s="180" t="s">
        <v>225</v>
      </c>
      <c r="C106" s="372">
        <v>0</v>
      </c>
      <c r="D106" s="372">
        <v>0.12</v>
      </c>
      <c r="E106" s="372">
        <v>0.12</v>
      </c>
      <c r="F106" s="372">
        <v>0.14000000000000001</v>
      </c>
      <c r="G106" s="372">
        <v>0.21</v>
      </c>
      <c r="H106" s="113" t="s">
        <v>218</v>
      </c>
      <c r="J106" s="790" t="s">
        <v>305</v>
      </c>
      <c r="K106" s="703" t="s">
        <v>304</v>
      </c>
      <c r="L106" s="790" t="s">
        <v>305</v>
      </c>
      <c r="M106" s="703" t="s">
        <v>304</v>
      </c>
      <c r="N106" s="790" t="s">
        <v>305</v>
      </c>
      <c r="O106" s="70" t="s">
        <v>1105</v>
      </c>
    </row>
    <row r="107" spans="2:15" x14ac:dyDescent="0.25">
      <c r="B107" s="180" t="s">
        <v>226</v>
      </c>
      <c r="C107" s="372">
        <v>0</v>
      </c>
      <c r="D107" s="372">
        <v>0.03</v>
      </c>
      <c r="E107" s="372">
        <v>0.04</v>
      </c>
      <c r="F107" s="372">
        <v>0.04</v>
      </c>
      <c r="G107" s="372">
        <v>0.04</v>
      </c>
      <c r="H107" s="113" t="s">
        <v>218</v>
      </c>
      <c r="J107" s="790" t="s">
        <v>305</v>
      </c>
      <c r="K107" s="790" t="s">
        <v>305</v>
      </c>
      <c r="L107" s="790" t="s">
        <v>304</v>
      </c>
      <c r="M107" s="703" t="s">
        <v>304</v>
      </c>
      <c r="N107" s="790" t="s">
        <v>305</v>
      </c>
      <c r="O107" s="70" t="s">
        <v>1106</v>
      </c>
    </row>
    <row r="108" spans="2:15" x14ac:dyDescent="0.25">
      <c r="B108" s="182" t="s">
        <v>228</v>
      </c>
      <c r="C108" s="372">
        <v>0</v>
      </c>
      <c r="D108" s="372">
        <v>14</v>
      </c>
      <c r="E108" s="372">
        <v>14</v>
      </c>
      <c r="F108" s="372">
        <v>21</v>
      </c>
      <c r="G108" s="372">
        <v>21</v>
      </c>
      <c r="H108" s="113" t="s">
        <v>220</v>
      </c>
      <c r="J108" s="790" t="s">
        <v>305</v>
      </c>
      <c r="K108" s="703" t="s">
        <v>304</v>
      </c>
      <c r="L108" s="790" t="s">
        <v>305</v>
      </c>
      <c r="M108" s="703" t="s">
        <v>304</v>
      </c>
      <c r="N108" s="790" t="s">
        <v>305</v>
      </c>
      <c r="O108" s="70" t="s">
        <v>1105</v>
      </c>
    </row>
    <row r="109" spans="2:15" x14ac:dyDescent="0.25">
      <c r="B109" s="180" t="s">
        <v>230</v>
      </c>
      <c r="C109" s="372">
        <v>0</v>
      </c>
      <c r="D109" s="372">
        <v>0.2</v>
      </c>
      <c r="E109" s="372">
        <v>0.25</v>
      </c>
      <c r="F109" s="372">
        <v>0.4</v>
      </c>
      <c r="G109" s="372">
        <v>0.4</v>
      </c>
      <c r="H109" s="113" t="s">
        <v>218</v>
      </c>
      <c r="J109" s="790" t="s">
        <v>305</v>
      </c>
      <c r="K109" s="703" t="s">
        <v>304</v>
      </c>
      <c r="L109" s="790" t="s">
        <v>305</v>
      </c>
      <c r="M109" s="703" t="s">
        <v>304</v>
      </c>
      <c r="N109" s="790" t="s">
        <v>305</v>
      </c>
      <c r="O109" s="70" t="s">
        <v>1105</v>
      </c>
    </row>
    <row r="110" spans="2:15" x14ac:dyDescent="0.25">
      <c r="B110" s="226" t="s">
        <v>231</v>
      </c>
      <c r="C110" s="372">
        <v>0</v>
      </c>
      <c r="D110" s="372">
        <v>0.35</v>
      </c>
      <c r="E110" s="372">
        <v>0.35</v>
      </c>
      <c r="F110" s="372">
        <v>0.35</v>
      </c>
      <c r="G110" s="372">
        <v>0.35</v>
      </c>
      <c r="H110" s="113" t="s">
        <v>218</v>
      </c>
      <c r="J110" s="790" t="s">
        <v>305</v>
      </c>
      <c r="K110" s="703" t="s">
        <v>304</v>
      </c>
      <c r="L110" s="790" t="s">
        <v>305</v>
      </c>
      <c r="M110" s="703" t="s">
        <v>304</v>
      </c>
      <c r="N110" s="790" t="s">
        <v>305</v>
      </c>
      <c r="O110" s="70" t="s">
        <v>1105</v>
      </c>
    </row>
    <row r="111" spans="2:15" x14ac:dyDescent="0.25">
      <c r="B111" s="180" t="s">
        <v>232</v>
      </c>
      <c r="C111" s="372">
        <v>0</v>
      </c>
      <c r="D111" s="372">
        <v>0.4</v>
      </c>
      <c r="E111" s="372">
        <v>0.4</v>
      </c>
      <c r="F111" s="372">
        <v>0.6</v>
      </c>
      <c r="G111" s="372">
        <v>0.7</v>
      </c>
      <c r="H111" s="113" t="s">
        <v>218</v>
      </c>
      <c r="J111" s="790" t="s">
        <v>305</v>
      </c>
      <c r="K111" s="703" t="s">
        <v>304</v>
      </c>
      <c r="L111" s="790" t="s">
        <v>305</v>
      </c>
      <c r="M111" s="703" t="s">
        <v>304</v>
      </c>
      <c r="N111" s="790" t="s">
        <v>305</v>
      </c>
      <c r="O111" s="70" t="s">
        <v>1105</v>
      </c>
    </row>
    <row r="112" spans="2:15" ht="25" x14ac:dyDescent="0.25">
      <c r="B112" s="182" t="s">
        <v>234</v>
      </c>
      <c r="C112" s="372">
        <v>0</v>
      </c>
      <c r="D112" s="372">
        <v>0.2</v>
      </c>
      <c r="E112" s="372">
        <v>0.2</v>
      </c>
      <c r="F112" s="372">
        <v>0.35</v>
      </c>
      <c r="G112" s="372">
        <v>0.5</v>
      </c>
      <c r="H112" s="113" t="s">
        <v>218</v>
      </c>
      <c r="J112" s="790" t="s">
        <v>305</v>
      </c>
      <c r="K112" s="703" t="s">
        <v>304</v>
      </c>
      <c r="L112" s="790" t="s">
        <v>305</v>
      </c>
      <c r="M112" s="703" t="s">
        <v>304</v>
      </c>
      <c r="N112" s="790" t="s">
        <v>305</v>
      </c>
      <c r="O112" s="70" t="s">
        <v>1105</v>
      </c>
    </row>
    <row r="113" spans="2:15" x14ac:dyDescent="0.25">
      <c r="B113" s="182" t="s">
        <v>236</v>
      </c>
      <c r="C113" s="372">
        <v>0</v>
      </c>
      <c r="D113" s="372">
        <v>0</v>
      </c>
      <c r="E113" s="372">
        <v>7</v>
      </c>
      <c r="F113" s="372">
        <v>7</v>
      </c>
      <c r="G113" s="372">
        <v>21</v>
      </c>
      <c r="H113" s="113" t="s">
        <v>220</v>
      </c>
      <c r="J113" s="790" t="s">
        <v>305</v>
      </c>
      <c r="K113" s="703" t="s">
        <v>304</v>
      </c>
      <c r="L113" s="790" t="s">
        <v>305</v>
      </c>
      <c r="M113" s="703" t="s">
        <v>304</v>
      </c>
      <c r="N113" s="790" t="s">
        <v>305</v>
      </c>
      <c r="O113" s="70" t="s">
        <v>1105</v>
      </c>
    </row>
    <row r="114" spans="2:15" ht="13" x14ac:dyDescent="0.3">
      <c r="B114" s="1821" t="s">
        <v>237</v>
      </c>
      <c r="C114" s="1822"/>
      <c r="D114" s="1822"/>
      <c r="E114" s="1822"/>
      <c r="F114" s="1822"/>
      <c r="G114" s="1822"/>
      <c r="H114" s="1823"/>
      <c r="J114" s="705"/>
      <c r="K114" s="705"/>
      <c r="L114" s="705"/>
      <c r="M114" s="705"/>
      <c r="N114" s="705"/>
    </row>
    <row r="115" spans="2:15" x14ac:dyDescent="0.25">
      <c r="B115" s="182" t="s">
        <v>1088</v>
      </c>
      <c r="C115" s="372">
        <v>0</v>
      </c>
      <c r="D115" s="372">
        <v>0</v>
      </c>
      <c r="E115" s="372">
        <v>0.1</v>
      </c>
      <c r="F115" s="372">
        <v>0.15</v>
      </c>
      <c r="G115" s="372">
        <v>0.2</v>
      </c>
      <c r="H115" s="113" t="s">
        <v>238</v>
      </c>
      <c r="J115" s="790" t="s">
        <v>305</v>
      </c>
      <c r="K115" s="790" t="s">
        <v>305</v>
      </c>
      <c r="L115" s="703" t="s">
        <v>304</v>
      </c>
      <c r="M115" s="703" t="s">
        <v>304</v>
      </c>
      <c r="N115" s="790" t="s">
        <v>305</v>
      </c>
      <c r="O115" s="70" t="s">
        <v>1106</v>
      </c>
    </row>
    <row r="116" spans="2:15" x14ac:dyDescent="0.25">
      <c r="B116" s="182" t="s">
        <v>1087</v>
      </c>
      <c r="C116" s="372">
        <v>0</v>
      </c>
      <c r="D116" s="372">
        <v>0</v>
      </c>
      <c r="E116" s="372">
        <v>2.5</v>
      </c>
      <c r="F116" s="372">
        <v>3.75</v>
      </c>
      <c r="G116" s="372">
        <v>5</v>
      </c>
      <c r="H116" s="113" t="s">
        <v>220</v>
      </c>
      <c r="J116" s="790" t="s">
        <v>305</v>
      </c>
      <c r="K116" s="790" t="s">
        <v>305</v>
      </c>
      <c r="L116" s="703" t="s">
        <v>304</v>
      </c>
      <c r="M116" s="703" t="s">
        <v>304</v>
      </c>
      <c r="N116" s="790" t="s">
        <v>305</v>
      </c>
      <c r="O116" s="70" t="s">
        <v>1106</v>
      </c>
    </row>
    <row r="117" spans="2:15" x14ac:dyDescent="0.25">
      <c r="B117" s="182" t="s">
        <v>242</v>
      </c>
      <c r="C117" s="372">
        <v>0</v>
      </c>
      <c r="D117" s="372">
        <v>270</v>
      </c>
      <c r="E117" s="372">
        <v>270</v>
      </c>
      <c r="F117" s="372">
        <v>270</v>
      </c>
      <c r="G117" s="372">
        <v>270</v>
      </c>
      <c r="H117" s="113" t="s">
        <v>241</v>
      </c>
      <c r="J117" s="790" t="s">
        <v>305</v>
      </c>
      <c r="K117" s="703" t="s">
        <v>304</v>
      </c>
      <c r="L117" s="790" t="s">
        <v>305</v>
      </c>
      <c r="M117" s="703" t="s">
        <v>304</v>
      </c>
      <c r="N117" s="790" t="s">
        <v>305</v>
      </c>
      <c r="O117" s="70" t="s">
        <v>1105</v>
      </c>
    </row>
    <row r="118" spans="2:15" x14ac:dyDescent="0.25">
      <c r="B118" s="182" t="s">
        <v>243</v>
      </c>
      <c r="C118" s="372">
        <v>0</v>
      </c>
      <c r="D118" s="372">
        <v>90</v>
      </c>
      <c r="E118" s="372">
        <v>90</v>
      </c>
      <c r="F118" s="372">
        <v>90</v>
      </c>
      <c r="G118" s="372">
        <v>90</v>
      </c>
      <c r="H118" s="113" t="s">
        <v>241</v>
      </c>
      <c r="J118" s="790" t="s">
        <v>305</v>
      </c>
      <c r="K118" s="703" t="s">
        <v>304</v>
      </c>
      <c r="L118" s="790" t="s">
        <v>305</v>
      </c>
      <c r="M118" s="703" t="s">
        <v>304</v>
      </c>
      <c r="N118" s="790" t="s">
        <v>305</v>
      </c>
      <c r="O118" s="70" t="s">
        <v>1105</v>
      </c>
    </row>
    <row r="119" spans="2:15" ht="25" x14ac:dyDescent="0.25">
      <c r="B119" s="183" t="s">
        <v>244</v>
      </c>
      <c r="C119" s="372">
        <v>0</v>
      </c>
      <c r="D119" s="372">
        <v>0.75</v>
      </c>
      <c r="E119" s="372">
        <v>0.75</v>
      </c>
      <c r="F119" s="372">
        <v>0.75</v>
      </c>
      <c r="G119" s="372">
        <v>0.75</v>
      </c>
      <c r="H119" s="113" t="s">
        <v>238</v>
      </c>
      <c r="J119" s="790" t="s">
        <v>305</v>
      </c>
      <c r="K119" s="703" t="s">
        <v>304</v>
      </c>
      <c r="L119" s="790" t="s">
        <v>305</v>
      </c>
      <c r="M119" s="703" t="s">
        <v>304</v>
      </c>
      <c r="N119" s="790" t="s">
        <v>305</v>
      </c>
      <c r="O119" s="70" t="s">
        <v>1105</v>
      </c>
    </row>
    <row r="120" spans="2:15" ht="37.5" x14ac:dyDescent="0.25">
      <c r="B120" s="182" t="s">
        <v>245</v>
      </c>
      <c r="C120" s="372">
        <v>0</v>
      </c>
      <c r="D120" s="372">
        <v>0.5</v>
      </c>
      <c r="E120" s="372">
        <v>0.5</v>
      </c>
      <c r="F120" s="372">
        <v>0.5</v>
      </c>
      <c r="G120" s="372">
        <v>0.5</v>
      </c>
      <c r="H120" s="113" t="s">
        <v>238</v>
      </c>
      <c r="J120" s="790" t="s">
        <v>305</v>
      </c>
      <c r="K120" s="703" t="s">
        <v>304</v>
      </c>
      <c r="L120" s="790" t="s">
        <v>305</v>
      </c>
      <c r="M120" s="703" t="s">
        <v>304</v>
      </c>
      <c r="N120" s="790" t="s">
        <v>305</v>
      </c>
      <c r="O120" s="70" t="s">
        <v>1105</v>
      </c>
    </row>
    <row r="121" spans="2:15" x14ac:dyDescent="0.25">
      <c r="B121" s="182" t="s">
        <v>246</v>
      </c>
      <c r="C121" s="372">
        <v>0</v>
      </c>
      <c r="D121" s="372">
        <v>400</v>
      </c>
      <c r="E121" s="372">
        <v>400</v>
      </c>
      <c r="F121" s="372">
        <v>400</v>
      </c>
      <c r="G121" s="372">
        <v>400</v>
      </c>
      <c r="H121" s="113" t="s">
        <v>241</v>
      </c>
      <c r="J121" s="790" t="s">
        <v>305</v>
      </c>
      <c r="K121" s="703" t="s">
        <v>304</v>
      </c>
      <c r="L121" s="790" t="s">
        <v>305</v>
      </c>
      <c r="M121" s="703" t="s">
        <v>304</v>
      </c>
      <c r="N121" s="790" t="s">
        <v>305</v>
      </c>
      <c r="O121" s="70" t="s">
        <v>1105</v>
      </c>
    </row>
    <row r="122" spans="2:15" x14ac:dyDescent="0.25">
      <c r="B122" s="182" t="s">
        <v>247</v>
      </c>
      <c r="C122" s="372">
        <v>0</v>
      </c>
      <c r="D122" s="372">
        <v>800</v>
      </c>
      <c r="E122" s="372">
        <v>800</v>
      </c>
      <c r="F122" s="372">
        <v>800</v>
      </c>
      <c r="G122" s="372">
        <v>800</v>
      </c>
      <c r="H122" s="113" t="s">
        <v>241</v>
      </c>
      <c r="J122" s="790" t="s">
        <v>305</v>
      </c>
      <c r="K122" s="703" t="s">
        <v>304</v>
      </c>
      <c r="L122" s="790" t="s">
        <v>305</v>
      </c>
      <c r="M122" s="790" t="s">
        <v>305</v>
      </c>
      <c r="N122" s="790" t="s">
        <v>305</v>
      </c>
      <c r="O122" s="70" t="s">
        <v>1104</v>
      </c>
    </row>
    <row r="123" spans="2:15" ht="38" thickBot="1" x14ac:dyDescent="0.3">
      <c r="B123" s="181" t="s">
        <v>248</v>
      </c>
      <c r="C123" s="107">
        <v>60</v>
      </c>
      <c r="D123" s="107">
        <v>0</v>
      </c>
      <c r="E123" s="107">
        <v>0</v>
      </c>
      <c r="F123" s="107">
        <v>0</v>
      </c>
      <c r="G123" s="107">
        <v>0</v>
      </c>
      <c r="H123" s="114" t="s">
        <v>241</v>
      </c>
      <c r="J123" s="790" t="s">
        <v>305</v>
      </c>
      <c r="K123" s="703" t="s">
        <v>304</v>
      </c>
      <c r="L123" s="790" t="s">
        <v>305</v>
      </c>
      <c r="M123" s="703" t="s">
        <v>304</v>
      </c>
      <c r="N123" s="790" t="s">
        <v>305</v>
      </c>
      <c r="O123" s="70" t="s">
        <v>1105</v>
      </c>
    </row>
    <row r="128" spans="2:15" ht="13" x14ac:dyDescent="0.3">
      <c r="B128" s="1819" t="s">
        <v>946</v>
      </c>
      <c r="C128" s="1820"/>
      <c r="D128" s="1820"/>
      <c r="E128" s="1820"/>
      <c r="F128" s="1820"/>
      <c r="G128" s="1820"/>
      <c r="H128" s="1820"/>
    </row>
    <row r="129" spans="2:15" ht="13" thickBot="1" x14ac:dyDescent="0.3"/>
    <row r="130" spans="2:15" ht="13" x14ac:dyDescent="0.25">
      <c r="B130" s="108" t="s">
        <v>208</v>
      </c>
      <c r="C130" s="1817"/>
      <c r="D130" s="1817"/>
      <c r="E130" s="1817"/>
      <c r="F130" s="1817"/>
      <c r="G130" s="1817"/>
      <c r="H130" s="1818"/>
    </row>
    <row r="131" spans="2:15" x14ac:dyDescent="0.25">
      <c r="B131" s="109" t="s">
        <v>209</v>
      </c>
      <c r="C131" s="371">
        <f>C140</f>
        <v>0</v>
      </c>
      <c r="D131" s="1826" t="s">
        <v>50</v>
      </c>
      <c r="E131" s="1826"/>
      <c r="F131" s="1826"/>
      <c r="G131" s="1826"/>
      <c r="H131" s="1827"/>
    </row>
    <row r="132" spans="2:15" x14ac:dyDescent="0.25">
      <c r="B132" s="109" t="s">
        <v>210</v>
      </c>
      <c r="C132" s="371">
        <f>D140</f>
        <v>350</v>
      </c>
      <c r="D132" s="1826" t="s">
        <v>51</v>
      </c>
      <c r="E132" s="1826"/>
      <c r="F132" s="1826"/>
      <c r="G132" s="1826"/>
      <c r="H132" s="1827"/>
    </row>
    <row r="133" spans="2:15" x14ac:dyDescent="0.25">
      <c r="B133" s="109" t="s">
        <v>211</v>
      </c>
      <c r="C133" s="371">
        <f>E140</f>
        <v>400</v>
      </c>
      <c r="D133" s="1826" t="s">
        <v>52</v>
      </c>
      <c r="E133" s="1826"/>
      <c r="F133" s="1826"/>
      <c r="G133" s="1826"/>
      <c r="H133" s="1827"/>
    </row>
    <row r="134" spans="2:15" x14ac:dyDescent="0.25">
      <c r="B134" s="109" t="s">
        <v>212</v>
      </c>
      <c r="C134" s="371">
        <f>F140</f>
        <v>500</v>
      </c>
      <c r="D134" s="1826" t="s">
        <v>54</v>
      </c>
      <c r="E134" s="1826"/>
      <c r="F134" s="1826"/>
      <c r="G134" s="1826"/>
      <c r="H134" s="1827"/>
    </row>
    <row r="135" spans="2:15" ht="13" thickBot="1" x14ac:dyDescent="0.3">
      <c r="B135" s="110" t="s">
        <v>213</v>
      </c>
      <c r="C135" s="225">
        <f>G140</f>
        <v>900</v>
      </c>
      <c r="D135" s="1828" t="s">
        <v>56</v>
      </c>
      <c r="E135" s="1828"/>
      <c r="F135" s="1828"/>
      <c r="G135" s="1828"/>
      <c r="H135" s="1829"/>
    </row>
    <row r="137" spans="2:15" ht="13" x14ac:dyDescent="0.3">
      <c r="B137" s="1819" t="s">
        <v>214</v>
      </c>
      <c r="C137" s="1820"/>
      <c r="D137" s="1820"/>
      <c r="E137" s="1820"/>
      <c r="F137" s="1820"/>
      <c r="G137" s="1820"/>
      <c r="H137" s="1820"/>
    </row>
    <row r="138" spans="2:15" ht="13" thickBot="1" x14ac:dyDescent="0.3">
      <c r="J138" s="1814" t="s">
        <v>1071</v>
      </c>
      <c r="K138" s="1814" t="s">
        <v>1337</v>
      </c>
      <c r="L138" s="1814" t="s">
        <v>1338</v>
      </c>
      <c r="M138" s="1814" t="s">
        <v>1339</v>
      </c>
      <c r="N138" s="1810" t="s">
        <v>1090</v>
      </c>
    </row>
    <row r="139" spans="2:15" ht="13" x14ac:dyDescent="0.3">
      <c r="B139" s="185"/>
      <c r="C139" s="104" t="s">
        <v>209</v>
      </c>
      <c r="D139" s="104" t="s">
        <v>210</v>
      </c>
      <c r="E139" s="104" t="s">
        <v>211</v>
      </c>
      <c r="F139" s="104" t="s">
        <v>212</v>
      </c>
      <c r="G139" s="104" t="s">
        <v>213</v>
      </c>
      <c r="H139" s="105" t="s">
        <v>215</v>
      </c>
      <c r="J139" s="1814"/>
      <c r="K139" s="1814"/>
      <c r="L139" s="1814"/>
      <c r="M139" s="1814"/>
      <c r="N139" s="1810"/>
    </row>
    <row r="140" spans="2:15" x14ac:dyDescent="0.25">
      <c r="B140" s="184" t="s">
        <v>22</v>
      </c>
      <c r="C140" s="372">
        <v>0</v>
      </c>
      <c r="D140" s="372">
        <v>350</v>
      </c>
      <c r="E140" s="372">
        <v>400</v>
      </c>
      <c r="F140" s="372">
        <v>500</v>
      </c>
      <c r="G140" s="372">
        <v>900</v>
      </c>
      <c r="H140" s="106" t="s">
        <v>216</v>
      </c>
      <c r="J140" s="1814"/>
      <c r="K140" s="1814"/>
      <c r="L140" s="1814"/>
      <c r="M140" s="1814"/>
      <c r="N140" s="1810"/>
    </row>
    <row r="141" spans="2:15" ht="13" x14ac:dyDescent="0.3">
      <c r="B141" s="1821" t="s">
        <v>217</v>
      </c>
      <c r="C141" s="1822"/>
      <c r="D141" s="1822"/>
      <c r="E141" s="1822"/>
      <c r="F141" s="1822"/>
      <c r="G141" s="1822"/>
      <c r="H141" s="1823"/>
      <c r="J141" s="1814"/>
      <c r="K141" s="1814"/>
      <c r="L141" s="1814"/>
      <c r="M141" s="1814"/>
      <c r="N141" s="1810"/>
    </row>
    <row r="142" spans="2:15" x14ac:dyDescent="0.25">
      <c r="B142" s="180" t="s">
        <v>219</v>
      </c>
      <c r="C142" s="372">
        <v>0</v>
      </c>
      <c r="D142" s="372">
        <v>0.03</v>
      </c>
      <c r="E142" s="372">
        <v>0.04</v>
      </c>
      <c r="F142" s="372">
        <v>0.06</v>
      </c>
      <c r="G142" s="372">
        <v>0.08</v>
      </c>
      <c r="H142" s="113" t="s">
        <v>218</v>
      </c>
      <c r="J142" s="792" t="s">
        <v>305</v>
      </c>
      <c r="K142" s="792" t="s">
        <v>304</v>
      </c>
      <c r="L142" s="792" t="s">
        <v>305</v>
      </c>
      <c r="M142" s="792" t="s">
        <v>305</v>
      </c>
      <c r="N142" s="790" t="s">
        <v>305</v>
      </c>
      <c r="O142" t="s">
        <v>1104</v>
      </c>
    </row>
    <row r="143" spans="2:15" x14ac:dyDescent="0.25">
      <c r="B143" s="180" t="s">
        <v>1086</v>
      </c>
      <c r="C143" s="372">
        <v>0</v>
      </c>
      <c r="D143" s="372">
        <v>0.5</v>
      </c>
      <c r="E143" s="372">
        <v>0.5</v>
      </c>
      <c r="F143" s="372">
        <v>0.6</v>
      </c>
      <c r="G143" s="372">
        <v>0.7</v>
      </c>
      <c r="H143" s="113" t="s">
        <v>220</v>
      </c>
      <c r="J143" s="792" t="s">
        <v>305</v>
      </c>
      <c r="K143" s="792" t="s">
        <v>304</v>
      </c>
      <c r="L143" s="792" t="s">
        <v>305</v>
      </c>
      <c r="M143" s="792" t="s">
        <v>304</v>
      </c>
      <c r="N143" s="790" t="s">
        <v>305</v>
      </c>
      <c r="O143" t="s">
        <v>1105</v>
      </c>
    </row>
    <row r="144" spans="2:15" x14ac:dyDescent="0.25">
      <c r="B144" s="180" t="s">
        <v>1089</v>
      </c>
      <c r="C144" s="372">
        <v>0</v>
      </c>
      <c r="D144" s="372">
        <v>0.1</v>
      </c>
      <c r="E144" s="372">
        <v>0.1</v>
      </c>
      <c r="F144" s="372">
        <v>0.11</v>
      </c>
      <c r="G144" s="372">
        <v>0.14000000000000001</v>
      </c>
      <c r="H144" s="113" t="s">
        <v>218</v>
      </c>
      <c r="J144" s="792" t="s">
        <v>305</v>
      </c>
      <c r="K144" s="792" t="s">
        <v>304</v>
      </c>
      <c r="L144" s="792" t="s">
        <v>305</v>
      </c>
      <c r="M144" s="792" t="s">
        <v>304</v>
      </c>
      <c r="N144" s="790" t="s">
        <v>305</v>
      </c>
      <c r="O144" t="s">
        <v>1105</v>
      </c>
    </row>
    <row r="145" spans="2:15" x14ac:dyDescent="0.25">
      <c r="B145" s="180" t="s">
        <v>223</v>
      </c>
      <c r="C145" s="372">
        <v>0</v>
      </c>
      <c r="D145" s="372">
        <v>0.65</v>
      </c>
      <c r="E145" s="372">
        <v>0.65</v>
      </c>
      <c r="F145" s="372">
        <v>0.75</v>
      </c>
      <c r="G145" s="372">
        <v>0.95</v>
      </c>
      <c r="H145" s="113" t="s">
        <v>218</v>
      </c>
      <c r="J145" s="792" t="s">
        <v>305</v>
      </c>
      <c r="K145" s="792" t="s">
        <v>304</v>
      </c>
      <c r="L145" s="792" t="s">
        <v>305</v>
      </c>
      <c r="M145" s="792" t="s">
        <v>304</v>
      </c>
      <c r="N145" s="790" t="s">
        <v>305</v>
      </c>
      <c r="O145" t="s">
        <v>1105</v>
      </c>
    </row>
    <row r="146" spans="2:15" x14ac:dyDescent="0.25">
      <c r="B146" s="180" t="s">
        <v>224</v>
      </c>
      <c r="C146" s="372">
        <v>0</v>
      </c>
      <c r="D146" s="372">
        <v>0.6</v>
      </c>
      <c r="E146" s="372">
        <v>0.7</v>
      </c>
      <c r="F146" s="372">
        <v>0.7</v>
      </c>
      <c r="G146" s="372">
        <v>0.7</v>
      </c>
      <c r="H146" s="113" t="s">
        <v>218</v>
      </c>
      <c r="J146" s="792" t="s">
        <v>305</v>
      </c>
      <c r="K146" s="792" t="s">
        <v>304</v>
      </c>
      <c r="L146" s="792" t="s">
        <v>305</v>
      </c>
      <c r="M146" s="792" t="s">
        <v>304</v>
      </c>
      <c r="N146" s="790" t="s">
        <v>305</v>
      </c>
      <c r="O146" t="s">
        <v>1105</v>
      </c>
    </row>
    <row r="147" spans="2:15" x14ac:dyDescent="0.25">
      <c r="B147" s="180" t="s">
        <v>225</v>
      </c>
      <c r="C147" s="372">
        <v>0</v>
      </c>
      <c r="D147" s="372">
        <v>0.12</v>
      </c>
      <c r="E147" s="372">
        <v>0.12</v>
      </c>
      <c r="F147" s="372">
        <v>0.14000000000000001</v>
      </c>
      <c r="G147" s="372">
        <v>0.21</v>
      </c>
      <c r="H147" s="113" t="s">
        <v>218</v>
      </c>
      <c r="J147" s="792" t="s">
        <v>305</v>
      </c>
      <c r="K147" s="792" t="s">
        <v>304</v>
      </c>
      <c r="L147" s="792" t="s">
        <v>305</v>
      </c>
      <c r="M147" s="792" t="s">
        <v>304</v>
      </c>
      <c r="N147" s="790" t="s">
        <v>305</v>
      </c>
      <c r="O147" t="s">
        <v>1105</v>
      </c>
    </row>
    <row r="148" spans="2:15" x14ac:dyDescent="0.25">
      <c r="B148" s="180" t="s">
        <v>226</v>
      </c>
      <c r="C148" s="372">
        <v>0</v>
      </c>
      <c r="D148" s="372">
        <v>0.03</v>
      </c>
      <c r="E148" s="372">
        <v>0.04</v>
      </c>
      <c r="F148" s="372">
        <v>0.04</v>
      </c>
      <c r="G148" s="372">
        <v>0.04</v>
      </c>
      <c r="H148" s="113" t="s">
        <v>218</v>
      </c>
      <c r="J148" s="792" t="s">
        <v>305</v>
      </c>
      <c r="K148" s="792" t="s">
        <v>305</v>
      </c>
      <c r="L148" s="792" t="s">
        <v>305</v>
      </c>
      <c r="M148" s="792" t="s">
        <v>304</v>
      </c>
      <c r="N148" s="790" t="s">
        <v>305</v>
      </c>
      <c r="O148" t="s">
        <v>1106</v>
      </c>
    </row>
    <row r="149" spans="2:15" x14ac:dyDescent="0.25">
      <c r="B149" s="182" t="s">
        <v>228</v>
      </c>
      <c r="C149" s="372">
        <v>0</v>
      </c>
      <c r="D149" s="372">
        <v>14</v>
      </c>
      <c r="E149" s="372">
        <v>14</v>
      </c>
      <c r="F149" s="372">
        <v>21</v>
      </c>
      <c r="G149" s="372">
        <v>21</v>
      </c>
      <c r="H149" s="113" t="s">
        <v>220</v>
      </c>
      <c r="J149" s="792" t="s">
        <v>305</v>
      </c>
      <c r="K149" s="792" t="s">
        <v>304</v>
      </c>
      <c r="L149" s="792" t="s">
        <v>305</v>
      </c>
      <c r="M149" s="792" t="s">
        <v>304</v>
      </c>
      <c r="N149" s="790" t="s">
        <v>305</v>
      </c>
      <c r="O149" t="s">
        <v>1105</v>
      </c>
    </row>
    <row r="150" spans="2:15" x14ac:dyDescent="0.25">
      <c r="B150" s="180" t="s">
        <v>230</v>
      </c>
      <c r="C150" s="372">
        <v>0</v>
      </c>
      <c r="D150" s="372">
        <v>0.2</v>
      </c>
      <c r="E150" s="372">
        <v>0.2</v>
      </c>
      <c r="F150" s="372">
        <v>0.2</v>
      </c>
      <c r="G150" s="372">
        <v>0.2</v>
      </c>
      <c r="H150" s="113" t="s">
        <v>218</v>
      </c>
      <c r="J150" s="792" t="s">
        <v>305</v>
      </c>
      <c r="K150" s="792" t="s">
        <v>304</v>
      </c>
      <c r="L150" s="792" t="s">
        <v>305</v>
      </c>
      <c r="M150" s="792" t="s">
        <v>304</v>
      </c>
      <c r="N150" s="790" t="s">
        <v>305</v>
      </c>
      <c r="O150" t="s">
        <v>1105</v>
      </c>
    </row>
    <row r="151" spans="2:15" x14ac:dyDescent="0.25">
      <c r="B151" s="226" t="s">
        <v>231</v>
      </c>
      <c r="C151" s="372">
        <v>0</v>
      </c>
      <c r="D151" s="372">
        <v>0.35</v>
      </c>
      <c r="E151" s="372">
        <v>0.35</v>
      </c>
      <c r="F151" s="372">
        <v>0.35</v>
      </c>
      <c r="G151" s="372">
        <v>0.35</v>
      </c>
      <c r="H151" s="113" t="s">
        <v>218</v>
      </c>
      <c r="J151" s="792" t="s">
        <v>305</v>
      </c>
      <c r="K151" s="792" t="s">
        <v>304</v>
      </c>
      <c r="L151" s="792" t="s">
        <v>305</v>
      </c>
      <c r="M151" s="792" t="s">
        <v>304</v>
      </c>
      <c r="N151" s="790" t="s">
        <v>305</v>
      </c>
      <c r="O151" t="s">
        <v>1105</v>
      </c>
    </row>
    <row r="152" spans="2:15" x14ac:dyDescent="0.25">
      <c r="B152" s="180" t="s">
        <v>232</v>
      </c>
      <c r="C152" s="372">
        <v>0</v>
      </c>
      <c r="D152" s="372">
        <v>0.4</v>
      </c>
      <c r="E152" s="372">
        <v>0.4</v>
      </c>
      <c r="F152" s="372">
        <v>0.6</v>
      </c>
      <c r="G152" s="372">
        <v>0.7</v>
      </c>
      <c r="H152" s="113" t="s">
        <v>218</v>
      </c>
      <c r="J152" s="792" t="s">
        <v>305</v>
      </c>
      <c r="K152" s="792" t="s">
        <v>304</v>
      </c>
      <c r="L152" s="792" t="s">
        <v>305</v>
      </c>
      <c r="M152" s="792" t="s">
        <v>304</v>
      </c>
      <c r="N152" s="790" t="s">
        <v>305</v>
      </c>
      <c r="O152" t="s">
        <v>1105</v>
      </c>
    </row>
    <row r="153" spans="2:15" ht="25" x14ac:dyDescent="0.25">
      <c r="B153" s="182" t="s">
        <v>234</v>
      </c>
      <c r="C153" s="372">
        <v>0</v>
      </c>
      <c r="D153" s="372">
        <v>0.2</v>
      </c>
      <c r="E153" s="372">
        <v>0.2</v>
      </c>
      <c r="F153" s="372">
        <v>0.2</v>
      </c>
      <c r="G153" s="372">
        <v>0.2</v>
      </c>
      <c r="H153" s="113" t="s">
        <v>218</v>
      </c>
      <c r="J153" s="792" t="s">
        <v>305</v>
      </c>
      <c r="K153" s="792" t="s">
        <v>304</v>
      </c>
      <c r="L153" s="792" t="s">
        <v>305</v>
      </c>
      <c r="M153" s="792" t="s">
        <v>304</v>
      </c>
      <c r="N153" s="790" t="s">
        <v>305</v>
      </c>
      <c r="O153" t="s">
        <v>1105</v>
      </c>
    </row>
    <row r="154" spans="2:15" x14ac:dyDescent="0.25">
      <c r="B154" s="182" t="s">
        <v>236</v>
      </c>
      <c r="C154" s="372">
        <v>0</v>
      </c>
      <c r="D154" s="372">
        <v>0</v>
      </c>
      <c r="E154" s="372">
        <v>7</v>
      </c>
      <c r="F154" s="372">
        <v>7</v>
      </c>
      <c r="G154" s="372">
        <v>21</v>
      </c>
      <c r="H154" s="113" t="s">
        <v>220</v>
      </c>
      <c r="J154" s="792" t="s">
        <v>305</v>
      </c>
      <c r="K154" s="792" t="s">
        <v>304</v>
      </c>
      <c r="L154" s="792" t="s">
        <v>305</v>
      </c>
      <c r="M154" s="792" t="s">
        <v>304</v>
      </c>
      <c r="N154" s="790" t="s">
        <v>305</v>
      </c>
      <c r="O154" t="s">
        <v>1105</v>
      </c>
    </row>
    <row r="155" spans="2:15" ht="13" x14ac:dyDescent="0.3">
      <c r="B155" s="1821" t="s">
        <v>237</v>
      </c>
      <c r="C155" s="1822"/>
      <c r="D155" s="1822"/>
      <c r="E155" s="1822"/>
      <c r="F155" s="1822"/>
      <c r="G155" s="1822"/>
      <c r="H155" s="1823"/>
      <c r="J155" s="792"/>
      <c r="K155" s="792"/>
      <c r="L155" s="792"/>
      <c r="M155" s="792"/>
      <c r="N155" s="705"/>
    </row>
    <row r="156" spans="2:15" x14ac:dyDescent="0.25">
      <c r="B156" s="182" t="s">
        <v>1088</v>
      </c>
      <c r="C156" s="372">
        <v>0</v>
      </c>
      <c r="D156" s="372">
        <v>0</v>
      </c>
      <c r="E156" s="372">
        <v>0.1</v>
      </c>
      <c r="F156" s="372">
        <v>0.15</v>
      </c>
      <c r="G156" s="372">
        <v>0.2</v>
      </c>
      <c r="H156" s="1372" t="s">
        <v>238</v>
      </c>
      <c r="J156" s="792" t="s">
        <v>305</v>
      </c>
      <c r="K156" s="792" t="s">
        <v>305</v>
      </c>
      <c r="L156" s="792" t="s">
        <v>304</v>
      </c>
      <c r="M156" s="792" t="s">
        <v>304</v>
      </c>
      <c r="N156" s="790" t="s">
        <v>305</v>
      </c>
      <c r="O156" t="s">
        <v>1106</v>
      </c>
    </row>
    <row r="157" spans="2:15" x14ac:dyDescent="0.25">
      <c r="B157" s="182" t="s">
        <v>1087</v>
      </c>
      <c r="C157" s="372">
        <v>0</v>
      </c>
      <c r="D157" s="372">
        <v>0</v>
      </c>
      <c r="E157" s="372">
        <v>2.5</v>
      </c>
      <c r="F157" s="372">
        <v>3.75</v>
      </c>
      <c r="G157" s="372">
        <v>5</v>
      </c>
      <c r="H157" s="1372" t="s">
        <v>220</v>
      </c>
      <c r="J157" s="792" t="s">
        <v>305</v>
      </c>
      <c r="K157" s="792" t="s">
        <v>305</v>
      </c>
      <c r="L157" s="792" t="s">
        <v>304</v>
      </c>
      <c r="M157" s="792" t="s">
        <v>304</v>
      </c>
      <c r="N157" s="790" t="s">
        <v>305</v>
      </c>
      <c r="O157" t="s">
        <v>1106</v>
      </c>
    </row>
    <row r="158" spans="2:15" x14ac:dyDescent="0.25">
      <c r="B158" s="182" t="s">
        <v>242</v>
      </c>
      <c r="C158" s="372">
        <v>0</v>
      </c>
      <c r="D158" s="372">
        <v>135</v>
      </c>
      <c r="E158" s="372">
        <v>135</v>
      </c>
      <c r="F158" s="372">
        <v>135</v>
      </c>
      <c r="G158" s="372">
        <v>135</v>
      </c>
      <c r="H158" s="1372" t="s">
        <v>241</v>
      </c>
      <c r="J158" s="792" t="s">
        <v>305</v>
      </c>
      <c r="K158" s="792" t="s">
        <v>304</v>
      </c>
      <c r="L158" s="792" t="s">
        <v>305</v>
      </c>
      <c r="M158" s="792" t="s">
        <v>304</v>
      </c>
      <c r="N158" s="790" t="s">
        <v>305</v>
      </c>
      <c r="O158" t="s">
        <v>1105</v>
      </c>
    </row>
    <row r="159" spans="2:15" x14ac:dyDescent="0.25">
      <c r="B159" s="182" t="s">
        <v>243</v>
      </c>
      <c r="C159" s="372">
        <v>0</v>
      </c>
      <c r="D159" s="372">
        <v>45</v>
      </c>
      <c r="E159" s="372">
        <v>45</v>
      </c>
      <c r="F159" s="372">
        <v>45</v>
      </c>
      <c r="G159" s="372">
        <v>45</v>
      </c>
      <c r="H159" s="1372" t="s">
        <v>241</v>
      </c>
      <c r="J159" s="792" t="s">
        <v>305</v>
      </c>
      <c r="K159" s="792" t="s">
        <v>304</v>
      </c>
      <c r="L159" s="792" t="s">
        <v>305</v>
      </c>
      <c r="M159" s="792" t="s">
        <v>304</v>
      </c>
      <c r="N159" s="790" t="s">
        <v>305</v>
      </c>
      <c r="O159" t="s">
        <v>1105</v>
      </c>
    </row>
    <row r="160" spans="2:15" ht="25" x14ac:dyDescent="0.25">
      <c r="B160" s="183" t="s">
        <v>244</v>
      </c>
      <c r="C160" s="372">
        <v>0</v>
      </c>
      <c r="D160" s="372">
        <v>0.5</v>
      </c>
      <c r="E160" s="372">
        <v>0.5</v>
      </c>
      <c r="F160" s="372">
        <v>0.5</v>
      </c>
      <c r="G160" s="372">
        <v>0.5</v>
      </c>
      <c r="H160" s="1372" t="s">
        <v>238</v>
      </c>
      <c r="J160" s="792" t="s">
        <v>305</v>
      </c>
      <c r="K160" s="792" t="s">
        <v>304</v>
      </c>
      <c r="L160" s="792" t="s">
        <v>305</v>
      </c>
      <c r="M160" s="792" t="s">
        <v>304</v>
      </c>
      <c r="N160" s="790" t="s">
        <v>305</v>
      </c>
      <c r="O160" t="s">
        <v>1105</v>
      </c>
    </row>
    <row r="161" spans="2:15" ht="37.5" x14ac:dyDescent="0.25">
      <c r="B161" s="182" t="s">
        <v>245</v>
      </c>
      <c r="C161" s="372">
        <v>0</v>
      </c>
      <c r="D161" s="372">
        <v>0.35</v>
      </c>
      <c r="E161" s="372">
        <v>0.35</v>
      </c>
      <c r="F161" s="372">
        <v>0.35</v>
      </c>
      <c r="G161" s="372">
        <v>0.35</v>
      </c>
      <c r="H161" s="1372" t="s">
        <v>238</v>
      </c>
      <c r="J161" s="792" t="s">
        <v>305</v>
      </c>
      <c r="K161" s="792" t="s">
        <v>304</v>
      </c>
      <c r="L161" s="792" t="s">
        <v>305</v>
      </c>
      <c r="M161" s="792" t="s">
        <v>304</v>
      </c>
      <c r="N161" s="790" t="s">
        <v>305</v>
      </c>
      <c r="O161" t="s">
        <v>1105</v>
      </c>
    </row>
    <row r="162" spans="2:15" x14ac:dyDescent="0.25">
      <c r="B162" s="182" t="s">
        <v>246</v>
      </c>
      <c r="C162" s="372">
        <v>0</v>
      </c>
      <c r="D162" s="372">
        <v>200</v>
      </c>
      <c r="E162" s="372">
        <v>200</v>
      </c>
      <c r="F162" s="372">
        <v>200</v>
      </c>
      <c r="G162" s="372">
        <v>200</v>
      </c>
      <c r="H162" s="1372" t="s">
        <v>241</v>
      </c>
      <c r="J162" s="792" t="s">
        <v>305</v>
      </c>
      <c r="K162" s="792" t="s">
        <v>304</v>
      </c>
      <c r="L162" s="792" t="s">
        <v>305</v>
      </c>
      <c r="M162" s="792" t="s">
        <v>304</v>
      </c>
      <c r="N162" s="790" t="s">
        <v>305</v>
      </c>
      <c r="O162" t="s">
        <v>1105</v>
      </c>
    </row>
    <row r="163" spans="2:15" x14ac:dyDescent="0.25">
      <c r="B163" s="182" t="s">
        <v>247</v>
      </c>
      <c r="C163" s="372">
        <v>0</v>
      </c>
      <c r="D163" s="372">
        <v>400</v>
      </c>
      <c r="E163" s="372">
        <v>400</v>
      </c>
      <c r="F163" s="372">
        <v>400</v>
      </c>
      <c r="G163" s="372">
        <v>400</v>
      </c>
      <c r="H163" s="1372" t="s">
        <v>241</v>
      </c>
      <c r="J163" s="792" t="s">
        <v>305</v>
      </c>
      <c r="K163" s="792" t="s">
        <v>304</v>
      </c>
      <c r="L163" s="792" t="s">
        <v>305</v>
      </c>
      <c r="M163" s="792" t="s">
        <v>305</v>
      </c>
      <c r="N163" s="790" t="s">
        <v>305</v>
      </c>
      <c r="O163" t="s">
        <v>1104</v>
      </c>
    </row>
    <row r="164" spans="2:15" ht="38" thickBot="1" x14ac:dyDescent="0.3">
      <c r="B164" s="181" t="s">
        <v>248</v>
      </c>
      <c r="C164" s="107">
        <v>25</v>
      </c>
      <c r="D164" s="107">
        <v>0</v>
      </c>
      <c r="E164" s="107">
        <v>0</v>
      </c>
      <c r="F164" s="107">
        <v>0</v>
      </c>
      <c r="G164" s="107">
        <v>0</v>
      </c>
      <c r="H164" s="1373" t="s">
        <v>241</v>
      </c>
      <c r="J164" s="792" t="s">
        <v>305</v>
      </c>
      <c r="K164" s="792" t="s">
        <v>304</v>
      </c>
      <c r="L164" s="792" t="s">
        <v>305</v>
      </c>
      <c r="M164" s="792" t="s">
        <v>304</v>
      </c>
      <c r="N164" s="790" t="s">
        <v>305</v>
      </c>
      <c r="O164" t="s">
        <v>1105</v>
      </c>
    </row>
  </sheetData>
  <sheetProtection sheet="1" objects="1" scenarios="1"/>
  <mergeCells count="60">
    <mergeCell ref="D135:H135"/>
    <mergeCell ref="B137:H137"/>
    <mergeCell ref="B141:H141"/>
    <mergeCell ref="B155:H155"/>
    <mergeCell ref="C130:H130"/>
    <mergeCell ref="D131:H131"/>
    <mergeCell ref="D132:H132"/>
    <mergeCell ref="D133:H133"/>
    <mergeCell ref="D134:H134"/>
    <mergeCell ref="D50:H50"/>
    <mergeCell ref="B52:H52"/>
    <mergeCell ref="B56:H56"/>
    <mergeCell ref="B70:H70"/>
    <mergeCell ref="B128:H128"/>
    <mergeCell ref="C45:H45"/>
    <mergeCell ref="D46:H46"/>
    <mergeCell ref="D47:H47"/>
    <mergeCell ref="D48:H48"/>
    <mergeCell ref="D49:H49"/>
    <mergeCell ref="C3:H3"/>
    <mergeCell ref="B1:H1"/>
    <mergeCell ref="B14:H14"/>
    <mergeCell ref="B28:H28"/>
    <mergeCell ref="B10:H10"/>
    <mergeCell ref="D4:H4"/>
    <mergeCell ref="D5:H5"/>
    <mergeCell ref="D6:H6"/>
    <mergeCell ref="D7:H7"/>
    <mergeCell ref="J138:J141"/>
    <mergeCell ref="K138:K141"/>
    <mergeCell ref="L138:L141"/>
    <mergeCell ref="M138:M141"/>
    <mergeCell ref="D8:H8"/>
    <mergeCell ref="B87:H87"/>
    <mergeCell ref="C89:H89"/>
    <mergeCell ref="D90:H90"/>
    <mergeCell ref="D91:H91"/>
    <mergeCell ref="D92:H92"/>
    <mergeCell ref="D93:H93"/>
    <mergeCell ref="D94:H94"/>
    <mergeCell ref="B96:H96"/>
    <mergeCell ref="B100:H100"/>
    <mergeCell ref="B114:H114"/>
    <mergeCell ref="B43:H43"/>
    <mergeCell ref="N97:N100"/>
    <mergeCell ref="N138:N141"/>
    <mergeCell ref="N11:N14"/>
    <mergeCell ref="N53:N56"/>
    <mergeCell ref="J53:J56"/>
    <mergeCell ref="K53:K56"/>
    <mergeCell ref="L53:L56"/>
    <mergeCell ref="M53:M56"/>
    <mergeCell ref="J11:J14"/>
    <mergeCell ref="K11:K14"/>
    <mergeCell ref="L11:L14"/>
    <mergeCell ref="M11:M14"/>
    <mergeCell ref="J97:J100"/>
    <mergeCell ref="K97:K100"/>
    <mergeCell ref="L97:L100"/>
    <mergeCell ref="M97:M100"/>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6">
    <tabColor rgb="FFFF0000"/>
  </sheetPr>
  <dimension ref="A1:O41"/>
  <sheetViews>
    <sheetView workbookViewId="0">
      <selection activeCell="L13" sqref="L13"/>
    </sheetView>
  </sheetViews>
  <sheetFormatPr defaultRowHeight="12.5" x14ac:dyDescent="0.25"/>
  <cols>
    <col min="2" max="2" width="22" bestFit="1" customWidth="1"/>
    <col min="3" max="3" width="9.7265625" bestFit="1" customWidth="1"/>
    <col min="6" max="6" width="23.26953125" bestFit="1" customWidth="1"/>
    <col min="7" max="9" width="10.54296875" customWidth="1"/>
    <col min="10" max="10" width="10.453125" bestFit="1" customWidth="1"/>
    <col min="13" max="13" width="28.26953125" bestFit="1" customWidth="1"/>
  </cols>
  <sheetData>
    <row r="1" spans="1:15" x14ac:dyDescent="0.25">
      <c r="B1" s="70" t="s">
        <v>249</v>
      </c>
    </row>
    <row r="2" spans="1:15" ht="13" x14ac:dyDescent="0.3">
      <c r="B2" s="70" t="s">
        <v>250</v>
      </c>
      <c r="N2" s="1366" t="s">
        <v>971</v>
      </c>
      <c r="O2" s="1366" t="s">
        <v>1340</v>
      </c>
    </row>
    <row r="3" spans="1:15" x14ac:dyDescent="0.25">
      <c r="A3" s="1126">
        <f>VLOOKUP(B3,N3:O6,2,FALSE)</f>
        <v>5</v>
      </c>
      <c r="B3" s="1126">
        <f>Compliance_Version_Year</f>
        <v>2019</v>
      </c>
      <c r="G3" s="81">
        <v>2010</v>
      </c>
      <c r="H3" s="81">
        <v>2013</v>
      </c>
      <c r="I3" s="81">
        <v>2016</v>
      </c>
      <c r="J3" s="633">
        <v>2019</v>
      </c>
      <c r="N3" s="1374">
        <v>2010</v>
      </c>
      <c r="O3" s="1374">
        <v>2</v>
      </c>
    </row>
    <row r="4" spans="1:15" ht="14.5" x14ac:dyDescent="0.25">
      <c r="B4" s="70" t="s">
        <v>251</v>
      </c>
      <c r="C4" s="35" t="s">
        <v>252</v>
      </c>
      <c r="F4" s="70" t="s">
        <v>251</v>
      </c>
      <c r="G4" s="35" t="s">
        <v>253</v>
      </c>
      <c r="H4" s="35" t="s">
        <v>253</v>
      </c>
      <c r="I4" s="35" t="s">
        <v>253</v>
      </c>
      <c r="J4" s="632" t="s">
        <v>253</v>
      </c>
      <c r="N4" s="1374">
        <v>2013</v>
      </c>
      <c r="O4" s="1374">
        <v>3</v>
      </c>
    </row>
    <row r="5" spans="1:15" x14ac:dyDescent="0.25">
      <c r="B5" t="s">
        <v>254</v>
      </c>
      <c r="C5" s="81">
        <f t="shared" ref="C5:C37" si="0">VLOOKUP(B5,_9_5_Table_Combined,A$3,FALSE)</f>
        <v>0.76</v>
      </c>
      <c r="F5" t="s">
        <v>254</v>
      </c>
      <c r="G5" s="81">
        <v>0.82</v>
      </c>
      <c r="H5" s="81"/>
      <c r="I5" s="81">
        <v>0.71</v>
      </c>
      <c r="J5" s="633">
        <v>0.76</v>
      </c>
      <c r="N5" s="1374">
        <v>2016</v>
      </c>
      <c r="O5" s="1374">
        <v>4</v>
      </c>
    </row>
    <row r="6" spans="1:15" x14ac:dyDescent="0.25">
      <c r="B6" t="s">
        <v>255</v>
      </c>
      <c r="C6" s="1126">
        <f t="shared" si="0"/>
        <v>0.65</v>
      </c>
      <c r="F6" t="s">
        <v>255</v>
      </c>
      <c r="G6" s="81">
        <v>1.08</v>
      </c>
      <c r="H6" s="81"/>
      <c r="I6" s="81">
        <v>0.76</v>
      </c>
      <c r="J6" s="633">
        <v>0.65</v>
      </c>
      <c r="N6" s="1374">
        <v>2019</v>
      </c>
      <c r="O6" s="1374">
        <v>5</v>
      </c>
    </row>
    <row r="7" spans="1:15" x14ac:dyDescent="0.25">
      <c r="B7" s="70" t="s">
        <v>256</v>
      </c>
      <c r="C7" s="1126">
        <f t="shared" si="0"/>
        <v>0.8</v>
      </c>
      <c r="F7" t="s">
        <v>256</v>
      </c>
      <c r="G7" s="81">
        <v>1.05</v>
      </c>
      <c r="H7" s="81"/>
      <c r="I7" s="81">
        <v>0.9</v>
      </c>
      <c r="J7" s="633">
        <v>0.8</v>
      </c>
    </row>
    <row r="8" spans="1:15" x14ac:dyDescent="0.25">
      <c r="B8" s="70" t="s">
        <v>257</v>
      </c>
      <c r="C8" s="1126">
        <f t="shared" si="0"/>
        <v>0.81</v>
      </c>
      <c r="F8" t="s">
        <v>258</v>
      </c>
      <c r="G8" s="81">
        <v>0.99</v>
      </c>
      <c r="H8" s="81"/>
      <c r="I8" s="81">
        <v>0.9</v>
      </c>
      <c r="J8" s="633">
        <v>0.81</v>
      </c>
    </row>
    <row r="9" spans="1:15" x14ac:dyDescent="0.25">
      <c r="B9" s="70" t="s">
        <v>259</v>
      </c>
      <c r="C9" s="1126">
        <f t="shared" si="0"/>
        <v>0.77</v>
      </c>
      <c r="F9" t="s">
        <v>260</v>
      </c>
      <c r="G9" s="81">
        <v>0.9</v>
      </c>
      <c r="H9" s="81"/>
      <c r="I9" s="81">
        <v>0.79</v>
      </c>
      <c r="J9" s="633">
        <v>0.77</v>
      </c>
    </row>
    <row r="10" spans="1:15" x14ac:dyDescent="0.25">
      <c r="B10" s="70" t="s">
        <v>261</v>
      </c>
      <c r="C10" s="1126">
        <f t="shared" si="0"/>
        <v>0.72</v>
      </c>
      <c r="F10" t="s">
        <v>261</v>
      </c>
      <c r="G10" s="81">
        <v>0.89</v>
      </c>
      <c r="H10" s="81"/>
      <c r="I10" s="81">
        <v>0.78</v>
      </c>
      <c r="J10" s="633">
        <v>0.72</v>
      </c>
    </row>
    <row r="11" spans="1:15" x14ac:dyDescent="0.25">
      <c r="B11" s="70" t="s">
        <v>262</v>
      </c>
      <c r="C11" s="1126">
        <f t="shared" si="0"/>
        <v>0.54</v>
      </c>
      <c r="F11" t="s">
        <v>262</v>
      </c>
      <c r="G11" s="81">
        <v>0.61</v>
      </c>
      <c r="H11" s="81"/>
      <c r="I11" s="81">
        <v>0.61</v>
      </c>
      <c r="J11" s="633">
        <v>0.54</v>
      </c>
    </row>
    <row r="12" spans="1:15" x14ac:dyDescent="0.25">
      <c r="B12" t="s">
        <v>263</v>
      </c>
      <c r="C12" s="1126">
        <f t="shared" si="0"/>
        <v>0.73</v>
      </c>
      <c r="F12" t="s">
        <v>263</v>
      </c>
      <c r="G12" s="81">
        <v>0.88</v>
      </c>
      <c r="H12" s="81"/>
      <c r="I12" s="81">
        <v>0.65</v>
      </c>
      <c r="J12" s="633">
        <v>0.73</v>
      </c>
    </row>
    <row r="13" spans="1:15" x14ac:dyDescent="0.25">
      <c r="B13" t="s">
        <v>264</v>
      </c>
      <c r="C13" s="1126">
        <f t="shared" si="0"/>
        <v>0.56999999999999995</v>
      </c>
      <c r="F13" t="s">
        <v>264</v>
      </c>
      <c r="G13" s="81">
        <v>0.71</v>
      </c>
      <c r="H13" s="81"/>
      <c r="I13" s="81">
        <v>0.53</v>
      </c>
      <c r="J13" s="633">
        <v>0.56999999999999995</v>
      </c>
    </row>
    <row r="14" spans="1:15" x14ac:dyDescent="0.25">
      <c r="B14" s="70" t="s">
        <v>265</v>
      </c>
      <c r="C14" s="1126">
        <f t="shared" si="0"/>
        <v>0.77</v>
      </c>
      <c r="F14" t="s">
        <v>265</v>
      </c>
      <c r="G14" s="81">
        <v>1</v>
      </c>
      <c r="H14" s="81"/>
      <c r="I14" s="81">
        <v>0.68</v>
      </c>
      <c r="J14" s="633">
        <v>0.77</v>
      </c>
    </row>
    <row r="15" spans="1:15" x14ac:dyDescent="0.25">
      <c r="B15" t="s">
        <v>42</v>
      </c>
      <c r="C15" s="1126">
        <f t="shared" si="0"/>
        <v>0.82</v>
      </c>
      <c r="F15" t="s">
        <v>42</v>
      </c>
      <c r="G15" s="81">
        <v>0.87</v>
      </c>
      <c r="H15" s="81"/>
      <c r="I15" s="81">
        <v>0.82</v>
      </c>
      <c r="J15" s="633">
        <v>0.82</v>
      </c>
    </row>
    <row r="16" spans="1:15" x14ac:dyDescent="0.25">
      <c r="B16" s="70" t="s">
        <v>266</v>
      </c>
      <c r="C16" s="1126">
        <f t="shared" si="0"/>
        <v>0.97</v>
      </c>
      <c r="F16" t="s">
        <v>266</v>
      </c>
      <c r="G16" s="81">
        <v>1.21</v>
      </c>
      <c r="H16" s="81"/>
      <c r="I16" s="81">
        <v>1.05</v>
      </c>
      <c r="J16" s="633">
        <v>0.97</v>
      </c>
    </row>
    <row r="17" spans="2:10" x14ac:dyDescent="0.25">
      <c r="B17" t="s">
        <v>267</v>
      </c>
      <c r="C17" s="1126">
        <f t="shared" si="0"/>
        <v>0.56999999999999995</v>
      </c>
      <c r="F17" t="s">
        <v>267</v>
      </c>
      <c r="G17" s="81">
        <v>1</v>
      </c>
      <c r="H17" s="81"/>
      <c r="I17" s="81">
        <v>0.75</v>
      </c>
      <c r="J17" s="633">
        <v>0.56999999999999995</v>
      </c>
    </row>
    <row r="18" spans="2:10" x14ac:dyDescent="0.25">
      <c r="B18" s="70" t="s">
        <v>268</v>
      </c>
      <c r="C18" s="1126">
        <f t="shared" si="0"/>
        <v>0.84</v>
      </c>
      <c r="F18" t="s">
        <v>268</v>
      </c>
      <c r="G18" s="81">
        <v>1.18</v>
      </c>
      <c r="H18" s="81"/>
      <c r="I18" s="81">
        <v>0.78</v>
      </c>
      <c r="J18" s="633">
        <v>0.84</v>
      </c>
    </row>
    <row r="19" spans="2:10" x14ac:dyDescent="0.25">
      <c r="B19" t="s">
        <v>269</v>
      </c>
      <c r="C19" s="1126">
        <f t="shared" si="0"/>
        <v>0.83</v>
      </c>
      <c r="F19" t="s">
        <v>269</v>
      </c>
      <c r="G19" s="81">
        <v>1.1100000000000001</v>
      </c>
      <c r="H19" s="81"/>
      <c r="I19" s="81">
        <v>0.9</v>
      </c>
      <c r="J19" s="633">
        <v>0.83</v>
      </c>
    </row>
    <row r="20" spans="2:10" x14ac:dyDescent="0.25">
      <c r="B20" t="s">
        <v>270</v>
      </c>
      <c r="C20" s="1126">
        <f t="shared" si="0"/>
        <v>0.56999999999999995</v>
      </c>
      <c r="F20" t="s">
        <v>270</v>
      </c>
      <c r="G20" s="81">
        <v>0.88</v>
      </c>
      <c r="H20" s="81"/>
      <c r="I20" s="81">
        <v>0.75</v>
      </c>
      <c r="J20" s="633">
        <v>0.56999999999999995</v>
      </c>
    </row>
    <row r="21" spans="2:10" x14ac:dyDescent="0.25">
      <c r="B21" t="s">
        <v>271</v>
      </c>
      <c r="C21" s="1126">
        <f t="shared" si="0"/>
        <v>0.45</v>
      </c>
      <c r="F21" t="s">
        <v>271</v>
      </c>
      <c r="G21" s="81">
        <v>0.83</v>
      </c>
      <c r="H21" s="81"/>
      <c r="I21" s="81">
        <v>0.83</v>
      </c>
      <c r="J21" s="633">
        <v>0.45</v>
      </c>
    </row>
    <row r="22" spans="2:10" x14ac:dyDescent="0.25">
      <c r="B22" s="70" t="s">
        <v>272</v>
      </c>
      <c r="C22" s="1126">
        <f t="shared" si="0"/>
        <v>0.46</v>
      </c>
      <c r="F22" t="s">
        <v>272</v>
      </c>
      <c r="G22" s="81">
        <v>0.6</v>
      </c>
      <c r="H22" s="81"/>
      <c r="I22" s="81">
        <v>0.68</v>
      </c>
      <c r="J22" s="633">
        <v>0.46</v>
      </c>
    </row>
    <row r="23" spans="2:10" x14ac:dyDescent="0.25">
      <c r="B23" s="70" t="s">
        <v>273</v>
      </c>
      <c r="C23" s="1126">
        <f t="shared" si="0"/>
        <v>0.56000000000000005</v>
      </c>
      <c r="F23" t="s">
        <v>273</v>
      </c>
      <c r="G23" s="81">
        <v>1.06</v>
      </c>
      <c r="H23" s="81"/>
      <c r="I23" s="81">
        <v>1.06</v>
      </c>
      <c r="J23" s="633">
        <v>0.56000000000000005</v>
      </c>
    </row>
    <row r="24" spans="2:10" x14ac:dyDescent="0.25">
      <c r="B24" s="70" t="s">
        <v>39</v>
      </c>
      <c r="C24" s="1126">
        <f t="shared" si="0"/>
        <v>0.65</v>
      </c>
      <c r="F24" t="s">
        <v>39</v>
      </c>
      <c r="G24" s="81">
        <v>0.9</v>
      </c>
      <c r="H24" s="81"/>
      <c r="I24" s="81">
        <v>0.79</v>
      </c>
      <c r="J24" s="633">
        <v>0.65</v>
      </c>
    </row>
    <row r="25" spans="2:10" x14ac:dyDescent="0.25">
      <c r="B25" t="s">
        <v>274</v>
      </c>
      <c r="C25" s="1126">
        <f t="shared" si="0"/>
        <v>0.19</v>
      </c>
      <c r="F25" t="s">
        <v>274</v>
      </c>
      <c r="G25" s="81">
        <v>0.25</v>
      </c>
      <c r="H25" s="81"/>
      <c r="I25" s="81">
        <v>0.15</v>
      </c>
      <c r="J25" s="633">
        <v>0.19</v>
      </c>
    </row>
    <row r="26" spans="2:10" x14ac:dyDescent="0.25">
      <c r="B26" s="70" t="s">
        <v>275</v>
      </c>
      <c r="C26" s="1126">
        <f t="shared" si="0"/>
        <v>0.7</v>
      </c>
      <c r="F26" t="s">
        <v>275</v>
      </c>
      <c r="G26" s="81">
        <v>0.97</v>
      </c>
      <c r="H26" s="81"/>
      <c r="I26" s="81">
        <v>0.75</v>
      </c>
      <c r="J26" s="633">
        <v>0.7</v>
      </c>
    </row>
    <row r="27" spans="2:10" x14ac:dyDescent="0.25">
      <c r="B27" t="s">
        <v>276</v>
      </c>
      <c r="C27" s="1126">
        <f t="shared" si="0"/>
        <v>0.84</v>
      </c>
      <c r="F27" t="s">
        <v>276</v>
      </c>
      <c r="G27" s="81">
        <v>1.39</v>
      </c>
      <c r="H27" s="81"/>
      <c r="I27" s="81">
        <v>1.18</v>
      </c>
      <c r="J27" s="633">
        <v>0.84</v>
      </c>
    </row>
    <row r="28" spans="2:10" x14ac:dyDescent="0.25">
      <c r="B28" s="70" t="s">
        <v>277</v>
      </c>
      <c r="C28" s="1126">
        <f t="shared" si="0"/>
        <v>0.67</v>
      </c>
      <c r="F28" s="70" t="s">
        <v>277</v>
      </c>
      <c r="G28" s="81">
        <v>0.96</v>
      </c>
      <c r="H28" s="81"/>
      <c r="I28" s="81">
        <v>0.8</v>
      </c>
      <c r="J28" s="633">
        <v>0.67</v>
      </c>
    </row>
    <row r="29" spans="2:10" x14ac:dyDescent="0.25">
      <c r="B29" s="70" t="s">
        <v>278</v>
      </c>
      <c r="C29" s="1126">
        <f t="shared" si="0"/>
        <v>0.66</v>
      </c>
      <c r="F29" t="s">
        <v>278</v>
      </c>
      <c r="G29" s="81">
        <v>0.87</v>
      </c>
      <c r="H29" s="81"/>
      <c r="I29" s="81">
        <v>0.67</v>
      </c>
      <c r="J29" s="633">
        <v>0.66</v>
      </c>
    </row>
    <row r="30" spans="2:10" x14ac:dyDescent="0.25">
      <c r="B30" s="70" t="s">
        <v>279</v>
      </c>
      <c r="C30" s="1126">
        <f t="shared" si="0"/>
        <v>0.68</v>
      </c>
      <c r="F30" s="70" t="s">
        <v>279</v>
      </c>
      <c r="G30" s="81">
        <v>1.05</v>
      </c>
      <c r="H30" s="81"/>
      <c r="I30" s="81">
        <v>0.94</v>
      </c>
      <c r="J30" s="633">
        <v>0.68</v>
      </c>
    </row>
    <row r="31" spans="2:10" x14ac:dyDescent="0.25">
      <c r="B31" s="70" t="s">
        <v>36</v>
      </c>
      <c r="C31" s="1126">
        <f t="shared" si="0"/>
        <v>0.85</v>
      </c>
      <c r="F31" t="s">
        <v>36</v>
      </c>
      <c r="G31" s="81">
        <v>1.4</v>
      </c>
      <c r="H31" s="81"/>
      <c r="I31" s="81">
        <v>1.06</v>
      </c>
      <c r="J31" s="633">
        <v>0.85</v>
      </c>
    </row>
    <row r="32" spans="2:10" x14ac:dyDescent="0.25">
      <c r="B32" t="s">
        <v>280</v>
      </c>
      <c r="C32" s="1126">
        <f t="shared" si="0"/>
        <v>0.73</v>
      </c>
      <c r="F32" t="s">
        <v>280</v>
      </c>
      <c r="G32" s="81">
        <v>0.99</v>
      </c>
      <c r="H32" s="81"/>
      <c r="I32" s="81">
        <v>0.81</v>
      </c>
      <c r="J32" s="633">
        <v>0.73</v>
      </c>
    </row>
    <row r="33" spans="2:10" x14ac:dyDescent="0.25">
      <c r="B33" t="s">
        <v>281</v>
      </c>
      <c r="C33" s="1126">
        <f t="shared" si="0"/>
        <v>0.77</v>
      </c>
      <c r="F33" t="s">
        <v>281</v>
      </c>
      <c r="G33" s="81">
        <v>0.78</v>
      </c>
      <c r="H33" s="81"/>
      <c r="I33" s="81">
        <v>0.87</v>
      </c>
      <c r="J33" s="633">
        <v>0.77</v>
      </c>
    </row>
    <row r="34" spans="2:10" x14ac:dyDescent="0.25">
      <c r="B34" s="70" t="s">
        <v>282</v>
      </c>
      <c r="C34" s="1126">
        <f t="shared" si="0"/>
        <v>0.7</v>
      </c>
      <c r="F34" t="s">
        <v>283</v>
      </c>
      <c r="G34" s="81">
        <v>0.92</v>
      </c>
      <c r="H34" s="81"/>
      <c r="I34" s="81">
        <v>0.8</v>
      </c>
      <c r="J34" s="633">
        <v>0.7</v>
      </c>
    </row>
    <row r="35" spans="2:10" x14ac:dyDescent="0.25">
      <c r="B35" s="70" t="s">
        <v>284</v>
      </c>
      <c r="C35" s="1126">
        <f t="shared" si="0"/>
        <v>0.51</v>
      </c>
      <c r="F35" t="s">
        <v>284</v>
      </c>
      <c r="G35" s="81">
        <v>0.77</v>
      </c>
      <c r="H35" s="81"/>
      <c r="I35" s="81">
        <v>0.61</v>
      </c>
      <c r="J35" s="633">
        <v>0.51</v>
      </c>
    </row>
    <row r="36" spans="2:10" x14ac:dyDescent="0.25">
      <c r="B36" s="70" t="s">
        <v>285</v>
      </c>
      <c r="C36" s="1126">
        <f t="shared" si="0"/>
        <v>0.46</v>
      </c>
      <c r="F36" t="s">
        <v>285</v>
      </c>
      <c r="G36" s="81">
        <v>0.66</v>
      </c>
      <c r="H36" s="81"/>
      <c r="I36" s="81">
        <v>0.48</v>
      </c>
      <c r="J36" s="633">
        <v>0.46</v>
      </c>
    </row>
    <row r="37" spans="2:10" x14ac:dyDescent="0.25">
      <c r="B37" s="70" t="s">
        <v>286</v>
      </c>
      <c r="C37" s="1126">
        <f t="shared" si="0"/>
        <v>0.92</v>
      </c>
      <c r="F37" t="s">
        <v>286</v>
      </c>
      <c r="G37" s="81">
        <v>1.2</v>
      </c>
      <c r="H37" s="81"/>
      <c r="I37" s="81">
        <v>0.9</v>
      </c>
      <c r="J37" s="633">
        <v>0.92</v>
      </c>
    </row>
    <row r="39" spans="2:10" x14ac:dyDescent="0.25">
      <c r="B39" s="70" t="s">
        <v>287</v>
      </c>
      <c r="J39" t="s">
        <v>959</v>
      </c>
    </row>
    <row r="40" spans="2:10" x14ac:dyDescent="0.25">
      <c r="B40" s="70" t="s">
        <v>288</v>
      </c>
      <c r="J40" t="s">
        <v>960</v>
      </c>
    </row>
    <row r="41" spans="2:10" x14ac:dyDescent="0.25">
      <c r="B41" s="70" t="s">
        <v>289</v>
      </c>
    </row>
  </sheetData>
  <sheetProtection sheet="1" objects="1" scenarios="1"/>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7">
    <tabColor rgb="FFFF0000"/>
  </sheetPr>
  <dimension ref="A1:AH582"/>
  <sheetViews>
    <sheetView zoomScale="70" zoomScaleNormal="70" workbookViewId="0">
      <selection activeCell="A475" sqref="A475"/>
    </sheetView>
  </sheetViews>
  <sheetFormatPr defaultColWidth="9.1796875" defaultRowHeight="12.5" x14ac:dyDescent="0.25"/>
  <cols>
    <col min="1" max="1" width="45.453125" style="148" customWidth="1"/>
    <col min="2" max="16" width="10.54296875" style="148" customWidth="1"/>
    <col min="17" max="17" width="15.54296875" style="148" customWidth="1"/>
    <col min="18" max="18" width="42.453125" style="148" customWidth="1"/>
    <col min="19" max="31" width="10.7265625" style="148" customWidth="1"/>
    <col min="32" max="16384" width="9.1796875" style="148"/>
  </cols>
  <sheetData>
    <row r="1" spans="1:34" x14ac:dyDescent="0.25">
      <c r="A1" s="221">
        <v>1</v>
      </c>
      <c r="B1" s="221">
        <v>2</v>
      </c>
      <c r="C1" s="221">
        <v>3</v>
      </c>
      <c r="D1" s="221">
        <v>4</v>
      </c>
      <c r="E1" s="221">
        <v>5</v>
      </c>
      <c r="F1" s="221">
        <v>6</v>
      </c>
      <c r="G1" s="221">
        <v>7</v>
      </c>
      <c r="H1" s="221">
        <v>8</v>
      </c>
      <c r="I1" s="221">
        <v>9</v>
      </c>
      <c r="J1" s="221">
        <v>10</v>
      </c>
      <c r="K1" s="221">
        <v>11</v>
      </c>
      <c r="L1" s="221">
        <v>12</v>
      </c>
      <c r="M1" s="221">
        <v>13</v>
      </c>
      <c r="N1" s="685">
        <v>14</v>
      </c>
      <c r="O1" s="685">
        <v>15</v>
      </c>
      <c r="P1" s="685">
        <v>16</v>
      </c>
      <c r="Q1" s="685">
        <v>17</v>
      </c>
      <c r="R1" s="986">
        <v>18</v>
      </c>
      <c r="S1" s="986">
        <v>19</v>
      </c>
      <c r="T1" s="986">
        <v>20</v>
      </c>
      <c r="U1" s="986">
        <v>21</v>
      </c>
      <c r="V1" s="986">
        <v>22</v>
      </c>
      <c r="W1" s="986">
        <v>23</v>
      </c>
      <c r="X1" s="986">
        <v>24</v>
      </c>
      <c r="Y1" s="986">
        <v>25</v>
      </c>
      <c r="Z1" s="986">
        <v>26</v>
      </c>
      <c r="AA1" s="986">
        <v>27</v>
      </c>
      <c r="AB1" s="986">
        <v>28</v>
      </c>
      <c r="AC1" s="986">
        <v>29</v>
      </c>
      <c r="AD1" s="986">
        <v>30</v>
      </c>
      <c r="AE1" s="986">
        <v>31</v>
      </c>
      <c r="AF1" s="986">
        <v>32</v>
      </c>
      <c r="AG1" s="986">
        <v>33</v>
      </c>
      <c r="AH1" s="986">
        <v>34</v>
      </c>
    </row>
    <row r="2" spans="1:34" ht="117" x14ac:dyDescent="0.25">
      <c r="A2" s="148" t="s">
        <v>1006</v>
      </c>
      <c r="B2" s="657" t="s">
        <v>290</v>
      </c>
      <c r="C2" s="657" t="s">
        <v>291</v>
      </c>
      <c r="D2" s="658" t="s">
        <v>925</v>
      </c>
      <c r="E2" s="658" t="s">
        <v>926</v>
      </c>
      <c r="F2" s="658" t="s">
        <v>927</v>
      </c>
      <c r="G2" s="658" t="s">
        <v>928</v>
      </c>
      <c r="H2" s="658" t="s">
        <v>929</v>
      </c>
      <c r="I2" s="658" t="s">
        <v>930</v>
      </c>
      <c r="J2" s="658" t="s">
        <v>931</v>
      </c>
      <c r="K2" s="658" t="s">
        <v>932</v>
      </c>
      <c r="L2" s="658" t="s">
        <v>933</v>
      </c>
      <c r="M2" s="658" t="s">
        <v>965</v>
      </c>
      <c r="N2" s="658" t="s">
        <v>966</v>
      </c>
      <c r="O2" s="658" t="s">
        <v>967</v>
      </c>
      <c r="P2" s="658" t="s">
        <v>968</v>
      </c>
      <c r="Q2" s="658" t="s">
        <v>292</v>
      </c>
      <c r="R2" s="658" t="s">
        <v>982</v>
      </c>
      <c r="S2" s="1032" t="s">
        <v>1166</v>
      </c>
      <c r="T2" s="1032" t="s">
        <v>1167</v>
      </c>
      <c r="U2" s="1032" t="s">
        <v>1168</v>
      </c>
      <c r="V2" s="1032" t="s">
        <v>1169</v>
      </c>
      <c r="W2" s="1032" t="s">
        <v>1170</v>
      </c>
      <c r="X2" s="1032" t="s">
        <v>1171</v>
      </c>
      <c r="Y2" s="1032" t="s">
        <v>1172</v>
      </c>
      <c r="Z2" s="1032" t="s">
        <v>1173</v>
      </c>
      <c r="AA2" s="1032" t="s">
        <v>1174</v>
      </c>
      <c r="AB2" s="1032" t="s">
        <v>1175</v>
      </c>
      <c r="AC2" s="1032" t="s">
        <v>1176</v>
      </c>
      <c r="AD2" s="1032" t="s">
        <v>1177</v>
      </c>
      <c r="AE2" s="1032" t="s">
        <v>1165</v>
      </c>
    </row>
    <row r="3" spans="1:34" ht="62.5" x14ac:dyDescent="0.25">
      <c r="A3" s="652" t="s">
        <v>1006</v>
      </c>
      <c r="B3" s="663" t="s">
        <v>290</v>
      </c>
      <c r="C3" s="663" t="s">
        <v>291</v>
      </c>
      <c r="D3" s="1030" t="s">
        <v>1153</v>
      </c>
      <c r="E3" s="1030" t="s">
        <v>1154</v>
      </c>
      <c r="F3" s="1030" t="s">
        <v>1155</v>
      </c>
      <c r="G3" s="1030" t="s">
        <v>1156</v>
      </c>
      <c r="H3" s="1030" t="s">
        <v>1157</v>
      </c>
      <c r="I3" s="1030" t="s">
        <v>1158</v>
      </c>
      <c r="J3" s="1030" t="s">
        <v>1159</v>
      </c>
      <c r="K3" s="1030" t="s">
        <v>1160</v>
      </c>
      <c r="L3" s="1030" t="s">
        <v>1161</v>
      </c>
      <c r="M3" s="1030" t="s">
        <v>1162</v>
      </c>
      <c r="N3" s="1030" t="s">
        <v>1163</v>
      </c>
      <c r="O3" s="1030" t="s">
        <v>1164</v>
      </c>
      <c r="P3" s="1030" t="s">
        <v>1165</v>
      </c>
      <c r="Q3" s="1030" t="s">
        <v>292</v>
      </c>
      <c r="R3" s="1033" t="s">
        <v>1178</v>
      </c>
      <c r="S3" s="1030" t="s">
        <v>1153</v>
      </c>
      <c r="T3" s="1030" t="s">
        <v>1154</v>
      </c>
      <c r="U3" s="1030" t="s">
        <v>1155</v>
      </c>
      <c r="V3" s="1030" t="s">
        <v>1156</v>
      </c>
      <c r="W3" s="1030" t="s">
        <v>1157</v>
      </c>
      <c r="X3" s="1030" t="s">
        <v>1158</v>
      </c>
      <c r="Y3" s="1030" t="s">
        <v>1159</v>
      </c>
      <c r="Z3" s="1030" t="s">
        <v>1160</v>
      </c>
      <c r="AA3" s="1030" t="s">
        <v>1161</v>
      </c>
      <c r="AB3" s="1030" t="s">
        <v>1162</v>
      </c>
      <c r="AC3" s="1030" t="s">
        <v>1163</v>
      </c>
      <c r="AD3" s="1030" t="s">
        <v>1164</v>
      </c>
      <c r="AE3" s="1030" t="s">
        <v>1165</v>
      </c>
    </row>
    <row r="4" spans="1:34" x14ac:dyDescent="0.25">
      <c r="A4" s="652" t="s">
        <v>303</v>
      </c>
      <c r="B4" s="221">
        <v>0.03</v>
      </c>
      <c r="C4" s="221" t="s">
        <v>304</v>
      </c>
      <c r="D4" s="221" t="s">
        <v>305</v>
      </c>
      <c r="E4" s="221" t="s">
        <v>173</v>
      </c>
      <c r="F4" s="221" t="s">
        <v>173</v>
      </c>
      <c r="G4" s="221" t="s">
        <v>304</v>
      </c>
      <c r="H4" s="221" t="s">
        <v>305</v>
      </c>
      <c r="I4" s="221" t="s">
        <v>305</v>
      </c>
      <c r="J4" s="221" t="s">
        <v>304</v>
      </c>
      <c r="K4" s="221" t="s">
        <v>174</v>
      </c>
      <c r="L4" s="221" t="s">
        <v>174</v>
      </c>
      <c r="M4" s="221" t="s">
        <v>304</v>
      </c>
      <c r="N4" s="221" t="s">
        <v>304</v>
      </c>
      <c r="O4" s="221" t="s">
        <v>304</v>
      </c>
      <c r="P4" s="221" t="s">
        <v>304</v>
      </c>
      <c r="Q4" s="731">
        <v>5</v>
      </c>
      <c r="R4" s="233"/>
      <c r="S4" s="663" t="s">
        <v>305</v>
      </c>
      <c r="T4" s="663" t="s">
        <v>173</v>
      </c>
      <c r="U4" s="663" t="s">
        <v>173</v>
      </c>
      <c r="V4" s="663" t="s">
        <v>304</v>
      </c>
      <c r="W4" s="663" t="s">
        <v>304</v>
      </c>
      <c r="X4" s="663" t="s">
        <v>304</v>
      </c>
      <c r="Y4" s="663" t="s">
        <v>304</v>
      </c>
      <c r="Z4" s="663" t="s">
        <v>174</v>
      </c>
      <c r="AA4" s="663" t="s">
        <v>174</v>
      </c>
      <c r="AB4" s="663" t="s">
        <v>304</v>
      </c>
      <c r="AC4" s="663" t="s">
        <v>304</v>
      </c>
      <c r="AD4" s="663" t="s">
        <v>304</v>
      </c>
      <c r="AE4" s="663" t="s">
        <v>304</v>
      </c>
    </row>
    <row r="5" spans="1:34" x14ac:dyDescent="0.25">
      <c r="A5" s="652" t="s">
        <v>309</v>
      </c>
      <c r="B5" s="221">
        <v>0.03</v>
      </c>
      <c r="C5" s="221" t="s">
        <v>304</v>
      </c>
      <c r="D5" s="221" t="s">
        <v>305</v>
      </c>
      <c r="E5" s="221" t="s">
        <v>173</v>
      </c>
      <c r="F5" s="221" t="s">
        <v>173</v>
      </c>
      <c r="G5" s="221" t="s">
        <v>305</v>
      </c>
      <c r="H5" s="221" t="s">
        <v>305</v>
      </c>
      <c r="I5" s="221" t="s">
        <v>305</v>
      </c>
      <c r="J5" s="221" t="s">
        <v>304</v>
      </c>
      <c r="K5" s="221" t="s">
        <v>174</v>
      </c>
      <c r="L5" s="221" t="s">
        <v>174</v>
      </c>
      <c r="M5" s="221" t="s">
        <v>304</v>
      </c>
      <c r="N5" s="221" t="s">
        <v>304</v>
      </c>
      <c r="O5" s="221" t="s">
        <v>304</v>
      </c>
      <c r="P5" s="221" t="s">
        <v>304</v>
      </c>
      <c r="Q5" s="731">
        <v>5</v>
      </c>
      <c r="R5" s="233"/>
      <c r="S5" s="663" t="s">
        <v>305</v>
      </c>
      <c r="T5" s="663" t="s">
        <v>173</v>
      </c>
      <c r="U5" s="663" t="s">
        <v>173</v>
      </c>
      <c r="V5" s="663" t="s">
        <v>305</v>
      </c>
      <c r="W5" s="663" t="s">
        <v>304</v>
      </c>
      <c r="X5" s="663" t="s">
        <v>304</v>
      </c>
      <c r="Y5" s="663" t="s">
        <v>304</v>
      </c>
      <c r="Z5" s="663" t="s">
        <v>174</v>
      </c>
      <c r="AA5" s="663" t="s">
        <v>174</v>
      </c>
      <c r="AB5" s="663" t="s">
        <v>304</v>
      </c>
      <c r="AC5" s="663" t="s">
        <v>304</v>
      </c>
      <c r="AD5" s="663" t="s">
        <v>304</v>
      </c>
      <c r="AE5" s="663" t="s">
        <v>304</v>
      </c>
    </row>
    <row r="6" spans="1:34" x14ac:dyDescent="0.25">
      <c r="A6" s="652" t="s">
        <v>310</v>
      </c>
      <c r="B6" s="221">
        <v>0.02</v>
      </c>
      <c r="C6" s="221" t="s">
        <v>304</v>
      </c>
      <c r="D6" s="221" t="s">
        <v>305</v>
      </c>
      <c r="E6" s="221" t="s">
        <v>173</v>
      </c>
      <c r="F6" s="221" t="s">
        <v>173</v>
      </c>
      <c r="G6" s="221" t="s">
        <v>305</v>
      </c>
      <c r="H6" s="221" t="s">
        <v>305</v>
      </c>
      <c r="I6" s="221" t="s">
        <v>305</v>
      </c>
      <c r="J6" s="221" t="s">
        <v>304</v>
      </c>
      <c r="K6" s="221" t="s">
        <v>174</v>
      </c>
      <c r="L6" s="221" t="s">
        <v>174</v>
      </c>
      <c r="M6" s="221" t="s">
        <v>304</v>
      </c>
      <c r="N6" s="221" t="s">
        <v>304</v>
      </c>
      <c r="O6" s="221" t="s">
        <v>304</v>
      </c>
      <c r="P6" s="221" t="s">
        <v>304</v>
      </c>
      <c r="Q6" s="731">
        <v>5</v>
      </c>
      <c r="R6" s="233"/>
      <c r="S6" s="663" t="s">
        <v>305</v>
      </c>
      <c r="T6" s="663" t="s">
        <v>173</v>
      </c>
      <c r="U6" s="663" t="s">
        <v>173</v>
      </c>
      <c r="V6" s="663" t="s">
        <v>305</v>
      </c>
      <c r="W6" s="663" t="s">
        <v>304</v>
      </c>
      <c r="X6" s="663" t="s">
        <v>304</v>
      </c>
      <c r="Y6" s="663" t="s">
        <v>304</v>
      </c>
      <c r="Z6" s="663" t="s">
        <v>174</v>
      </c>
      <c r="AA6" s="663" t="s">
        <v>174</v>
      </c>
      <c r="AB6" s="663" t="s">
        <v>304</v>
      </c>
      <c r="AC6" s="663" t="s">
        <v>304</v>
      </c>
      <c r="AD6" s="663" t="s">
        <v>304</v>
      </c>
      <c r="AE6" s="663" t="s">
        <v>304</v>
      </c>
    </row>
    <row r="7" spans="1:34" x14ac:dyDescent="0.25">
      <c r="A7" s="652" t="s">
        <v>311</v>
      </c>
      <c r="B7" s="221">
        <v>0.43</v>
      </c>
      <c r="C7" s="221">
        <v>4</v>
      </c>
      <c r="D7" s="221" t="s">
        <v>305</v>
      </c>
      <c r="E7" s="221" t="s">
        <v>173</v>
      </c>
      <c r="F7" s="221" t="s">
        <v>173</v>
      </c>
      <c r="G7" s="221" t="s">
        <v>304</v>
      </c>
      <c r="H7" s="221" t="s">
        <v>305</v>
      </c>
      <c r="I7" s="221" t="s">
        <v>305</v>
      </c>
      <c r="J7" s="221" t="s">
        <v>304</v>
      </c>
      <c r="K7" s="221" t="s">
        <v>174</v>
      </c>
      <c r="L7" s="221" t="s">
        <v>174</v>
      </c>
      <c r="M7" s="221" t="s">
        <v>304</v>
      </c>
      <c r="N7" s="221" t="s">
        <v>304</v>
      </c>
      <c r="O7" s="221" t="s">
        <v>304</v>
      </c>
      <c r="P7" s="221" t="s">
        <v>304</v>
      </c>
      <c r="Q7" s="731" t="s">
        <v>304</v>
      </c>
      <c r="R7" s="233"/>
      <c r="S7" s="663" t="s">
        <v>305</v>
      </c>
      <c r="T7" s="663" t="s">
        <v>173</v>
      </c>
      <c r="U7" s="663" t="s">
        <v>173</v>
      </c>
      <c r="V7" s="663" t="s">
        <v>304</v>
      </c>
      <c r="W7" s="663" t="s">
        <v>304</v>
      </c>
      <c r="X7" s="663" t="s">
        <v>304</v>
      </c>
      <c r="Y7" s="663" t="s">
        <v>304</v>
      </c>
      <c r="Z7" s="663" t="s">
        <v>174</v>
      </c>
      <c r="AA7" s="663" t="s">
        <v>174</v>
      </c>
      <c r="AB7" s="663" t="s">
        <v>304</v>
      </c>
      <c r="AC7" s="663" t="s">
        <v>304</v>
      </c>
      <c r="AD7" s="663" t="s">
        <v>304</v>
      </c>
      <c r="AE7" s="663" t="s">
        <v>304</v>
      </c>
    </row>
    <row r="8" spans="1:34" x14ac:dyDescent="0.25">
      <c r="A8" s="652" t="s">
        <v>312</v>
      </c>
      <c r="B8" s="221">
        <v>0.63</v>
      </c>
      <c r="C8" s="221">
        <v>6</v>
      </c>
      <c r="D8" s="221" t="s">
        <v>305</v>
      </c>
      <c r="E8" s="221" t="s">
        <v>173</v>
      </c>
      <c r="F8" s="221" t="s">
        <v>173</v>
      </c>
      <c r="G8" s="221" t="s">
        <v>305</v>
      </c>
      <c r="H8" s="221" t="s">
        <v>305</v>
      </c>
      <c r="I8" s="221" t="s">
        <v>305</v>
      </c>
      <c r="J8" s="221" t="s">
        <v>304</v>
      </c>
      <c r="K8" s="221" t="s">
        <v>174</v>
      </c>
      <c r="L8" s="221" t="s">
        <v>174</v>
      </c>
      <c r="M8" s="221" t="s">
        <v>304</v>
      </c>
      <c r="N8" s="221" t="s">
        <v>304</v>
      </c>
      <c r="O8" s="221" t="s">
        <v>304</v>
      </c>
      <c r="P8" s="221" t="s">
        <v>304</v>
      </c>
      <c r="Q8" s="731" t="s">
        <v>304</v>
      </c>
      <c r="R8" s="233"/>
      <c r="S8" s="663" t="s">
        <v>305</v>
      </c>
      <c r="T8" s="663" t="s">
        <v>173</v>
      </c>
      <c r="U8" s="663" t="s">
        <v>173</v>
      </c>
      <c r="V8" s="663" t="s">
        <v>305</v>
      </c>
      <c r="W8" s="663" t="s">
        <v>304</v>
      </c>
      <c r="X8" s="663" t="s">
        <v>304</v>
      </c>
      <c r="Y8" s="663" t="s">
        <v>304</v>
      </c>
      <c r="Z8" s="663" t="s">
        <v>174</v>
      </c>
      <c r="AA8" s="663" t="s">
        <v>174</v>
      </c>
      <c r="AB8" s="663" t="s">
        <v>304</v>
      </c>
      <c r="AC8" s="663" t="s">
        <v>304</v>
      </c>
      <c r="AD8" s="663" t="s">
        <v>304</v>
      </c>
      <c r="AE8" s="663" t="s">
        <v>304</v>
      </c>
    </row>
    <row r="9" spans="1:34" x14ac:dyDescent="0.25">
      <c r="A9" s="652" t="s">
        <v>314</v>
      </c>
      <c r="B9" s="221">
        <v>0.82</v>
      </c>
      <c r="C9" s="221">
        <v>4</v>
      </c>
      <c r="D9" s="221" t="s">
        <v>305</v>
      </c>
      <c r="E9" s="221" t="s">
        <v>173</v>
      </c>
      <c r="F9" s="221" t="s">
        <v>173</v>
      </c>
      <c r="G9" s="221" t="s">
        <v>305</v>
      </c>
      <c r="H9" s="221" t="s">
        <v>305</v>
      </c>
      <c r="I9" s="221" t="s">
        <v>305</v>
      </c>
      <c r="J9" s="221" t="s">
        <v>304</v>
      </c>
      <c r="K9" s="221" t="s">
        <v>174</v>
      </c>
      <c r="L9" s="221" t="s">
        <v>174</v>
      </c>
      <c r="M9" s="221" t="s">
        <v>304</v>
      </c>
      <c r="N9" s="221" t="s">
        <v>304</v>
      </c>
      <c r="O9" s="221" t="s">
        <v>304</v>
      </c>
      <c r="P9" s="221" t="s">
        <v>304</v>
      </c>
      <c r="Q9" s="731" t="s">
        <v>304</v>
      </c>
      <c r="R9" s="233"/>
      <c r="S9" s="663" t="s">
        <v>305</v>
      </c>
      <c r="T9" s="663" t="s">
        <v>173</v>
      </c>
      <c r="U9" s="663" t="s">
        <v>173</v>
      </c>
      <c r="V9" s="663" t="s">
        <v>305</v>
      </c>
      <c r="W9" s="663" t="s">
        <v>304</v>
      </c>
      <c r="X9" s="663" t="s">
        <v>304</v>
      </c>
      <c r="Y9" s="663" t="s">
        <v>304</v>
      </c>
      <c r="Z9" s="663" t="s">
        <v>174</v>
      </c>
      <c r="AA9" s="663" t="s">
        <v>174</v>
      </c>
      <c r="AB9" s="663" t="s">
        <v>304</v>
      </c>
      <c r="AC9" s="663" t="s">
        <v>304</v>
      </c>
      <c r="AD9" s="663" t="s">
        <v>304</v>
      </c>
      <c r="AE9" s="663" t="s">
        <v>304</v>
      </c>
    </row>
    <row r="10" spans="1:34" x14ac:dyDescent="0.25">
      <c r="A10" s="652" t="s">
        <v>316</v>
      </c>
      <c r="B10" s="221">
        <v>0.65</v>
      </c>
      <c r="C10" s="221">
        <v>6</v>
      </c>
      <c r="D10" s="221" t="s">
        <v>305</v>
      </c>
      <c r="E10" s="221" t="s">
        <v>173</v>
      </c>
      <c r="F10" s="221" t="s">
        <v>173</v>
      </c>
      <c r="G10" s="221" t="s">
        <v>305</v>
      </c>
      <c r="H10" s="221" t="s">
        <v>305</v>
      </c>
      <c r="I10" s="221" t="s">
        <v>305</v>
      </c>
      <c r="J10" s="221" t="s">
        <v>304</v>
      </c>
      <c r="K10" s="221" t="s">
        <v>174</v>
      </c>
      <c r="L10" s="221" t="s">
        <v>174</v>
      </c>
      <c r="M10" s="221" t="s">
        <v>304</v>
      </c>
      <c r="N10" s="221" t="s">
        <v>304</v>
      </c>
      <c r="O10" s="221" t="s">
        <v>304</v>
      </c>
      <c r="P10" s="221" t="s">
        <v>304</v>
      </c>
      <c r="Q10" s="731" t="s">
        <v>304</v>
      </c>
      <c r="R10" s="233"/>
      <c r="S10" s="663" t="s">
        <v>305</v>
      </c>
      <c r="T10" s="663" t="s">
        <v>173</v>
      </c>
      <c r="U10" s="663" t="s">
        <v>173</v>
      </c>
      <c r="V10" s="663" t="s">
        <v>305</v>
      </c>
      <c r="W10" s="663" t="s">
        <v>304</v>
      </c>
      <c r="X10" s="663" t="s">
        <v>304</v>
      </c>
      <c r="Y10" s="663" t="s">
        <v>304</v>
      </c>
      <c r="Z10" s="663" t="s">
        <v>174</v>
      </c>
      <c r="AA10" s="663" t="s">
        <v>174</v>
      </c>
      <c r="AB10" s="663" t="s">
        <v>304</v>
      </c>
      <c r="AC10" s="663" t="s">
        <v>304</v>
      </c>
      <c r="AD10" s="663" t="s">
        <v>304</v>
      </c>
      <c r="AE10" s="663" t="s">
        <v>304</v>
      </c>
    </row>
    <row r="11" spans="1:34" x14ac:dyDescent="0.25">
      <c r="A11" s="652" t="s">
        <v>318</v>
      </c>
      <c r="B11" s="221">
        <v>1.1399999999999999</v>
      </c>
      <c r="C11" s="221">
        <v>4</v>
      </c>
      <c r="D11" s="221" t="s">
        <v>305</v>
      </c>
      <c r="E11" s="221" t="s">
        <v>173</v>
      </c>
      <c r="F11" s="221" t="s">
        <v>173</v>
      </c>
      <c r="G11" s="221" t="s">
        <v>305</v>
      </c>
      <c r="H11" s="221" t="s">
        <v>305</v>
      </c>
      <c r="I11" s="221" t="s">
        <v>305</v>
      </c>
      <c r="J11" s="221" t="s">
        <v>304</v>
      </c>
      <c r="K11" s="221" t="s">
        <v>174</v>
      </c>
      <c r="L11" s="221" t="s">
        <v>174</v>
      </c>
      <c r="M11" s="221" t="s">
        <v>304</v>
      </c>
      <c r="N11" s="221" t="s">
        <v>304</v>
      </c>
      <c r="O11" s="221" t="s">
        <v>304</v>
      </c>
      <c r="P11" s="221" t="s">
        <v>304</v>
      </c>
      <c r="Q11" s="731" t="s">
        <v>304</v>
      </c>
      <c r="R11" s="233"/>
      <c r="S11" s="663" t="s">
        <v>305</v>
      </c>
      <c r="T11" s="663" t="s">
        <v>173</v>
      </c>
      <c r="U11" s="663" t="s">
        <v>173</v>
      </c>
      <c r="V11" s="663" t="s">
        <v>305</v>
      </c>
      <c r="W11" s="663" t="s">
        <v>304</v>
      </c>
      <c r="X11" s="663" t="s">
        <v>304</v>
      </c>
      <c r="Y11" s="663" t="s">
        <v>304</v>
      </c>
      <c r="Z11" s="663" t="s">
        <v>174</v>
      </c>
      <c r="AA11" s="663" t="s">
        <v>174</v>
      </c>
      <c r="AB11" s="663" t="s">
        <v>304</v>
      </c>
      <c r="AC11" s="663" t="s">
        <v>304</v>
      </c>
      <c r="AD11" s="663" t="s">
        <v>304</v>
      </c>
      <c r="AE11" s="663" t="s">
        <v>304</v>
      </c>
    </row>
    <row r="12" spans="1:34" x14ac:dyDescent="0.25">
      <c r="A12" s="652" t="s">
        <v>320</v>
      </c>
      <c r="B12" s="221">
        <v>0.28000000000000003</v>
      </c>
      <c r="C12" s="221">
        <v>4</v>
      </c>
      <c r="D12" s="221" t="s">
        <v>305</v>
      </c>
      <c r="E12" s="221" t="s">
        <v>173</v>
      </c>
      <c r="F12" s="221" t="s">
        <v>173</v>
      </c>
      <c r="G12" s="221" t="s">
        <v>304</v>
      </c>
      <c r="H12" s="221" t="s">
        <v>305</v>
      </c>
      <c r="I12" s="221" t="s">
        <v>305</v>
      </c>
      <c r="J12" s="221" t="s">
        <v>304</v>
      </c>
      <c r="K12" s="221" t="s">
        <v>174</v>
      </c>
      <c r="L12" s="221" t="s">
        <v>174</v>
      </c>
      <c r="M12" s="221" t="s">
        <v>304</v>
      </c>
      <c r="N12" s="221" t="s">
        <v>304</v>
      </c>
      <c r="O12" s="221" t="s">
        <v>304</v>
      </c>
      <c r="P12" s="221" t="s">
        <v>304</v>
      </c>
      <c r="Q12" s="731" t="s">
        <v>304</v>
      </c>
      <c r="R12" s="233"/>
      <c r="S12" s="663" t="s">
        <v>305</v>
      </c>
      <c r="T12" s="663" t="s">
        <v>173</v>
      </c>
      <c r="U12" s="663" t="s">
        <v>173</v>
      </c>
      <c r="V12" s="663" t="s">
        <v>304</v>
      </c>
      <c r="W12" s="663" t="s">
        <v>304</v>
      </c>
      <c r="X12" s="663" t="s">
        <v>304</v>
      </c>
      <c r="Y12" s="663" t="s">
        <v>304</v>
      </c>
      <c r="Z12" s="663" t="s">
        <v>174</v>
      </c>
      <c r="AA12" s="663" t="s">
        <v>174</v>
      </c>
      <c r="AB12" s="663" t="s">
        <v>304</v>
      </c>
      <c r="AC12" s="663" t="s">
        <v>304</v>
      </c>
      <c r="AD12" s="663" t="s">
        <v>304</v>
      </c>
      <c r="AE12" s="663" t="s">
        <v>304</v>
      </c>
    </row>
    <row r="13" spans="1:34" x14ac:dyDescent="0.25">
      <c r="A13" s="652" t="s">
        <v>322</v>
      </c>
      <c r="B13" s="221">
        <v>2.0299999999999998</v>
      </c>
      <c r="C13" s="221">
        <v>8</v>
      </c>
      <c r="D13" s="221" t="s">
        <v>305</v>
      </c>
      <c r="E13" s="221" t="s">
        <v>173</v>
      </c>
      <c r="F13" s="221" t="s">
        <v>173</v>
      </c>
      <c r="G13" s="221" t="s">
        <v>305</v>
      </c>
      <c r="H13" s="221" t="s">
        <v>305</v>
      </c>
      <c r="I13" s="221" t="s">
        <v>305</v>
      </c>
      <c r="J13" s="221" t="s">
        <v>304</v>
      </c>
      <c r="K13" s="221" t="s">
        <v>174</v>
      </c>
      <c r="L13" s="221" t="s">
        <v>174</v>
      </c>
      <c r="M13" s="221" t="s">
        <v>304</v>
      </c>
      <c r="N13" s="221" t="s">
        <v>304</v>
      </c>
      <c r="O13" s="221" t="s">
        <v>304</v>
      </c>
      <c r="P13" s="221" t="s">
        <v>304</v>
      </c>
      <c r="Q13" s="731" t="s">
        <v>304</v>
      </c>
      <c r="R13" s="233"/>
      <c r="S13" s="663" t="s">
        <v>305</v>
      </c>
      <c r="T13" s="663" t="s">
        <v>173</v>
      </c>
      <c r="U13" s="663" t="s">
        <v>173</v>
      </c>
      <c r="V13" s="663" t="s">
        <v>305</v>
      </c>
      <c r="W13" s="663" t="s">
        <v>304</v>
      </c>
      <c r="X13" s="663" t="s">
        <v>304</v>
      </c>
      <c r="Y13" s="663" t="s">
        <v>304</v>
      </c>
      <c r="Z13" s="663" t="s">
        <v>174</v>
      </c>
      <c r="AA13" s="663" t="s">
        <v>174</v>
      </c>
      <c r="AB13" s="663" t="s">
        <v>304</v>
      </c>
      <c r="AC13" s="663" t="s">
        <v>304</v>
      </c>
      <c r="AD13" s="663" t="s">
        <v>304</v>
      </c>
      <c r="AE13" s="663" t="s">
        <v>304</v>
      </c>
    </row>
    <row r="14" spans="1:34" x14ac:dyDescent="0.25">
      <c r="A14" s="652" t="s">
        <v>324</v>
      </c>
      <c r="B14" s="221">
        <v>1.53</v>
      </c>
      <c r="C14" s="221">
        <v>4</v>
      </c>
      <c r="D14" s="221" t="s">
        <v>305</v>
      </c>
      <c r="E14" s="221" t="s">
        <v>173</v>
      </c>
      <c r="F14" s="221" t="s">
        <v>173</v>
      </c>
      <c r="G14" s="221" t="s">
        <v>305</v>
      </c>
      <c r="H14" s="221" t="s">
        <v>305</v>
      </c>
      <c r="I14" s="221" t="s">
        <v>305</v>
      </c>
      <c r="J14" s="221" t="s">
        <v>304</v>
      </c>
      <c r="K14" s="221" t="s">
        <v>174</v>
      </c>
      <c r="L14" s="221" t="s">
        <v>174</v>
      </c>
      <c r="M14" s="221" t="s">
        <v>304</v>
      </c>
      <c r="N14" s="221" t="s">
        <v>304</v>
      </c>
      <c r="O14" s="221" t="s">
        <v>304</v>
      </c>
      <c r="P14" s="221" t="s">
        <v>304</v>
      </c>
      <c r="Q14" s="731" t="s">
        <v>304</v>
      </c>
      <c r="R14" s="233"/>
      <c r="S14" s="663" t="s">
        <v>305</v>
      </c>
      <c r="T14" s="663" t="s">
        <v>173</v>
      </c>
      <c r="U14" s="663" t="s">
        <v>173</v>
      </c>
      <c r="V14" s="663" t="s">
        <v>305</v>
      </c>
      <c r="W14" s="663" t="s">
        <v>304</v>
      </c>
      <c r="X14" s="663" t="s">
        <v>304</v>
      </c>
      <c r="Y14" s="663" t="s">
        <v>304</v>
      </c>
      <c r="Z14" s="663" t="s">
        <v>174</v>
      </c>
      <c r="AA14" s="663" t="s">
        <v>174</v>
      </c>
      <c r="AB14" s="663" t="s">
        <v>304</v>
      </c>
      <c r="AC14" s="663" t="s">
        <v>304</v>
      </c>
      <c r="AD14" s="663" t="s">
        <v>304</v>
      </c>
      <c r="AE14" s="663" t="s">
        <v>304</v>
      </c>
    </row>
    <row r="15" spans="1:34" x14ac:dyDescent="0.25">
      <c r="A15" s="652" t="s">
        <v>326</v>
      </c>
      <c r="B15" s="221">
        <v>0.43</v>
      </c>
      <c r="C15" s="221">
        <v>4</v>
      </c>
      <c r="D15" s="221" t="s">
        <v>305</v>
      </c>
      <c r="E15" s="221" t="s">
        <v>173</v>
      </c>
      <c r="F15" s="221" t="s">
        <v>173</v>
      </c>
      <c r="G15" s="221" t="s">
        <v>304</v>
      </c>
      <c r="H15" s="221" t="s">
        <v>305</v>
      </c>
      <c r="I15" s="221" t="s">
        <v>305</v>
      </c>
      <c r="J15" s="221" t="s">
        <v>304</v>
      </c>
      <c r="K15" s="221" t="s">
        <v>174</v>
      </c>
      <c r="L15" s="221" t="s">
        <v>174</v>
      </c>
      <c r="M15" s="221" t="s">
        <v>304</v>
      </c>
      <c r="N15" s="221" t="s">
        <v>304</v>
      </c>
      <c r="O15" s="221" t="s">
        <v>304</v>
      </c>
      <c r="P15" s="221" t="s">
        <v>304</v>
      </c>
      <c r="Q15" s="731" t="s">
        <v>304</v>
      </c>
      <c r="R15" s="233"/>
      <c r="S15" s="663" t="s">
        <v>305</v>
      </c>
      <c r="T15" s="663" t="s">
        <v>173</v>
      </c>
      <c r="U15" s="663" t="s">
        <v>173</v>
      </c>
      <c r="V15" s="663" t="s">
        <v>304</v>
      </c>
      <c r="W15" s="663" t="s">
        <v>304</v>
      </c>
      <c r="X15" s="663" t="s">
        <v>304</v>
      </c>
      <c r="Y15" s="663" t="s">
        <v>304</v>
      </c>
      <c r="Z15" s="663" t="s">
        <v>174</v>
      </c>
      <c r="AA15" s="663" t="s">
        <v>174</v>
      </c>
      <c r="AB15" s="663" t="s">
        <v>304</v>
      </c>
      <c r="AC15" s="663" t="s">
        <v>304</v>
      </c>
      <c r="AD15" s="663" t="s">
        <v>304</v>
      </c>
      <c r="AE15" s="663" t="s">
        <v>304</v>
      </c>
    </row>
    <row r="16" spans="1:34" x14ac:dyDescent="0.25">
      <c r="A16" s="652" t="s">
        <v>961</v>
      </c>
      <c r="B16" s="221">
        <v>0.86</v>
      </c>
      <c r="C16" s="221">
        <v>6</v>
      </c>
      <c r="D16" s="221" t="s">
        <v>305</v>
      </c>
      <c r="E16" s="221" t="s">
        <v>173</v>
      </c>
      <c r="F16" s="221" t="s">
        <v>173</v>
      </c>
      <c r="G16" s="221" t="s">
        <v>305</v>
      </c>
      <c r="H16" s="221" t="s">
        <v>305</v>
      </c>
      <c r="I16" s="221" t="s">
        <v>305</v>
      </c>
      <c r="J16" s="221" t="s">
        <v>304</v>
      </c>
      <c r="K16" s="221" t="s">
        <v>174</v>
      </c>
      <c r="L16" s="221" t="s">
        <v>174</v>
      </c>
      <c r="M16" s="221" t="s">
        <v>304</v>
      </c>
      <c r="N16" s="221" t="s">
        <v>304</v>
      </c>
      <c r="O16" s="221" t="s">
        <v>304</v>
      </c>
      <c r="P16" s="221" t="s">
        <v>304</v>
      </c>
      <c r="Q16" s="731" t="s">
        <v>304</v>
      </c>
      <c r="R16" s="233"/>
      <c r="S16" s="663" t="s">
        <v>305</v>
      </c>
      <c r="T16" s="663" t="s">
        <v>173</v>
      </c>
      <c r="U16" s="663" t="s">
        <v>173</v>
      </c>
      <c r="V16" s="663" t="s">
        <v>305</v>
      </c>
      <c r="W16" s="663" t="s">
        <v>304</v>
      </c>
      <c r="X16" s="663" t="s">
        <v>304</v>
      </c>
      <c r="Y16" s="663" t="s">
        <v>304</v>
      </c>
      <c r="Z16" s="663" t="s">
        <v>174</v>
      </c>
      <c r="AA16" s="663" t="s">
        <v>174</v>
      </c>
      <c r="AB16" s="663" t="s">
        <v>304</v>
      </c>
      <c r="AC16" s="663" t="s">
        <v>304</v>
      </c>
      <c r="AD16" s="663" t="s">
        <v>304</v>
      </c>
      <c r="AE16" s="663" t="s">
        <v>304</v>
      </c>
    </row>
    <row r="17" spans="1:31" x14ac:dyDescent="0.25">
      <c r="A17" s="652" t="s">
        <v>331</v>
      </c>
      <c r="B17" s="221">
        <v>1.06</v>
      </c>
      <c r="C17" s="221">
        <v>4</v>
      </c>
      <c r="D17" s="221" t="s">
        <v>305</v>
      </c>
      <c r="E17" s="221" t="s">
        <v>173</v>
      </c>
      <c r="F17" s="221" t="s">
        <v>173</v>
      </c>
      <c r="G17" s="221" t="s">
        <v>305</v>
      </c>
      <c r="H17" s="221" t="s">
        <v>305</v>
      </c>
      <c r="I17" s="221" t="s">
        <v>305</v>
      </c>
      <c r="J17" s="221" t="s">
        <v>304</v>
      </c>
      <c r="K17" s="221" t="s">
        <v>174</v>
      </c>
      <c r="L17" s="221" t="s">
        <v>174</v>
      </c>
      <c r="M17" s="221" t="s">
        <v>304</v>
      </c>
      <c r="N17" s="221" t="s">
        <v>304</v>
      </c>
      <c r="O17" s="221" t="s">
        <v>304</v>
      </c>
      <c r="P17" s="221" t="s">
        <v>304</v>
      </c>
      <c r="Q17" s="731" t="s">
        <v>304</v>
      </c>
      <c r="R17" s="233"/>
      <c r="S17" s="663" t="s">
        <v>305</v>
      </c>
      <c r="T17" s="663" t="s">
        <v>173</v>
      </c>
      <c r="U17" s="663" t="s">
        <v>173</v>
      </c>
      <c r="V17" s="663" t="s">
        <v>305</v>
      </c>
      <c r="W17" s="663" t="s">
        <v>304</v>
      </c>
      <c r="X17" s="663" t="s">
        <v>304</v>
      </c>
      <c r="Y17" s="663" t="s">
        <v>304</v>
      </c>
      <c r="Z17" s="663" t="s">
        <v>174</v>
      </c>
      <c r="AA17" s="663" t="s">
        <v>174</v>
      </c>
      <c r="AB17" s="663" t="s">
        <v>304</v>
      </c>
      <c r="AC17" s="663" t="s">
        <v>304</v>
      </c>
      <c r="AD17" s="663" t="s">
        <v>304</v>
      </c>
      <c r="AE17" s="663" t="s">
        <v>304</v>
      </c>
    </row>
    <row r="18" spans="1:31" x14ac:dyDescent="0.25">
      <c r="A18" s="652" t="s">
        <v>963</v>
      </c>
      <c r="B18" s="221">
        <v>0.92</v>
      </c>
      <c r="C18" s="221">
        <v>4</v>
      </c>
      <c r="D18" s="221" t="s">
        <v>305</v>
      </c>
      <c r="E18" s="221" t="s">
        <v>173</v>
      </c>
      <c r="F18" s="221" t="s">
        <v>173</v>
      </c>
      <c r="G18" s="221" t="s">
        <v>305</v>
      </c>
      <c r="H18" s="221" t="s">
        <v>305</v>
      </c>
      <c r="I18" s="221" t="s">
        <v>305</v>
      </c>
      <c r="J18" s="221" t="s">
        <v>304</v>
      </c>
      <c r="K18" s="221" t="s">
        <v>305</v>
      </c>
      <c r="L18" s="221" t="s">
        <v>304</v>
      </c>
      <c r="M18" s="221" t="s">
        <v>304</v>
      </c>
      <c r="N18" s="221" t="s">
        <v>304</v>
      </c>
      <c r="O18" s="221" t="s">
        <v>304</v>
      </c>
      <c r="P18" s="221" t="s">
        <v>304</v>
      </c>
      <c r="Q18" s="731">
        <v>3</v>
      </c>
      <c r="R18" s="233"/>
      <c r="S18" s="663" t="s">
        <v>305</v>
      </c>
      <c r="T18" s="663" t="s">
        <v>173</v>
      </c>
      <c r="U18" s="663" t="s">
        <v>173</v>
      </c>
      <c r="V18" s="663" t="s">
        <v>305</v>
      </c>
      <c r="W18" s="663" t="s">
        <v>304</v>
      </c>
      <c r="X18" s="663" t="s">
        <v>304</v>
      </c>
      <c r="Y18" s="663" t="s">
        <v>304</v>
      </c>
      <c r="Z18" s="663" t="s">
        <v>305</v>
      </c>
      <c r="AA18" s="663" t="s">
        <v>304</v>
      </c>
      <c r="AB18" s="663" t="s">
        <v>304</v>
      </c>
      <c r="AC18" s="663" t="s">
        <v>304</v>
      </c>
      <c r="AD18" s="663" t="s">
        <v>304</v>
      </c>
      <c r="AE18" s="663" t="s">
        <v>304</v>
      </c>
    </row>
    <row r="19" spans="1:31" x14ac:dyDescent="0.25">
      <c r="A19" s="652" t="s">
        <v>334</v>
      </c>
      <c r="B19" s="221">
        <v>1.34</v>
      </c>
      <c r="C19" s="221">
        <v>4</v>
      </c>
      <c r="D19" s="221" t="s">
        <v>305</v>
      </c>
      <c r="E19" s="221" t="s">
        <v>173</v>
      </c>
      <c r="F19" s="221" t="s">
        <v>173</v>
      </c>
      <c r="G19" s="221" t="s">
        <v>305</v>
      </c>
      <c r="H19" s="221" t="s">
        <v>305</v>
      </c>
      <c r="I19" s="221" t="s">
        <v>305</v>
      </c>
      <c r="J19" s="221" t="s">
        <v>304</v>
      </c>
      <c r="K19" s="221" t="s">
        <v>305</v>
      </c>
      <c r="L19" s="221" t="s">
        <v>304</v>
      </c>
      <c r="M19" s="221" t="s">
        <v>304</v>
      </c>
      <c r="N19" s="221" t="s">
        <v>304</v>
      </c>
      <c r="O19" s="221" t="s">
        <v>304</v>
      </c>
      <c r="P19" s="221" t="s">
        <v>304</v>
      </c>
      <c r="Q19" s="731">
        <v>3</v>
      </c>
      <c r="R19" s="233"/>
      <c r="S19" s="663" t="s">
        <v>305</v>
      </c>
      <c r="T19" s="663" t="s">
        <v>173</v>
      </c>
      <c r="U19" s="663" t="s">
        <v>173</v>
      </c>
      <c r="V19" s="663" t="s">
        <v>305</v>
      </c>
      <c r="W19" s="663" t="s">
        <v>304</v>
      </c>
      <c r="X19" s="663" t="s">
        <v>304</v>
      </c>
      <c r="Y19" s="663" t="s">
        <v>304</v>
      </c>
      <c r="Z19" s="663" t="s">
        <v>305</v>
      </c>
      <c r="AA19" s="663" t="s">
        <v>304</v>
      </c>
      <c r="AB19" s="663" t="s">
        <v>304</v>
      </c>
      <c r="AC19" s="663" t="s">
        <v>304</v>
      </c>
      <c r="AD19" s="663" t="s">
        <v>304</v>
      </c>
      <c r="AE19" s="663" t="s">
        <v>304</v>
      </c>
    </row>
    <row r="20" spans="1:31" x14ac:dyDescent="0.25">
      <c r="A20" s="652" t="s">
        <v>336</v>
      </c>
      <c r="B20" s="221">
        <v>1.33</v>
      </c>
      <c r="C20" s="221">
        <v>4</v>
      </c>
      <c r="D20" s="221" t="s">
        <v>305</v>
      </c>
      <c r="E20" s="221" t="s">
        <v>173</v>
      </c>
      <c r="F20" s="221" t="s">
        <v>173</v>
      </c>
      <c r="G20" s="221" t="s">
        <v>305</v>
      </c>
      <c r="H20" s="221" t="s">
        <v>305</v>
      </c>
      <c r="I20" s="221" t="s">
        <v>305</v>
      </c>
      <c r="J20" s="221" t="s">
        <v>304</v>
      </c>
      <c r="K20" s="221" t="s">
        <v>174</v>
      </c>
      <c r="L20" s="221" t="s">
        <v>174</v>
      </c>
      <c r="M20" s="221" t="s">
        <v>304</v>
      </c>
      <c r="N20" s="221" t="s">
        <v>304</v>
      </c>
      <c r="O20" s="221" t="s">
        <v>304</v>
      </c>
      <c r="P20" s="221" t="s">
        <v>304</v>
      </c>
      <c r="Q20" s="731" t="s">
        <v>304</v>
      </c>
      <c r="R20" s="233"/>
      <c r="S20" s="663" t="s">
        <v>305</v>
      </c>
      <c r="T20" s="663" t="s">
        <v>173</v>
      </c>
      <c r="U20" s="663" t="s">
        <v>173</v>
      </c>
      <c r="V20" s="663" t="s">
        <v>305</v>
      </c>
      <c r="W20" s="663" t="s">
        <v>304</v>
      </c>
      <c r="X20" s="663" t="s">
        <v>304</v>
      </c>
      <c r="Y20" s="663" t="s">
        <v>304</v>
      </c>
      <c r="Z20" s="663" t="s">
        <v>174</v>
      </c>
      <c r="AA20" s="663" t="s">
        <v>174</v>
      </c>
      <c r="AB20" s="663" t="s">
        <v>304</v>
      </c>
      <c r="AC20" s="663" t="s">
        <v>304</v>
      </c>
      <c r="AD20" s="663" t="s">
        <v>304</v>
      </c>
      <c r="AE20" s="663" t="s">
        <v>304</v>
      </c>
    </row>
    <row r="21" spans="1:31" x14ac:dyDescent="0.25">
      <c r="A21" s="652" t="s">
        <v>337</v>
      </c>
      <c r="B21" s="221">
        <v>1.07</v>
      </c>
      <c r="C21" s="221">
        <v>6</v>
      </c>
      <c r="D21" s="221" t="s">
        <v>305</v>
      </c>
      <c r="E21" s="221" t="s">
        <v>173</v>
      </c>
      <c r="F21" s="221" t="s">
        <v>173</v>
      </c>
      <c r="G21" s="221" t="s">
        <v>305</v>
      </c>
      <c r="H21" s="221" t="s">
        <v>305</v>
      </c>
      <c r="I21" s="221" t="s">
        <v>305</v>
      </c>
      <c r="J21" s="221" t="s">
        <v>304</v>
      </c>
      <c r="K21" s="221" t="s">
        <v>305</v>
      </c>
      <c r="L21" s="221" t="s">
        <v>304</v>
      </c>
      <c r="M21" s="221" t="s">
        <v>304</v>
      </c>
      <c r="N21" s="221" t="s">
        <v>304</v>
      </c>
      <c r="O21" s="221" t="s">
        <v>304</v>
      </c>
      <c r="P21" s="221" t="s">
        <v>304</v>
      </c>
      <c r="Q21" s="731">
        <v>3</v>
      </c>
      <c r="R21" s="233"/>
      <c r="S21" s="663" t="s">
        <v>305</v>
      </c>
      <c r="T21" s="663" t="s">
        <v>173</v>
      </c>
      <c r="U21" s="663" t="s">
        <v>173</v>
      </c>
      <c r="V21" s="663" t="s">
        <v>305</v>
      </c>
      <c r="W21" s="663" t="s">
        <v>304</v>
      </c>
      <c r="X21" s="663" t="s">
        <v>304</v>
      </c>
      <c r="Y21" s="663" t="s">
        <v>304</v>
      </c>
      <c r="Z21" s="663" t="s">
        <v>305</v>
      </c>
      <c r="AA21" s="663" t="s">
        <v>304</v>
      </c>
      <c r="AB21" s="663" t="s">
        <v>304</v>
      </c>
      <c r="AC21" s="663" t="s">
        <v>304</v>
      </c>
      <c r="AD21" s="663" t="s">
        <v>304</v>
      </c>
      <c r="AE21" s="663" t="s">
        <v>304</v>
      </c>
    </row>
    <row r="22" spans="1:31" x14ac:dyDescent="0.25">
      <c r="A22" s="652" t="s">
        <v>339</v>
      </c>
      <c r="B22" s="221">
        <v>0.81</v>
      </c>
      <c r="C22" s="221">
        <v>6</v>
      </c>
      <c r="D22" s="221" t="s">
        <v>305</v>
      </c>
      <c r="E22" s="221" t="s">
        <v>173</v>
      </c>
      <c r="F22" s="221" t="s">
        <v>173</v>
      </c>
      <c r="G22" s="221" t="s">
        <v>305</v>
      </c>
      <c r="H22" s="221" t="s">
        <v>305</v>
      </c>
      <c r="I22" s="221" t="s">
        <v>305</v>
      </c>
      <c r="J22" s="221" t="s">
        <v>304</v>
      </c>
      <c r="K22" s="221" t="s">
        <v>174</v>
      </c>
      <c r="L22" s="221" t="s">
        <v>174</v>
      </c>
      <c r="M22" s="221" t="s">
        <v>304</v>
      </c>
      <c r="N22" s="221" t="s">
        <v>304</v>
      </c>
      <c r="O22" s="221" t="s">
        <v>304</v>
      </c>
      <c r="P22" s="221" t="s">
        <v>304</v>
      </c>
      <c r="Q22" s="731" t="s">
        <v>304</v>
      </c>
      <c r="R22" s="233"/>
      <c r="S22" s="663" t="s">
        <v>305</v>
      </c>
      <c r="T22" s="663" t="s">
        <v>173</v>
      </c>
      <c r="U22" s="663" t="s">
        <v>173</v>
      </c>
      <c r="V22" s="663" t="s">
        <v>305</v>
      </c>
      <c r="W22" s="663" t="s">
        <v>304</v>
      </c>
      <c r="X22" s="663" t="s">
        <v>304</v>
      </c>
      <c r="Y22" s="663" t="s">
        <v>304</v>
      </c>
      <c r="Z22" s="663" t="s">
        <v>174</v>
      </c>
      <c r="AA22" s="663" t="s">
        <v>174</v>
      </c>
      <c r="AB22" s="663" t="s">
        <v>304</v>
      </c>
      <c r="AC22" s="663" t="s">
        <v>304</v>
      </c>
      <c r="AD22" s="663" t="s">
        <v>304</v>
      </c>
      <c r="AE22" s="663" t="s">
        <v>304</v>
      </c>
    </row>
    <row r="23" spans="1:31" x14ac:dyDescent="0.25">
      <c r="A23" s="652" t="s">
        <v>341</v>
      </c>
      <c r="B23" s="221">
        <v>0.88</v>
      </c>
      <c r="C23" s="221">
        <v>4</v>
      </c>
      <c r="D23" s="221" t="s">
        <v>305</v>
      </c>
      <c r="E23" s="221" t="s">
        <v>173</v>
      </c>
      <c r="F23" s="221" t="s">
        <v>173</v>
      </c>
      <c r="G23" s="221" t="s">
        <v>305</v>
      </c>
      <c r="H23" s="221" t="s">
        <v>305</v>
      </c>
      <c r="I23" s="221" t="s">
        <v>305</v>
      </c>
      <c r="J23" s="221" t="s">
        <v>304</v>
      </c>
      <c r="K23" s="221" t="s">
        <v>174</v>
      </c>
      <c r="L23" s="221" t="s">
        <v>174</v>
      </c>
      <c r="M23" s="221" t="s">
        <v>304</v>
      </c>
      <c r="N23" s="221" t="s">
        <v>304</v>
      </c>
      <c r="O23" s="221" t="s">
        <v>304</v>
      </c>
      <c r="P23" s="221" t="s">
        <v>304</v>
      </c>
      <c r="Q23" s="731" t="s">
        <v>304</v>
      </c>
      <c r="R23" s="233"/>
      <c r="S23" s="663" t="s">
        <v>305</v>
      </c>
      <c r="T23" s="663" t="s">
        <v>173</v>
      </c>
      <c r="U23" s="663" t="s">
        <v>173</v>
      </c>
      <c r="V23" s="663" t="s">
        <v>305</v>
      </c>
      <c r="W23" s="663" t="s">
        <v>304</v>
      </c>
      <c r="X23" s="663" t="s">
        <v>304</v>
      </c>
      <c r="Y23" s="663" t="s">
        <v>304</v>
      </c>
      <c r="Z23" s="663" t="s">
        <v>174</v>
      </c>
      <c r="AA23" s="663" t="s">
        <v>174</v>
      </c>
      <c r="AB23" s="663" t="s">
        <v>304</v>
      </c>
      <c r="AC23" s="663" t="s">
        <v>304</v>
      </c>
      <c r="AD23" s="663" t="s">
        <v>304</v>
      </c>
      <c r="AE23" s="663" t="s">
        <v>304</v>
      </c>
    </row>
    <row r="24" spans="1:31" x14ac:dyDescent="0.25">
      <c r="A24" s="652" t="s">
        <v>342</v>
      </c>
      <c r="B24" s="221">
        <v>0.56000000000000005</v>
      </c>
      <c r="C24" s="221">
        <v>6</v>
      </c>
      <c r="D24" s="221" t="s">
        <v>305</v>
      </c>
      <c r="E24" s="221" t="s">
        <v>173</v>
      </c>
      <c r="F24" s="221" t="s">
        <v>173</v>
      </c>
      <c r="G24" s="221" t="s">
        <v>305</v>
      </c>
      <c r="H24" s="221" t="s">
        <v>305</v>
      </c>
      <c r="I24" s="221" t="s">
        <v>305</v>
      </c>
      <c r="J24" s="221" t="s">
        <v>304</v>
      </c>
      <c r="K24" s="221" t="s">
        <v>305</v>
      </c>
      <c r="L24" s="221" t="s">
        <v>304</v>
      </c>
      <c r="M24" s="221" t="s">
        <v>304</v>
      </c>
      <c r="N24" s="221" t="s">
        <v>304</v>
      </c>
      <c r="O24" s="221" t="s">
        <v>304</v>
      </c>
      <c r="P24" s="221" t="s">
        <v>304</v>
      </c>
      <c r="Q24" s="731" t="s">
        <v>304</v>
      </c>
      <c r="R24" s="233"/>
      <c r="S24" s="663" t="s">
        <v>305</v>
      </c>
      <c r="T24" s="663" t="s">
        <v>173</v>
      </c>
      <c r="U24" s="663" t="s">
        <v>173</v>
      </c>
      <c r="V24" s="663" t="s">
        <v>305</v>
      </c>
      <c r="W24" s="663" t="s">
        <v>304</v>
      </c>
      <c r="X24" s="663" t="s">
        <v>304</v>
      </c>
      <c r="Y24" s="663" t="s">
        <v>304</v>
      </c>
      <c r="Z24" s="663" t="s">
        <v>305</v>
      </c>
      <c r="AA24" s="663" t="s">
        <v>304</v>
      </c>
      <c r="AB24" s="663" t="s">
        <v>304</v>
      </c>
      <c r="AC24" s="663" t="s">
        <v>304</v>
      </c>
      <c r="AD24" s="663" t="s">
        <v>304</v>
      </c>
      <c r="AE24" s="663" t="s">
        <v>304</v>
      </c>
    </row>
    <row r="25" spans="1:31" x14ac:dyDescent="0.25">
      <c r="A25" s="652" t="s">
        <v>343</v>
      </c>
      <c r="B25" s="221">
        <v>0.66</v>
      </c>
      <c r="C25" s="221" t="s">
        <v>344</v>
      </c>
      <c r="D25" s="221" t="s">
        <v>305</v>
      </c>
      <c r="E25" s="221" t="s">
        <v>304</v>
      </c>
      <c r="F25" s="221" t="s">
        <v>304</v>
      </c>
      <c r="G25" s="221" t="s">
        <v>304</v>
      </c>
      <c r="H25" s="221" t="s">
        <v>305</v>
      </c>
      <c r="I25" s="221" t="s">
        <v>305</v>
      </c>
      <c r="J25" s="221" t="s">
        <v>305</v>
      </c>
      <c r="K25" s="221" t="s">
        <v>174</v>
      </c>
      <c r="L25" s="221" t="s">
        <v>174</v>
      </c>
      <c r="M25" s="221" t="s">
        <v>304</v>
      </c>
      <c r="N25" s="221" t="s">
        <v>304</v>
      </c>
      <c r="O25" s="221" t="s">
        <v>304</v>
      </c>
      <c r="P25" s="221" t="s">
        <v>304</v>
      </c>
      <c r="Q25" s="731">
        <v>5</v>
      </c>
      <c r="R25" s="233"/>
      <c r="S25" s="663" t="s">
        <v>305</v>
      </c>
      <c r="T25" s="663" t="s">
        <v>304</v>
      </c>
      <c r="U25" s="663" t="s">
        <v>304</v>
      </c>
      <c r="V25" s="663" t="s">
        <v>304</v>
      </c>
      <c r="W25" s="663" t="s">
        <v>304</v>
      </c>
      <c r="X25" s="663" t="s">
        <v>304</v>
      </c>
      <c r="Y25" s="663" t="s">
        <v>305</v>
      </c>
      <c r="Z25" s="663" t="s">
        <v>174</v>
      </c>
      <c r="AA25" s="663" t="s">
        <v>174</v>
      </c>
      <c r="AB25" s="663" t="s">
        <v>304</v>
      </c>
      <c r="AC25" s="663" t="s">
        <v>304</v>
      </c>
      <c r="AD25" s="663" t="s">
        <v>304</v>
      </c>
      <c r="AE25" s="663" t="s">
        <v>304</v>
      </c>
    </row>
    <row r="26" spans="1:31" x14ac:dyDescent="0.25">
      <c r="A26" s="652" t="s">
        <v>347</v>
      </c>
      <c r="B26" s="221">
        <v>0.92</v>
      </c>
      <c r="C26" s="221" t="s">
        <v>344</v>
      </c>
      <c r="D26" s="221" t="s">
        <v>305</v>
      </c>
      <c r="E26" s="221" t="s">
        <v>304</v>
      </c>
      <c r="F26" s="221" t="s">
        <v>304</v>
      </c>
      <c r="G26" s="221" t="s">
        <v>304</v>
      </c>
      <c r="H26" s="221" t="s">
        <v>305</v>
      </c>
      <c r="I26" s="221" t="s">
        <v>305</v>
      </c>
      <c r="J26" s="221" t="s">
        <v>305</v>
      </c>
      <c r="K26" s="221" t="s">
        <v>174</v>
      </c>
      <c r="L26" s="221" t="s">
        <v>174</v>
      </c>
      <c r="M26" s="221" t="s">
        <v>304</v>
      </c>
      <c r="N26" s="221" t="s">
        <v>304</v>
      </c>
      <c r="O26" s="221" t="s">
        <v>304</v>
      </c>
      <c r="P26" s="221" t="s">
        <v>304</v>
      </c>
      <c r="Q26" s="731">
        <v>5</v>
      </c>
      <c r="R26" s="233"/>
      <c r="S26" s="663" t="s">
        <v>305</v>
      </c>
      <c r="T26" s="663" t="s">
        <v>304</v>
      </c>
      <c r="U26" s="663" t="s">
        <v>304</v>
      </c>
      <c r="V26" s="663" t="s">
        <v>304</v>
      </c>
      <c r="W26" s="663" t="s">
        <v>304</v>
      </c>
      <c r="X26" s="663" t="s">
        <v>304</v>
      </c>
      <c r="Y26" s="663" t="s">
        <v>305</v>
      </c>
      <c r="Z26" s="663" t="s">
        <v>174</v>
      </c>
      <c r="AA26" s="663" t="s">
        <v>174</v>
      </c>
      <c r="AB26" s="663" t="s">
        <v>304</v>
      </c>
      <c r="AC26" s="663" t="s">
        <v>304</v>
      </c>
      <c r="AD26" s="663" t="s">
        <v>304</v>
      </c>
      <c r="AE26" s="663" t="s">
        <v>304</v>
      </c>
    </row>
    <row r="27" spans="1:31" x14ac:dyDescent="0.25">
      <c r="A27" s="652" t="s">
        <v>348</v>
      </c>
      <c r="B27" s="221">
        <v>0.92</v>
      </c>
      <c r="C27" s="221" t="s">
        <v>344</v>
      </c>
      <c r="D27" s="221" t="s">
        <v>305</v>
      </c>
      <c r="E27" s="221" t="s">
        <v>304</v>
      </c>
      <c r="F27" s="221" t="s">
        <v>304</v>
      </c>
      <c r="G27" s="221" t="s">
        <v>304</v>
      </c>
      <c r="H27" s="221" t="s">
        <v>305</v>
      </c>
      <c r="I27" s="221" t="s">
        <v>305</v>
      </c>
      <c r="J27" s="221" t="s">
        <v>174</v>
      </c>
      <c r="K27" s="221" t="s">
        <v>174</v>
      </c>
      <c r="L27" s="221" t="s">
        <v>174</v>
      </c>
      <c r="M27" s="221" t="s">
        <v>304</v>
      </c>
      <c r="N27" s="221" t="s">
        <v>304</v>
      </c>
      <c r="O27" s="221" t="s">
        <v>304</v>
      </c>
      <c r="P27" s="221" t="s">
        <v>304</v>
      </c>
      <c r="Q27" s="731">
        <v>5</v>
      </c>
      <c r="R27" s="233"/>
      <c r="S27" s="663" t="s">
        <v>305</v>
      </c>
      <c r="T27" s="663" t="s">
        <v>304</v>
      </c>
      <c r="U27" s="663" t="s">
        <v>304</v>
      </c>
      <c r="V27" s="663" t="s">
        <v>304</v>
      </c>
      <c r="W27" s="663" t="s">
        <v>304</v>
      </c>
      <c r="X27" s="663" t="s">
        <v>304</v>
      </c>
      <c r="Y27" s="663" t="s">
        <v>174</v>
      </c>
      <c r="Z27" s="663" t="s">
        <v>174</v>
      </c>
      <c r="AA27" s="663" t="s">
        <v>174</v>
      </c>
      <c r="AB27" s="663" t="s">
        <v>304</v>
      </c>
      <c r="AC27" s="663" t="s">
        <v>304</v>
      </c>
      <c r="AD27" s="663" t="s">
        <v>304</v>
      </c>
      <c r="AE27" s="663" t="s">
        <v>304</v>
      </c>
    </row>
    <row r="28" spans="1:31" x14ac:dyDescent="0.25">
      <c r="A28" s="652" t="s">
        <v>350</v>
      </c>
      <c r="B28" s="221">
        <v>0.28999999999999998</v>
      </c>
      <c r="C28" s="221" t="s">
        <v>344</v>
      </c>
      <c r="D28" s="221" t="s">
        <v>305</v>
      </c>
      <c r="E28" s="221" t="s">
        <v>304</v>
      </c>
      <c r="F28" s="221" t="s">
        <v>304</v>
      </c>
      <c r="G28" s="221" t="s">
        <v>304</v>
      </c>
      <c r="H28" s="221" t="s">
        <v>305</v>
      </c>
      <c r="I28" s="221" t="s">
        <v>305</v>
      </c>
      <c r="J28" s="221" t="s">
        <v>304</v>
      </c>
      <c r="K28" s="221" t="s">
        <v>174</v>
      </c>
      <c r="L28" s="221" t="s">
        <v>174</v>
      </c>
      <c r="M28" s="221" t="s">
        <v>304</v>
      </c>
      <c r="N28" s="221" t="s">
        <v>304</v>
      </c>
      <c r="O28" s="221" t="s">
        <v>304</v>
      </c>
      <c r="P28" s="221" t="s">
        <v>304</v>
      </c>
      <c r="Q28" s="731">
        <v>5</v>
      </c>
      <c r="R28" s="233"/>
      <c r="S28" s="663" t="s">
        <v>305</v>
      </c>
      <c r="T28" s="663" t="s">
        <v>304</v>
      </c>
      <c r="U28" s="663" t="s">
        <v>304</v>
      </c>
      <c r="V28" s="663" t="s">
        <v>304</v>
      </c>
      <c r="W28" s="663" t="s">
        <v>304</v>
      </c>
      <c r="X28" s="663" t="s">
        <v>304</v>
      </c>
      <c r="Y28" s="663" t="s">
        <v>304</v>
      </c>
      <c r="Z28" s="663" t="s">
        <v>174</v>
      </c>
      <c r="AA28" s="663" t="s">
        <v>174</v>
      </c>
      <c r="AB28" s="663" t="s">
        <v>304</v>
      </c>
      <c r="AC28" s="663" t="s">
        <v>304</v>
      </c>
      <c r="AD28" s="663" t="s">
        <v>304</v>
      </c>
      <c r="AE28" s="663" t="s">
        <v>304</v>
      </c>
    </row>
    <row r="29" spans="1:31" x14ac:dyDescent="0.25">
      <c r="A29" s="652" t="s">
        <v>354</v>
      </c>
      <c r="B29" s="221">
        <v>1.39</v>
      </c>
      <c r="C29" s="221">
        <v>6</v>
      </c>
      <c r="D29" s="221" t="s">
        <v>305</v>
      </c>
      <c r="E29" s="221" t="s">
        <v>173</v>
      </c>
      <c r="F29" s="221" t="s">
        <v>173</v>
      </c>
      <c r="G29" s="221" t="s">
        <v>305</v>
      </c>
      <c r="H29" s="221" t="s">
        <v>305</v>
      </c>
      <c r="I29" s="221" t="s">
        <v>305</v>
      </c>
      <c r="J29" s="221" t="s">
        <v>304</v>
      </c>
      <c r="K29" s="221" t="s">
        <v>174</v>
      </c>
      <c r="L29" s="221" t="s">
        <v>174</v>
      </c>
      <c r="M29" s="221" t="s">
        <v>304</v>
      </c>
      <c r="N29" s="221" t="s">
        <v>304</v>
      </c>
      <c r="O29" s="221" t="s">
        <v>304</v>
      </c>
      <c r="P29" s="221" t="s">
        <v>304</v>
      </c>
      <c r="Q29" s="731" t="s">
        <v>304</v>
      </c>
      <c r="R29" s="233"/>
      <c r="S29" s="663" t="s">
        <v>305</v>
      </c>
      <c r="T29" s="663" t="s">
        <v>173</v>
      </c>
      <c r="U29" s="663" t="s">
        <v>173</v>
      </c>
      <c r="V29" s="663" t="s">
        <v>305</v>
      </c>
      <c r="W29" s="663" t="s">
        <v>304</v>
      </c>
      <c r="X29" s="663" t="s">
        <v>304</v>
      </c>
      <c r="Y29" s="663" t="s">
        <v>304</v>
      </c>
      <c r="Z29" s="663" t="s">
        <v>174</v>
      </c>
      <c r="AA29" s="663" t="s">
        <v>174</v>
      </c>
      <c r="AB29" s="663" t="s">
        <v>304</v>
      </c>
      <c r="AC29" s="663" t="s">
        <v>304</v>
      </c>
      <c r="AD29" s="663" t="s">
        <v>304</v>
      </c>
      <c r="AE29" s="663" t="s">
        <v>304</v>
      </c>
    </row>
    <row r="30" spans="1:31" x14ac:dyDescent="0.25">
      <c r="A30" s="652" t="s">
        <v>356</v>
      </c>
      <c r="B30" s="221">
        <v>0.63</v>
      </c>
      <c r="C30" s="221">
        <v>4</v>
      </c>
      <c r="D30" s="221" t="s">
        <v>305</v>
      </c>
      <c r="E30" s="221" t="s">
        <v>173</v>
      </c>
      <c r="F30" s="221" t="s">
        <v>173</v>
      </c>
      <c r="G30" s="221" t="s">
        <v>305</v>
      </c>
      <c r="H30" s="221" t="s">
        <v>305</v>
      </c>
      <c r="I30" s="221" t="s">
        <v>305</v>
      </c>
      <c r="J30" s="221" t="s">
        <v>304</v>
      </c>
      <c r="K30" s="221" t="s">
        <v>174</v>
      </c>
      <c r="L30" s="221" t="s">
        <v>174</v>
      </c>
      <c r="M30" s="221" t="s">
        <v>304</v>
      </c>
      <c r="N30" s="221" t="s">
        <v>304</v>
      </c>
      <c r="O30" s="221" t="s">
        <v>304</v>
      </c>
      <c r="P30" s="221" t="s">
        <v>304</v>
      </c>
      <c r="Q30" s="731">
        <v>5</v>
      </c>
      <c r="R30" s="233"/>
      <c r="S30" s="663" t="s">
        <v>305</v>
      </c>
      <c r="T30" s="663" t="s">
        <v>173</v>
      </c>
      <c r="U30" s="663" t="s">
        <v>173</v>
      </c>
      <c r="V30" s="663" t="s">
        <v>305</v>
      </c>
      <c r="W30" s="663" t="s">
        <v>304</v>
      </c>
      <c r="X30" s="663" t="s">
        <v>304</v>
      </c>
      <c r="Y30" s="663" t="s">
        <v>304</v>
      </c>
      <c r="Z30" s="663" t="s">
        <v>174</v>
      </c>
      <c r="AA30" s="663" t="s">
        <v>174</v>
      </c>
      <c r="AB30" s="663" t="s">
        <v>304</v>
      </c>
      <c r="AC30" s="663" t="s">
        <v>304</v>
      </c>
      <c r="AD30" s="663" t="s">
        <v>304</v>
      </c>
      <c r="AE30" s="663" t="s">
        <v>304</v>
      </c>
    </row>
    <row r="31" spans="1:31" x14ac:dyDescent="0.25">
      <c r="A31" s="652" t="s">
        <v>358</v>
      </c>
      <c r="B31" s="221">
        <v>0.93</v>
      </c>
      <c r="C31" s="221">
        <v>4</v>
      </c>
      <c r="D31" s="221" t="s">
        <v>305</v>
      </c>
      <c r="E31" s="221" t="s">
        <v>173</v>
      </c>
      <c r="F31" s="221" t="s">
        <v>173</v>
      </c>
      <c r="G31" s="221" t="s">
        <v>305</v>
      </c>
      <c r="H31" s="221" t="s">
        <v>305</v>
      </c>
      <c r="I31" s="221" t="s">
        <v>305</v>
      </c>
      <c r="J31" s="221" t="s">
        <v>304</v>
      </c>
      <c r="K31" s="221" t="s">
        <v>174</v>
      </c>
      <c r="L31" s="221" t="s">
        <v>174</v>
      </c>
      <c r="M31" s="221" t="s">
        <v>304</v>
      </c>
      <c r="N31" s="221" t="s">
        <v>304</v>
      </c>
      <c r="O31" s="221" t="s">
        <v>304</v>
      </c>
      <c r="P31" s="221" t="s">
        <v>304</v>
      </c>
      <c r="Q31" s="731">
        <v>5</v>
      </c>
      <c r="R31" s="233"/>
      <c r="S31" s="663" t="s">
        <v>305</v>
      </c>
      <c r="T31" s="663" t="s">
        <v>173</v>
      </c>
      <c r="U31" s="663" t="s">
        <v>173</v>
      </c>
      <c r="V31" s="663" t="s">
        <v>305</v>
      </c>
      <c r="W31" s="663" t="s">
        <v>304</v>
      </c>
      <c r="X31" s="663" t="s">
        <v>304</v>
      </c>
      <c r="Y31" s="663" t="s">
        <v>304</v>
      </c>
      <c r="Z31" s="663" t="s">
        <v>174</v>
      </c>
      <c r="AA31" s="663" t="s">
        <v>174</v>
      </c>
      <c r="AB31" s="663" t="s">
        <v>304</v>
      </c>
      <c r="AC31" s="663" t="s">
        <v>304</v>
      </c>
      <c r="AD31" s="663" t="s">
        <v>304</v>
      </c>
      <c r="AE31" s="663" t="s">
        <v>304</v>
      </c>
    </row>
    <row r="32" spans="1:31" x14ac:dyDescent="0.25">
      <c r="A32" s="652" t="s">
        <v>360</v>
      </c>
      <c r="B32" s="221">
        <v>0.63</v>
      </c>
      <c r="C32" s="221">
        <v>4</v>
      </c>
      <c r="D32" s="221" t="s">
        <v>305</v>
      </c>
      <c r="E32" s="221" t="s">
        <v>173</v>
      </c>
      <c r="F32" s="221" t="s">
        <v>173</v>
      </c>
      <c r="G32" s="221" t="s">
        <v>305</v>
      </c>
      <c r="H32" s="221" t="s">
        <v>305</v>
      </c>
      <c r="I32" s="221" t="s">
        <v>305</v>
      </c>
      <c r="J32" s="221" t="s">
        <v>304</v>
      </c>
      <c r="K32" s="221" t="s">
        <v>174</v>
      </c>
      <c r="L32" s="221" t="s">
        <v>174</v>
      </c>
      <c r="M32" s="221" t="s">
        <v>304</v>
      </c>
      <c r="N32" s="221" t="s">
        <v>304</v>
      </c>
      <c r="O32" s="221" t="s">
        <v>304</v>
      </c>
      <c r="P32" s="221" t="s">
        <v>304</v>
      </c>
      <c r="Q32" s="731">
        <v>5</v>
      </c>
      <c r="R32" s="233"/>
      <c r="S32" s="663" t="s">
        <v>305</v>
      </c>
      <c r="T32" s="663" t="s">
        <v>173</v>
      </c>
      <c r="U32" s="663" t="s">
        <v>173</v>
      </c>
      <c r="V32" s="663" t="s">
        <v>305</v>
      </c>
      <c r="W32" s="663" t="s">
        <v>304</v>
      </c>
      <c r="X32" s="663" t="s">
        <v>304</v>
      </c>
      <c r="Y32" s="663" t="s">
        <v>304</v>
      </c>
      <c r="Z32" s="663" t="s">
        <v>174</v>
      </c>
      <c r="AA32" s="663" t="s">
        <v>174</v>
      </c>
      <c r="AB32" s="663" t="s">
        <v>304</v>
      </c>
      <c r="AC32" s="663" t="s">
        <v>304</v>
      </c>
      <c r="AD32" s="663" t="s">
        <v>304</v>
      </c>
      <c r="AE32" s="663" t="s">
        <v>304</v>
      </c>
    </row>
    <row r="33" spans="1:31" x14ac:dyDescent="0.25">
      <c r="A33" s="652" t="s">
        <v>362</v>
      </c>
      <c r="B33" s="221">
        <v>2</v>
      </c>
      <c r="C33" s="221">
        <v>4</v>
      </c>
      <c r="D33" s="221" t="s">
        <v>305</v>
      </c>
      <c r="E33" s="221" t="s">
        <v>173</v>
      </c>
      <c r="F33" s="221" t="s">
        <v>173</v>
      </c>
      <c r="G33" s="221" t="s">
        <v>305</v>
      </c>
      <c r="H33" s="221" t="s">
        <v>305</v>
      </c>
      <c r="I33" s="221" t="s">
        <v>305</v>
      </c>
      <c r="J33" s="221" t="s">
        <v>304</v>
      </c>
      <c r="K33" s="221" t="s">
        <v>174</v>
      </c>
      <c r="L33" s="221" t="s">
        <v>174</v>
      </c>
      <c r="M33" s="221" t="s">
        <v>304</v>
      </c>
      <c r="N33" s="221" t="s">
        <v>304</v>
      </c>
      <c r="O33" s="221" t="s">
        <v>304</v>
      </c>
      <c r="P33" s="221" t="s">
        <v>304</v>
      </c>
      <c r="Q33" s="731">
        <v>5</v>
      </c>
      <c r="R33" s="233"/>
      <c r="S33" s="663" t="s">
        <v>305</v>
      </c>
      <c r="T33" s="663" t="s">
        <v>173</v>
      </c>
      <c r="U33" s="663" t="s">
        <v>173</v>
      </c>
      <c r="V33" s="663" t="s">
        <v>305</v>
      </c>
      <c r="W33" s="663" t="s">
        <v>304</v>
      </c>
      <c r="X33" s="663" t="s">
        <v>304</v>
      </c>
      <c r="Y33" s="663" t="s">
        <v>304</v>
      </c>
      <c r="Z33" s="663" t="s">
        <v>174</v>
      </c>
      <c r="AA33" s="663" t="s">
        <v>174</v>
      </c>
      <c r="AB33" s="663" t="s">
        <v>304</v>
      </c>
      <c r="AC33" s="663" t="s">
        <v>304</v>
      </c>
      <c r="AD33" s="663" t="s">
        <v>304</v>
      </c>
      <c r="AE33" s="663" t="s">
        <v>304</v>
      </c>
    </row>
    <row r="34" spans="1:31" x14ac:dyDescent="0.25">
      <c r="A34" s="652" t="s">
        <v>363</v>
      </c>
      <c r="B34" s="221">
        <v>0.71</v>
      </c>
      <c r="C34" s="221">
        <v>4</v>
      </c>
      <c r="D34" s="221" t="s">
        <v>305</v>
      </c>
      <c r="E34" s="221" t="s">
        <v>173</v>
      </c>
      <c r="F34" s="221" t="s">
        <v>173</v>
      </c>
      <c r="G34" s="221" t="s">
        <v>305</v>
      </c>
      <c r="H34" s="221" t="s">
        <v>305</v>
      </c>
      <c r="I34" s="221" t="s">
        <v>305</v>
      </c>
      <c r="J34" s="221" t="s">
        <v>304</v>
      </c>
      <c r="K34" s="221" t="s">
        <v>174</v>
      </c>
      <c r="L34" s="221" t="s">
        <v>174</v>
      </c>
      <c r="M34" s="221" t="s">
        <v>304</v>
      </c>
      <c r="N34" s="221" t="s">
        <v>304</v>
      </c>
      <c r="O34" s="221" t="s">
        <v>304</v>
      </c>
      <c r="P34" s="221" t="s">
        <v>304</v>
      </c>
      <c r="Q34" s="731">
        <v>5</v>
      </c>
      <c r="R34" s="233"/>
      <c r="S34" s="663" t="s">
        <v>305</v>
      </c>
      <c r="T34" s="663" t="s">
        <v>173</v>
      </c>
      <c r="U34" s="663" t="s">
        <v>173</v>
      </c>
      <c r="V34" s="663" t="s">
        <v>305</v>
      </c>
      <c r="W34" s="663" t="s">
        <v>304</v>
      </c>
      <c r="X34" s="663" t="s">
        <v>304</v>
      </c>
      <c r="Y34" s="663" t="s">
        <v>304</v>
      </c>
      <c r="Z34" s="663" t="s">
        <v>174</v>
      </c>
      <c r="AA34" s="663" t="s">
        <v>174</v>
      </c>
      <c r="AB34" s="663" t="s">
        <v>304</v>
      </c>
      <c r="AC34" s="663" t="s">
        <v>304</v>
      </c>
      <c r="AD34" s="663" t="s">
        <v>304</v>
      </c>
      <c r="AE34" s="663" t="s">
        <v>304</v>
      </c>
    </row>
    <row r="35" spans="1:31" x14ac:dyDescent="0.25">
      <c r="A35" s="652" t="s">
        <v>366</v>
      </c>
      <c r="B35" s="221">
        <v>0.96</v>
      </c>
      <c r="C35" s="221">
        <v>6</v>
      </c>
      <c r="D35" s="221" t="s">
        <v>305</v>
      </c>
      <c r="E35" s="221" t="s">
        <v>173</v>
      </c>
      <c r="F35" s="221" t="s">
        <v>173</v>
      </c>
      <c r="G35" s="221" t="s">
        <v>305</v>
      </c>
      <c r="H35" s="221" t="s">
        <v>305</v>
      </c>
      <c r="I35" s="221" t="s">
        <v>305</v>
      </c>
      <c r="J35" s="221" t="s">
        <v>304</v>
      </c>
      <c r="K35" s="221" t="s">
        <v>174</v>
      </c>
      <c r="L35" s="221" t="s">
        <v>174</v>
      </c>
      <c r="M35" s="221" t="s">
        <v>304</v>
      </c>
      <c r="N35" s="221" t="s">
        <v>304</v>
      </c>
      <c r="O35" s="221" t="s">
        <v>304</v>
      </c>
      <c r="P35" s="221" t="s">
        <v>304</v>
      </c>
      <c r="Q35" s="731">
        <v>5</v>
      </c>
      <c r="R35" s="233"/>
      <c r="S35" s="663" t="s">
        <v>305</v>
      </c>
      <c r="T35" s="663" t="s">
        <v>173</v>
      </c>
      <c r="U35" s="663" t="s">
        <v>173</v>
      </c>
      <c r="V35" s="663" t="s">
        <v>305</v>
      </c>
      <c r="W35" s="663" t="s">
        <v>304</v>
      </c>
      <c r="X35" s="663" t="s">
        <v>304</v>
      </c>
      <c r="Y35" s="663" t="s">
        <v>304</v>
      </c>
      <c r="Z35" s="663" t="s">
        <v>174</v>
      </c>
      <c r="AA35" s="663" t="s">
        <v>174</v>
      </c>
      <c r="AB35" s="663" t="s">
        <v>304</v>
      </c>
      <c r="AC35" s="663" t="s">
        <v>304</v>
      </c>
      <c r="AD35" s="663" t="s">
        <v>304</v>
      </c>
      <c r="AE35" s="663" t="s">
        <v>304</v>
      </c>
    </row>
    <row r="36" spans="1:31" x14ac:dyDescent="0.25">
      <c r="A36" s="652" t="s">
        <v>368</v>
      </c>
      <c r="B36" s="221">
        <v>0.54</v>
      </c>
      <c r="C36" s="221">
        <v>8</v>
      </c>
      <c r="D36" s="221" t="s">
        <v>305</v>
      </c>
      <c r="E36" s="221" t="s">
        <v>304</v>
      </c>
      <c r="F36" s="221" t="s">
        <v>304</v>
      </c>
      <c r="G36" s="221" t="s">
        <v>304</v>
      </c>
      <c r="H36" s="221" t="s">
        <v>304</v>
      </c>
      <c r="I36" s="221" t="s">
        <v>304</v>
      </c>
      <c r="J36" s="221" t="s">
        <v>304</v>
      </c>
      <c r="K36" s="221" t="s">
        <v>304</v>
      </c>
      <c r="L36" s="221" t="s">
        <v>304</v>
      </c>
      <c r="M36" s="221" t="s">
        <v>304</v>
      </c>
      <c r="N36" s="221" t="s">
        <v>304</v>
      </c>
      <c r="O36" s="221" t="s">
        <v>304</v>
      </c>
      <c r="P36" s="221" t="s">
        <v>304</v>
      </c>
      <c r="Q36" s="731" t="s">
        <v>304</v>
      </c>
      <c r="R36" s="233"/>
      <c r="S36" s="663" t="s">
        <v>305</v>
      </c>
      <c r="T36" s="663" t="s">
        <v>304</v>
      </c>
      <c r="U36" s="663" t="s">
        <v>304</v>
      </c>
      <c r="V36" s="663" t="s">
        <v>304</v>
      </c>
      <c r="W36" s="663" t="s">
        <v>304</v>
      </c>
      <c r="X36" s="663" t="s">
        <v>304</v>
      </c>
      <c r="Y36" s="663" t="s">
        <v>304</v>
      </c>
      <c r="Z36" s="663" t="s">
        <v>304</v>
      </c>
      <c r="AA36" s="663" t="s">
        <v>304</v>
      </c>
      <c r="AB36" s="663" t="s">
        <v>304</v>
      </c>
      <c r="AC36" s="663" t="s">
        <v>304</v>
      </c>
      <c r="AD36" s="663" t="s">
        <v>304</v>
      </c>
      <c r="AE36" s="663" t="s">
        <v>304</v>
      </c>
    </row>
    <row r="37" spans="1:31" x14ac:dyDescent="0.25">
      <c r="A37" s="652" t="s">
        <v>369</v>
      </c>
      <c r="B37" s="221">
        <v>0.43</v>
      </c>
      <c r="C37" s="221">
        <v>6</v>
      </c>
      <c r="D37" s="221" t="s">
        <v>305</v>
      </c>
      <c r="E37" s="221" t="s">
        <v>304</v>
      </c>
      <c r="F37" s="221" t="s">
        <v>304</v>
      </c>
      <c r="G37" s="221" t="s">
        <v>304</v>
      </c>
      <c r="H37" s="221" t="s">
        <v>305</v>
      </c>
      <c r="I37" s="221" t="s">
        <v>305</v>
      </c>
      <c r="J37" s="221" t="s">
        <v>304</v>
      </c>
      <c r="K37" s="221" t="s">
        <v>304</v>
      </c>
      <c r="L37" s="221" t="s">
        <v>304</v>
      </c>
      <c r="M37" s="221" t="s">
        <v>304</v>
      </c>
      <c r="N37" s="221" t="s">
        <v>304</v>
      </c>
      <c r="O37" s="221" t="s">
        <v>304</v>
      </c>
      <c r="P37" s="221" t="s">
        <v>304</v>
      </c>
      <c r="Q37" s="731" t="s">
        <v>304</v>
      </c>
      <c r="R37" s="233"/>
      <c r="S37" s="663" t="s">
        <v>305</v>
      </c>
      <c r="T37" s="663" t="s">
        <v>304</v>
      </c>
      <c r="U37" s="663" t="s">
        <v>304</v>
      </c>
      <c r="V37" s="663" t="s">
        <v>304</v>
      </c>
      <c r="W37" s="663" t="s">
        <v>304</v>
      </c>
      <c r="X37" s="663" t="s">
        <v>304</v>
      </c>
      <c r="Y37" s="663" t="s">
        <v>304</v>
      </c>
      <c r="Z37" s="663" t="s">
        <v>304</v>
      </c>
      <c r="AA37" s="663" t="s">
        <v>304</v>
      </c>
      <c r="AB37" s="663" t="s">
        <v>304</v>
      </c>
      <c r="AC37" s="663" t="s">
        <v>304</v>
      </c>
      <c r="AD37" s="663" t="s">
        <v>304</v>
      </c>
      <c r="AE37" s="663" t="s">
        <v>304</v>
      </c>
    </row>
    <row r="38" spans="1:31" x14ac:dyDescent="0.25">
      <c r="A38" s="652" t="s">
        <v>370</v>
      </c>
      <c r="B38" s="221">
        <v>0.41</v>
      </c>
      <c r="C38" s="221">
        <v>4</v>
      </c>
      <c r="D38" s="221" t="s">
        <v>305</v>
      </c>
      <c r="E38" s="221" t="s">
        <v>173</v>
      </c>
      <c r="F38" s="221" t="s">
        <v>173</v>
      </c>
      <c r="G38" s="221" t="s">
        <v>304</v>
      </c>
      <c r="H38" s="221" t="s">
        <v>305</v>
      </c>
      <c r="I38" s="221" t="s">
        <v>305</v>
      </c>
      <c r="J38" s="221" t="s">
        <v>304</v>
      </c>
      <c r="K38" s="221" t="s">
        <v>174</v>
      </c>
      <c r="L38" s="221" t="s">
        <v>174</v>
      </c>
      <c r="M38" s="221" t="s">
        <v>304</v>
      </c>
      <c r="N38" s="221" t="s">
        <v>304</v>
      </c>
      <c r="O38" s="221" t="s">
        <v>304</v>
      </c>
      <c r="P38" s="221" t="s">
        <v>304</v>
      </c>
      <c r="Q38" s="731" t="s">
        <v>304</v>
      </c>
      <c r="R38" s="233"/>
      <c r="S38" s="663" t="s">
        <v>305</v>
      </c>
      <c r="T38" s="663" t="s">
        <v>173</v>
      </c>
      <c r="U38" s="663" t="s">
        <v>173</v>
      </c>
      <c r="V38" s="663" t="s">
        <v>304</v>
      </c>
      <c r="W38" s="663" t="s">
        <v>304</v>
      </c>
      <c r="X38" s="663" t="s">
        <v>304</v>
      </c>
      <c r="Y38" s="663" t="s">
        <v>304</v>
      </c>
      <c r="Z38" s="663" t="s">
        <v>174</v>
      </c>
      <c r="AA38" s="663" t="s">
        <v>174</v>
      </c>
      <c r="AB38" s="663" t="s">
        <v>304</v>
      </c>
      <c r="AC38" s="663" t="s">
        <v>304</v>
      </c>
      <c r="AD38" s="663" t="s">
        <v>304</v>
      </c>
      <c r="AE38" s="663" t="s">
        <v>304</v>
      </c>
    </row>
    <row r="39" spans="1:31" x14ac:dyDescent="0.25">
      <c r="A39" s="652" t="s">
        <v>372</v>
      </c>
      <c r="B39" s="221">
        <v>0.2</v>
      </c>
      <c r="C39" s="221">
        <v>6</v>
      </c>
      <c r="D39" s="221" t="s">
        <v>305</v>
      </c>
      <c r="E39" s="221" t="s">
        <v>304</v>
      </c>
      <c r="F39" s="221" t="s">
        <v>304</v>
      </c>
      <c r="G39" s="221" t="s">
        <v>304</v>
      </c>
      <c r="H39" s="221" t="s">
        <v>304</v>
      </c>
      <c r="I39" s="221" t="s">
        <v>304</v>
      </c>
      <c r="J39" s="221" t="s">
        <v>304</v>
      </c>
      <c r="K39" s="221" t="s">
        <v>304</v>
      </c>
      <c r="L39" s="221" t="s">
        <v>304</v>
      </c>
      <c r="M39" s="221" t="s">
        <v>304</v>
      </c>
      <c r="N39" s="221" t="s">
        <v>304</v>
      </c>
      <c r="O39" s="221" t="s">
        <v>304</v>
      </c>
      <c r="P39" s="221" t="s">
        <v>304</v>
      </c>
      <c r="Q39" s="731" t="s">
        <v>304</v>
      </c>
      <c r="R39" s="233"/>
      <c r="S39" s="663" t="s">
        <v>305</v>
      </c>
      <c r="T39" s="663" t="s">
        <v>304</v>
      </c>
      <c r="U39" s="663" t="s">
        <v>304</v>
      </c>
      <c r="V39" s="663" t="s">
        <v>304</v>
      </c>
      <c r="W39" s="663" t="s">
        <v>304</v>
      </c>
      <c r="X39" s="663" t="s">
        <v>304</v>
      </c>
      <c r="Y39" s="663" t="s">
        <v>304</v>
      </c>
      <c r="Z39" s="663" t="s">
        <v>304</v>
      </c>
      <c r="AA39" s="663" t="s">
        <v>304</v>
      </c>
      <c r="AB39" s="663" t="s">
        <v>304</v>
      </c>
      <c r="AC39" s="663" t="s">
        <v>304</v>
      </c>
      <c r="AD39" s="663" t="s">
        <v>304</v>
      </c>
      <c r="AE39" s="663" t="s">
        <v>304</v>
      </c>
    </row>
    <row r="40" spans="1:31" x14ac:dyDescent="0.25">
      <c r="A40" s="652" t="s">
        <v>374</v>
      </c>
      <c r="B40" s="221">
        <v>1.06</v>
      </c>
      <c r="C40" s="221">
        <v>6</v>
      </c>
      <c r="D40" s="221" t="s">
        <v>305</v>
      </c>
      <c r="E40" s="221" t="s">
        <v>173</v>
      </c>
      <c r="F40" s="221" t="s">
        <v>173</v>
      </c>
      <c r="G40" s="221" t="s">
        <v>305</v>
      </c>
      <c r="H40" s="221" t="s">
        <v>305</v>
      </c>
      <c r="I40" s="221" t="s">
        <v>305</v>
      </c>
      <c r="J40" s="221" t="s">
        <v>304</v>
      </c>
      <c r="K40" s="221" t="s">
        <v>174</v>
      </c>
      <c r="L40" s="221" t="s">
        <v>174</v>
      </c>
      <c r="M40" s="221" t="s">
        <v>304</v>
      </c>
      <c r="N40" s="221" t="s">
        <v>304</v>
      </c>
      <c r="O40" s="221" t="s">
        <v>304</v>
      </c>
      <c r="P40" s="221" t="s">
        <v>304</v>
      </c>
      <c r="Q40" s="731" t="s">
        <v>304</v>
      </c>
      <c r="R40" s="233"/>
      <c r="S40" s="663" t="s">
        <v>305</v>
      </c>
      <c r="T40" s="663" t="s">
        <v>173</v>
      </c>
      <c r="U40" s="663" t="s">
        <v>173</v>
      </c>
      <c r="V40" s="663" t="s">
        <v>305</v>
      </c>
      <c r="W40" s="663" t="s">
        <v>304</v>
      </c>
      <c r="X40" s="663" t="s">
        <v>304</v>
      </c>
      <c r="Y40" s="663" t="s">
        <v>304</v>
      </c>
      <c r="Z40" s="663" t="s">
        <v>174</v>
      </c>
      <c r="AA40" s="663" t="s">
        <v>174</v>
      </c>
      <c r="AB40" s="663" t="s">
        <v>304</v>
      </c>
      <c r="AC40" s="663" t="s">
        <v>304</v>
      </c>
      <c r="AD40" s="663" t="s">
        <v>304</v>
      </c>
      <c r="AE40" s="663" t="s">
        <v>304</v>
      </c>
    </row>
    <row r="41" spans="1:31" x14ac:dyDescent="0.25">
      <c r="A41" s="652" t="s">
        <v>376</v>
      </c>
      <c r="B41" s="221">
        <v>0.77</v>
      </c>
      <c r="C41" s="221">
        <v>6</v>
      </c>
      <c r="D41" s="221" t="s">
        <v>304</v>
      </c>
      <c r="E41" s="221" t="s">
        <v>304</v>
      </c>
      <c r="F41" s="221" t="s">
        <v>304</v>
      </c>
      <c r="G41" s="221" t="s">
        <v>304</v>
      </c>
      <c r="H41" s="221" t="s">
        <v>304</v>
      </c>
      <c r="I41" s="221" t="s">
        <v>304</v>
      </c>
      <c r="J41" s="221" t="s">
        <v>304</v>
      </c>
      <c r="K41" s="221" t="s">
        <v>304</v>
      </c>
      <c r="L41" s="221" t="s">
        <v>304</v>
      </c>
      <c r="M41" s="221" t="s">
        <v>304</v>
      </c>
      <c r="N41" s="663" t="s">
        <v>304</v>
      </c>
      <c r="O41" s="221" t="s">
        <v>304</v>
      </c>
      <c r="P41" s="221" t="s">
        <v>305</v>
      </c>
      <c r="Q41" s="731" t="s">
        <v>304</v>
      </c>
      <c r="R41" s="233"/>
      <c r="S41" s="663" t="s">
        <v>304</v>
      </c>
      <c r="T41" s="663" t="s">
        <v>304</v>
      </c>
      <c r="U41" s="663" t="s">
        <v>304</v>
      </c>
      <c r="V41" s="663" t="s">
        <v>304</v>
      </c>
      <c r="W41" s="663" t="s">
        <v>304</v>
      </c>
      <c r="X41" s="663" t="s">
        <v>304</v>
      </c>
      <c r="Y41" s="663" t="s">
        <v>304</v>
      </c>
      <c r="Z41" s="663" t="s">
        <v>304</v>
      </c>
      <c r="AA41" s="663" t="s">
        <v>304</v>
      </c>
      <c r="AB41" s="663" t="s">
        <v>304</v>
      </c>
      <c r="AC41" s="663" t="s">
        <v>304</v>
      </c>
      <c r="AD41" s="663" t="s">
        <v>304</v>
      </c>
      <c r="AE41" s="663" t="s">
        <v>305</v>
      </c>
    </row>
    <row r="42" spans="1:31" x14ac:dyDescent="0.25">
      <c r="A42" s="652" t="s">
        <v>379</v>
      </c>
      <c r="B42" s="221">
        <v>0.5</v>
      </c>
      <c r="C42" s="221">
        <v>4</v>
      </c>
      <c r="D42" s="221" t="s">
        <v>305</v>
      </c>
      <c r="E42" s="221" t="s">
        <v>173</v>
      </c>
      <c r="F42" s="221" t="s">
        <v>173</v>
      </c>
      <c r="G42" s="221" t="s">
        <v>305</v>
      </c>
      <c r="H42" s="221" t="s">
        <v>305</v>
      </c>
      <c r="I42" s="221" t="s">
        <v>305</v>
      </c>
      <c r="J42" s="221" t="s">
        <v>304</v>
      </c>
      <c r="K42" s="221" t="s">
        <v>174</v>
      </c>
      <c r="L42" s="221" t="s">
        <v>174</v>
      </c>
      <c r="M42" s="221" t="s">
        <v>304</v>
      </c>
      <c r="N42" s="221" t="s">
        <v>304</v>
      </c>
      <c r="O42" s="221" t="s">
        <v>304</v>
      </c>
      <c r="P42" s="221" t="s">
        <v>304</v>
      </c>
      <c r="Q42" s="731">
        <v>5</v>
      </c>
      <c r="R42" s="233"/>
      <c r="S42" s="663" t="s">
        <v>305</v>
      </c>
      <c r="T42" s="663" t="s">
        <v>173</v>
      </c>
      <c r="U42" s="663" t="s">
        <v>173</v>
      </c>
      <c r="V42" s="663" t="s">
        <v>305</v>
      </c>
      <c r="W42" s="663" t="s">
        <v>304</v>
      </c>
      <c r="X42" s="663" t="s">
        <v>304</v>
      </c>
      <c r="Y42" s="663" t="s">
        <v>304</v>
      </c>
      <c r="Z42" s="663" t="s">
        <v>174</v>
      </c>
      <c r="AA42" s="663" t="s">
        <v>174</v>
      </c>
      <c r="AB42" s="663" t="s">
        <v>304</v>
      </c>
      <c r="AC42" s="663" t="s">
        <v>304</v>
      </c>
      <c r="AD42" s="663" t="s">
        <v>304</v>
      </c>
      <c r="AE42" s="663" t="s">
        <v>304</v>
      </c>
    </row>
    <row r="43" spans="1:31" x14ac:dyDescent="0.25">
      <c r="A43" s="652" t="s">
        <v>381</v>
      </c>
      <c r="B43" s="221">
        <v>0.82</v>
      </c>
      <c r="C43" s="221">
        <v>4</v>
      </c>
      <c r="D43" s="221" t="s">
        <v>305</v>
      </c>
      <c r="E43" s="221" t="s">
        <v>173</v>
      </c>
      <c r="F43" s="221" t="s">
        <v>173</v>
      </c>
      <c r="G43" s="221" t="s">
        <v>305</v>
      </c>
      <c r="H43" s="221" t="s">
        <v>305</v>
      </c>
      <c r="I43" s="221" t="s">
        <v>305</v>
      </c>
      <c r="J43" s="221" t="s">
        <v>304</v>
      </c>
      <c r="K43" s="221" t="s">
        <v>174</v>
      </c>
      <c r="L43" s="221" t="s">
        <v>174</v>
      </c>
      <c r="M43" s="221" t="s">
        <v>304</v>
      </c>
      <c r="N43" s="221" t="s">
        <v>304</v>
      </c>
      <c r="O43" s="221" t="s">
        <v>304</v>
      </c>
      <c r="P43" s="221" t="s">
        <v>304</v>
      </c>
      <c r="Q43" s="731">
        <v>5</v>
      </c>
      <c r="R43" s="233"/>
      <c r="S43" s="663" t="s">
        <v>305</v>
      </c>
      <c r="T43" s="663" t="s">
        <v>173</v>
      </c>
      <c r="U43" s="663" t="s">
        <v>173</v>
      </c>
      <c r="V43" s="663" t="s">
        <v>305</v>
      </c>
      <c r="W43" s="663" t="s">
        <v>304</v>
      </c>
      <c r="X43" s="663" t="s">
        <v>304</v>
      </c>
      <c r="Y43" s="663" t="s">
        <v>304</v>
      </c>
      <c r="Z43" s="663" t="s">
        <v>174</v>
      </c>
      <c r="AA43" s="663" t="s">
        <v>174</v>
      </c>
      <c r="AB43" s="663" t="s">
        <v>304</v>
      </c>
      <c r="AC43" s="663" t="s">
        <v>304</v>
      </c>
      <c r="AD43" s="663" t="s">
        <v>304</v>
      </c>
      <c r="AE43" s="663" t="s">
        <v>304</v>
      </c>
    </row>
    <row r="44" spans="1:31" x14ac:dyDescent="0.25">
      <c r="A44" s="652" t="s">
        <v>384</v>
      </c>
      <c r="B44" s="221">
        <v>1.68</v>
      </c>
      <c r="C44" s="221">
        <v>8</v>
      </c>
      <c r="D44" s="221" t="s">
        <v>305</v>
      </c>
      <c r="E44" s="221" t="s">
        <v>304</v>
      </c>
      <c r="F44" s="221" t="s">
        <v>304</v>
      </c>
      <c r="G44" s="221" t="s">
        <v>305</v>
      </c>
      <c r="H44" s="221" t="s">
        <v>305</v>
      </c>
      <c r="I44" s="221" t="s">
        <v>305</v>
      </c>
      <c r="J44" s="221" t="s">
        <v>304</v>
      </c>
      <c r="K44" s="221" t="s">
        <v>174</v>
      </c>
      <c r="L44" s="221" t="s">
        <v>174</v>
      </c>
      <c r="M44" s="221" t="s">
        <v>304</v>
      </c>
      <c r="N44" s="221" t="s">
        <v>304</v>
      </c>
      <c r="O44" s="221" t="s">
        <v>304</v>
      </c>
      <c r="P44" s="221" t="s">
        <v>304</v>
      </c>
      <c r="Q44" s="731" t="s">
        <v>304</v>
      </c>
      <c r="R44" s="233"/>
      <c r="S44" s="663" t="s">
        <v>305</v>
      </c>
      <c r="T44" s="663" t="s">
        <v>304</v>
      </c>
      <c r="U44" s="663" t="s">
        <v>304</v>
      </c>
      <c r="V44" s="663" t="s">
        <v>305</v>
      </c>
      <c r="W44" s="663" t="s">
        <v>304</v>
      </c>
      <c r="X44" s="663" t="s">
        <v>304</v>
      </c>
      <c r="Y44" s="663" t="s">
        <v>304</v>
      </c>
      <c r="Z44" s="663" t="s">
        <v>174</v>
      </c>
      <c r="AA44" s="663" t="s">
        <v>174</v>
      </c>
      <c r="AB44" s="663" t="s">
        <v>304</v>
      </c>
      <c r="AC44" s="663" t="s">
        <v>304</v>
      </c>
      <c r="AD44" s="663" t="s">
        <v>304</v>
      </c>
      <c r="AE44" s="663" t="s">
        <v>304</v>
      </c>
    </row>
    <row r="45" spans="1:31" x14ac:dyDescent="0.25">
      <c r="A45" s="652" t="s">
        <v>386</v>
      </c>
      <c r="B45" s="221">
        <v>1.06</v>
      </c>
      <c r="C45" s="221">
        <v>6</v>
      </c>
      <c r="D45" s="221" t="s">
        <v>305</v>
      </c>
      <c r="E45" s="221" t="s">
        <v>304</v>
      </c>
      <c r="F45" s="221" t="s">
        <v>304</v>
      </c>
      <c r="G45" s="221" t="s">
        <v>305</v>
      </c>
      <c r="H45" s="221" t="s">
        <v>304</v>
      </c>
      <c r="I45" s="221" t="s">
        <v>304</v>
      </c>
      <c r="J45" s="221" t="s">
        <v>304</v>
      </c>
      <c r="K45" s="221" t="s">
        <v>174</v>
      </c>
      <c r="L45" s="221" t="s">
        <v>174</v>
      </c>
      <c r="M45" s="221" t="s">
        <v>304</v>
      </c>
      <c r="N45" s="221" t="s">
        <v>304</v>
      </c>
      <c r="O45" s="221" t="s">
        <v>304</v>
      </c>
      <c r="P45" s="221" t="s">
        <v>304</v>
      </c>
      <c r="Q45" s="731" t="s">
        <v>304</v>
      </c>
      <c r="R45" s="233"/>
      <c r="S45" s="663" t="s">
        <v>305</v>
      </c>
      <c r="T45" s="663" t="s">
        <v>304</v>
      </c>
      <c r="U45" s="663" t="s">
        <v>304</v>
      </c>
      <c r="V45" s="663" t="s">
        <v>305</v>
      </c>
      <c r="W45" s="663" t="s">
        <v>304</v>
      </c>
      <c r="X45" s="663" t="s">
        <v>304</v>
      </c>
      <c r="Y45" s="663" t="s">
        <v>304</v>
      </c>
      <c r="Z45" s="663" t="s">
        <v>174</v>
      </c>
      <c r="AA45" s="663" t="s">
        <v>174</v>
      </c>
      <c r="AB45" s="663" t="s">
        <v>304</v>
      </c>
      <c r="AC45" s="663" t="s">
        <v>304</v>
      </c>
      <c r="AD45" s="663" t="s">
        <v>304</v>
      </c>
      <c r="AE45" s="663" t="s">
        <v>304</v>
      </c>
    </row>
    <row r="46" spans="1:31" x14ac:dyDescent="0.25">
      <c r="A46" s="652" t="s">
        <v>389</v>
      </c>
      <c r="B46" s="221">
        <v>0.97</v>
      </c>
      <c r="C46" s="221">
        <v>6</v>
      </c>
      <c r="D46" s="221" t="s">
        <v>305</v>
      </c>
      <c r="E46" s="221" t="s">
        <v>304</v>
      </c>
      <c r="F46" s="221" t="s">
        <v>304</v>
      </c>
      <c r="G46" s="221" t="s">
        <v>304</v>
      </c>
      <c r="H46" s="221" t="s">
        <v>304</v>
      </c>
      <c r="I46" s="221" t="s">
        <v>304</v>
      </c>
      <c r="J46" s="221" t="s">
        <v>304</v>
      </c>
      <c r="K46" s="221" t="s">
        <v>174</v>
      </c>
      <c r="L46" s="221" t="s">
        <v>174</v>
      </c>
      <c r="M46" s="221" t="s">
        <v>304</v>
      </c>
      <c r="N46" s="221" t="s">
        <v>304</v>
      </c>
      <c r="O46" s="221" t="s">
        <v>304</v>
      </c>
      <c r="P46" s="221" t="s">
        <v>304</v>
      </c>
      <c r="Q46" s="731" t="s">
        <v>304</v>
      </c>
      <c r="R46" s="233"/>
      <c r="S46" s="663" t="s">
        <v>305</v>
      </c>
      <c r="T46" s="663" t="s">
        <v>304</v>
      </c>
      <c r="U46" s="663" t="s">
        <v>304</v>
      </c>
      <c r="V46" s="663" t="s">
        <v>304</v>
      </c>
      <c r="W46" s="663" t="s">
        <v>304</v>
      </c>
      <c r="X46" s="663" t="s">
        <v>304</v>
      </c>
      <c r="Y46" s="663" t="s">
        <v>304</v>
      </c>
      <c r="Z46" s="663" t="s">
        <v>174</v>
      </c>
      <c r="AA46" s="663" t="s">
        <v>174</v>
      </c>
      <c r="AB46" s="663" t="s">
        <v>304</v>
      </c>
      <c r="AC46" s="663" t="s">
        <v>304</v>
      </c>
      <c r="AD46" s="663" t="s">
        <v>304</v>
      </c>
      <c r="AE46" s="663" t="s">
        <v>304</v>
      </c>
    </row>
    <row r="47" spans="1:31" x14ac:dyDescent="0.25">
      <c r="A47" s="652" t="s">
        <v>972</v>
      </c>
      <c r="B47" s="221">
        <v>0.46</v>
      </c>
      <c r="C47" s="221">
        <v>6</v>
      </c>
      <c r="D47" s="221" t="s">
        <v>305</v>
      </c>
      <c r="E47" s="221" t="s">
        <v>173</v>
      </c>
      <c r="F47" s="221" t="s">
        <v>173</v>
      </c>
      <c r="G47" s="221" t="s">
        <v>304</v>
      </c>
      <c r="H47" s="221" t="s">
        <v>305</v>
      </c>
      <c r="I47" s="221" t="s">
        <v>305</v>
      </c>
      <c r="J47" s="221" t="s">
        <v>304</v>
      </c>
      <c r="K47" s="221" t="s">
        <v>305</v>
      </c>
      <c r="L47" s="221" t="s">
        <v>304</v>
      </c>
      <c r="M47" s="221" t="s">
        <v>304</v>
      </c>
      <c r="N47" s="221" t="s">
        <v>304</v>
      </c>
      <c r="O47" s="221" t="s">
        <v>304</v>
      </c>
      <c r="P47" s="221" t="s">
        <v>304</v>
      </c>
      <c r="Q47" s="731" t="s">
        <v>304</v>
      </c>
      <c r="R47" s="233"/>
      <c r="S47" s="663" t="s">
        <v>305</v>
      </c>
      <c r="T47" s="663" t="s">
        <v>173</v>
      </c>
      <c r="U47" s="663" t="s">
        <v>173</v>
      </c>
      <c r="V47" s="663" t="s">
        <v>304</v>
      </c>
      <c r="W47" s="663" t="s">
        <v>304</v>
      </c>
      <c r="X47" s="663" t="s">
        <v>304</v>
      </c>
      <c r="Y47" s="663" t="s">
        <v>304</v>
      </c>
      <c r="Z47" s="663" t="s">
        <v>305</v>
      </c>
      <c r="AA47" s="663" t="s">
        <v>304</v>
      </c>
      <c r="AB47" s="663" t="s">
        <v>304</v>
      </c>
      <c r="AC47" s="663" t="s">
        <v>304</v>
      </c>
      <c r="AD47" s="663" t="s">
        <v>304</v>
      </c>
      <c r="AE47" s="663" t="s">
        <v>304</v>
      </c>
    </row>
    <row r="48" spans="1:31" x14ac:dyDescent="0.25">
      <c r="A48" s="652" t="s">
        <v>390</v>
      </c>
      <c r="B48" s="221">
        <v>0.81</v>
      </c>
      <c r="C48" s="221">
        <v>6</v>
      </c>
      <c r="D48" s="221" t="s">
        <v>305</v>
      </c>
      <c r="E48" s="221" t="s">
        <v>304</v>
      </c>
      <c r="F48" s="221" t="s">
        <v>304</v>
      </c>
      <c r="G48" s="221" t="s">
        <v>305</v>
      </c>
      <c r="H48" s="221" t="s">
        <v>305</v>
      </c>
      <c r="I48" s="221" t="s">
        <v>305</v>
      </c>
      <c r="J48" s="221" t="s">
        <v>304</v>
      </c>
      <c r="K48" s="221" t="s">
        <v>174</v>
      </c>
      <c r="L48" s="221" t="s">
        <v>174</v>
      </c>
      <c r="M48" s="221" t="s">
        <v>304</v>
      </c>
      <c r="N48" s="221" t="s">
        <v>304</v>
      </c>
      <c r="O48" s="221" t="s">
        <v>304</v>
      </c>
      <c r="P48" s="221" t="s">
        <v>304</v>
      </c>
      <c r="Q48" s="731" t="s">
        <v>304</v>
      </c>
      <c r="R48" s="233"/>
      <c r="S48" s="663" t="s">
        <v>305</v>
      </c>
      <c r="T48" s="663" t="s">
        <v>304</v>
      </c>
      <c r="U48" s="663" t="s">
        <v>304</v>
      </c>
      <c r="V48" s="663" t="s">
        <v>305</v>
      </c>
      <c r="W48" s="663" t="s">
        <v>304</v>
      </c>
      <c r="X48" s="663" t="s">
        <v>304</v>
      </c>
      <c r="Y48" s="663" t="s">
        <v>304</v>
      </c>
      <c r="Z48" s="663" t="s">
        <v>174</v>
      </c>
      <c r="AA48" s="663" t="s">
        <v>174</v>
      </c>
      <c r="AB48" s="663" t="s">
        <v>304</v>
      </c>
      <c r="AC48" s="663" t="s">
        <v>304</v>
      </c>
      <c r="AD48" s="663" t="s">
        <v>304</v>
      </c>
      <c r="AE48" s="663" t="s">
        <v>304</v>
      </c>
    </row>
    <row r="49" spans="1:31" x14ac:dyDescent="0.25">
      <c r="A49" s="652" t="s">
        <v>392</v>
      </c>
      <c r="B49" s="221">
        <v>1</v>
      </c>
      <c r="C49" s="221">
        <v>6</v>
      </c>
      <c r="D49" s="221" t="s">
        <v>305</v>
      </c>
      <c r="E49" s="221" t="s">
        <v>304</v>
      </c>
      <c r="F49" s="221" t="s">
        <v>304</v>
      </c>
      <c r="G49" s="221" t="s">
        <v>305</v>
      </c>
      <c r="H49" s="221" t="s">
        <v>305</v>
      </c>
      <c r="I49" s="221" t="s">
        <v>305</v>
      </c>
      <c r="J49" s="221" t="s">
        <v>304</v>
      </c>
      <c r="K49" s="221" t="s">
        <v>174</v>
      </c>
      <c r="L49" s="221" t="s">
        <v>174</v>
      </c>
      <c r="M49" s="221" t="s">
        <v>304</v>
      </c>
      <c r="N49" s="221" t="s">
        <v>304</v>
      </c>
      <c r="O49" s="221" t="s">
        <v>304</v>
      </c>
      <c r="P49" s="221" t="s">
        <v>304</v>
      </c>
      <c r="Q49" s="731" t="s">
        <v>304</v>
      </c>
      <c r="R49" s="233"/>
      <c r="S49" s="663" t="s">
        <v>305</v>
      </c>
      <c r="T49" s="663" t="s">
        <v>304</v>
      </c>
      <c r="U49" s="663" t="s">
        <v>304</v>
      </c>
      <c r="V49" s="663" t="s">
        <v>305</v>
      </c>
      <c r="W49" s="663" t="s">
        <v>304</v>
      </c>
      <c r="X49" s="663" t="s">
        <v>304</v>
      </c>
      <c r="Y49" s="663" t="s">
        <v>304</v>
      </c>
      <c r="Z49" s="663" t="s">
        <v>174</v>
      </c>
      <c r="AA49" s="663" t="s">
        <v>174</v>
      </c>
      <c r="AB49" s="663" t="s">
        <v>304</v>
      </c>
      <c r="AC49" s="663" t="s">
        <v>304</v>
      </c>
      <c r="AD49" s="663" t="s">
        <v>304</v>
      </c>
      <c r="AE49" s="663" t="s">
        <v>304</v>
      </c>
    </row>
    <row r="50" spans="1:31" x14ac:dyDescent="0.25">
      <c r="A50" s="652" t="s">
        <v>394</v>
      </c>
      <c r="B50" s="221">
        <v>2.17</v>
      </c>
      <c r="C50" s="221">
        <v>6</v>
      </c>
      <c r="D50" s="221" t="s">
        <v>305</v>
      </c>
      <c r="E50" s="221" t="s">
        <v>304</v>
      </c>
      <c r="F50" s="221" t="s">
        <v>304</v>
      </c>
      <c r="G50" s="221" t="s">
        <v>305</v>
      </c>
      <c r="H50" s="221" t="s">
        <v>304</v>
      </c>
      <c r="I50" s="221" t="s">
        <v>304</v>
      </c>
      <c r="J50" s="221" t="s">
        <v>304</v>
      </c>
      <c r="K50" s="221" t="s">
        <v>174</v>
      </c>
      <c r="L50" s="221" t="s">
        <v>174</v>
      </c>
      <c r="M50" s="221" t="s">
        <v>304</v>
      </c>
      <c r="N50" s="221" t="s">
        <v>304</v>
      </c>
      <c r="O50" s="221" t="s">
        <v>304</v>
      </c>
      <c r="P50" s="221" t="s">
        <v>304</v>
      </c>
      <c r="Q50" s="731" t="s">
        <v>304</v>
      </c>
      <c r="R50" s="233"/>
      <c r="S50" s="663" t="s">
        <v>305</v>
      </c>
      <c r="T50" s="663" t="s">
        <v>304</v>
      </c>
      <c r="U50" s="663" t="s">
        <v>304</v>
      </c>
      <c r="V50" s="663" t="s">
        <v>305</v>
      </c>
      <c r="W50" s="663" t="s">
        <v>304</v>
      </c>
      <c r="X50" s="663" t="s">
        <v>304</v>
      </c>
      <c r="Y50" s="663" t="s">
        <v>304</v>
      </c>
      <c r="Z50" s="663" t="s">
        <v>174</v>
      </c>
      <c r="AA50" s="663" t="s">
        <v>174</v>
      </c>
      <c r="AB50" s="663" t="s">
        <v>304</v>
      </c>
      <c r="AC50" s="663" t="s">
        <v>304</v>
      </c>
      <c r="AD50" s="663" t="s">
        <v>304</v>
      </c>
      <c r="AE50" s="663" t="s">
        <v>304</v>
      </c>
    </row>
    <row r="51" spans="1:31" x14ac:dyDescent="0.25">
      <c r="A51" s="652" t="s">
        <v>396</v>
      </c>
      <c r="B51" s="221">
        <v>0.62</v>
      </c>
      <c r="C51" s="221">
        <v>6</v>
      </c>
      <c r="D51" s="221" t="s">
        <v>305</v>
      </c>
      <c r="E51" s="221" t="s">
        <v>304</v>
      </c>
      <c r="F51" s="221" t="s">
        <v>304</v>
      </c>
      <c r="G51" s="221" t="s">
        <v>305</v>
      </c>
      <c r="H51" s="221" t="s">
        <v>305</v>
      </c>
      <c r="I51" s="221" t="s">
        <v>305</v>
      </c>
      <c r="J51" s="221" t="s">
        <v>304</v>
      </c>
      <c r="K51" s="221" t="s">
        <v>174</v>
      </c>
      <c r="L51" s="221" t="s">
        <v>174</v>
      </c>
      <c r="M51" s="221" t="s">
        <v>304</v>
      </c>
      <c r="N51" s="221" t="s">
        <v>304</v>
      </c>
      <c r="O51" s="221" t="s">
        <v>304</v>
      </c>
      <c r="P51" s="221" t="s">
        <v>304</v>
      </c>
      <c r="Q51" s="731" t="s">
        <v>304</v>
      </c>
      <c r="R51" s="233"/>
      <c r="S51" s="663" t="s">
        <v>305</v>
      </c>
      <c r="T51" s="663" t="s">
        <v>304</v>
      </c>
      <c r="U51" s="663" t="s">
        <v>304</v>
      </c>
      <c r="V51" s="663" t="s">
        <v>305</v>
      </c>
      <c r="W51" s="663" t="s">
        <v>304</v>
      </c>
      <c r="X51" s="663" t="s">
        <v>304</v>
      </c>
      <c r="Y51" s="663" t="s">
        <v>304</v>
      </c>
      <c r="Z51" s="663" t="s">
        <v>174</v>
      </c>
      <c r="AA51" s="663" t="s">
        <v>174</v>
      </c>
      <c r="AB51" s="663" t="s">
        <v>304</v>
      </c>
      <c r="AC51" s="663" t="s">
        <v>304</v>
      </c>
      <c r="AD51" s="663" t="s">
        <v>304</v>
      </c>
      <c r="AE51" s="663" t="s">
        <v>304</v>
      </c>
    </row>
    <row r="52" spans="1:31" x14ac:dyDescent="0.25">
      <c r="A52" s="652" t="s">
        <v>398</v>
      </c>
      <c r="B52" s="221">
        <v>0.84</v>
      </c>
      <c r="C52" s="221">
        <v>6</v>
      </c>
      <c r="D52" s="221" t="s">
        <v>305</v>
      </c>
      <c r="E52" s="221" t="s">
        <v>304</v>
      </c>
      <c r="F52" s="221" t="s">
        <v>304</v>
      </c>
      <c r="G52" s="221" t="s">
        <v>305</v>
      </c>
      <c r="H52" s="221" t="s">
        <v>305</v>
      </c>
      <c r="I52" s="221" t="s">
        <v>305</v>
      </c>
      <c r="J52" s="221" t="s">
        <v>304</v>
      </c>
      <c r="K52" s="221" t="s">
        <v>174</v>
      </c>
      <c r="L52" s="221" t="s">
        <v>174</v>
      </c>
      <c r="M52" s="221" t="s">
        <v>304</v>
      </c>
      <c r="N52" s="221" t="s">
        <v>304</v>
      </c>
      <c r="O52" s="221" t="s">
        <v>304</v>
      </c>
      <c r="P52" s="221" t="s">
        <v>304</v>
      </c>
      <c r="Q52" s="731" t="s">
        <v>304</v>
      </c>
      <c r="R52" s="233"/>
      <c r="S52" s="663" t="s">
        <v>305</v>
      </c>
      <c r="T52" s="663" t="s">
        <v>304</v>
      </c>
      <c r="U52" s="663" t="s">
        <v>304</v>
      </c>
      <c r="V52" s="663" t="s">
        <v>305</v>
      </c>
      <c r="W52" s="663" t="s">
        <v>304</v>
      </c>
      <c r="X52" s="663" t="s">
        <v>304</v>
      </c>
      <c r="Y52" s="663" t="s">
        <v>304</v>
      </c>
      <c r="Z52" s="663" t="s">
        <v>174</v>
      </c>
      <c r="AA52" s="663" t="s">
        <v>174</v>
      </c>
      <c r="AB52" s="663" t="s">
        <v>304</v>
      </c>
      <c r="AC52" s="663" t="s">
        <v>304</v>
      </c>
      <c r="AD52" s="663" t="s">
        <v>304</v>
      </c>
      <c r="AE52" s="663" t="s">
        <v>304</v>
      </c>
    </row>
    <row r="53" spans="1:31" x14ac:dyDescent="0.25">
      <c r="A53" s="652" t="s">
        <v>400</v>
      </c>
      <c r="B53" s="221">
        <v>1.03</v>
      </c>
      <c r="C53" s="221">
        <v>6</v>
      </c>
      <c r="D53" s="221" t="s">
        <v>305</v>
      </c>
      <c r="E53" s="221" t="s">
        <v>304</v>
      </c>
      <c r="F53" s="221" t="s">
        <v>304</v>
      </c>
      <c r="G53" s="221" t="s">
        <v>305</v>
      </c>
      <c r="H53" s="221" t="s">
        <v>305</v>
      </c>
      <c r="I53" s="221" t="s">
        <v>305</v>
      </c>
      <c r="J53" s="221" t="s">
        <v>304</v>
      </c>
      <c r="K53" s="221" t="s">
        <v>174</v>
      </c>
      <c r="L53" s="221" t="s">
        <v>174</v>
      </c>
      <c r="M53" s="221" t="s">
        <v>304</v>
      </c>
      <c r="N53" s="221" t="s">
        <v>304</v>
      </c>
      <c r="O53" s="221" t="s">
        <v>304</v>
      </c>
      <c r="P53" s="221" t="s">
        <v>304</v>
      </c>
      <c r="Q53" s="731" t="s">
        <v>304</v>
      </c>
      <c r="R53" s="233"/>
      <c r="S53" s="663" t="s">
        <v>305</v>
      </c>
      <c r="T53" s="663" t="s">
        <v>304</v>
      </c>
      <c r="U53" s="663" t="s">
        <v>304</v>
      </c>
      <c r="V53" s="663" t="s">
        <v>305</v>
      </c>
      <c r="W53" s="663" t="s">
        <v>304</v>
      </c>
      <c r="X53" s="663" t="s">
        <v>304</v>
      </c>
      <c r="Y53" s="663" t="s">
        <v>304</v>
      </c>
      <c r="Z53" s="663" t="s">
        <v>174</v>
      </c>
      <c r="AA53" s="663" t="s">
        <v>174</v>
      </c>
      <c r="AB53" s="663" t="s">
        <v>304</v>
      </c>
      <c r="AC53" s="663" t="s">
        <v>304</v>
      </c>
      <c r="AD53" s="663" t="s">
        <v>304</v>
      </c>
      <c r="AE53" s="663" t="s">
        <v>304</v>
      </c>
    </row>
    <row r="54" spans="1:31" x14ac:dyDescent="0.25">
      <c r="A54" s="652" t="s">
        <v>37</v>
      </c>
      <c r="B54" s="221">
        <v>1.45</v>
      </c>
      <c r="C54" s="221">
        <v>6</v>
      </c>
      <c r="D54" s="221" t="s">
        <v>305</v>
      </c>
      <c r="E54" s="221" t="s">
        <v>173</v>
      </c>
      <c r="F54" s="221" t="s">
        <v>173</v>
      </c>
      <c r="G54" s="221" t="s">
        <v>305</v>
      </c>
      <c r="H54" s="221" t="s">
        <v>305</v>
      </c>
      <c r="I54" s="221" t="s">
        <v>305</v>
      </c>
      <c r="J54" s="221" t="s">
        <v>304</v>
      </c>
      <c r="K54" s="221" t="s">
        <v>174</v>
      </c>
      <c r="L54" s="221" t="s">
        <v>174</v>
      </c>
      <c r="M54" s="221" t="s">
        <v>304</v>
      </c>
      <c r="N54" s="221" t="s">
        <v>304</v>
      </c>
      <c r="O54" s="221" t="s">
        <v>304</v>
      </c>
      <c r="P54" s="221" t="s">
        <v>304</v>
      </c>
      <c r="Q54" s="731" t="s">
        <v>304</v>
      </c>
      <c r="R54" s="233"/>
      <c r="S54" s="663" t="s">
        <v>305</v>
      </c>
      <c r="T54" s="663" t="s">
        <v>173</v>
      </c>
      <c r="U54" s="663" t="s">
        <v>173</v>
      </c>
      <c r="V54" s="663" t="s">
        <v>305</v>
      </c>
      <c r="W54" s="663" t="s">
        <v>304</v>
      </c>
      <c r="X54" s="663" t="s">
        <v>304</v>
      </c>
      <c r="Y54" s="663" t="s">
        <v>304</v>
      </c>
      <c r="Z54" s="663" t="s">
        <v>174</v>
      </c>
      <c r="AA54" s="663" t="s">
        <v>174</v>
      </c>
      <c r="AB54" s="663" t="s">
        <v>304</v>
      </c>
      <c r="AC54" s="663" t="s">
        <v>304</v>
      </c>
      <c r="AD54" s="663" t="s">
        <v>304</v>
      </c>
      <c r="AE54" s="663" t="s">
        <v>304</v>
      </c>
    </row>
    <row r="55" spans="1:31" x14ac:dyDescent="0.25">
      <c r="A55" s="652" t="s">
        <v>403</v>
      </c>
      <c r="B55" s="221">
        <v>1.2</v>
      </c>
      <c r="C55" s="221">
        <v>6</v>
      </c>
      <c r="D55" s="221" t="s">
        <v>305</v>
      </c>
      <c r="E55" s="221" t="s">
        <v>173</v>
      </c>
      <c r="F55" s="221" t="s">
        <v>173</v>
      </c>
      <c r="G55" s="221" t="s">
        <v>305</v>
      </c>
      <c r="H55" s="221" t="s">
        <v>305</v>
      </c>
      <c r="I55" s="221" t="s">
        <v>305</v>
      </c>
      <c r="J55" s="221" t="s">
        <v>305</v>
      </c>
      <c r="K55" s="221" t="s">
        <v>174</v>
      </c>
      <c r="L55" s="221" t="s">
        <v>174</v>
      </c>
      <c r="M55" s="221" t="s">
        <v>304</v>
      </c>
      <c r="N55" s="221" t="s">
        <v>304</v>
      </c>
      <c r="O55" s="221" t="s">
        <v>304</v>
      </c>
      <c r="P55" s="221" t="s">
        <v>304</v>
      </c>
      <c r="Q55" s="731">
        <v>3</v>
      </c>
      <c r="R55" s="233"/>
      <c r="S55" s="663" t="s">
        <v>305</v>
      </c>
      <c r="T55" s="663" t="s">
        <v>173</v>
      </c>
      <c r="U55" s="663" t="s">
        <v>173</v>
      </c>
      <c r="V55" s="663" t="s">
        <v>305</v>
      </c>
      <c r="W55" s="663" t="s">
        <v>304</v>
      </c>
      <c r="X55" s="663" t="s">
        <v>304</v>
      </c>
      <c r="Y55" s="663" t="s">
        <v>305</v>
      </c>
      <c r="Z55" s="663" t="s">
        <v>174</v>
      </c>
      <c r="AA55" s="663" t="s">
        <v>174</v>
      </c>
      <c r="AB55" s="663" t="s">
        <v>304</v>
      </c>
      <c r="AC55" s="663" t="s">
        <v>304</v>
      </c>
      <c r="AD55" s="663" t="s">
        <v>304</v>
      </c>
      <c r="AE55" s="663" t="s">
        <v>304</v>
      </c>
    </row>
    <row r="56" spans="1:31" x14ac:dyDescent="0.25">
      <c r="A56" s="652" t="s">
        <v>405</v>
      </c>
      <c r="B56" s="221">
        <v>0.43</v>
      </c>
      <c r="C56" s="221">
        <v>4</v>
      </c>
      <c r="D56" s="221" t="s">
        <v>305</v>
      </c>
      <c r="E56" s="221" t="s">
        <v>173</v>
      </c>
      <c r="F56" s="221" t="s">
        <v>173</v>
      </c>
      <c r="G56" s="221" t="s">
        <v>305</v>
      </c>
      <c r="H56" s="221" t="s">
        <v>305</v>
      </c>
      <c r="I56" s="221" t="s">
        <v>305</v>
      </c>
      <c r="J56" s="221" t="s">
        <v>304</v>
      </c>
      <c r="K56" s="221" t="s">
        <v>174</v>
      </c>
      <c r="L56" s="221" t="s">
        <v>174</v>
      </c>
      <c r="M56" s="221" t="s">
        <v>304</v>
      </c>
      <c r="N56" s="221" t="s">
        <v>304</v>
      </c>
      <c r="O56" s="221" t="s">
        <v>304</v>
      </c>
      <c r="P56" s="221" t="s">
        <v>304</v>
      </c>
      <c r="Q56" s="731" t="s">
        <v>304</v>
      </c>
      <c r="R56" s="233"/>
      <c r="S56" s="663" t="s">
        <v>305</v>
      </c>
      <c r="T56" s="663" t="s">
        <v>173</v>
      </c>
      <c r="U56" s="663" t="s">
        <v>173</v>
      </c>
      <c r="V56" s="663" t="s">
        <v>305</v>
      </c>
      <c r="W56" s="663" t="s">
        <v>304</v>
      </c>
      <c r="X56" s="663" t="s">
        <v>304</v>
      </c>
      <c r="Y56" s="663" t="s">
        <v>304</v>
      </c>
      <c r="Z56" s="663" t="s">
        <v>174</v>
      </c>
      <c r="AA56" s="663" t="s">
        <v>174</v>
      </c>
      <c r="AB56" s="663" t="s">
        <v>304</v>
      </c>
      <c r="AC56" s="663" t="s">
        <v>304</v>
      </c>
      <c r="AD56" s="663" t="s">
        <v>304</v>
      </c>
      <c r="AE56" s="663" t="s">
        <v>304</v>
      </c>
    </row>
    <row r="57" spans="1:31" x14ac:dyDescent="0.25">
      <c r="A57" s="652" t="s">
        <v>408</v>
      </c>
      <c r="B57" s="221">
        <v>0.82</v>
      </c>
      <c r="C57" s="221">
        <v>4</v>
      </c>
      <c r="D57" s="221" t="s">
        <v>305</v>
      </c>
      <c r="E57" s="221" t="s">
        <v>173</v>
      </c>
      <c r="F57" s="221" t="s">
        <v>173</v>
      </c>
      <c r="G57" s="221" t="s">
        <v>305</v>
      </c>
      <c r="H57" s="221" t="s">
        <v>305</v>
      </c>
      <c r="I57" s="221" t="s">
        <v>305</v>
      </c>
      <c r="J57" s="221" t="s">
        <v>304</v>
      </c>
      <c r="K57" s="221" t="s">
        <v>174</v>
      </c>
      <c r="L57" s="221" t="s">
        <v>174</v>
      </c>
      <c r="M57" s="221" t="s">
        <v>304</v>
      </c>
      <c r="N57" s="221" t="s">
        <v>304</v>
      </c>
      <c r="O57" s="221" t="s">
        <v>304</v>
      </c>
      <c r="P57" s="221" t="s">
        <v>304</v>
      </c>
      <c r="Q57" s="731" t="s">
        <v>304</v>
      </c>
      <c r="R57" s="233"/>
      <c r="S57" s="663" t="s">
        <v>305</v>
      </c>
      <c r="T57" s="663" t="s">
        <v>173</v>
      </c>
      <c r="U57" s="663" t="s">
        <v>173</v>
      </c>
      <c r="V57" s="663" t="s">
        <v>305</v>
      </c>
      <c r="W57" s="663" t="s">
        <v>304</v>
      </c>
      <c r="X57" s="663" t="s">
        <v>304</v>
      </c>
      <c r="Y57" s="663" t="s">
        <v>304</v>
      </c>
      <c r="Z57" s="663" t="s">
        <v>174</v>
      </c>
      <c r="AA57" s="663" t="s">
        <v>174</v>
      </c>
      <c r="AB57" s="663" t="s">
        <v>304</v>
      </c>
      <c r="AC57" s="663" t="s">
        <v>304</v>
      </c>
      <c r="AD57" s="663" t="s">
        <v>304</v>
      </c>
      <c r="AE57" s="663" t="s">
        <v>304</v>
      </c>
    </row>
    <row r="58" spans="1:31" x14ac:dyDescent="0.25">
      <c r="A58" s="652" t="s">
        <v>410</v>
      </c>
      <c r="B58" s="221">
        <v>1.2</v>
      </c>
      <c r="C58" s="221">
        <v>4</v>
      </c>
      <c r="D58" s="221" t="s">
        <v>305</v>
      </c>
      <c r="E58" s="221" t="s">
        <v>173</v>
      </c>
      <c r="F58" s="221" t="s">
        <v>173</v>
      </c>
      <c r="G58" s="221" t="s">
        <v>305</v>
      </c>
      <c r="H58" s="221" t="s">
        <v>305</v>
      </c>
      <c r="I58" s="221" t="s">
        <v>305</v>
      </c>
      <c r="J58" s="221" t="s">
        <v>305</v>
      </c>
      <c r="K58" s="221" t="s">
        <v>174</v>
      </c>
      <c r="L58" s="221" t="s">
        <v>174</v>
      </c>
      <c r="M58" s="221" t="s">
        <v>304</v>
      </c>
      <c r="N58" s="221" t="s">
        <v>304</v>
      </c>
      <c r="O58" s="221" t="s">
        <v>304</v>
      </c>
      <c r="P58" s="221" t="s">
        <v>304</v>
      </c>
      <c r="Q58" s="731" t="s">
        <v>304</v>
      </c>
      <c r="R58" s="233"/>
      <c r="S58" s="663" t="s">
        <v>305</v>
      </c>
      <c r="T58" s="663" t="s">
        <v>173</v>
      </c>
      <c r="U58" s="663" t="s">
        <v>173</v>
      </c>
      <c r="V58" s="663" t="s">
        <v>305</v>
      </c>
      <c r="W58" s="663" t="s">
        <v>304</v>
      </c>
      <c r="X58" s="663" t="s">
        <v>304</v>
      </c>
      <c r="Y58" s="663" t="s">
        <v>305</v>
      </c>
      <c r="Z58" s="663" t="s">
        <v>174</v>
      </c>
      <c r="AA58" s="663" t="s">
        <v>174</v>
      </c>
      <c r="AB58" s="663" t="s">
        <v>304</v>
      </c>
      <c r="AC58" s="663" t="s">
        <v>304</v>
      </c>
      <c r="AD58" s="663" t="s">
        <v>304</v>
      </c>
      <c r="AE58" s="663" t="s">
        <v>304</v>
      </c>
    </row>
    <row r="59" spans="1:31" x14ac:dyDescent="0.25">
      <c r="A59" s="652" t="s">
        <v>411</v>
      </c>
      <c r="B59" s="221">
        <v>0.57999999999999996</v>
      </c>
      <c r="C59" s="221">
        <v>6</v>
      </c>
      <c r="D59" s="221" t="s">
        <v>305</v>
      </c>
      <c r="E59" s="221" t="s">
        <v>173</v>
      </c>
      <c r="F59" s="221" t="s">
        <v>173</v>
      </c>
      <c r="G59" s="221" t="s">
        <v>304</v>
      </c>
      <c r="H59" s="221" t="s">
        <v>305</v>
      </c>
      <c r="I59" s="221" t="s">
        <v>305</v>
      </c>
      <c r="J59" s="221" t="s">
        <v>304</v>
      </c>
      <c r="K59" s="221" t="s">
        <v>174</v>
      </c>
      <c r="L59" s="221" t="s">
        <v>174</v>
      </c>
      <c r="M59" s="221" t="s">
        <v>304</v>
      </c>
      <c r="N59" s="221" t="s">
        <v>304</v>
      </c>
      <c r="O59" s="221" t="s">
        <v>304</v>
      </c>
      <c r="P59" s="221" t="s">
        <v>304</v>
      </c>
      <c r="Q59" s="731" t="s">
        <v>304</v>
      </c>
      <c r="R59" s="233"/>
      <c r="S59" s="663" t="s">
        <v>305</v>
      </c>
      <c r="T59" s="663" t="s">
        <v>173</v>
      </c>
      <c r="U59" s="663" t="s">
        <v>173</v>
      </c>
      <c r="V59" s="663" t="s">
        <v>304</v>
      </c>
      <c r="W59" s="663" t="s">
        <v>304</v>
      </c>
      <c r="X59" s="663" t="s">
        <v>304</v>
      </c>
      <c r="Y59" s="663" t="s">
        <v>304</v>
      </c>
      <c r="Z59" s="663" t="s">
        <v>174</v>
      </c>
      <c r="AA59" s="663" t="s">
        <v>174</v>
      </c>
      <c r="AB59" s="663" t="s">
        <v>304</v>
      </c>
      <c r="AC59" s="663" t="s">
        <v>304</v>
      </c>
      <c r="AD59" s="663" t="s">
        <v>304</v>
      </c>
      <c r="AE59" s="663" t="s">
        <v>304</v>
      </c>
    </row>
    <row r="60" spans="1:31" x14ac:dyDescent="0.25">
      <c r="A60" s="652" t="s">
        <v>412</v>
      </c>
      <c r="B60" s="221">
        <v>1</v>
      </c>
      <c r="C60" s="221">
        <v>4</v>
      </c>
      <c r="D60" s="221" t="s">
        <v>305</v>
      </c>
      <c r="E60" s="221" t="s">
        <v>304</v>
      </c>
      <c r="F60" s="221" t="s">
        <v>304</v>
      </c>
      <c r="G60" s="221" t="s">
        <v>304</v>
      </c>
      <c r="H60" s="221" t="s">
        <v>305</v>
      </c>
      <c r="I60" s="221" t="s">
        <v>305</v>
      </c>
      <c r="J60" s="221" t="s">
        <v>305</v>
      </c>
      <c r="K60" s="221" t="s">
        <v>174</v>
      </c>
      <c r="L60" s="221" t="s">
        <v>174</v>
      </c>
      <c r="M60" s="221" t="s">
        <v>304</v>
      </c>
      <c r="N60" s="221" t="s">
        <v>304</v>
      </c>
      <c r="O60" s="221" t="s">
        <v>304</v>
      </c>
      <c r="P60" s="221" t="s">
        <v>304</v>
      </c>
      <c r="Q60" s="222">
        <v>5</v>
      </c>
      <c r="R60" s="156"/>
      <c r="S60" s="663" t="s">
        <v>305</v>
      </c>
      <c r="T60" s="663" t="s">
        <v>304</v>
      </c>
      <c r="U60" s="663" t="s">
        <v>304</v>
      </c>
      <c r="V60" s="663" t="s">
        <v>304</v>
      </c>
      <c r="W60" s="663" t="s">
        <v>304</v>
      </c>
      <c r="X60" s="663" t="s">
        <v>304</v>
      </c>
      <c r="Y60" s="663" t="s">
        <v>305</v>
      </c>
      <c r="Z60" s="663" t="s">
        <v>174</v>
      </c>
      <c r="AA60" s="663" t="s">
        <v>174</v>
      </c>
      <c r="AB60" s="663" t="s">
        <v>304</v>
      </c>
      <c r="AC60" s="663" t="s">
        <v>304</v>
      </c>
      <c r="AD60" s="663" t="s">
        <v>304</v>
      </c>
      <c r="AE60" s="663" t="s">
        <v>304</v>
      </c>
    </row>
    <row r="61" spans="1:31" x14ac:dyDescent="0.25">
      <c r="A61" s="652" t="s">
        <v>414</v>
      </c>
      <c r="B61" s="221">
        <v>0.69</v>
      </c>
      <c r="C61" s="221">
        <v>6</v>
      </c>
      <c r="D61" s="221" t="s">
        <v>305</v>
      </c>
      <c r="E61" s="221" t="s">
        <v>304</v>
      </c>
      <c r="F61" s="221" t="s">
        <v>304</v>
      </c>
      <c r="G61" s="221" t="s">
        <v>304</v>
      </c>
      <c r="H61" s="221" t="s">
        <v>305</v>
      </c>
      <c r="I61" s="221" t="s">
        <v>305</v>
      </c>
      <c r="J61" s="221" t="s">
        <v>304</v>
      </c>
      <c r="K61" s="221" t="s">
        <v>174</v>
      </c>
      <c r="L61" s="221" t="s">
        <v>174</v>
      </c>
      <c r="M61" s="221" t="s">
        <v>304</v>
      </c>
      <c r="N61" s="221" t="s">
        <v>304</v>
      </c>
      <c r="O61" s="221" t="s">
        <v>304</v>
      </c>
      <c r="P61" s="221" t="s">
        <v>304</v>
      </c>
      <c r="Q61" s="222">
        <v>5</v>
      </c>
      <c r="R61" s="156"/>
      <c r="S61" s="663" t="s">
        <v>305</v>
      </c>
      <c r="T61" s="663" t="s">
        <v>304</v>
      </c>
      <c r="U61" s="663" t="s">
        <v>304</v>
      </c>
      <c r="V61" s="663" t="s">
        <v>304</v>
      </c>
      <c r="W61" s="663" t="s">
        <v>304</v>
      </c>
      <c r="X61" s="663" t="s">
        <v>304</v>
      </c>
      <c r="Y61" s="663" t="s">
        <v>304</v>
      </c>
      <c r="Z61" s="663" t="s">
        <v>174</v>
      </c>
      <c r="AA61" s="663" t="s">
        <v>174</v>
      </c>
      <c r="AB61" s="663" t="s">
        <v>304</v>
      </c>
      <c r="AC61" s="663" t="s">
        <v>304</v>
      </c>
      <c r="AD61" s="663" t="s">
        <v>304</v>
      </c>
      <c r="AE61" s="663" t="s">
        <v>304</v>
      </c>
    </row>
    <row r="62" spans="1:31" x14ac:dyDescent="0.25">
      <c r="A62" s="652" t="s">
        <v>415</v>
      </c>
      <c r="B62" s="221">
        <v>2.0299999999999998</v>
      </c>
      <c r="C62" s="221">
        <v>4</v>
      </c>
      <c r="D62" s="221" t="s">
        <v>305</v>
      </c>
      <c r="E62" s="221" t="s">
        <v>304</v>
      </c>
      <c r="F62" s="221" t="s">
        <v>304</v>
      </c>
      <c r="G62" s="221" t="s">
        <v>304</v>
      </c>
      <c r="H62" s="221" t="s">
        <v>305</v>
      </c>
      <c r="I62" s="221" t="s">
        <v>305</v>
      </c>
      <c r="J62" s="221" t="s">
        <v>305</v>
      </c>
      <c r="K62" s="221" t="s">
        <v>174</v>
      </c>
      <c r="L62" s="221" t="s">
        <v>174</v>
      </c>
      <c r="M62" s="221" t="s">
        <v>304</v>
      </c>
      <c r="N62" s="221" t="s">
        <v>304</v>
      </c>
      <c r="O62" s="221" t="s">
        <v>304</v>
      </c>
      <c r="P62" s="221" t="s">
        <v>304</v>
      </c>
      <c r="Q62" s="222">
        <v>5</v>
      </c>
      <c r="R62" s="156"/>
      <c r="S62" s="663" t="s">
        <v>305</v>
      </c>
      <c r="T62" s="663" t="s">
        <v>304</v>
      </c>
      <c r="U62" s="663" t="s">
        <v>304</v>
      </c>
      <c r="V62" s="663" t="s">
        <v>304</v>
      </c>
      <c r="W62" s="663" t="s">
        <v>304</v>
      </c>
      <c r="X62" s="663" t="s">
        <v>304</v>
      </c>
      <c r="Y62" s="663" t="s">
        <v>305</v>
      </c>
      <c r="Z62" s="663" t="s">
        <v>174</v>
      </c>
      <c r="AA62" s="663" t="s">
        <v>174</v>
      </c>
      <c r="AB62" s="663" t="s">
        <v>304</v>
      </c>
      <c r="AC62" s="663" t="s">
        <v>304</v>
      </c>
      <c r="AD62" s="663" t="s">
        <v>304</v>
      </c>
      <c r="AE62" s="663" t="s">
        <v>304</v>
      </c>
    </row>
    <row r="63" spans="1:31" x14ac:dyDescent="0.25">
      <c r="A63" s="652" t="s">
        <v>416</v>
      </c>
      <c r="B63" s="221">
        <v>1.06</v>
      </c>
      <c r="C63" s="221">
        <v>4</v>
      </c>
      <c r="D63" s="221" t="s">
        <v>305</v>
      </c>
      <c r="E63" s="221" t="s">
        <v>304</v>
      </c>
      <c r="F63" s="221" t="s">
        <v>304</v>
      </c>
      <c r="G63" s="221" t="s">
        <v>304</v>
      </c>
      <c r="H63" s="221" t="s">
        <v>305</v>
      </c>
      <c r="I63" s="221" t="s">
        <v>305</v>
      </c>
      <c r="J63" s="221" t="s">
        <v>304</v>
      </c>
      <c r="K63" s="221" t="s">
        <v>174</v>
      </c>
      <c r="L63" s="221" t="s">
        <v>174</v>
      </c>
      <c r="M63" s="221" t="s">
        <v>304</v>
      </c>
      <c r="N63" s="221" t="s">
        <v>304</v>
      </c>
      <c r="O63" s="221" t="s">
        <v>304</v>
      </c>
      <c r="P63" s="221" t="s">
        <v>304</v>
      </c>
      <c r="Q63" s="222">
        <v>5</v>
      </c>
      <c r="R63" s="156"/>
      <c r="S63" s="663" t="s">
        <v>305</v>
      </c>
      <c r="T63" s="663" t="s">
        <v>304</v>
      </c>
      <c r="U63" s="663" t="s">
        <v>304</v>
      </c>
      <c r="V63" s="663" t="s">
        <v>304</v>
      </c>
      <c r="W63" s="663" t="s">
        <v>304</v>
      </c>
      <c r="X63" s="663" t="s">
        <v>304</v>
      </c>
      <c r="Y63" s="663" t="s">
        <v>304</v>
      </c>
      <c r="Z63" s="663" t="s">
        <v>174</v>
      </c>
      <c r="AA63" s="663" t="s">
        <v>174</v>
      </c>
      <c r="AB63" s="663" t="s">
        <v>304</v>
      </c>
      <c r="AC63" s="663" t="s">
        <v>304</v>
      </c>
      <c r="AD63" s="663" t="s">
        <v>304</v>
      </c>
      <c r="AE63" s="663" t="s">
        <v>304</v>
      </c>
    </row>
    <row r="64" spans="1:31" x14ac:dyDescent="0.25">
      <c r="A64" s="652" t="s">
        <v>418</v>
      </c>
      <c r="B64" s="221">
        <v>0.45</v>
      </c>
      <c r="C64" s="221">
        <v>4</v>
      </c>
      <c r="D64" s="221" t="s">
        <v>305</v>
      </c>
      <c r="E64" s="221" t="s">
        <v>304</v>
      </c>
      <c r="F64" s="221" t="s">
        <v>304</v>
      </c>
      <c r="G64" s="221" t="s">
        <v>304</v>
      </c>
      <c r="H64" s="221" t="s">
        <v>305</v>
      </c>
      <c r="I64" s="221" t="s">
        <v>305</v>
      </c>
      <c r="J64" s="221" t="s">
        <v>304</v>
      </c>
      <c r="K64" s="221" t="s">
        <v>174</v>
      </c>
      <c r="L64" s="221" t="s">
        <v>174</v>
      </c>
      <c r="M64" s="221" t="s">
        <v>304</v>
      </c>
      <c r="N64" s="221" t="s">
        <v>304</v>
      </c>
      <c r="O64" s="221" t="s">
        <v>304</v>
      </c>
      <c r="P64" s="221" t="s">
        <v>304</v>
      </c>
      <c r="Q64" s="222">
        <v>5</v>
      </c>
      <c r="R64" s="156"/>
      <c r="S64" s="663" t="s">
        <v>305</v>
      </c>
      <c r="T64" s="663" t="s">
        <v>304</v>
      </c>
      <c r="U64" s="663" t="s">
        <v>304</v>
      </c>
      <c r="V64" s="663" t="s">
        <v>304</v>
      </c>
      <c r="W64" s="663" t="s">
        <v>304</v>
      </c>
      <c r="X64" s="663" t="s">
        <v>304</v>
      </c>
      <c r="Y64" s="663" t="s">
        <v>304</v>
      </c>
      <c r="Z64" s="663" t="s">
        <v>174</v>
      </c>
      <c r="AA64" s="663" t="s">
        <v>174</v>
      </c>
      <c r="AB64" s="663" t="s">
        <v>304</v>
      </c>
      <c r="AC64" s="663" t="s">
        <v>304</v>
      </c>
      <c r="AD64" s="663" t="s">
        <v>304</v>
      </c>
      <c r="AE64" s="663" t="s">
        <v>304</v>
      </c>
    </row>
    <row r="65" spans="1:31" x14ac:dyDescent="0.25">
      <c r="A65" s="652" t="s">
        <v>420</v>
      </c>
      <c r="B65" s="221">
        <v>1.7</v>
      </c>
      <c r="C65" s="221">
        <v>6</v>
      </c>
      <c r="D65" s="221" t="s">
        <v>305</v>
      </c>
      <c r="E65" s="221" t="s">
        <v>304</v>
      </c>
      <c r="F65" s="221" t="s">
        <v>304</v>
      </c>
      <c r="G65" s="221" t="s">
        <v>304</v>
      </c>
      <c r="H65" s="221" t="s">
        <v>305</v>
      </c>
      <c r="I65" s="221" t="s">
        <v>305</v>
      </c>
      <c r="J65" s="221" t="s">
        <v>305</v>
      </c>
      <c r="K65" s="221" t="s">
        <v>174</v>
      </c>
      <c r="L65" s="221" t="s">
        <v>174</v>
      </c>
      <c r="M65" s="221" t="s">
        <v>304</v>
      </c>
      <c r="N65" s="221" t="s">
        <v>304</v>
      </c>
      <c r="O65" s="221" t="s">
        <v>304</v>
      </c>
      <c r="P65" s="221" t="s">
        <v>304</v>
      </c>
      <c r="Q65" s="222">
        <v>5</v>
      </c>
      <c r="R65" s="156"/>
      <c r="S65" s="663" t="s">
        <v>305</v>
      </c>
      <c r="T65" s="663" t="s">
        <v>304</v>
      </c>
      <c r="U65" s="663" t="s">
        <v>304</v>
      </c>
      <c r="V65" s="663" t="s">
        <v>304</v>
      </c>
      <c r="W65" s="663" t="s">
        <v>304</v>
      </c>
      <c r="X65" s="663" t="s">
        <v>304</v>
      </c>
      <c r="Y65" s="663" t="s">
        <v>305</v>
      </c>
      <c r="Z65" s="663" t="s">
        <v>174</v>
      </c>
      <c r="AA65" s="663" t="s">
        <v>174</v>
      </c>
      <c r="AB65" s="663" t="s">
        <v>304</v>
      </c>
      <c r="AC65" s="663" t="s">
        <v>304</v>
      </c>
      <c r="AD65" s="663" t="s">
        <v>304</v>
      </c>
      <c r="AE65" s="663" t="s">
        <v>304</v>
      </c>
    </row>
    <row r="66" spans="1:31" x14ac:dyDescent="0.25">
      <c r="A66" s="652" t="s">
        <v>422</v>
      </c>
      <c r="B66" s="221">
        <v>0.48</v>
      </c>
      <c r="C66" s="221">
        <v>6</v>
      </c>
      <c r="D66" s="221" t="s">
        <v>305</v>
      </c>
      <c r="E66" s="221" t="s">
        <v>173</v>
      </c>
      <c r="F66" s="221" t="s">
        <v>173</v>
      </c>
      <c r="G66" s="221" t="s">
        <v>305</v>
      </c>
      <c r="H66" s="221" t="s">
        <v>305</v>
      </c>
      <c r="I66" s="221" t="s">
        <v>305</v>
      </c>
      <c r="J66" s="221" t="s">
        <v>304</v>
      </c>
      <c r="K66" s="221" t="s">
        <v>305</v>
      </c>
      <c r="L66" s="221" t="s">
        <v>304</v>
      </c>
      <c r="M66" s="221" t="s">
        <v>304</v>
      </c>
      <c r="N66" s="221" t="s">
        <v>304</v>
      </c>
      <c r="O66" s="221" t="s">
        <v>304</v>
      </c>
      <c r="P66" s="221" t="s">
        <v>304</v>
      </c>
      <c r="Q66" s="731" t="s">
        <v>304</v>
      </c>
      <c r="R66" s="233"/>
      <c r="S66" s="663" t="s">
        <v>305</v>
      </c>
      <c r="T66" s="663" t="s">
        <v>173</v>
      </c>
      <c r="U66" s="663" t="s">
        <v>173</v>
      </c>
      <c r="V66" s="663" t="s">
        <v>305</v>
      </c>
      <c r="W66" s="663" t="s">
        <v>304</v>
      </c>
      <c r="X66" s="663" t="s">
        <v>304</v>
      </c>
      <c r="Y66" s="663" t="s">
        <v>304</v>
      </c>
      <c r="Z66" s="663" t="s">
        <v>305</v>
      </c>
      <c r="AA66" s="663" t="s">
        <v>304</v>
      </c>
      <c r="AB66" s="663" t="s">
        <v>304</v>
      </c>
      <c r="AC66" s="663" t="s">
        <v>304</v>
      </c>
      <c r="AD66" s="663" t="s">
        <v>304</v>
      </c>
      <c r="AE66" s="663" t="s">
        <v>304</v>
      </c>
    </row>
    <row r="67" spans="1:31" x14ac:dyDescent="0.25">
      <c r="A67" s="652" t="s">
        <v>423</v>
      </c>
      <c r="B67" s="221">
        <v>0.62</v>
      </c>
      <c r="C67" s="221">
        <v>4</v>
      </c>
      <c r="D67" s="221" t="s">
        <v>305</v>
      </c>
      <c r="E67" s="221" t="s">
        <v>173</v>
      </c>
      <c r="F67" s="221" t="s">
        <v>173</v>
      </c>
      <c r="G67" s="221" t="s">
        <v>305</v>
      </c>
      <c r="H67" s="221" t="s">
        <v>305</v>
      </c>
      <c r="I67" s="221" t="s">
        <v>305</v>
      </c>
      <c r="J67" s="221" t="s">
        <v>304</v>
      </c>
      <c r="K67" s="221" t="s">
        <v>305</v>
      </c>
      <c r="L67" s="221" t="s">
        <v>304</v>
      </c>
      <c r="M67" s="221" t="s">
        <v>304</v>
      </c>
      <c r="N67" s="221" t="s">
        <v>304</v>
      </c>
      <c r="O67" s="221" t="s">
        <v>304</v>
      </c>
      <c r="P67" s="221" t="s">
        <v>304</v>
      </c>
      <c r="Q67" s="731" t="s">
        <v>304</v>
      </c>
      <c r="R67" s="233"/>
      <c r="S67" s="663" t="s">
        <v>305</v>
      </c>
      <c r="T67" s="663" t="s">
        <v>173</v>
      </c>
      <c r="U67" s="663" t="s">
        <v>173</v>
      </c>
      <c r="V67" s="663" t="s">
        <v>305</v>
      </c>
      <c r="W67" s="663" t="s">
        <v>304</v>
      </c>
      <c r="X67" s="663" t="s">
        <v>304</v>
      </c>
      <c r="Y67" s="663" t="s">
        <v>304</v>
      </c>
      <c r="Z67" s="663" t="s">
        <v>305</v>
      </c>
      <c r="AA67" s="663" t="s">
        <v>304</v>
      </c>
      <c r="AB67" s="663" t="s">
        <v>304</v>
      </c>
      <c r="AC67" s="663" t="s">
        <v>304</v>
      </c>
      <c r="AD67" s="663" t="s">
        <v>304</v>
      </c>
      <c r="AE67" s="663" t="s">
        <v>304</v>
      </c>
    </row>
    <row r="68" spans="1:31" x14ac:dyDescent="0.25">
      <c r="A68" s="652" t="s">
        <v>425</v>
      </c>
      <c r="B68" s="221">
        <v>0.78</v>
      </c>
      <c r="C68" s="221">
        <v>6</v>
      </c>
      <c r="D68" s="221" t="s">
        <v>305</v>
      </c>
      <c r="E68" s="221" t="s">
        <v>173</v>
      </c>
      <c r="F68" s="221" t="s">
        <v>173</v>
      </c>
      <c r="G68" s="221" t="s">
        <v>305</v>
      </c>
      <c r="H68" s="221" t="s">
        <v>305</v>
      </c>
      <c r="I68" s="221" t="s">
        <v>305</v>
      </c>
      <c r="J68" s="221" t="s">
        <v>304</v>
      </c>
      <c r="K68" s="221" t="s">
        <v>305</v>
      </c>
      <c r="L68" s="221" t="s">
        <v>304</v>
      </c>
      <c r="M68" s="221" t="s">
        <v>304</v>
      </c>
      <c r="N68" s="221" t="s">
        <v>304</v>
      </c>
      <c r="O68" s="221" t="s">
        <v>304</v>
      </c>
      <c r="P68" s="221" t="s">
        <v>304</v>
      </c>
      <c r="Q68" s="731" t="s">
        <v>304</v>
      </c>
      <c r="R68" s="233"/>
      <c r="S68" s="663" t="s">
        <v>305</v>
      </c>
      <c r="T68" s="663" t="s">
        <v>173</v>
      </c>
      <c r="U68" s="663" t="s">
        <v>173</v>
      </c>
      <c r="V68" s="663" t="s">
        <v>305</v>
      </c>
      <c r="W68" s="663" t="s">
        <v>304</v>
      </c>
      <c r="X68" s="663" t="s">
        <v>304</v>
      </c>
      <c r="Y68" s="663" t="s">
        <v>304</v>
      </c>
      <c r="Z68" s="663" t="s">
        <v>305</v>
      </c>
      <c r="AA68" s="663" t="s">
        <v>304</v>
      </c>
      <c r="AB68" s="663" t="s">
        <v>304</v>
      </c>
      <c r="AC68" s="663" t="s">
        <v>304</v>
      </c>
      <c r="AD68" s="663" t="s">
        <v>304</v>
      </c>
      <c r="AE68" s="663" t="s">
        <v>304</v>
      </c>
    </row>
    <row r="69" spans="1:31" x14ac:dyDescent="0.25">
      <c r="A69" s="652" t="s">
        <v>427</v>
      </c>
      <c r="B69" s="221">
        <v>0.93</v>
      </c>
      <c r="C69" s="221">
        <v>4</v>
      </c>
      <c r="D69" s="221" t="s">
        <v>305</v>
      </c>
      <c r="E69" s="221" t="s">
        <v>173</v>
      </c>
      <c r="F69" s="221" t="s">
        <v>173</v>
      </c>
      <c r="G69" s="221" t="s">
        <v>305</v>
      </c>
      <c r="H69" s="221" t="s">
        <v>305</v>
      </c>
      <c r="I69" s="221" t="s">
        <v>305</v>
      </c>
      <c r="J69" s="221" t="s">
        <v>304</v>
      </c>
      <c r="K69" s="221" t="s">
        <v>174</v>
      </c>
      <c r="L69" s="221" t="s">
        <v>174</v>
      </c>
      <c r="M69" s="221" t="s">
        <v>304</v>
      </c>
      <c r="N69" s="221" t="s">
        <v>304</v>
      </c>
      <c r="O69" s="221" t="s">
        <v>304</v>
      </c>
      <c r="P69" s="221" t="s">
        <v>304</v>
      </c>
      <c r="Q69" s="731" t="s">
        <v>304</v>
      </c>
      <c r="R69" s="233"/>
      <c r="S69" s="663" t="s">
        <v>305</v>
      </c>
      <c r="T69" s="663" t="s">
        <v>173</v>
      </c>
      <c r="U69" s="663" t="s">
        <v>173</v>
      </c>
      <c r="V69" s="663" t="s">
        <v>305</v>
      </c>
      <c r="W69" s="663" t="s">
        <v>304</v>
      </c>
      <c r="X69" s="663" t="s">
        <v>304</v>
      </c>
      <c r="Y69" s="663" t="s">
        <v>304</v>
      </c>
      <c r="Z69" s="663" t="s">
        <v>174</v>
      </c>
      <c r="AA69" s="663" t="s">
        <v>174</v>
      </c>
      <c r="AB69" s="663" t="s">
        <v>304</v>
      </c>
      <c r="AC69" s="663" t="s">
        <v>304</v>
      </c>
      <c r="AD69" s="663" t="s">
        <v>304</v>
      </c>
      <c r="AE69" s="663" t="s">
        <v>304</v>
      </c>
    </row>
    <row r="70" spans="1:31" x14ac:dyDescent="0.25">
      <c r="A70" s="652" t="s">
        <v>429</v>
      </c>
      <c r="B70" s="221">
        <v>0.65</v>
      </c>
      <c r="C70" s="221">
        <v>6</v>
      </c>
      <c r="D70" s="221" t="s">
        <v>305</v>
      </c>
      <c r="E70" s="221" t="s">
        <v>173</v>
      </c>
      <c r="F70" s="221" t="s">
        <v>173</v>
      </c>
      <c r="G70" s="221" t="s">
        <v>305</v>
      </c>
      <c r="H70" s="221" t="s">
        <v>305</v>
      </c>
      <c r="I70" s="221" t="s">
        <v>305</v>
      </c>
      <c r="J70" s="221" t="s">
        <v>304</v>
      </c>
      <c r="K70" s="221" t="s">
        <v>174</v>
      </c>
      <c r="L70" s="221" t="s">
        <v>174</v>
      </c>
      <c r="M70" s="221" t="s">
        <v>304</v>
      </c>
      <c r="N70" s="221" t="s">
        <v>304</v>
      </c>
      <c r="O70" s="221" t="s">
        <v>304</v>
      </c>
      <c r="P70" s="221" t="s">
        <v>304</v>
      </c>
      <c r="Q70" s="731" t="s">
        <v>304</v>
      </c>
      <c r="R70" s="233"/>
      <c r="S70" s="663" t="s">
        <v>305</v>
      </c>
      <c r="T70" s="663" t="s">
        <v>173</v>
      </c>
      <c r="U70" s="663" t="s">
        <v>173</v>
      </c>
      <c r="V70" s="663" t="s">
        <v>305</v>
      </c>
      <c r="W70" s="663" t="s">
        <v>304</v>
      </c>
      <c r="X70" s="663" t="s">
        <v>304</v>
      </c>
      <c r="Y70" s="663" t="s">
        <v>304</v>
      </c>
      <c r="Z70" s="663" t="s">
        <v>174</v>
      </c>
      <c r="AA70" s="663" t="s">
        <v>174</v>
      </c>
      <c r="AB70" s="663" t="s">
        <v>304</v>
      </c>
      <c r="AC70" s="663" t="s">
        <v>304</v>
      </c>
      <c r="AD70" s="663" t="s">
        <v>304</v>
      </c>
      <c r="AE70" s="663" t="s">
        <v>304</v>
      </c>
    </row>
    <row r="71" spans="1:31" x14ac:dyDescent="0.25">
      <c r="A71" s="652" t="s">
        <v>431</v>
      </c>
      <c r="B71" s="221">
        <v>1.05</v>
      </c>
      <c r="C71" s="221">
        <v>4</v>
      </c>
      <c r="D71" s="221" t="s">
        <v>305</v>
      </c>
      <c r="E71" s="221" t="s">
        <v>173</v>
      </c>
      <c r="F71" s="221" t="s">
        <v>173</v>
      </c>
      <c r="G71" s="221" t="s">
        <v>305</v>
      </c>
      <c r="H71" s="221" t="s">
        <v>305</v>
      </c>
      <c r="I71" s="221" t="s">
        <v>305</v>
      </c>
      <c r="J71" s="221" t="s">
        <v>304</v>
      </c>
      <c r="K71" s="221" t="s">
        <v>174</v>
      </c>
      <c r="L71" s="221" t="s">
        <v>174</v>
      </c>
      <c r="M71" s="221" t="s">
        <v>304</v>
      </c>
      <c r="N71" s="221" t="s">
        <v>304</v>
      </c>
      <c r="O71" s="221" t="s">
        <v>304</v>
      </c>
      <c r="P71" s="221" t="s">
        <v>304</v>
      </c>
      <c r="Q71" s="731" t="s">
        <v>304</v>
      </c>
      <c r="R71" s="233"/>
      <c r="S71" s="663" t="s">
        <v>305</v>
      </c>
      <c r="T71" s="663" t="s">
        <v>173</v>
      </c>
      <c r="U71" s="663" t="s">
        <v>173</v>
      </c>
      <c r="V71" s="663" t="s">
        <v>305</v>
      </c>
      <c r="W71" s="663" t="s">
        <v>304</v>
      </c>
      <c r="X71" s="663" t="s">
        <v>304</v>
      </c>
      <c r="Y71" s="663" t="s">
        <v>304</v>
      </c>
      <c r="Z71" s="663" t="s">
        <v>174</v>
      </c>
      <c r="AA71" s="663" t="s">
        <v>174</v>
      </c>
      <c r="AB71" s="663" t="s">
        <v>304</v>
      </c>
      <c r="AC71" s="663" t="s">
        <v>304</v>
      </c>
      <c r="AD71" s="663" t="s">
        <v>304</v>
      </c>
      <c r="AE71" s="663" t="s">
        <v>304</v>
      </c>
    </row>
    <row r="72" spans="1:31" x14ac:dyDescent="0.25">
      <c r="A72" s="652" t="s">
        <v>433</v>
      </c>
      <c r="B72" s="221">
        <v>0.75</v>
      </c>
      <c r="C72" s="221">
        <v>4</v>
      </c>
      <c r="D72" s="221" t="s">
        <v>305</v>
      </c>
      <c r="E72" s="221" t="s">
        <v>173</v>
      </c>
      <c r="F72" s="221" t="s">
        <v>173</v>
      </c>
      <c r="G72" s="221" t="s">
        <v>305</v>
      </c>
      <c r="H72" s="221" t="s">
        <v>305</v>
      </c>
      <c r="I72" s="221" t="s">
        <v>305</v>
      </c>
      <c r="J72" s="221" t="s">
        <v>304</v>
      </c>
      <c r="K72" s="221" t="s">
        <v>174</v>
      </c>
      <c r="L72" s="221" t="s">
        <v>174</v>
      </c>
      <c r="M72" s="221" t="s">
        <v>304</v>
      </c>
      <c r="N72" s="221" t="s">
        <v>304</v>
      </c>
      <c r="O72" s="221" t="s">
        <v>304</v>
      </c>
      <c r="P72" s="221" t="s">
        <v>304</v>
      </c>
      <c r="Q72" s="731" t="s">
        <v>304</v>
      </c>
      <c r="R72" s="233"/>
      <c r="S72" s="663" t="s">
        <v>305</v>
      </c>
      <c r="T72" s="663" t="s">
        <v>173</v>
      </c>
      <c r="U72" s="663" t="s">
        <v>173</v>
      </c>
      <c r="V72" s="663" t="s">
        <v>305</v>
      </c>
      <c r="W72" s="663" t="s">
        <v>304</v>
      </c>
      <c r="X72" s="663" t="s">
        <v>304</v>
      </c>
      <c r="Y72" s="663" t="s">
        <v>304</v>
      </c>
      <c r="Z72" s="663" t="s">
        <v>174</v>
      </c>
      <c r="AA72" s="663" t="s">
        <v>174</v>
      </c>
      <c r="AB72" s="663" t="s">
        <v>304</v>
      </c>
      <c r="AC72" s="663" t="s">
        <v>304</v>
      </c>
      <c r="AD72" s="663" t="s">
        <v>304</v>
      </c>
      <c r="AE72" s="663" t="s">
        <v>304</v>
      </c>
    </row>
    <row r="73" spans="1:31" x14ac:dyDescent="0.25">
      <c r="A73" s="652" t="s">
        <v>435</v>
      </c>
      <c r="B73" s="221">
        <v>0.96</v>
      </c>
      <c r="C73" s="221">
        <v>4</v>
      </c>
      <c r="D73" s="221" t="s">
        <v>305</v>
      </c>
      <c r="E73" s="221" t="s">
        <v>173</v>
      </c>
      <c r="F73" s="221" t="s">
        <v>173</v>
      </c>
      <c r="G73" s="221" t="s">
        <v>305</v>
      </c>
      <c r="H73" s="221" t="s">
        <v>305</v>
      </c>
      <c r="I73" s="221" t="s">
        <v>305</v>
      </c>
      <c r="J73" s="221" t="s">
        <v>304</v>
      </c>
      <c r="K73" s="221" t="s">
        <v>174</v>
      </c>
      <c r="L73" s="221" t="s">
        <v>174</v>
      </c>
      <c r="M73" s="221" t="s">
        <v>304</v>
      </c>
      <c r="N73" s="221" t="s">
        <v>304</v>
      </c>
      <c r="O73" s="221" t="s">
        <v>304</v>
      </c>
      <c r="P73" s="221" t="s">
        <v>304</v>
      </c>
      <c r="Q73" s="731" t="s">
        <v>304</v>
      </c>
      <c r="R73" s="233"/>
      <c r="S73" s="663" t="s">
        <v>305</v>
      </c>
      <c r="T73" s="663" t="s">
        <v>173</v>
      </c>
      <c r="U73" s="663" t="s">
        <v>173</v>
      </c>
      <c r="V73" s="663" t="s">
        <v>305</v>
      </c>
      <c r="W73" s="663" t="s">
        <v>304</v>
      </c>
      <c r="X73" s="663" t="s">
        <v>304</v>
      </c>
      <c r="Y73" s="663" t="s">
        <v>304</v>
      </c>
      <c r="Z73" s="663" t="s">
        <v>174</v>
      </c>
      <c r="AA73" s="663" t="s">
        <v>174</v>
      </c>
      <c r="AB73" s="663" t="s">
        <v>304</v>
      </c>
      <c r="AC73" s="663" t="s">
        <v>304</v>
      </c>
      <c r="AD73" s="663" t="s">
        <v>304</v>
      </c>
      <c r="AE73" s="663" t="s">
        <v>304</v>
      </c>
    </row>
    <row r="74" spans="1:31" x14ac:dyDescent="0.25">
      <c r="A74" s="652" t="s">
        <v>437</v>
      </c>
      <c r="B74" s="221">
        <v>1.05</v>
      </c>
      <c r="C74" s="221">
        <v>6</v>
      </c>
      <c r="D74" s="221" t="s">
        <v>305</v>
      </c>
      <c r="E74" s="221" t="s">
        <v>173</v>
      </c>
      <c r="F74" s="221" t="s">
        <v>173</v>
      </c>
      <c r="G74" s="221" t="s">
        <v>305</v>
      </c>
      <c r="H74" s="221" t="s">
        <v>305</v>
      </c>
      <c r="I74" s="221" t="s">
        <v>305</v>
      </c>
      <c r="J74" s="221" t="s">
        <v>304</v>
      </c>
      <c r="K74" s="221" t="s">
        <v>174</v>
      </c>
      <c r="L74" s="221" t="s">
        <v>174</v>
      </c>
      <c r="M74" s="221" t="s">
        <v>304</v>
      </c>
      <c r="N74" s="221" t="s">
        <v>304</v>
      </c>
      <c r="O74" s="221" t="s">
        <v>304</v>
      </c>
      <c r="P74" s="221" t="s">
        <v>304</v>
      </c>
      <c r="Q74" s="731" t="s">
        <v>304</v>
      </c>
      <c r="R74" s="233"/>
      <c r="S74" s="663" t="s">
        <v>305</v>
      </c>
      <c r="T74" s="663" t="s">
        <v>173</v>
      </c>
      <c r="U74" s="663" t="s">
        <v>173</v>
      </c>
      <c r="V74" s="663" t="s">
        <v>305</v>
      </c>
      <c r="W74" s="663" t="s">
        <v>304</v>
      </c>
      <c r="X74" s="663" t="s">
        <v>304</v>
      </c>
      <c r="Y74" s="663" t="s">
        <v>304</v>
      </c>
      <c r="Z74" s="663" t="s">
        <v>174</v>
      </c>
      <c r="AA74" s="663" t="s">
        <v>174</v>
      </c>
      <c r="AB74" s="663" t="s">
        <v>304</v>
      </c>
      <c r="AC74" s="663" t="s">
        <v>304</v>
      </c>
      <c r="AD74" s="663" t="s">
        <v>304</v>
      </c>
      <c r="AE74" s="663" t="s">
        <v>304</v>
      </c>
    </row>
    <row r="75" spans="1:31" x14ac:dyDescent="0.25">
      <c r="A75" s="652" t="s">
        <v>439</v>
      </c>
      <c r="B75" s="221">
        <v>0.85</v>
      </c>
      <c r="C75" s="221">
        <v>6</v>
      </c>
      <c r="D75" s="221" t="s">
        <v>305</v>
      </c>
      <c r="E75" s="221" t="s">
        <v>173</v>
      </c>
      <c r="F75" s="221" t="s">
        <v>173</v>
      </c>
      <c r="G75" s="221" t="s">
        <v>305</v>
      </c>
      <c r="H75" s="221" t="s">
        <v>305</v>
      </c>
      <c r="I75" s="221" t="s">
        <v>305</v>
      </c>
      <c r="J75" s="221" t="s">
        <v>304</v>
      </c>
      <c r="K75" s="221" t="s">
        <v>174</v>
      </c>
      <c r="L75" s="221" t="s">
        <v>174</v>
      </c>
      <c r="M75" s="221" t="s">
        <v>304</v>
      </c>
      <c r="N75" s="221" t="s">
        <v>304</v>
      </c>
      <c r="O75" s="221" t="s">
        <v>304</v>
      </c>
      <c r="P75" s="221" t="s">
        <v>304</v>
      </c>
      <c r="Q75" s="731" t="s">
        <v>304</v>
      </c>
      <c r="R75" s="233"/>
      <c r="S75" s="663" t="s">
        <v>305</v>
      </c>
      <c r="T75" s="663" t="s">
        <v>173</v>
      </c>
      <c r="U75" s="663" t="s">
        <v>173</v>
      </c>
      <c r="V75" s="663" t="s">
        <v>305</v>
      </c>
      <c r="W75" s="663" t="s">
        <v>304</v>
      </c>
      <c r="X75" s="663" t="s">
        <v>304</v>
      </c>
      <c r="Y75" s="663" t="s">
        <v>304</v>
      </c>
      <c r="Z75" s="663" t="s">
        <v>174</v>
      </c>
      <c r="AA75" s="663" t="s">
        <v>174</v>
      </c>
      <c r="AB75" s="663" t="s">
        <v>304</v>
      </c>
      <c r="AC75" s="663" t="s">
        <v>304</v>
      </c>
      <c r="AD75" s="663" t="s">
        <v>304</v>
      </c>
      <c r="AE75" s="663" t="s">
        <v>304</v>
      </c>
    </row>
    <row r="76" spans="1:31" x14ac:dyDescent="0.25">
      <c r="A76" s="652" t="s">
        <v>441</v>
      </c>
      <c r="B76" s="221">
        <v>0.93</v>
      </c>
      <c r="C76" s="221">
        <v>8</v>
      </c>
      <c r="D76" s="221" t="s">
        <v>305</v>
      </c>
      <c r="E76" s="221" t="s">
        <v>173</v>
      </c>
      <c r="F76" s="221" t="s">
        <v>173</v>
      </c>
      <c r="G76" s="221" t="s">
        <v>305</v>
      </c>
      <c r="H76" s="221" t="s">
        <v>305</v>
      </c>
      <c r="I76" s="221" t="s">
        <v>305</v>
      </c>
      <c r="J76" s="221" t="s">
        <v>304</v>
      </c>
      <c r="K76" s="221" t="s">
        <v>305</v>
      </c>
      <c r="L76" s="221" t="s">
        <v>304</v>
      </c>
      <c r="M76" s="221" t="s">
        <v>304</v>
      </c>
      <c r="N76" s="221" t="s">
        <v>304</v>
      </c>
      <c r="O76" s="221" t="s">
        <v>304</v>
      </c>
      <c r="P76" s="221" t="s">
        <v>304</v>
      </c>
      <c r="Q76" s="222">
        <v>2</v>
      </c>
      <c r="R76" s="156"/>
      <c r="S76" s="663" t="s">
        <v>305</v>
      </c>
      <c r="T76" s="663" t="s">
        <v>173</v>
      </c>
      <c r="U76" s="663" t="s">
        <v>173</v>
      </c>
      <c r="V76" s="663" t="s">
        <v>305</v>
      </c>
      <c r="W76" s="663" t="s">
        <v>304</v>
      </c>
      <c r="X76" s="663" t="s">
        <v>304</v>
      </c>
      <c r="Y76" s="663" t="s">
        <v>304</v>
      </c>
      <c r="Z76" s="663" t="s">
        <v>305</v>
      </c>
      <c r="AA76" s="663" t="s">
        <v>304</v>
      </c>
      <c r="AB76" s="663" t="s">
        <v>304</v>
      </c>
      <c r="AC76" s="663" t="s">
        <v>304</v>
      </c>
      <c r="AD76" s="663" t="s">
        <v>304</v>
      </c>
      <c r="AE76" s="663" t="s">
        <v>304</v>
      </c>
    </row>
    <row r="77" spans="1:31" x14ac:dyDescent="0.25">
      <c r="A77" s="652" t="s">
        <v>40</v>
      </c>
      <c r="B77" s="221">
        <v>0.93</v>
      </c>
      <c r="C77" s="221">
        <v>8</v>
      </c>
      <c r="D77" s="221" t="s">
        <v>305</v>
      </c>
      <c r="E77" s="221" t="s">
        <v>173</v>
      </c>
      <c r="F77" s="221" t="s">
        <v>173</v>
      </c>
      <c r="G77" s="221" t="s">
        <v>305</v>
      </c>
      <c r="H77" s="221" t="s">
        <v>305</v>
      </c>
      <c r="I77" s="221" t="s">
        <v>305</v>
      </c>
      <c r="J77" s="221" t="s">
        <v>304</v>
      </c>
      <c r="K77" s="221" t="s">
        <v>174</v>
      </c>
      <c r="L77" s="221" t="s">
        <v>174</v>
      </c>
      <c r="M77" s="221" t="s">
        <v>304</v>
      </c>
      <c r="N77" s="221" t="s">
        <v>304</v>
      </c>
      <c r="O77" s="221" t="s">
        <v>304</v>
      </c>
      <c r="P77" s="221" t="s">
        <v>304</v>
      </c>
      <c r="Q77" s="222">
        <v>2</v>
      </c>
      <c r="R77" s="156"/>
      <c r="S77" s="663" t="s">
        <v>305</v>
      </c>
      <c r="T77" s="663" t="s">
        <v>173</v>
      </c>
      <c r="U77" s="663" t="s">
        <v>173</v>
      </c>
      <c r="V77" s="663" t="s">
        <v>305</v>
      </c>
      <c r="W77" s="663" t="s">
        <v>304</v>
      </c>
      <c r="X77" s="663" t="s">
        <v>304</v>
      </c>
      <c r="Y77" s="663" t="s">
        <v>304</v>
      </c>
      <c r="Z77" s="663" t="s">
        <v>174</v>
      </c>
      <c r="AA77" s="663" t="s">
        <v>174</v>
      </c>
      <c r="AB77" s="663" t="s">
        <v>304</v>
      </c>
      <c r="AC77" s="663" t="s">
        <v>304</v>
      </c>
      <c r="AD77" s="663" t="s">
        <v>304</v>
      </c>
      <c r="AE77" s="663" t="s">
        <v>304</v>
      </c>
    </row>
    <row r="78" spans="1:31" x14ac:dyDescent="0.25">
      <c r="A78" s="652" t="s">
        <v>43</v>
      </c>
      <c r="B78" s="221">
        <v>0.81</v>
      </c>
      <c r="C78" s="221">
        <v>4</v>
      </c>
      <c r="D78" s="221" t="s">
        <v>305</v>
      </c>
      <c r="E78" s="221" t="s">
        <v>173</v>
      </c>
      <c r="F78" s="221" t="s">
        <v>173</v>
      </c>
      <c r="G78" s="221" t="s">
        <v>305</v>
      </c>
      <c r="H78" s="221" t="s">
        <v>305</v>
      </c>
      <c r="I78" s="221" t="s">
        <v>305</v>
      </c>
      <c r="J78" s="221" t="s">
        <v>304</v>
      </c>
      <c r="K78" s="221" t="s">
        <v>174</v>
      </c>
      <c r="L78" s="221" t="s">
        <v>174</v>
      </c>
      <c r="M78" s="221" t="s">
        <v>304</v>
      </c>
      <c r="N78" s="221" t="s">
        <v>304</v>
      </c>
      <c r="O78" s="221" t="s">
        <v>304</v>
      </c>
      <c r="P78" s="221" t="s">
        <v>304</v>
      </c>
      <c r="Q78" s="222">
        <v>1</v>
      </c>
      <c r="R78" s="156"/>
      <c r="S78" s="663" t="s">
        <v>305</v>
      </c>
      <c r="T78" s="663" t="s">
        <v>173</v>
      </c>
      <c r="U78" s="663" t="s">
        <v>173</v>
      </c>
      <c r="V78" s="663" t="s">
        <v>305</v>
      </c>
      <c r="W78" s="663" t="s">
        <v>304</v>
      </c>
      <c r="X78" s="663" t="s">
        <v>304</v>
      </c>
      <c r="Y78" s="663" t="s">
        <v>304</v>
      </c>
      <c r="Z78" s="663" t="s">
        <v>174</v>
      </c>
      <c r="AA78" s="663" t="s">
        <v>174</v>
      </c>
      <c r="AB78" s="663" t="s">
        <v>304</v>
      </c>
      <c r="AC78" s="663" t="s">
        <v>304</v>
      </c>
      <c r="AD78" s="663" t="s">
        <v>304</v>
      </c>
      <c r="AE78" s="663" t="s">
        <v>304</v>
      </c>
    </row>
    <row r="79" spans="1:31" x14ac:dyDescent="0.25">
      <c r="A79" s="652" t="s">
        <v>445</v>
      </c>
      <c r="B79" s="221">
        <v>0.14000000000000001</v>
      </c>
      <c r="C79" s="221">
        <v>4</v>
      </c>
      <c r="D79" s="221" t="s">
        <v>304</v>
      </c>
      <c r="E79" s="221" t="s">
        <v>304</v>
      </c>
      <c r="F79" s="221" t="s">
        <v>304</v>
      </c>
      <c r="G79" s="221" t="s">
        <v>304</v>
      </c>
      <c r="H79" s="221" t="s">
        <v>304</v>
      </c>
      <c r="I79" s="221" t="s">
        <v>304</v>
      </c>
      <c r="J79" s="221" t="s">
        <v>304</v>
      </c>
      <c r="K79" s="221" t="s">
        <v>304</v>
      </c>
      <c r="L79" s="221" t="s">
        <v>305</v>
      </c>
      <c r="M79" s="221" t="s">
        <v>305</v>
      </c>
      <c r="N79" s="221" t="s">
        <v>305</v>
      </c>
      <c r="O79" s="221" t="s">
        <v>305</v>
      </c>
      <c r="P79" s="221" t="s">
        <v>304</v>
      </c>
      <c r="Q79" s="222">
        <v>6</v>
      </c>
      <c r="R79" s="156"/>
      <c r="S79" s="663" t="s">
        <v>304</v>
      </c>
      <c r="T79" s="663" t="s">
        <v>304</v>
      </c>
      <c r="U79" s="663" t="s">
        <v>304</v>
      </c>
      <c r="V79" s="663" t="s">
        <v>304</v>
      </c>
      <c r="W79" s="663" t="s">
        <v>304</v>
      </c>
      <c r="X79" s="663" t="s">
        <v>304</v>
      </c>
      <c r="Y79" s="663" t="s">
        <v>304</v>
      </c>
      <c r="Z79" s="663" t="s">
        <v>304</v>
      </c>
      <c r="AA79" s="663" t="s">
        <v>305</v>
      </c>
      <c r="AB79" s="663" t="s">
        <v>305</v>
      </c>
      <c r="AC79" s="663" t="s">
        <v>305</v>
      </c>
      <c r="AD79" s="663" t="s">
        <v>305</v>
      </c>
      <c r="AE79" s="663" t="s">
        <v>304</v>
      </c>
    </row>
    <row r="80" spans="1:31" x14ac:dyDescent="0.25">
      <c r="A80" s="652" t="s">
        <v>447</v>
      </c>
      <c r="B80" s="221">
        <v>0.36</v>
      </c>
      <c r="C80" s="221">
        <v>6</v>
      </c>
      <c r="D80" s="221" t="s">
        <v>305</v>
      </c>
      <c r="E80" s="221" t="s">
        <v>173</v>
      </c>
      <c r="F80" s="221" t="s">
        <v>173</v>
      </c>
      <c r="G80" s="221" t="s">
        <v>305</v>
      </c>
      <c r="H80" s="221" t="s">
        <v>305</v>
      </c>
      <c r="I80" s="221" t="s">
        <v>305</v>
      </c>
      <c r="J80" s="221" t="s">
        <v>304</v>
      </c>
      <c r="K80" s="221" t="s">
        <v>305</v>
      </c>
      <c r="L80" s="221" t="s">
        <v>304</v>
      </c>
      <c r="M80" s="221" t="s">
        <v>304</v>
      </c>
      <c r="N80" s="221" t="s">
        <v>304</v>
      </c>
      <c r="O80" s="221" t="s">
        <v>304</v>
      </c>
      <c r="P80" s="221" t="s">
        <v>304</v>
      </c>
      <c r="Q80" s="731" t="s">
        <v>304</v>
      </c>
      <c r="R80" s="233"/>
      <c r="S80" s="663" t="s">
        <v>305</v>
      </c>
      <c r="T80" s="663" t="s">
        <v>173</v>
      </c>
      <c r="U80" s="663" t="s">
        <v>173</v>
      </c>
      <c r="V80" s="663" t="s">
        <v>305</v>
      </c>
      <c r="W80" s="663" t="s">
        <v>304</v>
      </c>
      <c r="X80" s="663" t="s">
        <v>304</v>
      </c>
      <c r="Y80" s="663" t="s">
        <v>304</v>
      </c>
      <c r="Z80" s="663" t="s">
        <v>305</v>
      </c>
      <c r="AA80" s="663" t="s">
        <v>304</v>
      </c>
      <c r="AB80" s="663" t="s">
        <v>304</v>
      </c>
      <c r="AC80" s="663" t="s">
        <v>304</v>
      </c>
      <c r="AD80" s="663" t="s">
        <v>304</v>
      </c>
      <c r="AE80" s="663" t="s">
        <v>304</v>
      </c>
    </row>
    <row r="81" spans="1:31" x14ac:dyDescent="0.25">
      <c r="A81" s="652" t="s">
        <v>449</v>
      </c>
      <c r="B81" s="221">
        <v>1.34</v>
      </c>
      <c r="C81" s="221">
        <v>6</v>
      </c>
      <c r="D81" s="221" t="s">
        <v>305</v>
      </c>
      <c r="E81" s="221" t="s">
        <v>173</v>
      </c>
      <c r="F81" s="221" t="s">
        <v>173</v>
      </c>
      <c r="G81" s="221" t="s">
        <v>305</v>
      </c>
      <c r="H81" s="221" t="s">
        <v>305</v>
      </c>
      <c r="I81" s="221" t="s">
        <v>305</v>
      </c>
      <c r="J81" s="221" t="s">
        <v>304</v>
      </c>
      <c r="K81" s="221" t="s">
        <v>174</v>
      </c>
      <c r="L81" s="221" t="s">
        <v>174</v>
      </c>
      <c r="M81" s="221" t="s">
        <v>304</v>
      </c>
      <c r="N81" s="221" t="s">
        <v>304</v>
      </c>
      <c r="O81" s="221" t="s">
        <v>304</v>
      </c>
      <c r="P81" s="221" t="s">
        <v>304</v>
      </c>
      <c r="Q81" s="731" t="s">
        <v>304</v>
      </c>
      <c r="R81" s="233"/>
      <c r="S81" s="663" t="s">
        <v>305</v>
      </c>
      <c r="T81" s="663" t="s">
        <v>173</v>
      </c>
      <c r="U81" s="663" t="s">
        <v>173</v>
      </c>
      <c r="V81" s="663" t="s">
        <v>305</v>
      </c>
      <c r="W81" s="663" t="s">
        <v>304</v>
      </c>
      <c r="X81" s="663" t="s">
        <v>304</v>
      </c>
      <c r="Y81" s="663" t="s">
        <v>304</v>
      </c>
      <c r="Z81" s="663" t="s">
        <v>174</v>
      </c>
      <c r="AA81" s="663" t="s">
        <v>174</v>
      </c>
      <c r="AB81" s="663" t="s">
        <v>304</v>
      </c>
      <c r="AC81" s="663" t="s">
        <v>304</v>
      </c>
      <c r="AD81" s="663" t="s">
        <v>304</v>
      </c>
      <c r="AE81" s="663" t="s">
        <v>304</v>
      </c>
    </row>
    <row r="82" spans="1:31" x14ac:dyDescent="0.25">
      <c r="A82" s="652" t="s">
        <v>451</v>
      </c>
      <c r="B82" s="221">
        <v>0.68</v>
      </c>
      <c r="C82" s="221">
        <v>4</v>
      </c>
      <c r="D82" s="221" t="s">
        <v>305</v>
      </c>
      <c r="E82" s="221" t="s">
        <v>173</v>
      </c>
      <c r="F82" s="221" t="s">
        <v>173</v>
      </c>
      <c r="G82" s="221" t="s">
        <v>305</v>
      </c>
      <c r="H82" s="221" t="s">
        <v>305</v>
      </c>
      <c r="I82" s="221" t="s">
        <v>305</v>
      </c>
      <c r="J82" s="221" t="s">
        <v>305</v>
      </c>
      <c r="K82" s="221" t="s">
        <v>174</v>
      </c>
      <c r="L82" s="221" t="s">
        <v>174</v>
      </c>
      <c r="M82" s="221" t="s">
        <v>304</v>
      </c>
      <c r="N82" s="221" t="s">
        <v>304</v>
      </c>
      <c r="O82" s="221" t="s">
        <v>304</v>
      </c>
      <c r="P82" s="221" t="s">
        <v>304</v>
      </c>
      <c r="Q82" s="731" t="s">
        <v>304</v>
      </c>
      <c r="R82" s="233"/>
      <c r="S82" s="663" t="s">
        <v>305</v>
      </c>
      <c r="T82" s="663" t="s">
        <v>173</v>
      </c>
      <c r="U82" s="663" t="s">
        <v>173</v>
      </c>
      <c r="V82" s="663" t="s">
        <v>305</v>
      </c>
      <c r="W82" s="663" t="s">
        <v>304</v>
      </c>
      <c r="X82" s="663" t="s">
        <v>304</v>
      </c>
      <c r="Y82" s="663" t="s">
        <v>305</v>
      </c>
      <c r="Z82" s="663" t="s">
        <v>174</v>
      </c>
      <c r="AA82" s="663" t="s">
        <v>174</v>
      </c>
      <c r="AB82" s="663" t="s">
        <v>304</v>
      </c>
      <c r="AC82" s="663" t="s">
        <v>304</v>
      </c>
      <c r="AD82" s="663" t="s">
        <v>304</v>
      </c>
      <c r="AE82" s="663" t="s">
        <v>304</v>
      </c>
    </row>
    <row r="83" spans="1:31" x14ac:dyDescent="0.25">
      <c r="A83" s="652" t="s">
        <v>452</v>
      </c>
      <c r="B83" s="221">
        <v>1.8</v>
      </c>
      <c r="C83" s="221">
        <v>6</v>
      </c>
      <c r="D83" s="221" t="s">
        <v>305</v>
      </c>
      <c r="E83" s="221" t="s">
        <v>173</v>
      </c>
      <c r="F83" s="221" t="s">
        <v>173</v>
      </c>
      <c r="G83" s="221" t="s">
        <v>305</v>
      </c>
      <c r="H83" s="221" t="s">
        <v>305</v>
      </c>
      <c r="I83" s="221" t="s">
        <v>305</v>
      </c>
      <c r="J83" s="221" t="s">
        <v>304</v>
      </c>
      <c r="K83" s="221" t="s">
        <v>174</v>
      </c>
      <c r="L83" s="221" t="s">
        <v>174</v>
      </c>
      <c r="M83" s="221" t="s">
        <v>304</v>
      </c>
      <c r="N83" s="221" t="s">
        <v>304</v>
      </c>
      <c r="O83" s="221" t="s">
        <v>304</v>
      </c>
      <c r="P83" s="221" t="s">
        <v>304</v>
      </c>
      <c r="Q83" s="731" t="s">
        <v>304</v>
      </c>
      <c r="R83" s="233"/>
      <c r="S83" s="663" t="s">
        <v>305</v>
      </c>
      <c r="T83" s="663" t="s">
        <v>173</v>
      </c>
      <c r="U83" s="663" t="s">
        <v>173</v>
      </c>
      <c r="V83" s="663" t="s">
        <v>305</v>
      </c>
      <c r="W83" s="663" t="s">
        <v>304</v>
      </c>
      <c r="X83" s="663" t="s">
        <v>304</v>
      </c>
      <c r="Y83" s="663" t="s">
        <v>304</v>
      </c>
      <c r="Z83" s="663" t="s">
        <v>174</v>
      </c>
      <c r="AA83" s="663" t="s">
        <v>174</v>
      </c>
      <c r="AB83" s="663" t="s">
        <v>304</v>
      </c>
      <c r="AC83" s="663" t="s">
        <v>304</v>
      </c>
      <c r="AD83" s="663" t="s">
        <v>304</v>
      </c>
      <c r="AE83" s="663" t="s">
        <v>304</v>
      </c>
    </row>
    <row r="84" spans="1:31" x14ac:dyDescent="0.25">
      <c r="A84" s="652" t="s">
        <v>453</v>
      </c>
      <c r="B84" s="221">
        <v>0.55000000000000004</v>
      </c>
      <c r="C84" s="221">
        <v>4</v>
      </c>
      <c r="D84" s="221" t="s">
        <v>305</v>
      </c>
      <c r="E84" s="221" t="s">
        <v>173</v>
      </c>
      <c r="F84" s="221" t="s">
        <v>173</v>
      </c>
      <c r="G84" s="221" t="s">
        <v>305</v>
      </c>
      <c r="H84" s="221" t="s">
        <v>305</v>
      </c>
      <c r="I84" s="221" t="s">
        <v>305</v>
      </c>
      <c r="J84" s="221" t="s">
        <v>304</v>
      </c>
      <c r="K84" s="221" t="s">
        <v>174</v>
      </c>
      <c r="L84" s="221" t="s">
        <v>174</v>
      </c>
      <c r="M84" s="221" t="s">
        <v>304</v>
      </c>
      <c r="N84" s="221" t="s">
        <v>304</v>
      </c>
      <c r="O84" s="221" t="s">
        <v>304</v>
      </c>
      <c r="P84" s="221" t="s">
        <v>304</v>
      </c>
      <c r="Q84" s="731" t="s">
        <v>304</v>
      </c>
      <c r="R84" s="233"/>
      <c r="S84" s="663" t="s">
        <v>305</v>
      </c>
      <c r="T84" s="663" t="s">
        <v>173</v>
      </c>
      <c r="U84" s="663" t="s">
        <v>173</v>
      </c>
      <c r="V84" s="663" t="s">
        <v>305</v>
      </c>
      <c r="W84" s="663" t="s">
        <v>304</v>
      </c>
      <c r="X84" s="663" t="s">
        <v>304</v>
      </c>
      <c r="Y84" s="663" t="s">
        <v>304</v>
      </c>
      <c r="Z84" s="663" t="s">
        <v>174</v>
      </c>
      <c r="AA84" s="663" t="s">
        <v>174</v>
      </c>
      <c r="AB84" s="663" t="s">
        <v>304</v>
      </c>
      <c r="AC84" s="663" t="s">
        <v>304</v>
      </c>
      <c r="AD84" s="663" t="s">
        <v>304</v>
      </c>
      <c r="AE84" s="663" t="s">
        <v>304</v>
      </c>
    </row>
    <row r="85" spans="1:31" x14ac:dyDescent="0.25">
      <c r="A85" s="652" t="s">
        <v>455</v>
      </c>
      <c r="B85" s="221">
        <v>1.53</v>
      </c>
      <c r="C85" s="221">
        <v>4</v>
      </c>
      <c r="D85" s="221" t="s">
        <v>305</v>
      </c>
      <c r="E85" s="221" t="s">
        <v>173</v>
      </c>
      <c r="F85" s="221" t="s">
        <v>173</v>
      </c>
      <c r="G85" s="221" t="s">
        <v>305</v>
      </c>
      <c r="H85" s="221" t="s">
        <v>305</v>
      </c>
      <c r="I85" s="221" t="s">
        <v>305</v>
      </c>
      <c r="J85" s="221" t="s">
        <v>304</v>
      </c>
      <c r="K85" s="221" t="s">
        <v>174</v>
      </c>
      <c r="L85" s="221" t="s">
        <v>174</v>
      </c>
      <c r="M85" s="221" t="s">
        <v>304</v>
      </c>
      <c r="N85" s="221" t="s">
        <v>304</v>
      </c>
      <c r="O85" s="221" t="s">
        <v>304</v>
      </c>
      <c r="P85" s="221" t="s">
        <v>304</v>
      </c>
      <c r="Q85" s="731" t="s">
        <v>304</v>
      </c>
      <c r="R85" s="233"/>
      <c r="S85" s="663" t="s">
        <v>305</v>
      </c>
      <c r="T85" s="663" t="s">
        <v>173</v>
      </c>
      <c r="U85" s="663" t="s">
        <v>173</v>
      </c>
      <c r="V85" s="663" t="s">
        <v>305</v>
      </c>
      <c r="W85" s="663" t="s">
        <v>304</v>
      </c>
      <c r="X85" s="663" t="s">
        <v>304</v>
      </c>
      <c r="Y85" s="663" t="s">
        <v>304</v>
      </c>
      <c r="Z85" s="663" t="s">
        <v>174</v>
      </c>
      <c r="AA85" s="663" t="s">
        <v>174</v>
      </c>
      <c r="AB85" s="663" t="s">
        <v>304</v>
      </c>
      <c r="AC85" s="663" t="s">
        <v>304</v>
      </c>
      <c r="AD85" s="663" t="s">
        <v>304</v>
      </c>
      <c r="AE85" s="663" t="s">
        <v>304</v>
      </c>
    </row>
    <row r="86" spans="1:31" x14ac:dyDescent="0.25">
      <c r="A86" s="652" t="s">
        <v>45</v>
      </c>
      <c r="B86" s="221">
        <v>0.85</v>
      </c>
      <c r="C86" s="221">
        <v>8</v>
      </c>
      <c r="D86" s="221" t="s">
        <v>304</v>
      </c>
      <c r="E86" s="221" t="s">
        <v>304</v>
      </c>
      <c r="F86" s="221" t="s">
        <v>304</v>
      </c>
      <c r="G86" s="221" t="s">
        <v>304</v>
      </c>
      <c r="H86" s="221" t="s">
        <v>305</v>
      </c>
      <c r="I86" s="221" t="s">
        <v>305</v>
      </c>
      <c r="J86" s="221" t="s">
        <v>304</v>
      </c>
      <c r="K86" s="221" t="s">
        <v>305</v>
      </c>
      <c r="L86" s="221" t="s">
        <v>304</v>
      </c>
      <c r="M86" s="221" t="s">
        <v>304</v>
      </c>
      <c r="N86" s="221" t="s">
        <v>304</v>
      </c>
      <c r="O86" s="221" t="s">
        <v>304</v>
      </c>
      <c r="P86" s="221" t="s">
        <v>304</v>
      </c>
      <c r="Q86" s="731" t="s">
        <v>304</v>
      </c>
      <c r="R86" s="233"/>
      <c r="S86" s="663" t="s">
        <v>304</v>
      </c>
      <c r="T86" s="663" t="s">
        <v>304</v>
      </c>
      <c r="U86" s="663" t="s">
        <v>304</v>
      </c>
      <c r="V86" s="663" t="s">
        <v>304</v>
      </c>
      <c r="W86" s="663" t="s">
        <v>304</v>
      </c>
      <c r="X86" s="663" t="s">
        <v>304</v>
      </c>
      <c r="Y86" s="663" t="s">
        <v>304</v>
      </c>
      <c r="Z86" s="663" t="s">
        <v>305</v>
      </c>
      <c r="AA86" s="663" t="s">
        <v>304</v>
      </c>
      <c r="AB86" s="663" t="s">
        <v>304</v>
      </c>
      <c r="AC86" s="663" t="s">
        <v>304</v>
      </c>
      <c r="AD86" s="663" t="s">
        <v>304</v>
      </c>
      <c r="AE86" s="663" t="s">
        <v>304</v>
      </c>
    </row>
    <row r="87" spans="1:31" x14ac:dyDescent="0.25">
      <c r="A87" s="652" t="s">
        <v>458</v>
      </c>
      <c r="B87" s="221">
        <v>0.96</v>
      </c>
      <c r="C87" s="221">
        <v>8</v>
      </c>
      <c r="D87" s="221" t="s">
        <v>304</v>
      </c>
      <c r="E87" s="221" t="s">
        <v>304</v>
      </c>
      <c r="F87" s="221" t="s">
        <v>304</v>
      </c>
      <c r="G87" s="221" t="s">
        <v>304</v>
      </c>
      <c r="H87" s="221" t="s">
        <v>305</v>
      </c>
      <c r="I87" s="221" t="s">
        <v>305</v>
      </c>
      <c r="J87" s="221" t="s">
        <v>304</v>
      </c>
      <c r="K87" s="221" t="s">
        <v>305</v>
      </c>
      <c r="L87" s="221" t="s">
        <v>304</v>
      </c>
      <c r="M87" s="221" t="s">
        <v>304</v>
      </c>
      <c r="N87" s="221" t="s">
        <v>304</v>
      </c>
      <c r="O87" s="221" t="s">
        <v>304</v>
      </c>
      <c r="P87" s="221" t="s">
        <v>304</v>
      </c>
      <c r="Q87" s="731" t="s">
        <v>304</v>
      </c>
      <c r="R87" s="233"/>
      <c r="S87" s="663" t="s">
        <v>304</v>
      </c>
      <c r="T87" s="663" t="s">
        <v>304</v>
      </c>
      <c r="U87" s="663" t="s">
        <v>304</v>
      </c>
      <c r="V87" s="663" t="s">
        <v>304</v>
      </c>
      <c r="W87" s="663" t="s">
        <v>304</v>
      </c>
      <c r="X87" s="663" t="s">
        <v>304</v>
      </c>
      <c r="Y87" s="663" t="s">
        <v>304</v>
      </c>
      <c r="Z87" s="663" t="s">
        <v>305</v>
      </c>
      <c r="AA87" s="663" t="s">
        <v>304</v>
      </c>
      <c r="AB87" s="663" t="s">
        <v>304</v>
      </c>
      <c r="AC87" s="663" t="s">
        <v>304</v>
      </c>
      <c r="AD87" s="663" t="s">
        <v>304</v>
      </c>
      <c r="AE87" s="663" t="s">
        <v>304</v>
      </c>
    </row>
    <row r="88" spans="1:31" x14ac:dyDescent="0.25">
      <c r="A88" s="652" t="s">
        <v>459</v>
      </c>
      <c r="B88" s="221">
        <v>0.5</v>
      </c>
      <c r="C88" s="221">
        <v>8</v>
      </c>
      <c r="D88" s="221" t="s">
        <v>305</v>
      </c>
      <c r="E88" s="221" t="s">
        <v>173</v>
      </c>
      <c r="F88" s="221" t="s">
        <v>173</v>
      </c>
      <c r="G88" s="221" t="s">
        <v>305</v>
      </c>
      <c r="H88" s="221" t="s">
        <v>304</v>
      </c>
      <c r="I88" s="221" t="s">
        <v>305</v>
      </c>
      <c r="J88" s="221" t="s">
        <v>304</v>
      </c>
      <c r="K88" s="221" t="s">
        <v>305</v>
      </c>
      <c r="L88" s="221" t="s">
        <v>304</v>
      </c>
      <c r="M88" s="221" t="s">
        <v>304</v>
      </c>
      <c r="N88" s="221" t="s">
        <v>304</v>
      </c>
      <c r="O88" s="221" t="s">
        <v>304</v>
      </c>
      <c r="P88" s="221" t="s">
        <v>304</v>
      </c>
      <c r="Q88" s="731" t="s">
        <v>304</v>
      </c>
      <c r="R88" s="233"/>
      <c r="S88" s="663" t="s">
        <v>305</v>
      </c>
      <c r="T88" s="663" t="s">
        <v>173</v>
      </c>
      <c r="U88" s="663" t="s">
        <v>173</v>
      </c>
      <c r="V88" s="663" t="s">
        <v>305</v>
      </c>
      <c r="W88" s="663" t="s">
        <v>304</v>
      </c>
      <c r="X88" s="663" t="s">
        <v>304</v>
      </c>
      <c r="Y88" s="663" t="s">
        <v>304</v>
      </c>
      <c r="Z88" s="663" t="s">
        <v>305</v>
      </c>
      <c r="AA88" s="663" t="s">
        <v>304</v>
      </c>
      <c r="AB88" s="663" t="s">
        <v>304</v>
      </c>
      <c r="AC88" s="663" t="s">
        <v>304</v>
      </c>
      <c r="AD88" s="663" t="s">
        <v>304</v>
      </c>
      <c r="AE88" s="663" t="s">
        <v>304</v>
      </c>
    </row>
    <row r="89" spans="1:31" x14ac:dyDescent="0.25">
      <c r="A89" s="652" t="s">
        <v>461</v>
      </c>
      <c r="B89" s="221">
        <v>0.9</v>
      </c>
      <c r="C89" s="221">
        <v>4</v>
      </c>
      <c r="D89" s="221" t="s">
        <v>305</v>
      </c>
      <c r="E89" s="221" t="s">
        <v>173</v>
      </c>
      <c r="F89" s="221" t="s">
        <v>173</v>
      </c>
      <c r="G89" s="221" t="s">
        <v>305</v>
      </c>
      <c r="H89" s="221" t="s">
        <v>305</v>
      </c>
      <c r="I89" s="221" t="s">
        <v>305</v>
      </c>
      <c r="J89" s="221" t="s">
        <v>304</v>
      </c>
      <c r="K89" s="221" t="s">
        <v>174</v>
      </c>
      <c r="L89" s="221" t="s">
        <v>174</v>
      </c>
      <c r="M89" s="221" t="s">
        <v>304</v>
      </c>
      <c r="N89" s="221" t="s">
        <v>304</v>
      </c>
      <c r="O89" s="221" t="s">
        <v>304</v>
      </c>
      <c r="P89" s="221" t="s">
        <v>304</v>
      </c>
      <c r="Q89" s="222">
        <v>5</v>
      </c>
      <c r="R89" s="156"/>
      <c r="S89" s="663" t="s">
        <v>305</v>
      </c>
      <c r="T89" s="663" t="s">
        <v>173</v>
      </c>
      <c r="U89" s="663" t="s">
        <v>173</v>
      </c>
      <c r="V89" s="663" t="s">
        <v>305</v>
      </c>
      <c r="W89" s="663" t="s">
        <v>304</v>
      </c>
      <c r="X89" s="663" t="s">
        <v>304</v>
      </c>
      <c r="Y89" s="663" t="s">
        <v>304</v>
      </c>
      <c r="Z89" s="663" t="s">
        <v>174</v>
      </c>
      <c r="AA89" s="663" t="s">
        <v>174</v>
      </c>
      <c r="AB89" s="663" t="s">
        <v>304</v>
      </c>
      <c r="AC89" s="663" t="s">
        <v>304</v>
      </c>
      <c r="AD89" s="663" t="s">
        <v>304</v>
      </c>
      <c r="AE89" s="663" t="s">
        <v>304</v>
      </c>
    </row>
    <row r="90" spans="1:31" x14ac:dyDescent="0.25">
      <c r="A90" s="652" t="s">
        <v>47</v>
      </c>
      <c r="B90" s="221">
        <v>1.22</v>
      </c>
      <c r="C90" s="221">
        <v>6</v>
      </c>
      <c r="D90" s="221" t="s">
        <v>305</v>
      </c>
      <c r="E90" s="221" t="s">
        <v>173</v>
      </c>
      <c r="F90" s="221" t="s">
        <v>173</v>
      </c>
      <c r="G90" s="221" t="s">
        <v>305</v>
      </c>
      <c r="H90" s="221" t="s">
        <v>304</v>
      </c>
      <c r="I90" s="221" t="s">
        <v>305</v>
      </c>
      <c r="J90" s="221" t="s">
        <v>304</v>
      </c>
      <c r="K90" s="221" t="s">
        <v>174</v>
      </c>
      <c r="L90" s="221" t="s">
        <v>174</v>
      </c>
      <c r="M90" s="221" t="s">
        <v>304</v>
      </c>
      <c r="N90" s="221" t="s">
        <v>304</v>
      </c>
      <c r="O90" s="221" t="s">
        <v>304</v>
      </c>
      <c r="P90" s="221" t="s">
        <v>304</v>
      </c>
      <c r="Q90" s="731">
        <v>4</v>
      </c>
      <c r="R90" s="233"/>
      <c r="S90" s="663" t="s">
        <v>305</v>
      </c>
      <c r="T90" s="663" t="s">
        <v>173</v>
      </c>
      <c r="U90" s="663" t="s">
        <v>173</v>
      </c>
      <c r="V90" s="663" t="s">
        <v>305</v>
      </c>
      <c r="W90" s="663" t="s">
        <v>304</v>
      </c>
      <c r="X90" s="663" t="s">
        <v>304</v>
      </c>
      <c r="Y90" s="663" t="s">
        <v>304</v>
      </c>
      <c r="Z90" s="663" t="s">
        <v>174</v>
      </c>
      <c r="AA90" s="663" t="s">
        <v>174</v>
      </c>
      <c r="AB90" s="663" t="s">
        <v>304</v>
      </c>
      <c r="AC90" s="663" t="s">
        <v>304</v>
      </c>
      <c r="AD90" s="663" t="s">
        <v>304</v>
      </c>
      <c r="AE90" s="663" t="s">
        <v>304</v>
      </c>
    </row>
    <row r="91" spans="1:31" x14ac:dyDescent="0.25">
      <c r="A91" s="652" t="s">
        <v>465</v>
      </c>
      <c r="B91" s="221">
        <v>0.42</v>
      </c>
      <c r="C91" s="221">
        <v>4</v>
      </c>
      <c r="D91" s="221" t="s">
        <v>305</v>
      </c>
      <c r="E91" s="221" t="s">
        <v>173</v>
      </c>
      <c r="F91" s="221" t="s">
        <v>173</v>
      </c>
      <c r="G91" s="221" t="s">
        <v>304</v>
      </c>
      <c r="H91" s="221" t="s">
        <v>305</v>
      </c>
      <c r="I91" s="221" t="s">
        <v>305</v>
      </c>
      <c r="J91" s="221" t="s">
        <v>304</v>
      </c>
      <c r="K91" s="221" t="s">
        <v>174</v>
      </c>
      <c r="L91" s="221" t="s">
        <v>174</v>
      </c>
      <c r="M91" s="221" t="s">
        <v>304</v>
      </c>
      <c r="N91" s="221" t="s">
        <v>304</v>
      </c>
      <c r="O91" s="221" t="s">
        <v>304</v>
      </c>
      <c r="P91" s="221" t="s">
        <v>304</v>
      </c>
      <c r="Q91" s="731" t="s">
        <v>304</v>
      </c>
      <c r="R91" s="233"/>
      <c r="S91" s="663" t="s">
        <v>305</v>
      </c>
      <c r="T91" s="663" t="s">
        <v>173</v>
      </c>
      <c r="U91" s="663" t="s">
        <v>173</v>
      </c>
      <c r="V91" s="663" t="s">
        <v>304</v>
      </c>
      <c r="W91" s="663" t="s">
        <v>304</v>
      </c>
      <c r="X91" s="663" t="s">
        <v>304</v>
      </c>
      <c r="Y91" s="663" t="s">
        <v>304</v>
      </c>
      <c r="Z91" s="663" t="s">
        <v>174</v>
      </c>
      <c r="AA91" s="663" t="s">
        <v>174</v>
      </c>
      <c r="AB91" s="663" t="s">
        <v>304</v>
      </c>
      <c r="AC91" s="663" t="s">
        <v>304</v>
      </c>
      <c r="AD91" s="663" t="s">
        <v>304</v>
      </c>
      <c r="AE91" s="663" t="s">
        <v>304</v>
      </c>
    </row>
    <row r="92" spans="1:31" x14ac:dyDescent="0.25">
      <c r="A92" s="652" t="s">
        <v>467</v>
      </c>
      <c r="B92" s="221">
        <v>2.4700000000000002</v>
      </c>
      <c r="C92" s="221">
        <v>4</v>
      </c>
      <c r="D92" s="221" t="s">
        <v>305</v>
      </c>
      <c r="E92" s="221" t="s">
        <v>173</v>
      </c>
      <c r="F92" s="221" t="s">
        <v>173</v>
      </c>
      <c r="G92" s="221" t="s">
        <v>305</v>
      </c>
      <c r="H92" s="221" t="s">
        <v>305</v>
      </c>
      <c r="I92" s="221" t="s">
        <v>305</v>
      </c>
      <c r="J92" s="221" t="s">
        <v>304</v>
      </c>
      <c r="K92" s="221" t="s">
        <v>174</v>
      </c>
      <c r="L92" s="221" t="s">
        <v>174</v>
      </c>
      <c r="M92" s="221" t="s">
        <v>304</v>
      </c>
      <c r="N92" s="221" t="s">
        <v>304</v>
      </c>
      <c r="O92" s="221" t="s">
        <v>304</v>
      </c>
      <c r="P92" s="221" t="s">
        <v>304</v>
      </c>
      <c r="Q92" s="731" t="s">
        <v>304</v>
      </c>
      <c r="R92" s="233"/>
      <c r="S92" s="663" t="s">
        <v>305</v>
      </c>
      <c r="T92" s="663" t="s">
        <v>173</v>
      </c>
      <c r="U92" s="663" t="s">
        <v>173</v>
      </c>
      <c r="V92" s="663" t="s">
        <v>305</v>
      </c>
      <c r="W92" s="663" t="s">
        <v>304</v>
      </c>
      <c r="X92" s="663" t="s">
        <v>304</v>
      </c>
      <c r="Y92" s="663" t="s">
        <v>304</v>
      </c>
      <c r="Z92" s="663" t="s">
        <v>174</v>
      </c>
      <c r="AA92" s="663" t="s">
        <v>174</v>
      </c>
      <c r="AB92" s="663" t="s">
        <v>304</v>
      </c>
      <c r="AC92" s="663" t="s">
        <v>304</v>
      </c>
      <c r="AD92" s="663" t="s">
        <v>304</v>
      </c>
      <c r="AE92" s="663" t="s">
        <v>304</v>
      </c>
    </row>
    <row r="93" spans="1:31" x14ac:dyDescent="0.25">
      <c r="A93" s="652" t="s">
        <v>469</v>
      </c>
      <c r="B93" s="221">
        <v>1.96</v>
      </c>
      <c r="C93" s="221">
        <v>4</v>
      </c>
      <c r="D93" s="221" t="s">
        <v>305</v>
      </c>
      <c r="E93" s="221" t="s">
        <v>173</v>
      </c>
      <c r="F93" s="221" t="s">
        <v>173</v>
      </c>
      <c r="G93" s="221" t="s">
        <v>305</v>
      </c>
      <c r="H93" s="221" t="s">
        <v>305</v>
      </c>
      <c r="I93" s="221" t="s">
        <v>305</v>
      </c>
      <c r="J93" s="221" t="s">
        <v>304</v>
      </c>
      <c r="K93" s="221" t="s">
        <v>174</v>
      </c>
      <c r="L93" s="221" t="s">
        <v>174</v>
      </c>
      <c r="M93" s="221" t="s">
        <v>304</v>
      </c>
      <c r="N93" s="221" t="s">
        <v>304</v>
      </c>
      <c r="O93" s="221" t="s">
        <v>304</v>
      </c>
      <c r="P93" s="221" t="s">
        <v>304</v>
      </c>
      <c r="Q93" s="731" t="s">
        <v>304</v>
      </c>
      <c r="R93" s="233"/>
      <c r="S93" s="663" t="s">
        <v>305</v>
      </c>
      <c r="T93" s="663" t="s">
        <v>173</v>
      </c>
      <c r="U93" s="663" t="s">
        <v>173</v>
      </c>
      <c r="V93" s="663" t="s">
        <v>305</v>
      </c>
      <c r="W93" s="663" t="s">
        <v>304</v>
      </c>
      <c r="X93" s="663" t="s">
        <v>304</v>
      </c>
      <c r="Y93" s="663" t="s">
        <v>304</v>
      </c>
      <c r="Z93" s="663" t="s">
        <v>174</v>
      </c>
      <c r="AA93" s="663" t="s">
        <v>174</v>
      </c>
      <c r="AB93" s="663" t="s">
        <v>304</v>
      </c>
      <c r="AC93" s="663" t="s">
        <v>304</v>
      </c>
      <c r="AD93" s="663" t="s">
        <v>304</v>
      </c>
      <c r="AE93" s="663" t="s">
        <v>304</v>
      </c>
    </row>
    <row r="94" spans="1:31" x14ac:dyDescent="0.25">
      <c r="A94" s="652" t="s">
        <v>471</v>
      </c>
      <c r="B94" s="221">
        <v>1.7</v>
      </c>
      <c r="C94" s="221">
        <v>4</v>
      </c>
      <c r="D94" s="221" t="s">
        <v>305</v>
      </c>
      <c r="E94" s="221" t="s">
        <v>173</v>
      </c>
      <c r="F94" s="221" t="s">
        <v>173</v>
      </c>
      <c r="G94" s="221" t="s">
        <v>305</v>
      </c>
      <c r="H94" s="221" t="s">
        <v>305</v>
      </c>
      <c r="I94" s="221" t="s">
        <v>305</v>
      </c>
      <c r="J94" s="221" t="s">
        <v>304</v>
      </c>
      <c r="K94" s="221" t="s">
        <v>174</v>
      </c>
      <c r="L94" s="221" t="s">
        <v>174</v>
      </c>
      <c r="M94" s="221" t="s">
        <v>304</v>
      </c>
      <c r="N94" s="221" t="s">
        <v>304</v>
      </c>
      <c r="O94" s="221" t="s">
        <v>304</v>
      </c>
      <c r="P94" s="221" t="s">
        <v>304</v>
      </c>
      <c r="Q94" s="731" t="s">
        <v>304</v>
      </c>
      <c r="R94" s="233"/>
      <c r="S94" s="663" t="s">
        <v>305</v>
      </c>
      <c r="T94" s="663" t="s">
        <v>173</v>
      </c>
      <c r="U94" s="663" t="s">
        <v>173</v>
      </c>
      <c r="V94" s="663" t="s">
        <v>305</v>
      </c>
      <c r="W94" s="663" t="s">
        <v>304</v>
      </c>
      <c r="X94" s="663" t="s">
        <v>304</v>
      </c>
      <c r="Y94" s="663" t="s">
        <v>304</v>
      </c>
      <c r="Z94" s="663" t="s">
        <v>174</v>
      </c>
      <c r="AA94" s="663" t="s">
        <v>174</v>
      </c>
      <c r="AB94" s="663" t="s">
        <v>304</v>
      </c>
      <c r="AC94" s="663" t="s">
        <v>304</v>
      </c>
      <c r="AD94" s="663" t="s">
        <v>304</v>
      </c>
      <c r="AE94" s="663" t="s">
        <v>304</v>
      </c>
    </row>
    <row r="95" spans="1:31" x14ac:dyDescent="0.25">
      <c r="A95" s="652" t="s">
        <v>473</v>
      </c>
      <c r="B95" s="221">
        <v>1.1299999999999999</v>
      </c>
      <c r="C95" s="221">
        <v>4</v>
      </c>
      <c r="D95" s="221" t="s">
        <v>305</v>
      </c>
      <c r="E95" s="221" t="s">
        <v>173</v>
      </c>
      <c r="F95" s="221" t="s">
        <v>173</v>
      </c>
      <c r="G95" s="221" t="s">
        <v>305</v>
      </c>
      <c r="H95" s="221" t="s">
        <v>305</v>
      </c>
      <c r="I95" s="221" t="s">
        <v>305</v>
      </c>
      <c r="J95" s="221" t="s">
        <v>304</v>
      </c>
      <c r="K95" s="221" t="s">
        <v>174</v>
      </c>
      <c r="L95" s="221" t="s">
        <v>174</v>
      </c>
      <c r="M95" s="221" t="s">
        <v>304</v>
      </c>
      <c r="N95" s="221" t="s">
        <v>304</v>
      </c>
      <c r="O95" s="221" t="s">
        <v>304</v>
      </c>
      <c r="P95" s="221" t="s">
        <v>304</v>
      </c>
      <c r="Q95" s="731" t="s">
        <v>304</v>
      </c>
      <c r="R95" s="233"/>
      <c r="S95" s="663" t="s">
        <v>305</v>
      </c>
      <c r="T95" s="663" t="s">
        <v>173</v>
      </c>
      <c r="U95" s="663" t="s">
        <v>173</v>
      </c>
      <c r="V95" s="663" t="s">
        <v>305</v>
      </c>
      <c r="W95" s="663" t="s">
        <v>304</v>
      </c>
      <c r="X95" s="663" t="s">
        <v>304</v>
      </c>
      <c r="Y95" s="663" t="s">
        <v>304</v>
      </c>
      <c r="Z95" s="663" t="s">
        <v>174</v>
      </c>
      <c r="AA95" s="663" t="s">
        <v>174</v>
      </c>
      <c r="AB95" s="663" t="s">
        <v>304</v>
      </c>
      <c r="AC95" s="663" t="s">
        <v>304</v>
      </c>
      <c r="AD95" s="663" t="s">
        <v>304</v>
      </c>
      <c r="AE95" s="663" t="s">
        <v>304</v>
      </c>
    </row>
    <row r="96" spans="1:31" x14ac:dyDescent="0.25">
      <c r="A96" s="652" t="s">
        <v>475</v>
      </c>
      <c r="B96" s="221">
        <v>0.57999999999999996</v>
      </c>
      <c r="C96" s="221">
        <v>10</v>
      </c>
      <c r="D96" s="221" t="s">
        <v>304</v>
      </c>
      <c r="E96" s="221" t="s">
        <v>304</v>
      </c>
      <c r="F96" s="221" t="s">
        <v>304</v>
      </c>
      <c r="G96" s="221" t="s">
        <v>305</v>
      </c>
      <c r="H96" s="221" t="s">
        <v>305</v>
      </c>
      <c r="I96" s="221" t="s">
        <v>305</v>
      </c>
      <c r="J96" s="221" t="s">
        <v>305</v>
      </c>
      <c r="K96" s="221" t="s">
        <v>174</v>
      </c>
      <c r="L96" s="221" t="s">
        <v>174</v>
      </c>
      <c r="M96" s="221" t="s">
        <v>304</v>
      </c>
      <c r="N96" s="221" t="s">
        <v>304</v>
      </c>
      <c r="O96" s="221" t="s">
        <v>304</v>
      </c>
      <c r="P96" s="221" t="s">
        <v>304</v>
      </c>
      <c r="Q96" s="222">
        <v>5</v>
      </c>
      <c r="R96" s="156"/>
      <c r="S96" s="663" t="s">
        <v>304</v>
      </c>
      <c r="T96" s="663" t="s">
        <v>304</v>
      </c>
      <c r="U96" s="663" t="s">
        <v>304</v>
      </c>
      <c r="V96" s="663" t="s">
        <v>305</v>
      </c>
      <c r="W96" s="663" t="s">
        <v>304</v>
      </c>
      <c r="X96" s="663" t="s">
        <v>304</v>
      </c>
      <c r="Y96" s="663" t="s">
        <v>305</v>
      </c>
      <c r="Z96" s="663" t="s">
        <v>174</v>
      </c>
      <c r="AA96" s="663" t="s">
        <v>174</v>
      </c>
      <c r="AB96" s="663" t="s">
        <v>304</v>
      </c>
      <c r="AC96" s="663" t="s">
        <v>304</v>
      </c>
      <c r="AD96" s="663" t="s">
        <v>304</v>
      </c>
      <c r="AE96" s="663" t="s">
        <v>304</v>
      </c>
    </row>
    <row r="97" spans="1:31" x14ac:dyDescent="0.25">
      <c r="A97" s="652" t="s">
        <v>477</v>
      </c>
      <c r="B97" s="221">
        <v>0.97</v>
      </c>
      <c r="C97" s="221">
        <v>6</v>
      </c>
      <c r="D97" s="221" t="s">
        <v>305</v>
      </c>
      <c r="E97" s="221" t="s">
        <v>304</v>
      </c>
      <c r="F97" s="221" t="s">
        <v>304</v>
      </c>
      <c r="G97" s="221" t="s">
        <v>304</v>
      </c>
      <c r="H97" s="221" t="s">
        <v>304</v>
      </c>
      <c r="I97" s="221" t="s">
        <v>304</v>
      </c>
      <c r="J97" s="221" t="s">
        <v>304</v>
      </c>
      <c r="K97" s="221" t="s">
        <v>174</v>
      </c>
      <c r="L97" s="221" t="s">
        <v>174</v>
      </c>
      <c r="M97" s="221" t="s">
        <v>304</v>
      </c>
      <c r="N97" s="221" t="s">
        <v>304</v>
      </c>
      <c r="O97" s="221" t="s">
        <v>304</v>
      </c>
      <c r="P97" s="221" t="s">
        <v>304</v>
      </c>
      <c r="Q97" s="731" t="s">
        <v>304</v>
      </c>
      <c r="R97" s="233"/>
      <c r="S97" s="663" t="s">
        <v>305</v>
      </c>
      <c r="T97" s="663" t="s">
        <v>304</v>
      </c>
      <c r="U97" s="663" t="s">
        <v>304</v>
      </c>
      <c r="V97" s="663" t="s">
        <v>304</v>
      </c>
      <c r="W97" s="663" t="s">
        <v>304</v>
      </c>
      <c r="X97" s="663" t="s">
        <v>304</v>
      </c>
      <c r="Y97" s="663" t="s">
        <v>304</v>
      </c>
      <c r="Z97" s="663" t="s">
        <v>174</v>
      </c>
      <c r="AA97" s="663" t="s">
        <v>174</v>
      </c>
      <c r="AB97" s="663" t="s">
        <v>304</v>
      </c>
      <c r="AC97" s="663" t="s">
        <v>304</v>
      </c>
      <c r="AD97" s="663" t="s">
        <v>304</v>
      </c>
      <c r="AE97" s="663" t="s">
        <v>304</v>
      </c>
    </row>
    <row r="98" spans="1:31" x14ac:dyDescent="0.25">
      <c r="A98" s="652" t="s">
        <v>962</v>
      </c>
      <c r="B98" s="221">
        <v>0.46</v>
      </c>
      <c r="C98" s="221">
        <v>6</v>
      </c>
      <c r="D98" s="221" t="s">
        <v>305</v>
      </c>
      <c r="E98" s="221" t="s">
        <v>173</v>
      </c>
      <c r="F98" s="221" t="s">
        <v>173</v>
      </c>
      <c r="G98" s="221" t="s">
        <v>304</v>
      </c>
      <c r="H98" s="221" t="s">
        <v>305</v>
      </c>
      <c r="I98" s="221" t="s">
        <v>305</v>
      </c>
      <c r="J98" s="221" t="s">
        <v>304</v>
      </c>
      <c r="K98" s="221" t="s">
        <v>305</v>
      </c>
      <c r="L98" s="221" t="s">
        <v>304</v>
      </c>
      <c r="M98" s="221" t="s">
        <v>304</v>
      </c>
      <c r="N98" s="221" t="s">
        <v>304</v>
      </c>
      <c r="O98" s="221" t="s">
        <v>304</v>
      </c>
      <c r="P98" s="221" t="s">
        <v>304</v>
      </c>
      <c r="Q98" s="731" t="s">
        <v>304</v>
      </c>
      <c r="R98" s="233"/>
      <c r="S98" s="663" t="s">
        <v>305</v>
      </c>
      <c r="T98" s="663" t="s">
        <v>173</v>
      </c>
      <c r="U98" s="663" t="s">
        <v>173</v>
      </c>
      <c r="V98" s="663" t="s">
        <v>304</v>
      </c>
      <c r="W98" s="663" t="s">
        <v>304</v>
      </c>
      <c r="X98" s="663" t="s">
        <v>304</v>
      </c>
      <c r="Y98" s="663" t="s">
        <v>304</v>
      </c>
      <c r="Z98" s="663" t="s">
        <v>305</v>
      </c>
      <c r="AA98" s="663" t="s">
        <v>304</v>
      </c>
      <c r="AB98" s="663" t="s">
        <v>304</v>
      </c>
      <c r="AC98" s="663" t="s">
        <v>304</v>
      </c>
      <c r="AD98" s="663" t="s">
        <v>304</v>
      </c>
      <c r="AE98" s="663" t="s">
        <v>304</v>
      </c>
    </row>
    <row r="99" spans="1:31" x14ac:dyDescent="0.25">
      <c r="A99" s="652" t="s">
        <v>478</v>
      </c>
      <c r="B99" s="221">
        <v>0.31</v>
      </c>
      <c r="C99" s="221">
        <v>4</v>
      </c>
      <c r="D99" s="221" t="s">
        <v>305</v>
      </c>
      <c r="E99" s="221" t="s">
        <v>173</v>
      </c>
      <c r="F99" s="221" t="s">
        <v>173</v>
      </c>
      <c r="G99" s="221" t="s">
        <v>304</v>
      </c>
      <c r="H99" s="221" t="s">
        <v>305</v>
      </c>
      <c r="I99" s="221" t="s">
        <v>305</v>
      </c>
      <c r="J99" s="221" t="s">
        <v>304</v>
      </c>
      <c r="K99" s="221" t="s">
        <v>174</v>
      </c>
      <c r="L99" s="221" t="s">
        <v>174</v>
      </c>
      <c r="M99" s="221" t="s">
        <v>304</v>
      </c>
      <c r="N99" s="221" t="s">
        <v>304</v>
      </c>
      <c r="O99" s="221" t="s">
        <v>304</v>
      </c>
      <c r="P99" s="221" t="s">
        <v>304</v>
      </c>
      <c r="Q99" s="731" t="s">
        <v>304</v>
      </c>
      <c r="R99" s="233"/>
      <c r="S99" s="663" t="s">
        <v>305</v>
      </c>
      <c r="T99" s="663" t="s">
        <v>173</v>
      </c>
      <c r="U99" s="663" t="s">
        <v>173</v>
      </c>
      <c r="V99" s="663" t="s">
        <v>304</v>
      </c>
      <c r="W99" s="663" t="s">
        <v>304</v>
      </c>
      <c r="X99" s="663" t="s">
        <v>304</v>
      </c>
      <c r="Y99" s="663" t="s">
        <v>304</v>
      </c>
      <c r="Z99" s="663" t="s">
        <v>174</v>
      </c>
      <c r="AA99" s="663" t="s">
        <v>174</v>
      </c>
      <c r="AB99" s="663" t="s">
        <v>304</v>
      </c>
      <c r="AC99" s="663" t="s">
        <v>304</v>
      </c>
      <c r="AD99" s="663" t="s">
        <v>304</v>
      </c>
      <c r="AE99" s="663" t="s">
        <v>304</v>
      </c>
    </row>
    <row r="100" spans="1:31" x14ac:dyDescent="0.25">
      <c r="A100" s="652" t="s">
        <v>480</v>
      </c>
      <c r="B100" s="221">
        <v>0.45</v>
      </c>
      <c r="C100" s="221">
        <v>4</v>
      </c>
      <c r="D100" s="221" t="s">
        <v>305</v>
      </c>
      <c r="E100" s="221" t="s">
        <v>173</v>
      </c>
      <c r="F100" s="221" t="s">
        <v>173</v>
      </c>
      <c r="G100" s="221" t="s">
        <v>304</v>
      </c>
      <c r="H100" s="221" t="s">
        <v>305</v>
      </c>
      <c r="I100" s="221" t="s">
        <v>305</v>
      </c>
      <c r="J100" s="221" t="s">
        <v>304</v>
      </c>
      <c r="K100" s="221" t="s">
        <v>174</v>
      </c>
      <c r="L100" s="221" t="s">
        <v>174</v>
      </c>
      <c r="M100" s="221" t="s">
        <v>304</v>
      </c>
      <c r="N100" s="221" t="s">
        <v>304</v>
      </c>
      <c r="O100" s="221" t="s">
        <v>304</v>
      </c>
      <c r="P100" s="221" t="s">
        <v>304</v>
      </c>
      <c r="Q100" s="731" t="s">
        <v>304</v>
      </c>
      <c r="R100" s="233"/>
      <c r="S100" s="663" t="s">
        <v>305</v>
      </c>
      <c r="T100" s="663" t="s">
        <v>173</v>
      </c>
      <c r="U100" s="663" t="s">
        <v>173</v>
      </c>
      <c r="V100" s="663" t="s">
        <v>304</v>
      </c>
      <c r="W100" s="663" t="s">
        <v>304</v>
      </c>
      <c r="X100" s="663" t="s">
        <v>304</v>
      </c>
      <c r="Y100" s="663" t="s">
        <v>304</v>
      </c>
      <c r="Z100" s="663" t="s">
        <v>174</v>
      </c>
      <c r="AA100" s="663" t="s">
        <v>174</v>
      </c>
      <c r="AB100" s="663" t="s">
        <v>304</v>
      </c>
      <c r="AC100" s="663" t="s">
        <v>304</v>
      </c>
      <c r="AD100" s="663" t="s">
        <v>304</v>
      </c>
      <c r="AE100" s="663" t="s">
        <v>304</v>
      </c>
    </row>
    <row r="101" spans="1:31" x14ac:dyDescent="0.25">
      <c r="A101" s="652" t="s">
        <v>482</v>
      </c>
      <c r="B101" s="221">
        <v>0.62</v>
      </c>
      <c r="C101" s="221">
        <v>4</v>
      </c>
      <c r="D101" s="221" t="s">
        <v>305</v>
      </c>
      <c r="E101" s="221" t="s">
        <v>173</v>
      </c>
      <c r="F101" s="221" t="s">
        <v>173</v>
      </c>
      <c r="G101" s="221" t="s">
        <v>305</v>
      </c>
      <c r="H101" s="221" t="s">
        <v>305</v>
      </c>
      <c r="I101" s="221" t="s">
        <v>305</v>
      </c>
      <c r="J101" s="221" t="s">
        <v>304</v>
      </c>
      <c r="K101" s="221" t="s">
        <v>174</v>
      </c>
      <c r="L101" s="221" t="s">
        <v>174</v>
      </c>
      <c r="M101" s="221" t="s">
        <v>304</v>
      </c>
      <c r="N101" s="221" t="s">
        <v>304</v>
      </c>
      <c r="O101" s="221" t="s">
        <v>304</v>
      </c>
      <c r="P101" s="221" t="s">
        <v>304</v>
      </c>
      <c r="Q101" s="731" t="s">
        <v>304</v>
      </c>
      <c r="R101" s="233"/>
      <c r="S101" s="663" t="s">
        <v>305</v>
      </c>
      <c r="T101" s="663" t="s">
        <v>173</v>
      </c>
      <c r="U101" s="663" t="s">
        <v>173</v>
      </c>
      <c r="V101" s="663" t="s">
        <v>305</v>
      </c>
      <c r="W101" s="663" t="s">
        <v>304</v>
      </c>
      <c r="X101" s="663" t="s">
        <v>304</v>
      </c>
      <c r="Y101" s="663" t="s">
        <v>304</v>
      </c>
      <c r="Z101" s="663" t="s">
        <v>174</v>
      </c>
      <c r="AA101" s="663" t="s">
        <v>174</v>
      </c>
      <c r="AB101" s="663" t="s">
        <v>304</v>
      </c>
      <c r="AC101" s="663" t="s">
        <v>304</v>
      </c>
      <c r="AD101" s="663" t="s">
        <v>304</v>
      </c>
      <c r="AE101" s="663" t="s">
        <v>304</v>
      </c>
    </row>
    <row r="102" spans="1:31" x14ac:dyDescent="0.25">
      <c r="A102" s="652" t="s">
        <v>484</v>
      </c>
      <c r="B102" s="221">
        <v>0.56000000000000005</v>
      </c>
      <c r="C102" s="221">
        <v>4</v>
      </c>
      <c r="D102" s="221" t="s">
        <v>305</v>
      </c>
      <c r="E102" s="221" t="s">
        <v>173</v>
      </c>
      <c r="F102" s="221" t="s">
        <v>173</v>
      </c>
      <c r="G102" s="221" t="s">
        <v>305</v>
      </c>
      <c r="H102" s="221" t="s">
        <v>305</v>
      </c>
      <c r="I102" s="221" t="s">
        <v>305</v>
      </c>
      <c r="J102" s="221" t="s">
        <v>304</v>
      </c>
      <c r="K102" s="221" t="s">
        <v>174</v>
      </c>
      <c r="L102" s="221" t="s">
        <v>174</v>
      </c>
      <c r="M102" s="221" t="s">
        <v>304</v>
      </c>
      <c r="N102" s="221" t="s">
        <v>304</v>
      </c>
      <c r="O102" s="221" t="s">
        <v>304</v>
      </c>
      <c r="P102" s="221" t="s">
        <v>304</v>
      </c>
      <c r="Q102" s="731" t="s">
        <v>304</v>
      </c>
      <c r="R102" s="233"/>
      <c r="S102" s="663" t="s">
        <v>305</v>
      </c>
      <c r="T102" s="663" t="s">
        <v>173</v>
      </c>
      <c r="U102" s="663" t="s">
        <v>173</v>
      </c>
      <c r="V102" s="663" t="s">
        <v>305</v>
      </c>
      <c r="W102" s="663" t="s">
        <v>304</v>
      </c>
      <c r="X102" s="663" t="s">
        <v>304</v>
      </c>
      <c r="Y102" s="663" t="s">
        <v>304</v>
      </c>
      <c r="Z102" s="663" t="s">
        <v>174</v>
      </c>
      <c r="AA102" s="663" t="s">
        <v>174</v>
      </c>
      <c r="AB102" s="663" t="s">
        <v>304</v>
      </c>
      <c r="AC102" s="663" t="s">
        <v>304</v>
      </c>
      <c r="AD102" s="663" t="s">
        <v>304</v>
      </c>
      <c r="AE102" s="663" t="s">
        <v>304</v>
      </c>
    </row>
    <row r="103" spans="1:31" x14ac:dyDescent="0.25">
      <c r="A103" s="652" t="s">
        <v>486</v>
      </c>
      <c r="B103" s="221">
        <v>0.35</v>
      </c>
      <c r="C103" s="221">
        <v>4</v>
      </c>
      <c r="D103" s="221" t="s">
        <v>305</v>
      </c>
      <c r="E103" s="221" t="s">
        <v>173</v>
      </c>
      <c r="F103" s="221" t="s">
        <v>173</v>
      </c>
      <c r="G103" s="221" t="s">
        <v>305</v>
      </c>
      <c r="H103" s="221" t="s">
        <v>305</v>
      </c>
      <c r="I103" s="221" t="s">
        <v>305</v>
      </c>
      <c r="J103" s="221" t="s">
        <v>305</v>
      </c>
      <c r="K103" s="221" t="s">
        <v>174</v>
      </c>
      <c r="L103" s="221" t="s">
        <v>174</v>
      </c>
      <c r="M103" s="221" t="s">
        <v>304</v>
      </c>
      <c r="N103" s="221" t="s">
        <v>304</v>
      </c>
      <c r="O103" s="221" t="s">
        <v>304</v>
      </c>
      <c r="P103" s="221" t="s">
        <v>304</v>
      </c>
      <c r="Q103" s="731" t="s">
        <v>304</v>
      </c>
      <c r="R103" s="233"/>
      <c r="S103" s="663" t="s">
        <v>305</v>
      </c>
      <c r="T103" s="663" t="s">
        <v>173</v>
      </c>
      <c r="U103" s="663" t="s">
        <v>173</v>
      </c>
      <c r="V103" s="663" t="s">
        <v>305</v>
      </c>
      <c r="W103" s="663" t="s">
        <v>304</v>
      </c>
      <c r="X103" s="663" t="s">
        <v>304</v>
      </c>
      <c r="Y103" s="663" t="s">
        <v>305</v>
      </c>
      <c r="Z103" s="663" t="s">
        <v>174</v>
      </c>
      <c r="AA103" s="663" t="s">
        <v>174</v>
      </c>
      <c r="AB103" s="663" t="s">
        <v>304</v>
      </c>
      <c r="AC103" s="663" t="s">
        <v>304</v>
      </c>
      <c r="AD103" s="663" t="s">
        <v>304</v>
      </c>
      <c r="AE103" s="663" t="s">
        <v>304</v>
      </c>
    </row>
    <row r="104" spans="1:31" x14ac:dyDescent="0.25">
      <c r="A104" s="652" t="s">
        <v>488</v>
      </c>
      <c r="B104" s="221">
        <v>0.69</v>
      </c>
      <c r="C104" s="221">
        <v>6</v>
      </c>
      <c r="D104" s="221" t="s">
        <v>305</v>
      </c>
      <c r="E104" s="221" t="s">
        <v>173</v>
      </c>
      <c r="F104" s="221" t="s">
        <v>173</v>
      </c>
      <c r="G104" s="221" t="s">
        <v>305</v>
      </c>
      <c r="H104" s="221" t="s">
        <v>305</v>
      </c>
      <c r="I104" s="221" t="s">
        <v>305</v>
      </c>
      <c r="J104" s="221" t="s">
        <v>305</v>
      </c>
      <c r="K104" s="221" t="s">
        <v>174</v>
      </c>
      <c r="L104" s="221" t="s">
        <v>174</v>
      </c>
      <c r="M104" s="221" t="s">
        <v>304</v>
      </c>
      <c r="N104" s="221" t="s">
        <v>304</v>
      </c>
      <c r="O104" s="221" t="s">
        <v>304</v>
      </c>
      <c r="P104" s="221" t="s">
        <v>304</v>
      </c>
      <c r="Q104" s="731" t="s">
        <v>304</v>
      </c>
      <c r="R104" s="233"/>
      <c r="S104" s="663" t="s">
        <v>305</v>
      </c>
      <c r="T104" s="663" t="s">
        <v>173</v>
      </c>
      <c r="U104" s="663" t="s">
        <v>173</v>
      </c>
      <c r="V104" s="663" t="s">
        <v>305</v>
      </c>
      <c r="W104" s="663" t="s">
        <v>304</v>
      </c>
      <c r="X104" s="663" t="s">
        <v>304</v>
      </c>
      <c r="Y104" s="663" t="s">
        <v>305</v>
      </c>
      <c r="Z104" s="663" t="s">
        <v>174</v>
      </c>
      <c r="AA104" s="663" t="s">
        <v>174</v>
      </c>
      <c r="AB104" s="663" t="s">
        <v>304</v>
      </c>
      <c r="AC104" s="663" t="s">
        <v>304</v>
      </c>
      <c r="AD104" s="663" t="s">
        <v>304</v>
      </c>
      <c r="AE104" s="663" t="s">
        <v>304</v>
      </c>
    </row>
    <row r="105" spans="1:31" x14ac:dyDescent="0.25">
      <c r="A105" s="652" t="s">
        <v>286</v>
      </c>
      <c r="B105" s="221">
        <v>1.1399999999999999</v>
      </c>
      <c r="C105" s="221">
        <v>6</v>
      </c>
      <c r="D105" s="221" t="s">
        <v>305</v>
      </c>
      <c r="E105" s="221" t="s">
        <v>173</v>
      </c>
      <c r="F105" s="221" t="s">
        <v>173</v>
      </c>
      <c r="G105" s="221" t="s">
        <v>305</v>
      </c>
      <c r="H105" s="221" t="s">
        <v>305</v>
      </c>
      <c r="I105" s="221" t="s">
        <v>305</v>
      </c>
      <c r="J105" s="221" t="s">
        <v>304</v>
      </c>
      <c r="K105" s="221" t="s">
        <v>174</v>
      </c>
      <c r="L105" s="221" t="s">
        <v>174</v>
      </c>
      <c r="M105" s="221" t="s">
        <v>304</v>
      </c>
      <c r="N105" s="221" t="s">
        <v>304</v>
      </c>
      <c r="O105" s="221" t="s">
        <v>304</v>
      </c>
      <c r="P105" s="221" t="s">
        <v>304</v>
      </c>
      <c r="Q105" s="731" t="s">
        <v>304</v>
      </c>
      <c r="R105" s="233"/>
      <c r="S105" s="663" t="s">
        <v>305</v>
      </c>
      <c r="T105" s="663" t="s">
        <v>173</v>
      </c>
      <c r="U105" s="663" t="s">
        <v>173</v>
      </c>
      <c r="V105" s="663" t="s">
        <v>305</v>
      </c>
      <c r="W105" s="663" t="s">
        <v>304</v>
      </c>
      <c r="X105" s="663" t="s">
        <v>304</v>
      </c>
      <c r="Y105" s="663" t="s">
        <v>304</v>
      </c>
      <c r="Z105" s="663" t="s">
        <v>174</v>
      </c>
      <c r="AA105" s="663" t="s">
        <v>174</v>
      </c>
      <c r="AB105" s="663" t="s">
        <v>304</v>
      </c>
      <c r="AC105" s="663" t="s">
        <v>304</v>
      </c>
      <c r="AD105" s="663" t="s">
        <v>304</v>
      </c>
      <c r="AE105" s="663" t="s">
        <v>304</v>
      </c>
    </row>
    <row r="106" spans="1:31" x14ac:dyDescent="0.25">
      <c r="AC106" s="221"/>
    </row>
    <row r="107" spans="1:31" x14ac:dyDescent="0.25">
      <c r="N107" s="148" t="s">
        <v>971</v>
      </c>
      <c r="O107" s="660" t="s">
        <v>970</v>
      </c>
      <c r="AC107" s="221"/>
    </row>
    <row r="108" spans="1:31" x14ac:dyDescent="0.25">
      <c r="AC108" s="221"/>
    </row>
    <row r="109" spans="1:31" ht="13" hidden="1" thickBot="1" x14ac:dyDescent="0.3">
      <c r="C109" s="1835" t="s">
        <v>490</v>
      </c>
      <c r="D109" s="1835"/>
      <c r="E109" s="1835"/>
      <c r="F109" s="1835"/>
      <c r="G109" s="1835"/>
      <c r="H109" s="1835"/>
      <c r="I109" s="1835"/>
      <c r="J109" s="1835"/>
      <c r="K109" s="1835"/>
      <c r="L109" s="1835"/>
      <c r="M109" s="1835"/>
      <c r="N109" s="1835"/>
      <c r="O109" s="1835"/>
      <c r="P109" s="1835"/>
      <c r="Q109" s="1835"/>
      <c r="AC109" s="221"/>
    </row>
    <row r="110" spans="1:31" hidden="1" x14ac:dyDescent="0.25">
      <c r="C110" s="1836" t="s">
        <v>491</v>
      </c>
      <c r="D110" s="1837"/>
      <c r="E110" s="1838"/>
      <c r="F110" s="1845" t="s">
        <v>492</v>
      </c>
      <c r="G110" s="1846"/>
      <c r="H110" s="1846"/>
      <c r="I110" s="1846"/>
      <c r="J110" s="1846"/>
      <c r="K110" s="1846"/>
      <c r="L110" s="1846"/>
      <c r="M110" s="1846"/>
      <c r="N110" s="1846"/>
      <c r="O110" s="1846"/>
      <c r="P110" s="1846"/>
      <c r="Q110" s="1847"/>
    </row>
    <row r="111" spans="1:31" hidden="1" x14ac:dyDescent="0.25">
      <c r="C111" s="1839"/>
      <c r="D111" s="1840"/>
      <c r="E111" s="1841"/>
      <c r="F111" s="1848" t="s">
        <v>493</v>
      </c>
      <c r="G111" s="1849"/>
      <c r="H111" s="1849"/>
      <c r="I111" s="1849"/>
      <c r="J111" s="1849"/>
      <c r="K111" s="1849"/>
      <c r="L111" s="1849"/>
      <c r="M111" s="1849"/>
      <c r="N111" s="1849"/>
      <c r="O111" s="1849"/>
      <c r="P111" s="1849"/>
      <c r="Q111" s="1850"/>
    </row>
    <row r="112" spans="1:31" hidden="1" x14ac:dyDescent="0.25">
      <c r="C112" s="1839"/>
      <c r="D112" s="1840"/>
      <c r="E112" s="1841"/>
      <c r="F112" s="1848" t="s">
        <v>494</v>
      </c>
      <c r="G112" s="1849"/>
      <c r="H112" s="1849"/>
      <c r="I112" s="1849"/>
      <c r="J112" s="1849"/>
      <c r="K112" s="1849"/>
      <c r="L112" s="1849"/>
      <c r="M112" s="1849"/>
      <c r="N112" s="1849"/>
      <c r="O112" s="1849"/>
      <c r="P112" s="1849"/>
      <c r="Q112" s="1850"/>
    </row>
    <row r="113" spans="1:18" hidden="1" x14ac:dyDescent="0.25">
      <c r="C113" s="1839"/>
      <c r="D113" s="1840"/>
      <c r="E113" s="1841"/>
      <c r="F113" s="1848" t="s">
        <v>495</v>
      </c>
      <c r="G113" s="1849"/>
      <c r="H113" s="1849"/>
      <c r="I113" s="1849"/>
      <c r="J113" s="1849"/>
      <c r="K113" s="1849"/>
      <c r="L113" s="1849"/>
      <c r="M113" s="1849"/>
      <c r="N113" s="1849"/>
      <c r="O113" s="1849"/>
      <c r="P113" s="1849"/>
      <c r="Q113" s="1850"/>
    </row>
    <row r="114" spans="1:18" ht="13" hidden="1" thickBot="1" x14ac:dyDescent="0.3">
      <c r="C114" s="1839"/>
      <c r="D114" s="1840"/>
      <c r="E114" s="1841"/>
      <c r="F114" s="1851" t="s">
        <v>496</v>
      </c>
      <c r="G114" s="1852"/>
      <c r="H114" s="1852"/>
      <c r="I114" s="1852"/>
      <c r="J114" s="1852"/>
      <c r="K114" s="1852"/>
      <c r="L114" s="1852"/>
      <c r="M114" s="1852"/>
      <c r="N114" s="1852"/>
      <c r="O114" s="1852"/>
      <c r="P114" s="1852"/>
      <c r="Q114" s="1853"/>
    </row>
    <row r="115" spans="1:18" hidden="1" x14ac:dyDescent="0.25">
      <c r="A115" s="149" t="s">
        <v>497</v>
      </c>
      <c r="C115" s="1839"/>
      <c r="D115" s="1840"/>
      <c r="E115" s="1841"/>
      <c r="F115" s="1854" t="s">
        <v>498</v>
      </c>
      <c r="G115" s="1854" t="s">
        <v>499</v>
      </c>
      <c r="H115" s="1833" t="s">
        <v>500</v>
      </c>
      <c r="I115" s="1833" t="s">
        <v>501</v>
      </c>
      <c r="J115" s="1857" t="s">
        <v>502</v>
      </c>
      <c r="K115" s="1857" t="s">
        <v>503</v>
      </c>
      <c r="L115" s="1860" t="s">
        <v>504</v>
      </c>
      <c r="M115" s="334"/>
      <c r="N115" s="629"/>
      <c r="O115" s="334"/>
      <c r="P115" s="1860" t="s">
        <v>505</v>
      </c>
      <c r="Q115" s="1833" t="s">
        <v>506</v>
      </c>
    </row>
    <row r="116" spans="1:18" hidden="1" x14ac:dyDescent="0.25">
      <c r="C116" s="1839"/>
      <c r="D116" s="1840"/>
      <c r="E116" s="1841"/>
      <c r="F116" s="1855"/>
      <c r="G116" s="1855"/>
      <c r="H116" s="1834"/>
      <c r="I116" s="1834"/>
      <c r="J116" s="1858"/>
      <c r="K116" s="1858"/>
      <c r="L116" s="1861"/>
      <c r="M116" s="335"/>
      <c r="N116" s="630"/>
      <c r="O116" s="335"/>
      <c r="P116" s="1861"/>
      <c r="Q116" s="1834"/>
    </row>
    <row r="117" spans="1:18" ht="13" hidden="1" thickBot="1" x14ac:dyDescent="0.3">
      <c r="C117" s="1842"/>
      <c r="D117" s="1843"/>
      <c r="E117" s="1844"/>
      <c r="F117" s="1856"/>
      <c r="G117" s="1856"/>
      <c r="H117" s="150"/>
      <c r="I117" s="150"/>
      <c r="J117" s="1859"/>
      <c r="K117" s="1859"/>
      <c r="L117" s="150"/>
      <c r="M117" s="150"/>
      <c r="N117" s="150"/>
      <c r="O117" s="150"/>
      <c r="P117" s="333"/>
      <c r="Q117" s="150"/>
    </row>
    <row r="118" spans="1:18" ht="33.5" hidden="1" x14ac:dyDescent="0.25">
      <c r="A118" s="151"/>
      <c r="C118" s="332" t="s">
        <v>507</v>
      </c>
      <c r="D118" s="152" t="s">
        <v>508</v>
      </c>
      <c r="E118" s="152" t="s">
        <v>509</v>
      </c>
      <c r="F118" s="153" t="s">
        <v>510</v>
      </c>
      <c r="G118" s="153" t="s">
        <v>511</v>
      </c>
      <c r="H118" s="153" t="s">
        <v>512</v>
      </c>
      <c r="I118" s="153" t="s">
        <v>513</v>
      </c>
      <c r="J118" s="153" t="s">
        <v>514</v>
      </c>
      <c r="K118" s="153" t="s">
        <v>515</v>
      </c>
      <c r="L118" s="153" t="s">
        <v>516</v>
      </c>
      <c r="M118" s="153"/>
      <c r="N118" s="153"/>
      <c r="O118" s="153"/>
      <c r="P118" s="153" t="s">
        <v>517</v>
      </c>
      <c r="Q118" s="153" t="s">
        <v>518</v>
      </c>
      <c r="R118" s="153" t="s">
        <v>519</v>
      </c>
    </row>
    <row r="119" spans="1:18" ht="45" hidden="1" customHeight="1" x14ac:dyDescent="0.25">
      <c r="A119" s="154" t="str">
        <f t="shared" ref="A119:A181" si="0">IF(B119&lt;&gt;"",CONCATENATE(B119," ",C119),C119)</f>
        <v>Atrium &lt;20 ft in height</v>
      </c>
      <c r="B119" s="154" t="s">
        <v>520</v>
      </c>
      <c r="C119" s="149" t="s">
        <v>521</v>
      </c>
      <c r="D119" s="149">
        <v>0.03</v>
      </c>
      <c r="E119" s="149" t="s">
        <v>304</v>
      </c>
      <c r="F119" s="149" t="s">
        <v>305</v>
      </c>
      <c r="G119" s="149" t="s">
        <v>173</v>
      </c>
      <c r="H119" s="149" t="s">
        <v>173</v>
      </c>
      <c r="I119" s="155" t="s">
        <v>308</v>
      </c>
      <c r="J119" s="149" t="s">
        <v>305</v>
      </c>
      <c r="K119" s="149" t="s">
        <v>305</v>
      </c>
      <c r="L119" s="155" t="s">
        <v>308</v>
      </c>
      <c r="M119" s="155"/>
      <c r="N119" s="155"/>
      <c r="O119" s="155"/>
      <c r="P119" s="149" t="s">
        <v>174</v>
      </c>
      <c r="Q119" s="149" t="s">
        <v>174</v>
      </c>
      <c r="R119" s="156" t="s">
        <v>306</v>
      </c>
    </row>
    <row r="120" spans="1:18" ht="30" hidden="1" x14ac:dyDescent="0.25">
      <c r="A120" s="154" t="str">
        <f t="shared" si="0"/>
        <v>Atrium &gt;=20 ft and &lt;=40 ft in height</v>
      </c>
      <c r="B120" s="154" t="s">
        <v>520</v>
      </c>
      <c r="C120" s="149" t="s">
        <v>522</v>
      </c>
      <c r="D120" s="149">
        <v>0.03</v>
      </c>
      <c r="E120" s="149" t="s">
        <v>304</v>
      </c>
      <c r="F120" s="149" t="s">
        <v>305</v>
      </c>
      <c r="G120" s="149" t="s">
        <v>173</v>
      </c>
      <c r="H120" s="149" t="s">
        <v>173</v>
      </c>
      <c r="I120" s="149" t="s">
        <v>305</v>
      </c>
      <c r="J120" s="149" t="s">
        <v>305</v>
      </c>
      <c r="K120" s="149" t="s">
        <v>305</v>
      </c>
      <c r="L120" s="155" t="s">
        <v>308</v>
      </c>
      <c r="M120" s="155"/>
      <c r="N120" s="155"/>
      <c r="O120" s="155"/>
      <c r="P120" s="149" t="s">
        <v>174</v>
      </c>
      <c r="Q120" s="149" t="s">
        <v>174</v>
      </c>
      <c r="R120" s="156" t="s">
        <v>306</v>
      </c>
    </row>
    <row r="121" spans="1:18" hidden="1" x14ac:dyDescent="0.25">
      <c r="A121" s="154" t="str">
        <f t="shared" si="0"/>
        <v>Atrium &gt;40 ft in height</v>
      </c>
      <c r="B121" s="154" t="s">
        <v>520</v>
      </c>
      <c r="C121" s="149" t="s">
        <v>523</v>
      </c>
      <c r="D121" s="149">
        <v>0.02</v>
      </c>
      <c r="E121" s="149" t="s">
        <v>304</v>
      </c>
      <c r="F121" s="149" t="s">
        <v>305</v>
      </c>
      <c r="G121" s="149" t="s">
        <v>173</v>
      </c>
      <c r="H121" s="149" t="s">
        <v>173</v>
      </c>
      <c r="I121" s="149" t="s">
        <v>305</v>
      </c>
      <c r="J121" s="149" t="s">
        <v>305</v>
      </c>
      <c r="K121" s="149" t="s">
        <v>305</v>
      </c>
      <c r="L121" s="155" t="s">
        <v>308</v>
      </c>
      <c r="M121" s="155"/>
      <c r="N121" s="155"/>
      <c r="O121" s="155"/>
      <c r="P121" s="149" t="s">
        <v>174</v>
      </c>
      <c r="Q121" s="149" t="s">
        <v>174</v>
      </c>
      <c r="R121" s="156" t="s">
        <v>306</v>
      </c>
    </row>
    <row r="122" spans="1:18" ht="30" hidden="1" x14ac:dyDescent="0.25">
      <c r="A122" s="154" t="str">
        <f t="shared" si="0"/>
        <v>Audience Seating Area in all other audience areas</v>
      </c>
      <c r="B122" s="154" t="s">
        <v>524</v>
      </c>
      <c r="C122" s="149" t="s">
        <v>525</v>
      </c>
      <c r="D122" s="149">
        <v>0.43</v>
      </c>
      <c r="E122" s="149">
        <v>4</v>
      </c>
      <c r="F122" s="149" t="s">
        <v>305</v>
      </c>
      <c r="G122" s="149" t="s">
        <v>173</v>
      </c>
      <c r="H122" s="149" t="s">
        <v>173</v>
      </c>
      <c r="I122" s="155" t="s">
        <v>308</v>
      </c>
      <c r="J122" s="149" t="s">
        <v>305</v>
      </c>
      <c r="K122" s="149" t="s">
        <v>305</v>
      </c>
      <c r="L122" s="155" t="s">
        <v>308</v>
      </c>
      <c r="M122" s="155"/>
      <c r="N122" s="155"/>
      <c r="O122" s="155"/>
      <c r="P122" s="149" t="s">
        <v>174</v>
      </c>
      <c r="Q122" s="149" t="s">
        <v>174</v>
      </c>
      <c r="R122" s="156" t="s">
        <v>304</v>
      </c>
    </row>
    <row r="123" spans="1:18" ht="30" hidden="1" x14ac:dyDescent="0.25">
      <c r="A123" s="154" t="str">
        <f t="shared" si="0"/>
        <v>Audience Seating Area in Auditorium</v>
      </c>
      <c r="B123" s="154" t="s">
        <v>524</v>
      </c>
      <c r="C123" s="149" t="s">
        <v>526</v>
      </c>
      <c r="D123" s="149">
        <v>0.63</v>
      </c>
      <c r="E123" s="149">
        <v>6</v>
      </c>
      <c r="F123" s="149" t="s">
        <v>305</v>
      </c>
      <c r="G123" s="149" t="s">
        <v>173</v>
      </c>
      <c r="H123" s="149" t="s">
        <v>173</v>
      </c>
      <c r="I123" s="149" t="s">
        <v>305</v>
      </c>
      <c r="J123" s="149" t="s">
        <v>305</v>
      </c>
      <c r="K123" s="149" t="s">
        <v>305</v>
      </c>
      <c r="L123" s="155" t="s">
        <v>308</v>
      </c>
      <c r="M123" s="155"/>
      <c r="N123" s="155"/>
      <c r="O123" s="155"/>
      <c r="P123" s="149" t="s">
        <v>174</v>
      </c>
      <c r="Q123" s="149" t="s">
        <v>174</v>
      </c>
      <c r="R123" s="156" t="s">
        <v>304</v>
      </c>
    </row>
    <row r="124" spans="1:18" ht="30" hidden="1" x14ac:dyDescent="0.25">
      <c r="A124" s="154" t="str">
        <f t="shared" si="0"/>
        <v>Audience Seating Area in Convention center</v>
      </c>
      <c r="B124" s="154" t="s">
        <v>524</v>
      </c>
      <c r="C124" s="149" t="s">
        <v>527</v>
      </c>
      <c r="D124" s="149">
        <v>0.82</v>
      </c>
      <c r="E124" s="149">
        <v>4</v>
      </c>
      <c r="F124" s="149" t="s">
        <v>305</v>
      </c>
      <c r="G124" s="149" t="s">
        <v>173</v>
      </c>
      <c r="H124" s="149" t="s">
        <v>173</v>
      </c>
      <c r="I124" s="149" t="s">
        <v>305</v>
      </c>
      <c r="J124" s="149" t="s">
        <v>305</v>
      </c>
      <c r="K124" s="149" t="s">
        <v>305</v>
      </c>
      <c r="L124" s="155" t="s">
        <v>308</v>
      </c>
      <c r="M124" s="155"/>
      <c r="N124" s="155"/>
      <c r="O124" s="155"/>
      <c r="P124" s="149" t="s">
        <v>174</v>
      </c>
      <c r="Q124" s="149" t="s">
        <v>174</v>
      </c>
      <c r="R124" s="156" t="s">
        <v>304</v>
      </c>
    </row>
    <row r="125" spans="1:18" ht="30" hidden="1" x14ac:dyDescent="0.25">
      <c r="A125" s="154" t="str">
        <f t="shared" si="0"/>
        <v>Audience Seating Area in Gymnasium</v>
      </c>
      <c r="B125" s="154" t="s">
        <v>524</v>
      </c>
      <c r="C125" s="149" t="s">
        <v>265</v>
      </c>
      <c r="D125" s="149">
        <v>0.65</v>
      </c>
      <c r="E125" s="149">
        <v>6</v>
      </c>
      <c r="F125" s="149" t="s">
        <v>305</v>
      </c>
      <c r="G125" s="149" t="s">
        <v>173</v>
      </c>
      <c r="H125" s="149" t="s">
        <v>173</v>
      </c>
      <c r="I125" s="149" t="s">
        <v>305</v>
      </c>
      <c r="J125" s="149" t="s">
        <v>305</v>
      </c>
      <c r="K125" s="149" t="s">
        <v>305</v>
      </c>
      <c r="L125" s="155" t="s">
        <v>308</v>
      </c>
      <c r="M125" s="155"/>
      <c r="N125" s="155"/>
      <c r="O125" s="155"/>
      <c r="P125" s="149" t="s">
        <v>174</v>
      </c>
      <c r="Q125" s="149" t="s">
        <v>174</v>
      </c>
      <c r="R125" s="156" t="s">
        <v>304</v>
      </c>
    </row>
    <row r="126" spans="1:18" ht="30" hidden="1" x14ac:dyDescent="0.25">
      <c r="A126" s="154" t="str">
        <f t="shared" si="0"/>
        <v>Audience Seating Area in Motion picture theater</v>
      </c>
      <c r="B126" s="154" t="s">
        <v>524</v>
      </c>
      <c r="C126" s="149" t="s">
        <v>528</v>
      </c>
      <c r="D126" s="149">
        <v>1.1399999999999999</v>
      </c>
      <c r="E126" s="149">
        <v>4</v>
      </c>
      <c r="F126" s="149" t="s">
        <v>305</v>
      </c>
      <c r="G126" s="149" t="s">
        <v>173</v>
      </c>
      <c r="H126" s="149" t="s">
        <v>173</v>
      </c>
      <c r="I126" s="149" t="s">
        <v>305</v>
      </c>
      <c r="J126" s="149" t="s">
        <v>305</v>
      </c>
      <c r="K126" s="149" t="s">
        <v>305</v>
      </c>
      <c r="L126" s="155" t="s">
        <v>308</v>
      </c>
      <c r="M126" s="155"/>
      <c r="N126" s="155"/>
      <c r="O126" s="155"/>
      <c r="P126" s="149" t="s">
        <v>174</v>
      </c>
      <c r="Q126" s="149" t="s">
        <v>174</v>
      </c>
      <c r="R126" s="156" t="s">
        <v>304</v>
      </c>
    </row>
    <row r="127" spans="1:18" ht="30" hidden="1" x14ac:dyDescent="0.25">
      <c r="A127" s="154" t="str">
        <f t="shared" si="0"/>
        <v>Audience Seating Area in Penitentiary</v>
      </c>
      <c r="B127" s="154" t="s">
        <v>524</v>
      </c>
      <c r="C127" s="149" t="s">
        <v>275</v>
      </c>
      <c r="D127" s="149">
        <v>0.28000000000000003</v>
      </c>
      <c r="E127" s="149">
        <v>4</v>
      </c>
      <c r="F127" s="149" t="s">
        <v>305</v>
      </c>
      <c r="G127" s="149" t="s">
        <v>173</v>
      </c>
      <c r="H127" s="149" t="s">
        <v>173</v>
      </c>
      <c r="I127" s="155" t="s">
        <v>308</v>
      </c>
      <c r="J127" s="149" t="s">
        <v>305</v>
      </c>
      <c r="K127" s="149" t="s">
        <v>305</v>
      </c>
      <c r="L127" s="155" t="s">
        <v>308</v>
      </c>
      <c r="M127" s="155"/>
      <c r="N127" s="155"/>
      <c r="O127" s="155"/>
      <c r="P127" s="149" t="s">
        <v>174</v>
      </c>
      <c r="Q127" s="149" t="s">
        <v>174</v>
      </c>
      <c r="R127" s="156" t="s">
        <v>304</v>
      </c>
    </row>
    <row r="128" spans="1:18" ht="30" hidden="1" x14ac:dyDescent="0.25">
      <c r="A128" s="154" t="str">
        <f t="shared" si="0"/>
        <v>Audience Seating Area in Performing arts theater</v>
      </c>
      <c r="B128" s="154" t="s">
        <v>524</v>
      </c>
      <c r="C128" s="149" t="s">
        <v>529</v>
      </c>
      <c r="D128" s="149">
        <v>2.0299999999999998</v>
      </c>
      <c r="E128" s="149">
        <v>8</v>
      </c>
      <c r="F128" s="149" t="s">
        <v>305</v>
      </c>
      <c r="G128" s="149" t="s">
        <v>173</v>
      </c>
      <c r="H128" s="149" t="s">
        <v>173</v>
      </c>
      <c r="I128" s="149" t="s">
        <v>305</v>
      </c>
      <c r="J128" s="149" t="s">
        <v>305</v>
      </c>
      <c r="K128" s="149" t="s">
        <v>305</v>
      </c>
      <c r="L128" s="155" t="s">
        <v>308</v>
      </c>
      <c r="M128" s="155"/>
      <c r="N128" s="155"/>
      <c r="O128" s="155"/>
      <c r="P128" s="149" t="s">
        <v>174</v>
      </c>
      <c r="Q128" s="149" t="s">
        <v>174</v>
      </c>
      <c r="R128" s="156" t="s">
        <v>304</v>
      </c>
    </row>
    <row r="129" spans="1:18" ht="30" hidden="1" x14ac:dyDescent="0.25">
      <c r="A129" s="154" t="str">
        <f t="shared" si="0"/>
        <v>Audience Seating Area in Religious facility</v>
      </c>
      <c r="B129" s="154" t="s">
        <v>524</v>
      </c>
      <c r="C129" s="149" t="s">
        <v>530</v>
      </c>
      <c r="D129" s="149">
        <v>1.53</v>
      </c>
      <c r="E129" s="149">
        <v>4</v>
      </c>
      <c r="F129" s="149" t="s">
        <v>305</v>
      </c>
      <c r="G129" s="149" t="s">
        <v>173</v>
      </c>
      <c r="H129" s="149" t="s">
        <v>173</v>
      </c>
      <c r="I129" s="149" t="s">
        <v>305</v>
      </c>
      <c r="J129" s="149" t="s">
        <v>305</v>
      </c>
      <c r="K129" s="149" t="s">
        <v>305</v>
      </c>
      <c r="L129" s="155" t="s">
        <v>308</v>
      </c>
      <c r="M129" s="155"/>
      <c r="N129" s="155"/>
      <c r="O129" s="155"/>
      <c r="P129" s="149" t="s">
        <v>174</v>
      </c>
      <c r="Q129" s="149" t="s">
        <v>174</v>
      </c>
      <c r="R129" s="156" t="s">
        <v>304</v>
      </c>
    </row>
    <row r="130" spans="1:18" ht="30" hidden="1" x14ac:dyDescent="0.25">
      <c r="A130" s="154" t="str">
        <f t="shared" si="0"/>
        <v>Audience Seating Area in Sports arena</v>
      </c>
      <c r="B130" s="154" t="s">
        <v>524</v>
      </c>
      <c r="C130" s="149" t="s">
        <v>531</v>
      </c>
      <c r="D130" s="149">
        <v>0.43</v>
      </c>
      <c r="E130" s="149">
        <v>4</v>
      </c>
      <c r="F130" s="149" t="s">
        <v>305</v>
      </c>
      <c r="G130" s="149" t="s">
        <v>173</v>
      </c>
      <c r="H130" s="149" t="s">
        <v>173</v>
      </c>
      <c r="I130" s="155" t="s">
        <v>308</v>
      </c>
      <c r="J130" s="149" t="s">
        <v>305</v>
      </c>
      <c r="K130" s="149" t="s">
        <v>305</v>
      </c>
      <c r="L130" s="155" t="s">
        <v>308</v>
      </c>
      <c r="M130" s="155"/>
      <c r="N130" s="155"/>
      <c r="O130" s="155"/>
      <c r="P130" s="149" t="s">
        <v>174</v>
      </c>
      <c r="Q130" s="149" t="s">
        <v>174</v>
      </c>
      <c r="R130" s="156" t="s">
        <v>304</v>
      </c>
    </row>
    <row r="131" spans="1:18" ht="20" hidden="1" x14ac:dyDescent="0.25">
      <c r="A131" s="154" t="str">
        <f t="shared" si="0"/>
        <v>Banking Activity Area - Bank/Office</v>
      </c>
      <c r="B131" s="149" t="s">
        <v>532</v>
      </c>
      <c r="C131" s="149" t="s">
        <v>533</v>
      </c>
      <c r="D131" s="149">
        <v>0.86</v>
      </c>
      <c r="E131" s="149">
        <v>6</v>
      </c>
      <c r="F131" s="149" t="s">
        <v>305</v>
      </c>
      <c r="G131" s="149" t="s">
        <v>173</v>
      </c>
      <c r="H131" s="149" t="s">
        <v>173</v>
      </c>
      <c r="I131" s="149" t="s">
        <v>305</v>
      </c>
      <c r="J131" s="149" t="s">
        <v>305</v>
      </c>
      <c r="K131" s="149" t="s">
        <v>305</v>
      </c>
      <c r="L131" s="155" t="s">
        <v>308</v>
      </c>
      <c r="M131" s="155"/>
      <c r="N131" s="155"/>
      <c r="O131" s="155"/>
      <c r="P131" s="149" t="s">
        <v>174</v>
      </c>
      <c r="Q131" s="149" t="s">
        <v>174</v>
      </c>
      <c r="R131" s="156" t="s">
        <v>304</v>
      </c>
    </row>
    <row r="132" spans="1:18" ht="40" hidden="1" x14ac:dyDescent="0.25">
      <c r="A132" s="154" t="str">
        <f t="shared" si="0"/>
        <v>Chapel for the Visually Impaired (used primarily by residents)</v>
      </c>
      <c r="B132" s="157" t="s">
        <v>534</v>
      </c>
      <c r="C132" s="158" t="s">
        <v>535</v>
      </c>
      <c r="D132" s="158">
        <v>1.06</v>
      </c>
      <c r="E132" s="158">
        <v>4</v>
      </c>
      <c r="F132" s="158" t="s">
        <v>305</v>
      </c>
      <c r="G132" s="158" t="s">
        <v>173</v>
      </c>
      <c r="H132" s="158" t="s">
        <v>173</v>
      </c>
      <c r="I132" s="158" t="s">
        <v>305</v>
      </c>
      <c r="J132" s="158" t="s">
        <v>305</v>
      </c>
      <c r="K132" s="158" t="s">
        <v>305</v>
      </c>
      <c r="L132" s="155" t="s">
        <v>308</v>
      </c>
      <c r="M132" s="155"/>
      <c r="N132" s="155"/>
      <c r="O132" s="155"/>
      <c r="P132" s="158" t="s">
        <v>174</v>
      </c>
      <c r="Q132" s="158" t="s">
        <v>174</v>
      </c>
      <c r="R132" s="156" t="s">
        <v>304</v>
      </c>
    </row>
    <row r="133" spans="1:18" ht="40" hidden="1" x14ac:dyDescent="0.25">
      <c r="A133" s="154" t="str">
        <f t="shared" si="0"/>
        <v>Classroom - Laboratory in or as a classroom</v>
      </c>
      <c r="B133" s="159"/>
      <c r="C133" s="149" t="s">
        <v>536</v>
      </c>
      <c r="D133" s="149">
        <v>1.2</v>
      </c>
      <c r="E133" s="149">
        <v>6</v>
      </c>
      <c r="F133" s="149" t="s">
        <v>305</v>
      </c>
      <c r="G133" s="149" t="s">
        <v>173</v>
      </c>
      <c r="H133" s="149" t="s">
        <v>173</v>
      </c>
      <c r="I133" s="149" t="s">
        <v>305</v>
      </c>
      <c r="J133" s="149" t="s">
        <v>305</v>
      </c>
      <c r="K133" s="149" t="s">
        <v>305</v>
      </c>
      <c r="L133" s="149" t="s">
        <v>305</v>
      </c>
      <c r="M133" s="149"/>
      <c r="N133" s="149"/>
      <c r="O133" s="149"/>
      <c r="P133" s="149" t="s">
        <v>174</v>
      </c>
      <c r="Q133" s="149" t="s">
        <v>174</v>
      </c>
      <c r="R133" s="156" t="s">
        <v>332</v>
      </c>
    </row>
    <row r="134" spans="1:18" ht="50" hidden="1" x14ac:dyDescent="0.25">
      <c r="A134" s="154" t="str">
        <f t="shared" si="0"/>
        <v xml:space="preserve">Classroom/ Lecture Hall/ Training Room in a Penitentiary </v>
      </c>
      <c r="B134" s="156"/>
      <c r="C134" s="149" t="s">
        <v>537</v>
      </c>
      <c r="D134" s="149">
        <v>1.34</v>
      </c>
      <c r="E134" s="149">
        <v>4</v>
      </c>
      <c r="F134" s="149" t="s">
        <v>305</v>
      </c>
      <c r="G134" s="149" t="s">
        <v>173</v>
      </c>
      <c r="H134" s="149" t="s">
        <v>173</v>
      </c>
      <c r="I134" s="149" t="s">
        <v>305</v>
      </c>
      <c r="J134" s="149" t="s">
        <v>305</v>
      </c>
      <c r="K134" s="149" t="s">
        <v>305</v>
      </c>
      <c r="L134" s="155" t="s">
        <v>308</v>
      </c>
      <c r="M134" s="155"/>
      <c r="N134" s="155"/>
      <c r="O134" s="155"/>
      <c r="P134" s="149" t="s">
        <v>305</v>
      </c>
      <c r="Q134" s="149"/>
      <c r="R134" s="156" t="s">
        <v>332</v>
      </c>
    </row>
    <row r="135" spans="1:18" ht="50" hidden="1" x14ac:dyDescent="0.25">
      <c r="A135" s="154" t="str">
        <f t="shared" si="0"/>
        <v>Classrooms/ lecture halls/ training rooms in all other areas</v>
      </c>
      <c r="B135" s="160"/>
      <c r="C135" s="149" t="s">
        <v>538</v>
      </c>
      <c r="D135" s="149">
        <v>0.92</v>
      </c>
      <c r="E135" s="149">
        <v>4</v>
      </c>
      <c r="F135" s="149" t="s">
        <v>305</v>
      </c>
      <c r="G135" s="149" t="s">
        <v>173</v>
      </c>
      <c r="H135" s="149" t="s">
        <v>173</v>
      </c>
      <c r="I135" s="149" t="s">
        <v>305</v>
      </c>
      <c r="J135" s="149" t="s">
        <v>305</v>
      </c>
      <c r="K135" s="149" t="s">
        <v>305</v>
      </c>
      <c r="L135" s="155" t="s">
        <v>308</v>
      </c>
      <c r="M135" s="155"/>
      <c r="N135" s="155"/>
      <c r="O135" s="155"/>
      <c r="P135" s="149" t="s">
        <v>305</v>
      </c>
      <c r="Q135" s="149"/>
      <c r="R135" s="156" t="s">
        <v>332</v>
      </c>
    </row>
    <row r="136" spans="1:18" ht="20" hidden="1" x14ac:dyDescent="0.25">
      <c r="A136" s="154" t="str">
        <f t="shared" si="0"/>
        <v>Computer Room</v>
      </c>
      <c r="B136" s="160"/>
      <c r="C136" s="149" t="s">
        <v>336</v>
      </c>
      <c r="D136" s="149">
        <v>1.33</v>
      </c>
      <c r="E136" s="149">
        <v>4</v>
      </c>
      <c r="F136" s="149" t="s">
        <v>305</v>
      </c>
      <c r="G136" s="149" t="s">
        <v>173</v>
      </c>
      <c r="H136" s="149" t="s">
        <v>173</v>
      </c>
      <c r="I136" s="149" t="s">
        <v>305</v>
      </c>
      <c r="J136" s="149" t="s">
        <v>305</v>
      </c>
      <c r="K136" s="149" t="s">
        <v>305</v>
      </c>
      <c r="L136" s="155" t="s">
        <v>308</v>
      </c>
      <c r="M136" s="155"/>
      <c r="N136" s="155"/>
      <c r="O136" s="155"/>
      <c r="P136" s="149" t="s">
        <v>174</v>
      </c>
      <c r="Q136" s="149" t="s">
        <v>174</v>
      </c>
      <c r="R136" s="156" t="s">
        <v>304</v>
      </c>
    </row>
    <row r="137" spans="1:18" ht="40" hidden="1" x14ac:dyDescent="0.25">
      <c r="A137" s="154" t="str">
        <f t="shared" si="0"/>
        <v>Conference/ Meeting/ Multipurpose Room</v>
      </c>
      <c r="B137" s="159"/>
      <c r="C137" s="149" t="s">
        <v>539</v>
      </c>
      <c r="D137" s="149">
        <v>1.07</v>
      </c>
      <c r="E137" s="149">
        <v>6</v>
      </c>
      <c r="F137" s="149" t="s">
        <v>305</v>
      </c>
      <c r="G137" s="149" t="s">
        <v>173</v>
      </c>
      <c r="H137" s="149" t="s">
        <v>173</v>
      </c>
      <c r="I137" s="149" t="s">
        <v>305</v>
      </c>
      <c r="J137" s="149" t="s">
        <v>305</v>
      </c>
      <c r="K137" s="149" t="s">
        <v>305</v>
      </c>
      <c r="L137" s="155" t="s">
        <v>308</v>
      </c>
      <c r="M137" s="155"/>
      <c r="N137" s="155"/>
      <c r="O137" s="155"/>
      <c r="P137" s="149" t="s">
        <v>305</v>
      </c>
      <c r="Q137" s="149"/>
      <c r="R137" s="156" t="s">
        <v>332</v>
      </c>
    </row>
    <row r="138" spans="1:18" ht="20" hidden="1" x14ac:dyDescent="0.25">
      <c r="A138" s="154" t="str">
        <f t="shared" si="0"/>
        <v>Confinement Cells</v>
      </c>
      <c r="B138" s="159"/>
      <c r="C138" s="149" t="s">
        <v>339</v>
      </c>
      <c r="D138" s="149">
        <v>0.81</v>
      </c>
      <c r="E138" s="149">
        <v>6</v>
      </c>
      <c r="F138" s="149" t="s">
        <v>305</v>
      </c>
      <c r="G138" s="149" t="s">
        <v>173</v>
      </c>
      <c r="H138" s="149" t="s">
        <v>173</v>
      </c>
      <c r="I138" s="149" t="s">
        <v>305</v>
      </c>
      <c r="J138" s="149" t="s">
        <v>305</v>
      </c>
      <c r="K138" s="149" t="s">
        <v>305</v>
      </c>
      <c r="L138" s="155" t="s">
        <v>308</v>
      </c>
      <c r="M138" s="155"/>
      <c r="N138" s="155"/>
      <c r="O138" s="155"/>
      <c r="P138" s="149" t="s">
        <v>174</v>
      </c>
      <c r="Q138" s="149" t="s">
        <v>174</v>
      </c>
      <c r="R138" s="156" t="s">
        <v>304</v>
      </c>
    </row>
    <row r="139" spans="1:18" ht="30" hidden="1" x14ac:dyDescent="0.25">
      <c r="A139" s="154" t="str">
        <f t="shared" si="0"/>
        <v>Convention Center - Exhibit Space</v>
      </c>
      <c r="B139" s="161"/>
      <c r="C139" s="158" t="s">
        <v>540</v>
      </c>
      <c r="D139" s="158">
        <v>0.88</v>
      </c>
      <c r="E139" s="158">
        <v>4</v>
      </c>
      <c r="F139" s="158" t="s">
        <v>305</v>
      </c>
      <c r="G139" s="158" t="s">
        <v>173</v>
      </c>
      <c r="H139" s="158" t="s">
        <v>173</v>
      </c>
      <c r="I139" s="158" t="s">
        <v>305</v>
      </c>
      <c r="J139" s="158" t="s">
        <v>305</v>
      </c>
      <c r="K139" s="158" t="s">
        <v>305</v>
      </c>
      <c r="L139" s="155" t="s">
        <v>308</v>
      </c>
      <c r="M139" s="155"/>
      <c r="N139" s="155"/>
      <c r="O139" s="155"/>
      <c r="P139" s="158" t="s">
        <v>174</v>
      </c>
      <c r="Q139" s="158" t="s">
        <v>174</v>
      </c>
      <c r="R139" s="156" t="s">
        <v>304</v>
      </c>
    </row>
    <row r="140" spans="1:18" ht="20" hidden="1" x14ac:dyDescent="0.25">
      <c r="A140" s="154" t="str">
        <f t="shared" si="0"/>
        <v>Copy/Print Room</v>
      </c>
      <c r="B140" s="159"/>
      <c r="C140" s="149" t="s">
        <v>342</v>
      </c>
      <c r="D140" s="149">
        <v>0.56000000000000005</v>
      </c>
      <c r="E140" s="149">
        <v>6</v>
      </c>
      <c r="F140" s="149" t="s">
        <v>305</v>
      </c>
      <c r="G140" s="149" t="s">
        <v>173</v>
      </c>
      <c r="H140" s="149" t="s">
        <v>173</v>
      </c>
      <c r="I140" s="149" t="s">
        <v>305</v>
      </c>
      <c r="J140" s="149" t="s">
        <v>305</v>
      </c>
      <c r="K140" s="149" t="s">
        <v>305</v>
      </c>
      <c r="L140" s="155" t="s">
        <v>308</v>
      </c>
      <c r="M140" s="155"/>
      <c r="N140" s="155"/>
      <c r="O140" s="155"/>
      <c r="P140" s="149" t="s">
        <v>305</v>
      </c>
      <c r="Q140" s="149"/>
      <c r="R140" s="156" t="s">
        <v>304</v>
      </c>
    </row>
    <row r="141" spans="1:18" ht="60" hidden="1" x14ac:dyDescent="0.25">
      <c r="A141" s="154" t="str">
        <f t="shared" si="0"/>
        <v>Corridor Facility for the visually impaired (and not used primarily by the staff)</v>
      </c>
      <c r="B141" s="154" t="s">
        <v>541</v>
      </c>
      <c r="C141" s="149" t="s">
        <v>542</v>
      </c>
      <c r="D141" s="149">
        <v>0.92</v>
      </c>
      <c r="E141" s="149" t="s">
        <v>344</v>
      </c>
      <c r="F141" s="149" t="s">
        <v>305</v>
      </c>
      <c r="G141" s="155" t="s">
        <v>308</v>
      </c>
      <c r="H141" s="155" t="s">
        <v>308</v>
      </c>
      <c r="I141" s="155" t="s">
        <v>308</v>
      </c>
      <c r="J141" s="149" t="s">
        <v>305</v>
      </c>
      <c r="K141" s="149" t="s">
        <v>305</v>
      </c>
      <c r="L141" s="149" t="s">
        <v>305</v>
      </c>
      <c r="M141" s="149"/>
      <c r="N141" s="149"/>
      <c r="O141" s="149"/>
      <c r="P141" s="149" t="s">
        <v>174</v>
      </c>
      <c r="Q141" s="149" t="s">
        <v>174</v>
      </c>
      <c r="R141" s="156" t="s">
        <v>306</v>
      </c>
    </row>
    <row r="142" spans="1:18" ht="20" hidden="1" x14ac:dyDescent="0.25">
      <c r="A142" s="154" t="str">
        <f t="shared" si="0"/>
        <v>Corridor in all other other areas</v>
      </c>
      <c r="B142" s="154" t="s">
        <v>543</v>
      </c>
      <c r="C142" s="149" t="s">
        <v>544</v>
      </c>
      <c r="D142" s="149">
        <v>0.66</v>
      </c>
      <c r="E142" s="149" t="s">
        <v>344</v>
      </c>
      <c r="F142" s="149" t="s">
        <v>305</v>
      </c>
      <c r="G142" s="155" t="s">
        <v>308</v>
      </c>
      <c r="H142" s="155" t="s">
        <v>308</v>
      </c>
      <c r="I142" s="155" t="s">
        <v>308</v>
      </c>
      <c r="J142" s="149" t="s">
        <v>305</v>
      </c>
      <c r="K142" s="149" t="s">
        <v>305</v>
      </c>
      <c r="L142" s="149" t="s">
        <v>305</v>
      </c>
      <c r="M142" s="149"/>
      <c r="N142" s="149"/>
      <c r="O142" s="149"/>
      <c r="P142" s="149" t="s">
        <v>174</v>
      </c>
      <c r="Q142" s="149" t="s">
        <v>174</v>
      </c>
      <c r="R142" s="156" t="s">
        <v>306</v>
      </c>
    </row>
    <row r="143" spans="1:18" hidden="1" x14ac:dyDescent="0.25">
      <c r="A143" s="154" t="str">
        <f t="shared" si="0"/>
        <v>Corridor in a Hospital</v>
      </c>
      <c r="B143" s="154" t="s">
        <v>545</v>
      </c>
      <c r="C143" s="149" t="s">
        <v>266</v>
      </c>
      <c r="D143" s="149">
        <v>0.92</v>
      </c>
      <c r="E143" s="149" t="s">
        <v>344</v>
      </c>
      <c r="F143" s="149" t="s">
        <v>305</v>
      </c>
      <c r="G143" s="155" t="s">
        <v>308</v>
      </c>
      <c r="H143" s="155" t="s">
        <v>308</v>
      </c>
      <c r="I143" s="155" t="s">
        <v>308</v>
      </c>
      <c r="J143" s="149" t="s">
        <v>305</v>
      </c>
      <c r="K143" s="149" t="s">
        <v>305</v>
      </c>
      <c r="L143" s="149" t="s">
        <v>305</v>
      </c>
      <c r="M143" s="149"/>
      <c r="N143" s="149"/>
      <c r="O143" s="149"/>
      <c r="P143" s="149" t="s">
        <v>174</v>
      </c>
      <c r="Q143" s="149" t="s">
        <v>174</v>
      </c>
      <c r="R143" s="156" t="s">
        <v>306</v>
      </c>
    </row>
    <row r="144" spans="1:18" ht="20" hidden="1" x14ac:dyDescent="0.25">
      <c r="A144" s="154" t="str">
        <f t="shared" si="0"/>
        <v>Corridor in a Manufacturing facility</v>
      </c>
      <c r="B144" s="154" t="s">
        <v>545</v>
      </c>
      <c r="C144" s="149" t="s">
        <v>546</v>
      </c>
      <c r="D144" s="149">
        <v>0.28999999999999998</v>
      </c>
      <c r="E144" s="149" t="s">
        <v>344</v>
      </c>
      <c r="F144" s="149" t="s">
        <v>305</v>
      </c>
      <c r="G144" s="155" t="s">
        <v>308</v>
      </c>
      <c r="H144" s="155" t="s">
        <v>308</v>
      </c>
      <c r="I144" s="155" t="s">
        <v>308</v>
      </c>
      <c r="J144" s="149" t="s">
        <v>305</v>
      </c>
      <c r="K144" s="149" t="s">
        <v>305</v>
      </c>
      <c r="L144" s="155" t="s">
        <v>308</v>
      </c>
      <c r="M144" s="155"/>
      <c r="N144" s="155"/>
      <c r="O144" s="155"/>
      <c r="P144" s="149" t="s">
        <v>174</v>
      </c>
      <c r="Q144" s="149" t="s">
        <v>174</v>
      </c>
      <c r="R144" s="156" t="s">
        <v>306</v>
      </c>
    </row>
    <row r="145" spans="1:18" hidden="1" x14ac:dyDescent="0.25">
      <c r="A145" s="154" t="str">
        <f t="shared" si="0"/>
        <v>Courtroom</v>
      </c>
      <c r="B145" s="160"/>
      <c r="C145" s="149" t="s">
        <v>354</v>
      </c>
      <c r="D145" s="149">
        <v>1.39</v>
      </c>
      <c r="E145" s="149">
        <v>6</v>
      </c>
      <c r="F145" s="149" t="s">
        <v>305</v>
      </c>
      <c r="G145" s="149" t="s">
        <v>173</v>
      </c>
      <c r="H145" s="149" t="s">
        <v>173</v>
      </c>
      <c r="I145" s="149" t="s">
        <v>305</v>
      </c>
      <c r="J145" s="149" t="s">
        <v>305</v>
      </c>
      <c r="K145" s="149" t="s">
        <v>305</v>
      </c>
      <c r="L145" s="155" t="s">
        <v>308</v>
      </c>
      <c r="M145" s="155"/>
      <c r="N145" s="155"/>
      <c r="O145" s="155"/>
      <c r="P145" s="149" t="s">
        <v>174</v>
      </c>
      <c r="Q145" s="149" t="s">
        <v>174</v>
      </c>
      <c r="R145" s="156" t="s">
        <v>304</v>
      </c>
    </row>
    <row r="146" spans="1:18" ht="20" hidden="1" x14ac:dyDescent="0.25">
      <c r="A146" s="154" t="str">
        <f t="shared" si="0"/>
        <v>Dining Area in all other dining areas</v>
      </c>
      <c r="B146" s="154" t="s">
        <v>547</v>
      </c>
      <c r="C146" s="149" t="s">
        <v>548</v>
      </c>
      <c r="D146" s="149">
        <v>0.63</v>
      </c>
      <c r="E146" s="149">
        <v>4</v>
      </c>
      <c r="F146" s="149" t="s">
        <v>305</v>
      </c>
      <c r="G146" s="149" t="s">
        <v>173</v>
      </c>
      <c r="H146" s="149" t="s">
        <v>173</v>
      </c>
      <c r="I146" s="149" t="s">
        <v>305</v>
      </c>
      <c r="J146" s="149" t="s">
        <v>305</v>
      </c>
      <c r="K146" s="149" t="s">
        <v>305</v>
      </c>
      <c r="L146" s="155" t="s">
        <v>308</v>
      </c>
      <c r="M146" s="155"/>
      <c r="N146" s="155"/>
      <c r="O146" s="155"/>
      <c r="P146" s="149" t="s">
        <v>174</v>
      </c>
      <c r="Q146" s="149" t="s">
        <v>174</v>
      </c>
      <c r="R146" s="156" t="s">
        <v>306</v>
      </c>
    </row>
    <row r="147" spans="1:18" ht="20" hidden="1" x14ac:dyDescent="0.25">
      <c r="A147" s="154" t="str">
        <f t="shared" si="0"/>
        <v>Dining Area in a Bar/lounge or leisure dining</v>
      </c>
      <c r="B147" s="154" t="s">
        <v>549</v>
      </c>
      <c r="C147" s="149" t="s">
        <v>550</v>
      </c>
      <c r="D147" s="149">
        <v>0.93</v>
      </c>
      <c r="E147" s="149">
        <v>4</v>
      </c>
      <c r="F147" s="149" t="s">
        <v>305</v>
      </c>
      <c r="G147" s="149" t="s">
        <v>173</v>
      </c>
      <c r="H147" s="149" t="s">
        <v>173</v>
      </c>
      <c r="I147" s="149" t="s">
        <v>305</v>
      </c>
      <c r="J147" s="149" t="s">
        <v>305</v>
      </c>
      <c r="K147" s="149" t="s">
        <v>305</v>
      </c>
      <c r="L147" s="155" t="s">
        <v>308</v>
      </c>
      <c r="M147" s="155"/>
      <c r="N147" s="155"/>
      <c r="O147" s="155"/>
      <c r="P147" s="149" t="s">
        <v>174</v>
      </c>
      <c r="Q147" s="149" t="s">
        <v>174</v>
      </c>
      <c r="R147" s="156" t="s">
        <v>306</v>
      </c>
    </row>
    <row r="148" spans="1:18" ht="20" hidden="1" x14ac:dyDescent="0.25">
      <c r="A148" s="154" t="str">
        <f t="shared" si="0"/>
        <v>Dining Area in a Cafeteria or fast food dining</v>
      </c>
      <c r="B148" s="154" t="s">
        <v>549</v>
      </c>
      <c r="C148" s="149" t="s">
        <v>551</v>
      </c>
      <c r="D148" s="149">
        <v>0.63</v>
      </c>
      <c r="E148" s="149">
        <v>4</v>
      </c>
      <c r="F148" s="149" t="s">
        <v>305</v>
      </c>
      <c r="G148" s="149" t="s">
        <v>173</v>
      </c>
      <c r="H148" s="149" t="s">
        <v>173</v>
      </c>
      <c r="I148" s="149" t="s">
        <v>305</v>
      </c>
      <c r="J148" s="149" t="s">
        <v>305</v>
      </c>
      <c r="K148" s="149" t="s">
        <v>305</v>
      </c>
      <c r="L148" s="155" t="s">
        <v>308</v>
      </c>
      <c r="M148" s="155"/>
      <c r="N148" s="155"/>
      <c r="O148" s="155"/>
      <c r="P148" s="149" t="s">
        <v>174</v>
      </c>
      <c r="Q148" s="149" t="s">
        <v>174</v>
      </c>
      <c r="R148" s="156" t="s">
        <v>306</v>
      </c>
    </row>
    <row r="149" spans="1:18" ht="80" hidden="1" x14ac:dyDescent="0.25">
      <c r="A149" s="154" t="str">
        <f t="shared" si="0"/>
        <v>Dining Area in a Facility for the visually impaired (and not u(and not used primarily by staff)sed primarily by the staff)</v>
      </c>
      <c r="B149" s="154" t="s">
        <v>549</v>
      </c>
      <c r="C149" s="149" t="s">
        <v>552</v>
      </c>
      <c r="D149" s="149">
        <v>2</v>
      </c>
      <c r="E149" s="149">
        <v>4</v>
      </c>
      <c r="F149" s="149" t="s">
        <v>305</v>
      </c>
      <c r="G149" s="149" t="s">
        <v>173</v>
      </c>
      <c r="H149" s="149" t="s">
        <v>173</v>
      </c>
      <c r="I149" s="149" t="s">
        <v>305</v>
      </c>
      <c r="J149" s="149" t="s">
        <v>305</v>
      </c>
      <c r="K149" s="149" t="s">
        <v>305</v>
      </c>
      <c r="L149" s="155" t="s">
        <v>308</v>
      </c>
      <c r="M149" s="155"/>
      <c r="N149" s="155"/>
      <c r="O149" s="155"/>
      <c r="P149" s="149" t="s">
        <v>174</v>
      </c>
      <c r="Q149" s="149" t="s">
        <v>174</v>
      </c>
      <c r="R149" s="156" t="s">
        <v>306</v>
      </c>
    </row>
    <row r="150" spans="1:18" ht="20" hidden="1" x14ac:dyDescent="0.25">
      <c r="A150" s="154" t="str">
        <f t="shared" si="0"/>
        <v>Dining Area in a Family dining area</v>
      </c>
      <c r="B150" s="154" t="s">
        <v>549</v>
      </c>
      <c r="C150" s="149" t="s">
        <v>553</v>
      </c>
      <c r="D150" s="149">
        <v>0.71</v>
      </c>
      <c r="E150" s="149">
        <v>4</v>
      </c>
      <c r="F150" s="149" t="s">
        <v>305</v>
      </c>
      <c r="G150" s="149" t="s">
        <v>173</v>
      </c>
      <c r="H150" s="149" t="s">
        <v>173</v>
      </c>
      <c r="I150" s="149" t="s">
        <v>305</v>
      </c>
      <c r="J150" s="149" t="s">
        <v>305</v>
      </c>
      <c r="K150" s="149" t="s">
        <v>305</v>
      </c>
      <c r="L150" s="155" t="s">
        <v>308</v>
      </c>
      <c r="M150" s="155"/>
      <c r="N150" s="155"/>
      <c r="O150" s="155"/>
      <c r="P150" s="149" t="s">
        <v>174</v>
      </c>
      <c r="Q150" s="149" t="s">
        <v>174</v>
      </c>
      <c r="R150" s="156" t="s">
        <v>306</v>
      </c>
    </row>
    <row r="151" spans="1:18" ht="20" hidden="1" x14ac:dyDescent="0.25">
      <c r="A151" s="154" t="str">
        <f t="shared" si="0"/>
        <v>Dining Area in a Penitentiary</v>
      </c>
      <c r="B151" s="154" t="s">
        <v>549</v>
      </c>
      <c r="C151" s="149" t="s">
        <v>275</v>
      </c>
      <c r="D151" s="149">
        <v>0.96</v>
      </c>
      <c r="E151" s="149">
        <v>6</v>
      </c>
      <c r="F151" s="149" t="s">
        <v>305</v>
      </c>
      <c r="G151" s="149" t="s">
        <v>173</v>
      </c>
      <c r="H151" s="149" t="s">
        <v>173</v>
      </c>
      <c r="I151" s="149" t="s">
        <v>305</v>
      </c>
      <c r="J151" s="149" t="s">
        <v>305</v>
      </c>
      <c r="K151" s="149" t="s">
        <v>305</v>
      </c>
      <c r="L151" s="155" t="s">
        <v>308</v>
      </c>
      <c r="M151" s="155"/>
      <c r="N151" s="155"/>
      <c r="O151" s="155"/>
      <c r="P151" s="149" t="s">
        <v>174</v>
      </c>
      <c r="Q151" s="149" t="s">
        <v>174</v>
      </c>
      <c r="R151" s="156" t="s">
        <v>306</v>
      </c>
    </row>
    <row r="152" spans="1:18" ht="20" hidden="1" x14ac:dyDescent="0.25">
      <c r="A152" s="154" t="str">
        <f t="shared" si="0"/>
        <v>Dormitory - Living Quarters</v>
      </c>
      <c r="B152" s="161"/>
      <c r="C152" s="158" t="s">
        <v>368</v>
      </c>
      <c r="D152" s="158">
        <v>0.54</v>
      </c>
      <c r="E152" s="158">
        <v>8</v>
      </c>
      <c r="F152" s="158" t="s">
        <v>305</v>
      </c>
      <c r="G152" s="162" t="s">
        <v>308</v>
      </c>
      <c r="H152" s="162" t="s">
        <v>308</v>
      </c>
      <c r="I152" s="162" t="s">
        <v>308</v>
      </c>
      <c r="J152" s="158"/>
      <c r="K152" s="158"/>
      <c r="L152" s="155" t="s">
        <v>308</v>
      </c>
      <c r="M152" s="155"/>
      <c r="N152" s="155"/>
      <c r="O152" s="155"/>
      <c r="P152" s="158"/>
      <c r="Q152" s="158"/>
      <c r="R152" s="156" t="s">
        <v>304</v>
      </c>
    </row>
    <row r="153" spans="1:18" ht="20" hidden="1" x14ac:dyDescent="0.25">
      <c r="A153" s="154" t="str">
        <f t="shared" si="0"/>
        <v>Electrical/Mechanical Room</v>
      </c>
      <c r="B153" s="159"/>
      <c r="C153" s="149" t="s">
        <v>369</v>
      </c>
      <c r="D153" s="149">
        <v>0.43</v>
      </c>
      <c r="E153" s="149">
        <v>6</v>
      </c>
      <c r="F153" s="149" t="s">
        <v>305</v>
      </c>
      <c r="G153" s="155" t="s">
        <v>308</v>
      </c>
      <c r="H153" s="155" t="s">
        <v>308</v>
      </c>
      <c r="I153" s="155" t="s">
        <v>308</v>
      </c>
      <c r="J153" s="149" t="s">
        <v>305</v>
      </c>
      <c r="K153" s="149" t="s">
        <v>305</v>
      </c>
      <c r="L153" s="155" t="s">
        <v>308</v>
      </c>
      <c r="M153" s="155"/>
      <c r="N153" s="155"/>
      <c r="O153" s="155"/>
      <c r="P153" s="149"/>
      <c r="Q153" s="149"/>
      <c r="R153" s="156" t="s">
        <v>304</v>
      </c>
    </row>
    <row r="154" spans="1:18" ht="30" hidden="1" x14ac:dyDescent="0.25">
      <c r="A154" s="154" t="str">
        <f t="shared" si="0"/>
        <v>Emergency Vehicle Garage</v>
      </c>
      <c r="B154" s="159"/>
      <c r="C154" s="149" t="s">
        <v>370</v>
      </c>
      <c r="D154" s="149">
        <v>0.41</v>
      </c>
      <c r="E154" s="149">
        <v>4</v>
      </c>
      <c r="F154" s="149" t="s">
        <v>305</v>
      </c>
      <c r="G154" s="149" t="s">
        <v>173</v>
      </c>
      <c r="H154" s="149" t="s">
        <v>173</v>
      </c>
      <c r="I154" s="155" t="s">
        <v>308</v>
      </c>
      <c r="J154" s="149" t="s">
        <v>305</v>
      </c>
      <c r="K154" s="149" t="s">
        <v>305</v>
      </c>
      <c r="L154" s="155" t="s">
        <v>308</v>
      </c>
      <c r="M154" s="155"/>
      <c r="N154" s="155"/>
      <c r="O154" s="155"/>
      <c r="P154" s="149" t="s">
        <v>174</v>
      </c>
      <c r="Q154" s="149" t="s">
        <v>174</v>
      </c>
      <c r="R154" s="156" t="s">
        <v>304</v>
      </c>
    </row>
    <row r="155" spans="1:18" ht="30" hidden="1" x14ac:dyDescent="0.25">
      <c r="A155" s="154" t="str">
        <f t="shared" si="0"/>
        <v>Fire Station - Sleeping Quarters</v>
      </c>
      <c r="B155" s="161"/>
      <c r="C155" s="158" t="s">
        <v>372</v>
      </c>
      <c r="D155" s="158">
        <v>0.2</v>
      </c>
      <c r="E155" s="158">
        <v>6</v>
      </c>
      <c r="F155" s="158" t="s">
        <v>305</v>
      </c>
      <c r="G155" s="162" t="s">
        <v>308</v>
      </c>
      <c r="H155" s="162" t="s">
        <v>308</v>
      </c>
      <c r="I155" s="162" t="s">
        <v>308</v>
      </c>
      <c r="J155" s="158"/>
      <c r="K155" s="158"/>
      <c r="L155" s="155" t="s">
        <v>308</v>
      </c>
      <c r="M155" s="155"/>
      <c r="N155" s="155"/>
      <c r="O155" s="155"/>
      <c r="P155" s="158"/>
      <c r="Q155" s="158"/>
      <c r="R155" s="156" t="s">
        <v>304</v>
      </c>
    </row>
    <row r="156" spans="1:18" ht="30" hidden="1" x14ac:dyDescent="0.25">
      <c r="A156" s="154" t="str">
        <f t="shared" si="0"/>
        <v>Food Preparation Area</v>
      </c>
      <c r="B156" s="159"/>
      <c r="C156" s="149" t="s">
        <v>374</v>
      </c>
      <c r="D156" s="149">
        <v>1.06</v>
      </c>
      <c r="E156" s="149">
        <v>6</v>
      </c>
      <c r="F156" s="149" t="s">
        <v>305</v>
      </c>
      <c r="G156" s="149" t="s">
        <v>173</v>
      </c>
      <c r="H156" s="149" t="s">
        <v>173</v>
      </c>
      <c r="I156" s="149" t="s">
        <v>305</v>
      </c>
      <c r="J156" s="149" t="s">
        <v>305</v>
      </c>
      <c r="K156" s="149" t="s">
        <v>305</v>
      </c>
      <c r="L156" s="155" t="s">
        <v>308</v>
      </c>
      <c r="M156" s="155"/>
      <c r="N156" s="155"/>
      <c r="O156" s="155"/>
      <c r="P156" s="149" t="s">
        <v>174</v>
      </c>
      <c r="Q156" s="149" t="s">
        <v>174</v>
      </c>
      <c r="R156" s="156" t="s">
        <v>304</v>
      </c>
    </row>
    <row r="157" spans="1:18" ht="20" hidden="1" x14ac:dyDescent="0.25">
      <c r="A157" s="154" t="str">
        <f t="shared" si="0"/>
        <v>Guest Room</v>
      </c>
      <c r="B157" s="159"/>
      <c r="C157" s="149" t="s">
        <v>376</v>
      </c>
      <c r="D157" s="149">
        <v>0.77</v>
      </c>
      <c r="E157" s="149">
        <v>6</v>
      </c>
      <c r="F157" s="149" t="s">
        <v>554</v>
      </c>
      <c r="G157" s="149" t="s">
        <v>554</v>
      </c>
      <c r="H157" s="149" t="s">
        <v>554</v>
      </c>
      <c r="I157" s="149" t="s">
        <v>554</v>
      </c>
      <c r="J157" s="149" t="s">
        <v>554</v>
      </c>
      <c r="K157" s="149" t="s">
        <v>554</v>
      </c>
      <c r="L157" s="149" t="s">
        <v>554</v>
      </c>
      <c r="M157" s="149"/>
      <c r="N157" s="149"/>
      <c r="O157" s="149"/>
      <c r="P157" s="149" t="s">
        <v>554</v>
      </c>
      <c r="Q157" s="149" t="s">
        <v>554</v>
      </c>
      <c r="R157" s="156" t="s">
        <v>304</v>
      </c>
    </row>
    <row r="158" spans="1:18" ht="20" hidden="1" x14ac:dyDescent="0.25">
      <c r="A158" s="154" t="str">
        <f t="shared" si="0"/>
        <v>Gymnasium/Fitness Center Exercise area</v>
      </c>
      <c r="B158" s="157" t="s">
        <v>555</v>
      </c>
      <c r="C158" s="158" t="s">
        <v>556</v>
      </c>
      <c r="D158" s="158">
        <v>0.5</v>
      </c>
      <c r="E158" s="158">
        <v>4</v>
      </c>
      <c r="F158" s="158" t="s">
        <v>305</v>
      </c>
      <c r="G158" s="158" t="s">
        <v>173</v>
      </c>
      <c r="H158" s="158" t="s">
        <v>173</v>
      </c>
      <c r="I158" s="158" t="s">
        <v>305</v>
      </c>
      <c r="J158" s="158" t="s">
        <v>305</v>
      </c>
      <c r="K158" s="158" t="s">
        <v>305</v>
      </c>
      <c r="L158" s="162" t="s">
        <v>308</v>
      </c>
      <c r="M158" s="162"/>
      <c r="N158" s="162"/>
      <c r="O158" s="162"/>
      <c r="P158" s="158" t="s">
        <v>174</v>
      </c>
      <c r="Q158" s="158" t="s">
        <v>174</v>
      </c>
      <c r="R158" s="156" t="s">
        <v>306</v>
      </c>
    </row>
    <row r="159" spans="1:18" ht="20" hidden="1" x14ac:dyDescent="0.25">
      <c r="A159" s="154" t="str">
        <f t="shared" si="0"/>
        <v>Gymnasium/Fitness Center Playing area</v>
      </c>
      <c r="B159" s="157" t="s">
        <v>555</v>
      </c>
      <c r="C159" s="158" t="s">
        <v>557</v>
      </c>
      <c r="D159" s="158">
        <v>0.82</v>
      </c>
      <c r="E159" s="158">
        <v>4</v>
      </c>
      <c r="F159" s="158" t="s">
        <v>305</v>
      </c>
      <c r="G159" s="158" t="s">
        <v>173</v>
      </c>
      <c r="H159" s="158" t="s">
        <v>173</v>
      </c>
      <c r="I159" s="158" t="s">
        <v>305</v>
      </c>
      <c r="J159" s="158" t="s">
        <v>305</v>
      </c>
      <c r="K159" s="158" t="s">
        <v>305</v>
      </c>
      <c r="L159" s="162" t="s">
        <v>308</v>
      </c>
      <c r="M159" s="162"/>
      <c r="N159" s="162"/>
      <c r="O159" s="162"/>
      <c r="P159" s="158" t="s">
        <v>174</v>
      </c>
      <c r="Q159" s="158" t="s">
        <v>174</v>
      </c>
      <c r="R159" s="156" t="s">
        <v>306</v>
      </c>
    </row>
    <row r="160" spans="1:18" ht="20" hidden="1" x14ac:dyDescent="0.25">
      <c r="A160" s="154" t="str">
        <f t="shared" si="0"/>
        <v>Healthcare Facility - Exam/treatment room</v>
      </c>
      <c r="B160" s="157" t="s">
        <v>558</v>
      </c>
      <c r="C160" s="158" t="s">
        <v>559</v>
      </c>
      <c r="D160" s="158">
        <v>1.68</v>
      </c>
      <c r="E160" s="158">
        <v>8</v>
      </c>
      <c r="F160" s="158" t="s">
        <v>305</v>
      </c>
      <c r="G160" s="162" t="s">
        <v>308</v>
      </c>
      <c r="H160" s="162" t="s">
        <v>308</v>
      </c>
      <c r="I160" s="158" t="s">
        <v>305</v>
      </c>
      <c r="J160" s="158" t="s">
        <v>305</v>
      </c>
      <c r="K160" s="158" t="s">
        <v>305</v>
      </c>
      <c r="L160" s="162" t="s">
        <v>308</v>
      </c>
      <c r="M160" s="162"/>
      <c r="N160" s="162"/>
      <c r="O160" s="162"/>
      <c r="P160" s="158" t="s">
        <v>174</v>
      </c>
      <c r="Q160" s="158" t="s">
        <v>174</v>
      </c>
      <c r="R160" s="156" t="s">
        <v>304</v>
      </c>
    </row>
    <row r="161" spans="1:18" ht="20" hidden="1" x14ac:dyDescent="0.25">
      <c r="A161" s="154" t="str">
        <f t="shared" si="0"/>
        <v>Healthcare Facility - Imaging room</v>
      </c>
      <c r="B161" s="157" t="s">
        <v>558</v>
      </c>
      <c r="C161" s="158" t="s">
        <v>560</v>
      </c>
      <c r="D161" s="158">
        <v>1.06</v>
      </c>
      <c r="E161" s="158">
        <v>6</v>
      </c>
      <c r="F161" s="158" t="s">
        <v>305</v>
      </c>
      <c r="G161" s="162" t="s">
        <v>308</v>
      </c>
      <c r="H161" s="162" t="s">
        <v>308</v>
      </c>
      <c r="I161" s="158" t="s">
        <v>305</v>
      </c>
      <c r="J161" s="158"/>
      <c r="K161" s="158"/>
      <c r="L161" s="162" t="s">
        <v>308</v>
      </c>
      <c r="M161" s="162"/>
      <c r="N161" s="162"/>
      <c r="O161" s="162"/>
      <c r="P161" s="158" t="s">
        <v>174</v>
      </c>
      <c r="Q161" s="158" t="s">
        <v>174</v>
      </c>
      <c r="R161" s="156" t="s">
        <v>304</v>
      </c>
    </row>
    <row r="162" spans="1:18" ht="20" hidden="1" x14ac:dyDescent="0.25">
      <c r="A162" s="154" t="str">
        <f t="shared" si="0"/>
        <v>Healthcare Facility - Medical supply room</v>
      </c>
      <c r="B162" s="157" t="s">
        <v>558</v>
      </c>
      <c r="C162" s="158" t="s">
        <v>561</v>
      </c>
      <c r="D162" s="158">
        <v>0.54</v>
      </c>
      <c r="E162" s="158">
        <v>6</v>
      </c>
      <c r="F162" s="158" t="s">
        <v>562</v>
      </c>
      <c r="G162" s="158" t="s">
        <v>562</v>
      </c>
      <c r="H162" s="158" t="s">
        <v>562</v>
      </c>
      <c r="I162" s="158" t="s">
        <v>562</v>
      </c>
      <c r="J162" s="158" t="s">
        <v>562</v>
      </c>
      <c r="K162" s="158" t="s">
        <v>562</v>
      </c>
      <c r="L162" s="158" t="s">
        <v>562</v>
      </c>
      <c r="M162" s="158"/>
      <c r="N162" s="158"/>
      <c r="O162" s="158"/>
      <c r="P162" s="158" t="s">
        <v>562</v>
      </c>
      <c r="Q162" s="158" t="s">
        <v>562</v>
      </c>
      <c r="R162" s="156" t="s">
        <v>304</v>
      </c>
    </row>
    <row r="163" spans="1:18" ht="20" hidden="1" x14ac:dyDescent="0.25">
      <c r="A163" s="154" t="str">
        <f t="shared" si="0"/>
        <v>Healthcare Facility - Nurse’s station</v>
      </c>
      <c r="B163" s="157" t="s">
        <v>558</v>
      </c>
      <c r="C163" s="158" t="s">
        <v>563</v>
      </c>
      <c r="D163" s="158">
        <v>0.81</v>
      </c>
      <c r="E163" s="158">
        <v>6</v>
      </c>
      <c r="F163" s="158" t="s">
        <v>305</v>
      </c>
      <c r="G163" s="162" t="s">
        <v>308</v>
      </c>
      <c r="H163" s="162" t="s">
        <v>308</v>
      </c>
      <c r="I163" s="158" t="s">
        <v>305</v>
      </c>
      <c r="J163" s="158" t="s">
        <v>305</v>
      </c>
      <c r="K163" s="158" t="s">
        <v>305</v>
      </c>
      <c r="L163" s="162" t="s">
        <v>308</v>
      </c>
      <c r="M163" s="162"/>
      <c r="N163" s="162"/>
      <c r="O163" s="162"/>
      <c r="P163" s="158" t="s">
        <v>174</v>
      </c>
      <c r="Q163" s="158" t="s">
        <v>174</v>
      </c>
      <c r="R163" s="156" t="s">
        <v>304</v>
      </c>
    </row>
    <row r="164" spans="1:18" ht="20" hidden="1" x14ac:dyDescent="0.25">
      <c r="A164" s="154" t="str">
        <f t="shared" si="0"/>
        <v>Healthcare Facility - Nursery</v>
      </c>
      <c r="B164" s="157" t="s">
        <v>558</v>
      </c>
      <c r="C164" s="158" t="s">
        <v>564</v>
      </c>
      <c r="D164" s="158">
        <v>1</v>
      </c>
      <c r="E164" s="158">
        <v>6</v>
      </c>
      <c r="F164" s="158" t="s">
        <v>305</v>
      </c>
      <c r="G164" s="162" t="s">
        <v>308</v>
      </c>
      <c r="H164" s="162" t="s">
        <v>308</v>
      </c>
      <c r="I164" s="158" t="s">
        <v>305</v>
      </c>
      <c r="J164" s="158" t="s">
        <v>305</v>
      </c>
      <c r="K164" s="158" t="s">
        <v>305</v>
      </c>
      <c r="L164" s="162" t="s">
        <v>308</v>
      </c>
      <c r="M164" s="162"/>
      <c r="N164" s="162"/>
      <c r="O164" s="162"/>
      <c r="P164" s="158" t="s">
        <v>174</v>
      </c>
      <c r="Q164" s="158" t="s">
        <v>174</v>
      </c>
      <c r="R164" s="156" t="s">
        <v>304</v>
      </c>
    </row>
    <row r="165" spans="1:18" ht="20" hidden="1" x14ac:dyDescent="0.25">
      <c r="A165" s="154" t="str">
        <f t="shared" si="0"/>
        <v>Healthcare Facility - Operating room</v>
      </c>
      <c r="B165" s="157" t="s">
        <v>558</v>
      </c>
      <c r="C165" s="158" t="s">
        <v>565</v>
      </c>
      <c r="D165" s="158">
        <v>2.17</v>
      </c>
      <c r="E165" s="158">
        <v>6</v>
      </c>
      <c r="F165" s="158" t="s">
        <v>305</v>
      </c>
      <c r="G165" s="162" t="s">
        <v>308</v>
      </c>
      <c r="H165" s="162" t="s">
        <v>308</v>
      </c>
      <c r="I165" s="158" t="s">
        <v>305</v>
      </c>
      <c r="J165" s="158"/>
      <c r="K165" s="158"/>
      <c r="L165" s="162" t="s">
        <v>308</v>
      </c>
      <c r="M165" s="162"/>
      <c r="N165" s="162"/>
      <c r="O165" s="162"/>
      <c r="P165" s="158" t="s">
        <v>174</v>
      </c>
      <c r="Q165" s="158" t="s">
        <v>174</v>
      </c>
      <c r="R165" s="156" t="s">
        <v>304</v>
      </c>
    </row>
    <row r="166" spans="1:18" ht="20" hidden="1" x14ac:dyDescent="0.25">
      <c r="A166" s="154" t="str">
        <f t="shared" si="0"/>
        <v>Healthcare Facility - Patient room</v>
      </c>
      <c r="B166" s="157" t="s">
        <v>558</v>
      </c>
      <c r="C166" s="158" t="s">
        <v>566</v>
      </c>
      <c r="D166" s="158">
        <v>0.62</v>
      </c>
      <c r="E166" s="158">
        <v>6</v>
      </c>
      <c r="F166" s="158" t="s">
        <v>305</v>
      </c>
      <c r="G166" s="162" t="s">
        <v>308</v>
      </c>
      <c r="H166" s="162" t="s">
        <v>308</v>
      </c>
      <c r="I166" s="158" t="s">
        <v>305</v>
      </c>
      <c r="J166" s="158" t="s">
        <v>305</v>
      </c>
      <c r="K166" s="158" t="s">
        <v>305</v>
      </c>
      <c r="L166" s="162" t="s">
        <v>308</v>
      </c>
      <c r="M166" s="162"/>
      <c r="N166" s="162"/>
      <c r="O166" s="162"/>
      <c r="P166" s="158" t="s">
        <v>174</v>
      </c>
      <c r="Q166" s="158" t="s">
        <v>174</v>
      </c>
      <c r="R166" s="156" t="s">
        <v>304</v>
      </c>
    </row>
    <row r="167" spans="1:18" ht="20" hidden="1" x14ac:dyDescent="0.25">
      <c r="A167" s="154" t="str">
        <f t="shared" si="0"/>
        <v>Healthcare Facility - Physical therapy room</v>
      </c>
      <c r="B167" s="157" t="s">
        <v>558</v>
      </c>
      <c r="C167" s="158" t="s">
        <v>567</v>
      </c>
      <c r="D167" s="158">
        <v>0.84</v>
      </c>
      <c r="E167" s="158">
        <v>6</v>
      </c>
      <c r="F167" s="158" t="s">
        <v>305</v>
      </c>
      <c r="G167" s="162" t="s">
        <v>308</v>
      </c>
      <c r="H167" s="162" t="s">
        <v>308</v>
      </c>
      <c r="I167" s="158" t="s">
        <v>305</v>
      </c>
      <c r="J167" s="158" t="s">
        <v>305</v>
      </c>
      <c r="K167" s="158" t="s">
        <v>305</v>
      </c>
      <c r="L167" s="162" t="s">
        <v>308</v>
      </c>
      <c r="M167" s="162"/>
      <c r="N167" s="162"/>
      <c r="O167" s="162"/>
      <c r="P167" s="158" t="s">
        <v>174</v>
      </c>
      <c r="Q167" s="158" t="s">
        <v>174</v>
      </c>
      <c r="R167" s="156" t="s">
        <v>304</v>
      </c>
    </row>
    <row r="168" spans="1:18" ht="20" hidden="1" x14ac:dyDescent="0.25">
      <c r="A168" s="154" t="str">
        <f t="shared" si="0"/>
        <v>Healthcare Facility - Recovery room</v>
      </c>
      <c r="B168" s="157" t="s">
        <v>558</v>
      </c>
      <c r="C168" s="158" t="s">
        <v>568</v>
      </c>
      <c r="D168" s="158">
        <v>1.03</v>
      </c>
      <c r="E168" s="158">
        <v>6</v>
      </c>
      <c r="F168" s="158" t="s">
        <v>305</v>
      </c>
      <c r="G168" s="162" t="s">
        <v>308</v>
      </c>
      <c r="H168" s="162" t="s">
        <v>308</v>
      </c>
      <c r="I168" s="158" t="s">
        <v>305</v>
      </c>
      <c r="J168" s="158" t="s">
        <v>305</v>
      </c>
      <c r="K168" s="158" t="s">
        <v>305</v>
      </c>
      <c r="L168" s="162" t="s">
        <v>308</v>
      </c>
      <c r="M168" s="162"/>
      <c r="N168" s="162"/>
      <c r="O168" s="162"/>
      <c r="P168" s="158" t="s">
        <v>174</v>
      </c>
      <c r="Q168" s="158" t="s">
        <v>174</v>
      </c>
      <c r="R168" s="156" t="s">
        <v>304</v>
      </c>
    </row>
    <row r="169" spans="1:18" ht="30" hidden="1" x14ac:dyDescent="0.25">
      <c r="A169" s="154" t="str">
        <f t="shared" si="0"/>
        <v>Laboratories - not in or as a classroom</v>
      </c>
      <c r="B169" s="159"/>
      <c r="C169" s="149" t="s">
        <v>569</v>
      </c>
      <c r="D169" s="149">
        <v>1.45</v>
      </c>
      <c r="E169" s="149">
        <v>6</v>
      </c>
      <c r="F169" s="149" t="s">
        <v>305</v>
      </c>
      <c r="G169" s="149" t="s">
        <v>173</v>
      </c>
      <c r="H169" s="149" t="s">
        <v>173</v>
      </c>
      <c r="I169" s="149" t="s">
        <v>305</v>
      </c>
      <c r="J169" s="149" t="s">
        <v>305</v>
      </c>
      <c r="K169" s="149" t="s">
        <v>305</v>
      </c>
      <c r="L169" s="162" t="s">
        <v>308</v>
      </c>
      <c r="M169" s="162"/>
      <c r="N169" s="162"/>
      <c r="O169" s="162"/>
      <c r="P169" s="149" t="s">
        <v>174</v>
      </c>
      <c r="Q169" s="149" t="s">
        <v>174</v>
      </c>
      <c r="R169" s="156" t="s">
        <v>304</v>
      </c>
    </row>
    <row r="170" spans="1:18" ht="20" hidden="1" x14ac:dyDescent="0.25">
      <c r="A170" s="154" t="str">
        <f t="shared" si="0"/>
        <v>Laundry/Washing Area</v>
      </c>
      <c r="B170" s="159"/>
      <c r="C170" s="149" t="s">
        <v>405</v>
      </c>
      <c r="D170" s="149">
        <v>0.43</v>
      </c>
      <c r="E170" s="149">
        <v>4</v>
      </c>
      <c r="F170" s="149" t="s">
        <v>305</v>
      </c>
      <c r="G170" s="149" t="s">
        <v>173</v>
      </c>
      <c r="H170" s="149" t="s">
        <v>173</v>
      </c>
      <c r="I170" s="149" t="s">
        <v>305</v>
      </c>
      <c r="J170" s="149" t="s">
        <v>305</v>
      </c>
      <c r="K170" s="149" t="s">
        <v>305</v>
      </c>
      <c r="L170" s="162" t="s">
        <v>308</v>
      </c>
      <c r="M170" s="162"/>
      <c r="N170" s="162"/>
      <c r="O170" s="162"/>
      <c r="P170" s="149" t="s">
        <v>174</v>
      </c>
      <c r="Q170" s="149" t="s">
        <v>174</v>
      </c>
      <c r="R170" s="156" t="s">
        <v>304</v>
      </c>
    </row>
    <row r="171" spans="1:18" hidden="1" x14ac:dyDescent="0.25">
      <c r="A171" s="154" t="str">
        <f t="shared" si="0"/>
        <v>Library - Reading area</v>
      </c>
      <c r="B171" s="154" t="s">
        <v>570</v>
      </c>
      <c r="C171" s="158" t="s">
        <v>571</v>
      </c>
      <c r="D171" s="158">
        <v>0.82</v>
      </c>
      <c r="E171" s="158">
        <v>4</v>
      </c>
      <c r="F171" s="158" t="s">
        <v>305</v>
      </c>
      <c r="G171" s="158" t="s">
        <v>173</v>
      </c>
      <c r="H171" s="158" t="s">
        <v>173</v>
      </c>
      <c r="I171" s="158" t="s">
        <v>305</v>
      </c>
      <c r="J171" s="158" t="s">
        <v>305</v>
      </c>
      <c r="K171" s="158" t="s">
        <v>305</v>
      </c>
      <c r="L171" s="162" t="s">
        <v>308</v>
      </c>
      <c r="M171" s="162"/>
      <c r="N171" s="162"/>
      <c r="O171" s="162"/>
      <c r="P171" s="158" t="s">
        <v>174</v>
      </c>
      <c r="Q171" s="158" t="s">
        <v>174</v>
      </c>
      <c r="R171" s="156" t="s">
        <v>304</v>
      </c>
    </row>
    <row r="172" spans="1:18" hidden="1" x14ac:dyDescent="0.25">
      <c r="A172" s="154" t="str">
        <f t="shared" si="0"/>
        <v>Library - Stacks</v>
      </c>
      <c r="B172" s="154" t="s">
        <v>570</v>
      </c>
      <c r="C172" s="158" t="s">
        <v>572</v>
      </c>
      <c r="D172" s="158">
        <v>1.2</v>
      </c>
      <c r="E172" s="158">
        <v>4</v>
      </c>
      <c r="F172" s="158" t="s">
        <v>305</v>
      </c>
      <c r="G172" s="158" t="s">
        <v>173</v>
      </c>
      <c r="H172" s="158" t="s">
        <v>173</v>
      </c>
      <c r="I172" s="158" t="s">
        <v>305</v>
      </c>
      <c r="J172" s="158" t="s">
        <v>305</v>
      </c>
      <c r="K172" s="158" t="s">
        <v>305</v>
      </c>
      <c r="L172" s="158" t="s">
        <v>305</v>
      </c>
      <c r="M172" s="158"/>
      <c r="N172" s="158"/>
      <c r="O172" s="158"/>
      <c r="P172" s="158" t="s">
        <v>174</v>
      </c>
      <c r="Q172" s="158" t="s">
        <v>174</v>
      </c>
      <c r="R172" s="156" t="s">
        <v>304</v>
      </c>
    </row>
    <row r="173" spans="1:18" ht="20" hidden="1" x14ac:dyDescent="0.25">
      <c r="A173" s="154" t="str">
        <f t="shared" si="0"/>
        <v>Loading Dock, Interior</v>
      </c>
      <c r="B173" s="159"/>
      <c r="C173" s="149" t="s">
        <v>411</v>
      </c>
      <c r="D173" s="149">
        <v>0.57999999999999996</v>
      </c>
      <c r="E173" s="149">
        <v>6</v>
      </c>
      <c r="F173" s="149" t="s">
        <v>305</v>
      </c>
      <c r="G173" s="149" t="s">
        <v>173</v>
      </c>
      <c r="H173" s="149" t="s">
        <v>173</v>
      </c>
      <c r="I173" s="155" t="s">
        <v>308</v>
      </c>
      <c r="J173" s="149" t="s">
        <v>305</v>
      </c>
      <c r="K173" s="149" t="s">
        <v>305</v>
      </c>
      <c r="L173" s="155" t="s">
        <v>308</v>
      </c>
      <c r="M173" s="155"/>
      <c r="N173" s="155"/>
      <c r="O173" s="155"/>
      <c r="P173" s="149" t="s">
        <v>174</v>
      </c>
      <c r="Q173" s="149" t="s">
        <v>174</v>
      </c>
      <c r="R173" s="156" t="s">
        <v>304</v>
      </c>
    </row>
    <row r="174" spans="1:18" ht="20" hidden="1" x14ac:dyDescent="0.25">
      <c r="A174" s="154" t="str">
        <f t="shared" si="0"/>
        <v>Lobby - All other lobbies</v>
      </c>
      <c r="B174" s="154" t="s">
        <v>573</v>
      </c>
      <c r="C174" s="149" t="s">
        <v>574</v>
      </c>
      <c r="D174" s="149">
        <v>1</v>
      </c>
      <c r="E174" s="149">
        <v>4</v>
      </c>
      <c r="F174" s="149" t="s">
        <v>305</v>
      </c>
      <c r="G174" s="155" t="s">
        <v>308</v>
      </c>
      <c r="H174" s="155" t="s">
        <v>308</v>
      </c>
      <c r="I174" s="155" t="s">
        <v>308</v>
      </c>
      <c r="J174" s="149" t="s">
        <v>305</v>
      </c>
      <c r="K174" s="149" t="s">
        <v>305</v>
      </c>
      <c r="L174" s="149" t="s">
        <v>305</v>
      </c>
      <c r="M174" s="149"/>
      <c r="N174" s="149"/>
      <c r="O174" s="149"/>
      <c r="P174" s="149" t="s">
        <v>174</v>
      </c>
      <c r="Q174" s="149" t="s">
        <v>174</v>
      </c>
      <c r="R174" s="156" t="s">
        <v>306</v>
      </c>
    </row>
    <row r="175" spans="1:18" hidden="1" x14ac:dyDescent="0.25">
      <c r="A175" s="154" t="str">
        <f t="shared" si="0"/>
        <v>Lobby - Elevator lobby</v>
      </c>
      <c r="B175" s="154" t="s">
        <v>573</v>
      </c>
      <c r="C175" s="149" t="s">
        <v>575</v>
      </c>
      <c r="D175" s="149">
        <v>0.69</v>
      </c>
      <c r="E175" s="149">
        <v>6</v>
      </c>
      <c r="F175" s="149" t="s">
        <v>305</v>
      </c>
      <c r="G175" s="155" t="s">
        <v>308</v>
      </c>
      <c r="H175" s="155" t="s">
        <v>308</v>
      </c>
      <c r="I175" s="155" t="s">
        <v>308</v>
      </c>
      <c r="J175" s="149" t="s">
        <v>305</v>
      </c>
      <c r="K175" s="149" t="s">
        <v>305</v>
      </c>
      <c r="L175" s="155" t="s">
        <v>308</v>
      </c>
      <c r="M175" s="155"/>
      <c r="N175" s="155"/>
      <c r="O175" s="155"/>
      <c r="P175" s="149" t="s">
        <v>174</v>
      </c>
      <c r="Q175" s="149" t="s">
        <v>174</v>
      </c>
      <c r="R175" s="156" t="s">
        <v>306</v>
      </c>
    </row>
    <row r="176" spans="1:18" ht="60" hidden="1" x14ac:dyDescent="0.25">
      <c r="A176" s="154" t="str">
        <f t="shared" si="0"/>
        <v>Lobby Facility for the visually impaired (and not used primarily by the staff)</v>
      </c>
      <c r="B176" s="154" t="s">
        <v>413</v>
      </c>
      <c r="C176" s="149" t="s">
        <v>542</v>
      </c>
      <c r="D176" s="149">
        <v>2.0299999999999998</v>
      </c>
      <c r="E176" s="149">
        <v>4</v>
      </c>
      <c r="F176" s="149" t="s">
        <v>305</v>
      </c>
      <c r="G176" s="155" t="s">
        <v>308</v>
      </c>
      <c r="H176" s="155" t="s">
        <v>308</v>
      </c>
      <c r="I176" s="155" t="s">
        <v>308</v>
      </c>
      <c r="J176" s="149" t="s">
        <v>305</v>
      </c>
      <c r="K176" s="149" t="s">
        <v>305</v>
      </c>
      <c r="L176" s="149" t="s">
        <v>305</v>
      </c>
      <c r="M176" s="149"/>
      <c r="N176" s="149"/>
      <c r="O176" s="149"/>
      <c r="P176" s="149" t="s">
        <v>174</v>
      </c>
      <c r="Q176" s="149" t="s">
        <v>174</v>
      </c>
      <c r="R176" s="156" t="s">
        <v>306</v>
      </c>
    </row>
    <row r="177" spans="1:18" hidden="1" x14ac:dyDescent="0.25">
      <c r="A177" s="154" t="str">
        <f t="shared" si="0"/>
        <v>Lobby in a Hotel</v>
      </c>
      <c r="B177" s="154" t="s">
        <v>576</v>
      </c>
      <c r="C177" s="149" t="s">
        <v>267</v>
      </c>
      <c r="D177" s="149">
        <v>1.06</v>
      </c>
      <c r="E177" s="149">
        <v>4</v>
      </c>
      <c r="F177" s="149" t="s">
        <v>305</v>
      </c>
      <c r="G177" s="155" t="s">
        <v>308</v>
      </c>
      <c r="H177" s="155" t="s">
        <v>308</v>
      </c>
      <c r="I177" s="155" t="s">
        <v>308</v>
      </c>
      <c r="J177" s="149" t="s">
        <v>305</v>
      </c>
      <c r="K177" s="149" t="s">
        <v>305</v>
      </c>
      <c r="L177" s="155" t="s">
        <v>308</v>
      </c>
      <c r="M177" s="155"/>
      <c r="N177" s="155"/>
      <c r="O177" s="155"/>
      <c r="P177" s="149" t="s">
        <v>174</v>
      </c>
      <c r="Q177" s="149" t="s">
        <v>174</v>
      </c>
      <c r="R177" s="156" t="s">
        <v>306</v>
      </c>
    </row>
    <row r="178" spans="1:18" ht="20" hidden="1" x14ac:dyDescent="0.25">
      <c r="A178" s="154" t="str">
        <f t="shared" si="0"/>
        <v>Lobby in a Motion picture theater</v>
      </c>
      <c r="B178" s="154" t="s">
        <v>576</v>
      </c>
      <c r="C178" s="149" t="s">
        <v>528</v>
      </c>
      <c r="D178" s="149">
        <v>0.45</v>
      </c>
      <c r="E178" s="149">
        <v>4</v>
      </c>
      <c r="F178" s="149" t="s">
        <v>305</v>
      </c>
      <c r="G178" s="155" t="s">
        <v>308</v>
      </c>
      <c r="H178" s="155" t="s">
        <v>308</v>
      </c>
      <c r="I178" s="155" t="s">
        <v>308</v>
      </c>
      <c r="J178" s="149" t="s">
        <v>305</v>
      </c>
      <c r="K178" s="149" t="s">
        <v>305</v>
      </c>
      <c r="L178" s="155" t="s">
        <v>308</v>
      </c>
      <c r="M178" s="155"/>
      <c r="N178" s="155"/>
      <c r="O178" s="155"/>
      <c r="P178" s="149" t="s">
        <v>174</v>
      </c>
      <c r="Q178" s="149" t="s">
        <v>174</v>
      </c>
      <c r="R178" s="156" t="s">
        <v>306</v>
      </c>
    </row>
    <row r="179" spans="1:18" ht="20" hidden="1" x14ac:dyDescent="0.25">
      <c r="A179" s="154" t="str">
        <f t="shared" si="0"/>
        <v>Lobby in a Performing arts theater</v>
      </c>
      <c r="B179" s="154" t="s">
        <v>576</v>
      </c>
      <c r="C179" s="149" t="s">
        <v>529</v>
      </c>
      <c r="D179" s="149">
        <v>1.7</v>
      </c>
      <c r="E179" s="149">
        <v>6</v>
      </c>
      <c r="F179" s="149" t="s">
        <v>305</v>
      </c>
      <c r="G179" s="155" t="s">
        <v>308</v>
      </c>
      <c r="H179" s="155" t="s">
        <v>308</v>
      </c>
      <c r="I179" s="155" t="s">
        <v>308</v>
      </c>
      <c r="J179" s="149" t="s">
        <v>305</v>
      </c>
      <c r="K179" s="149" t="s">
        <v>305</v>
      </c>
      <c r="L179" s="149" t="s">
        <v>305</v>
      </c>
      <c r="M179" s="149"/>
      <c r="N179" s="149"/>
      <c r="O179" s="149"/>
      <c r="P179" s="149" t="s">
        <v>174</v>
      </c>
      <c r="Q179" s="149" t="s">
        <v>174</v>
      </c>
      <c r="R179" s="156" t="s">
        <v>306</v>
      </c>
    </row>
    <row r="180" spans="1:18" hidden="1" x14ac:dyDescent="0.25">
      <c r="A180" s="154" t="str">
        <f t="shared" si="0"/>
        <v>Locker Room</v>
      </c>
      <c r="B180" s="160"/>
      <c r="C180" s="149" t="s">
        <v>422</v>
      </c>
      <c r="D180" s="149">
        <v>0.48</v>
      </c>
      <c r="E180" s="149">
        <v>6</v>
      </c>
      <c r="F180" s="149" t="s">
        <v>305</v>
      </c>
      <c r="G180" s="149" t="s">
        <v>173</v>
      </c>
      <c r="H180" s="149" t="s">
        <v>173</v>
      </c>
      <c r="I180" s="149" t="s">
        <v>305</v>
      </c>
      <c r="J180" s="149" t="s">
        <v>305</v>
      </c>
      <c r="K180" s="149" t="s">
        <v>305</v>
      </c>
      <c r="L180" s="155" t="s">
        <v>308</v>
      </c>
      <c r="M180" s="155"/>
      <c r="N180" s="155"/>
      <c r="O180" s="155"/>
      <c r="P180" s="149" t="s">
        <v>174</v>
      </c>
      <c r="Q180" s="149" t="s">
        <v>174</v>
      </c>
      <c r="R180" s="156" t="s">
        <v>304</v>
      </c>
    </row>
    <row r="181" spans="1:18" ht="40" hidden="1" x14ac:dyDescent="0.25">
      <c r="A181" s="154" t="str">
        <f t="shared" si="0"/>
        <v>Lounge/Breakroom in a Healthcare facility</v>
      </c>
      <c r="B181" s="160"/>
      <c r="C181" s="149" t="s">
        <v>577</v>
      </c>
      <c r="D181" s="149">
        <v>0.78</v>
      </c>
      <c r="E181" s="149">
        <v>6</v>
      </c>
      <c r="F181" s="149" t="s">
        <v>305</v>
      </c>
      <c r="G181" s="149" t="s">
        <v>173</v>
      </c>
      <c r="H181" s="149" t="s">
        <v>173</v>
      </c>
      <c r="I181" s="149" t="s">
        <v>305</v>
      </c>
      <c r="J181" s="149" t="s">
        <v>305</v>
      </c>
      <c r="K181" s="149" t="s">
        <v>305</v>
      </c>
      <c r="L181" s="155" t="s">
        <v>308</v>
      </c>
      <c r="M181" s="155"/>
      <c r="N181" s="155"/>
      <c r="O181" s="155"/>
      <c r="P181" s="149" t="s">
        <v>174</v>
      </c>
      <c r="Q181" s="149" t="s">
        <v>174</v>
      </c>
      <c r="R181" s="156" t="s">
        <v>304</v>
      </c>
    </row>
    <row r="182" spans="1:18" ht="30" hidden="1" x14ac:dyDescent="0.25">
      <c r="A182" s="154" t="str">
        <f>IF(B182&lt;&gt;"",CONCATENATE(B182," ",C182),C182)</f>
        <v xml:space="preserve">Lounges/breakrooms - All other </v>
      </c>
      <c r="B182" s="160"/>
      <c r="C182" s="149" t="s">
        <v>578</v>
      </c>
      <c r="D182" s="149">
        <v>0.62</v>
      </c>
      <c r="E182" s="149">
        <v>4</v>
      </c>
      <c r="F182" s="149" t="s">
        <v>305</v>
      </c>
      <c r="G182" s="149" t="s">
        <v>173</v>
      </c>
      <c r="H182" s="149" t="s">
        <v>173</v>
      </c>
      <c r="I182" s="149" t="s">
        <v>305</v>
      </c>
      <c r="J182" s="149" t="s">
        <v>305</v>
      </c>
      <c r="K182" s="149" t="s">
        <v>305</v>
      </c>
      <c r="L182" s="155" t="s">
        <v>308</v>
      </c>
      <c r="M182" s="155"/>
      <c r="N182" s="155"/>
      <c r="O182" s="155"/>
      <c r="P182" s="149" t="s">
        <v>174</v>
      </c>
      <c r="Q182" s="149" t="s">
        <v>174</v>
      </c>
      <c r="R182" s="156" t="s">
        <v>304</v>
      </c>
    </row>
    <row r="183" spans="1:18" ht="20" hidden="1" x14ac:dyDescent="0.25">
      <c r="A183" s="154" t="str">
        <f t="shared" ref="A183:A194" si="1">IF(B183&lt;&gt;"",CONCATENATE(B183," ",C183),C183)</f>
        <v>Manufacturing Facility - (&lt;25 ft floor-to-ceiling height)</v>
      </c>
      <c r="B183" s="154" t="s">
        <v>579</v>
      </c>
      <c r="C183" s="158" t="s">
        <v>580</v>
      </c>
      <c r="D183" s="158">
        <v>0.96</v>
      </c>
      <c r="E183" s="158">
        <v>4</v>
      </c>
      <c r="F183" s="149" t="s">
        <v>305</v>
      </c>
      <c r="G183" s="149" t="s">
        <v>173</v>
      </c>
      <c r="H183" s="149" t="s">
        <v>173</v>
      </c>
      <c r="I183" s="149" t="s">
        <v>305</v>
      </c>
      <c r="J183" s="149" t="s">
        <v>305</v>
      </c>
      <c r="K183" s="149" t="s">
        <v>305</v>
      </c>
      <c r="L183" s="162" t="s">
        <v>308</v>
      </c>
      <c r="M183" s="162"/>
      <c r="N183" s="162"/>
      <c r="O183" s="162"/>
      <c r="P183" s="149" t="s">
        <v>174</v>
      </c>
      <c r="Q183" s="149" t="s">
        <v>174</v>
      </c>
      <c r="R183" s="156" t="s">
        <v>304</v>
      </c>
    </row>
    <row r="184" spans="1:18" ht="20" hidden="1" x14ac:dyDescent="0.25">
      <c r="A184" s="154" t="str">
        <f t="shared" si="1"/>
        <v>Manufacturing Facility - (&gt;50 ft floor-to-ceiling height)</v>
      </c>
      <c r="B184" s="154" t="s">
        <v>579</v>
      </c>
      <c r="C184" s="158" t="s">
        <v>581</v>
      </c>
      <c r="D184" s="158">
        <v>0.75</v>
      </c>
      <c r="E184" s="158">
        <v>4</v>
      </c>
      <c r="F184" s="149" t="s">
        <v>305</v>
      </c>
      <c r="G184" s="149" t="s">
        <v>173</v>
      </c>
      <c r="H184" s="149" t="s">
        <v>173</v>
      </c>
      <c r="I184" s="149" t="s">
        <v>305</v>
      </c>
      <c r="J184" s="149" t="s">
        <v>305</v>
      </c>
      <c r="K184" s="149" t="s">
        <v>305</v>
      </c>
      <c r="L184" s="162" t="s">
        <v>308</v>
      </c>
      <c r="M184" s="162"/>
      <c r="N184" s="162"/>
      <c r="O184" s="162"/>
      <c r="P184" s="149" t="s">
        <v>174</v>
      </c>
      <c r="Q184" s="149" t="s">
        <v>174</v>
      </c>
      <c r="R184" s="156" t="s">
        <v>304</v>
      </c>
    </row>
    <row r="185" spans="1:18" ht="30" hidden="1" x14ac:dyDescent="0.25">
      <c r="A185" s="154" t="str">
        <f t="shared" si="1"/>
        <v>Manufacturing Facility - (25 to 50 ft floor-to-ceiling height)</v>
      </c>
      <c r="B185" s="154" t="s">
        <v>579</v>
      </c>
      <c r="C185" s="158" t="s">
        <v>582</v>
      </c>
      <c r="D185" s="158">
        <v>1.05</v>
      </c>
      <c r="E185" s="158">
        <v>4</v>
      </c>
      <c r="F185" s="149" t="s">
        <v>305</v>
      </c>
      <c r="G185" s="149" t="s">
        <v>173</v>
      </c>
      <c r="H185" s="149" t="s">
        <v>173</v>
      </c>
      <c r="I185" s="149" t="s">
        <v>305</v>
      </c>
      <c r="J185" s="149" t="s">
        <v>305</v>
      </c>
      <c r="K185" s="149" t="s">
        <v>305</v>
      </c>
      <c r="L185" s="162" t="s">
        <v>308</v>
      </c>
      <c r="M185" s="162"/>
      <c r="N185" s="162"/>
      <c r="O185" s="162"/>
      <c r="P185" s="149" t="s">
        <v>174</v>
      </c>
      <c r="Q185" s="149" t="s">
        <v>174</v>
      </c>
      <c r="R185" s="156" t="s">
        <v>304</v>
      </c>
    </row>
    <row r="186" spans="1:18" ht="30" hidden="1" x14ac:dyDescent="0.25">
      <c r="A186" s="154" t="str">
        <f t="shared" si="1"/>
        <v>Manufacturing Facility - Detailed manufacturing area</v>
      </c>
      <c r="B186" s="154" t="s">
        <v>579</v>
      </c>
      <c r="C186" s="158" t="s">
        <v>583</v>
      </c>
      <c r="D186" s="158">
        <v>0.93</v>
      </c>
      <c r="E186" s="158">
        <v>4</v>
      </c>
      <c r="F186" s="158" t="s">
        <v>305</v>
      </c>
      <c r="G186" s="158" t="s">
        <v>173</v>
      </c>
      <c r="H186" s="158" t="s">
        <v>173</v>
      </c>
      <c r="I186" s="158" t="s">
        <v>305</v>
      </c>
      <c r="J186" s="158" t="s">
        <v>305</v>
      </c>
      <c r="K186" s="158" t="s">
        <v>305</v>
      </c>
      <c r="L186" s="155" t="s">
        <v>308</v>
      </c>
      <c r="M186" s="155"/>
      <c r="N186" s="155"/>
      <c r="O186" s="155"/>
      <c r="P186" s="158" t="s">
        <v>174</v>
      </c>
      <c r="Q186" s="158" t="s">
        <v>174</v>
      </c>
      <c r="R186" s="156" t="s">
        <v>304</v>
      </c>
    </row>
    <row r="187" spans="1:18" ht="20" hidden="1" x14ac:dyDescent="0.25">
      <c r="A187" s="154" t="str">
        <f t="shared" si="1"/>
        <v>Manufacturing Facility - Equipment room</v>
      </c>
      <c r="B187" s="154" t="s">
        <v>579</v>
      </c>
      <c r="C187" s="158" t="s">
        <v>584</v>
      </c>
      <c r="D187" s="158">
        <v>0.65</v>
      </c>
      <c r="E187" s="158">
        <v>6</v>
      </c>
      <c r="F187" s="158" t="s">
        <v>305</v>
      </c>
      <c r="G187" s="158" t="s">
        <v>173</v>
      </c>
      <c r="H187" s="158" t="s">
        <v>173</v>
      </c>
      <c r="I187" s="158" t="s">
        <v>305</v>
      </c>
      <c r="J187" s="158" t="s">
        <v>305</v>
      </c>
      <c r="K187" s="158" t="s">
        <v>305</v>
      </c>
      <c r="L187" s="155" t="s">
        <v>308</v>
      </c>
      <c r="M187" s="155"/>
      <c r="N187" s="155"/>
      <c r="O187" s="155"/>
      <c r="P187" s="158" t="s">
        <v>174</v>
      </c>
      <c r="Q187" s="158" t="s">
        <v>174</v>
      </c>
      <c r="R187" s="156" t="s">
        <v>304</v>
      </c>
    </row>
    <row r="188" spans="1:18" ht="20" hidden="1" x14ac:dyDescent="0.25">
      <c r="A188" s="154" t="str">
        <f t="shared" si="1"/>
        <v>Manufacturing Facility - Extra high bay area</v>
      </c>
      <c r="B188" s="154" t="s">
        <v>579</v>
      </c>
      <c r="C188" s="158" t="s">
        <v>585</v>
      </c>
      <c r="D188" s="158">
        <v>1.05</v>
      </c>
      <c r="E188" s="158">
        <v>4</v>
      </c>
      <c r="F188" s="158" t="s">
        <v>305</v>
      </c>
      <c r="G188" s="158" t="s">
        <v>173</v>
      </c>
      <c r="H188" s="158" t="s">
        <v>173</v>
      </c>
      <c r="I188" s="158" t="s">
        <v>305</v>
      </c>
      <c r="J188" s="158" t="s">
        <v>305</v>
      </c>
      <c r="K188" s="158" t="s">
        <v>305</v>
      </c>
      <c r="L188" s="155" t="s">
        <v>308</v>
      </c>
      <c r="M188" s="155"/>
      <c r="N188" s="155"/>
      <c r="O188" s="155"/>
      <c r="P188" s="158" t="s">
        <v>174</v>
      </c>
      <c r="Q188" s="158" t="s">
        <v>174</v>
      </c>
      <c r="R188" s="156" t="s">
        <v>304</v>
      </c>
    </row>
    <row r="189" spans="1:18" ht="20" hidden="1" x14ac:dyDescent="0.25">
      <c r="A189" s="154" t="str">
        <f t="shared" si="1"/>
        <v>Manufacturing Facility - High bay area</v>
      </c>
      <c r="B189" s="154" t="s">
        <v>579</v>
      </c>
      <c r="C189" s="158" t="s">
        <v>586</v>
      </c>
      <c r="D189" s="158">
        <v>0.75</v>
      </c>
      <c r="E189" s="158">
        <v>4</v>
      </c>
      <c r="F189" s="158" t="s">
        <v>305</v>
      </c>
      <c r="G189" s="158" t="s">
        <v>173</v>
      </c>
      <c r="H189" s="158" t="s">
        <v>173</v>
      </c>
      <c r="I189" s="158" t="s">
        <v>305</v>
      </c>
      <c r="J189" s="158" t="s">
        <v>305</v>
      </c>
      <c r="K189" s="158" t="s">
        <v>305</v>
      </c>
      <c r="L189" s="155" t="s">
        <v>308</v>
      </c>
      <c r="M189" s="155"/>
      <c r="N189" s="155"/>
      <c r="O189" s="155"/>
      <c r="P189" s="158" t="s">
        <v>174</v>
      </c>
      <c r="Q189" s="158" t="s">
        <v>174</v>
      </c>
      <c r="R189" s="156" t="s">
        <v>304</v>
      </c>
    </row>
    <row r="190" spans="1:18" ht="20" hidden="1" x14ac:dyDescent="0.25">
      <c r="A190" s="154" t="str">
        <f t="shared" si="1"/>
        <v>Manufacturing Facility - Low bay area</v>
      </c>
      <c r="B190" s="154" t="s">
        <v>579</v>
      </c>
      <c r="C190" s="158" t="s">
        <v>587</v>
      </c>
      <c r="D190" s="158">
        <v>0.96</v>
      </c>
      <c r="E190" s="158">
        <v>4</v>
      </c>
      <c r="F190" s="158" t="s">
        <v>305</v>
      </c>
      <c r="G190" s="158" t="s">
        <v>173</v>
      </c>
      <c r="H190" s="158" t="s">
        <v>173</v>
      </c>
      <c r="I190" s="158" t="s">
        <v>305</v>
      </c>
      <c r="J190" s="158" t="s">
        <v>305</v>
      </c>
      <c r="K190" s="158" t="s">
        <v>305</v>
      </c>
      <c r="L190" s="155" t="s">
        <v>308</v>
      </c>
      <c r="M190" s="155"/>
      <c r="N190" s="155"/>
      <c r="O190" s="155"/>
      <c r="P190" s="158" t="s">
        <v>174</v>
      </c>
      <c r="Q190" s="158" t="s">
        <v>174</v>
      </c>
      <c r="R190" s="156" t="s">
        <v>304</v>
      </c>
    </row>
    <row r="191" spans="1:18" ht="20" hidden="1" x14ac:dyDescent="0.25">
      <c r="A191" s="154" t="str">
        <f t="shared" si="1"/>
        <v>Museum - General exhibition area</v>
      </c>
      <c r="B191" s="154" t="s">
        <v>588</v>
      </c>
      <c r="C191" s="158" t="s">
        <v>589</v>
      </c>
      <c r="D191" s="158">
        <v>1.05</v>
      </c>
      <c r="E191" s="158">
        <v>6</v>
      </c>
      <c r="F191" s="158" t="s">
        <v>305</v>
      </c>
      <c r="G191" s="158" t="s">
        <v>173</v>
      </c>
      <c r="H191" s="158" t="s">
        <v>173</v>
      </c>
      <c r="I191" s="158" t="s">
        <v>305</v>
      </c>
      <c r="J191" s="158" t="s">
        <v>305</v>
      </c>
      <c r="K191" s="158" t="s">
        <v>305</v>
      </c>
      <c r="L191" s="155" t="s">
        <v>308</v>
      </c>
      <c r="M191" s="155"/>
      <c r="N191" s="155"/>
      <c r="O191" s="155"/>
      <c r="P191" s="158" t="s">
        <v>174</v>
      </c>
      <c r="Q191" s="158" t="s">
        <v>174</v>
      </c>
      <c r="R191" s="156" t="s">
        <v>304</v>
      </c>
    </row>
    <row r="192" spans="1:18" ht="20" hidden="1" x14ac:dyDescent="0.25">
      <c r="A192" s="154" t="str">
        <f t="shared" si="1"/>
        <v>Museum - Restoration room</v>
      </c>
      <c r="B192" s="154" t="s">
        <v>588</v>
      </c>
      <c r="C192" s="158" t="s">
        <v>590</v>
      </c>
      <c r="D192" s="158">
        <v>0.85</v>
      </c>
      <c r="E192" s="158">
        <v>6</v>
      </c>
      <c r="F192" s="158" t="s">
        <v>305</v>
      </c>
      <c r="G192" s="158" t="s">
        <v>173</v>
      </c>
      <c r="H192" s="158" t="s">
        <v>173</v>
      </c>
      <c r="I192" s="158" t="s">
        <v>305</v>
      </c>
      <c r="J192" s="158" t="s">
        <v>305</v>
      </c>
      <c r="K192" s="158" t="s">
        <v>305</v>
      </c>
      <c r="L192" s="155" t="s">
        <v>308</v>
      </c>
      <c r="M192" s="155"/>
      <c r="N192" s="155"/>
      <c r="O192" s="155"/>
      <c r="P192" s="158" t="s">
        <v>174</v>
      </c>
      <c r="Q192" s="158" t="s">
        <v>174</v>
      </c>
      <c r="R192" s="156" t="s">
        <v>304</v>
      </c>
    </row>
    <row r="193" spans="1:18" ht="20" hidden="1" x14ac:dyDescent="0.25">
      <c r="A193" s="154" t="str">
        <f t="shared" si="1"/>
        <v>Office - Enclosed and &lt;=250 ft</v>
      </c>
      <c r="B193" s="154" t="s">
        <v>591</v>
      </c>
      <c r="C193" s="149" t="s">
        <v>592</v>
      </c>
      <c r="D193" s="149">
        <v>0.93</v>
      </c>
      <c r="E193" s="149">
        <v>8</v>
      </c>
      <c r="F193" s="149" t="s">
        <v>305</v>
      </c>
      <c r="G193" s="149" t="s">
        <v>173</v>
      </c>
      <c r="H193" s="149" t="s">
        <v>173</v>
      </c>
      <c r="I193" s="149" t="s">
        <v>305</v>
      </c>
      <c r="J193" s="149" t="s">
        <v>305</v>
      </c>
      <c r="K193" s="149" t="s">
        <v>305</v>
      </c>
      <c r="L193" s="155" t="s">
        <v>308</v>
      </c>
      <c r="M193" s="155"/>
      <c r="N193" s="155"/>
      <c r="O193" s="155"/>
      <c r="P193" s="149" t="s">
        <v>305</v>
      </c>
      <c r="Q193" s="149"/>
      <c r="R193" s="156" t="s">
        <v>353</v>
      </c>
    </row>
    <row r="194" spans="1:18" ht="12.75" hidden="1" customHeight="1" x14ac:dyDescent="0.25">
      <c r="A194" s="154" t="str">
        <f t="shared" si="1"/>
        <v>Office - Enclosed and &gt;250 ft</v>
      </c>
      <c r="B194" s="154" t="s">
        <v>591</v>
      </c>
      <c r="C194" s="149" t="s">
        <v>593</v>
      </c>
      <c r="D194" s="149">
        <v>0.93</v>
      </c>
      <c r="E194" s="149">
        <v>8</v>
      </c>
      <c r="F194" s="149" t="s">
        <v>305</v>
      </c>
      <c r="G194" s="149" t="s">
        <v>173</v>
      </c>
      <c r="H194" s="149" t="s">
        <v>173</v>
      </c>
      <c r="I194" s="149" t="s">
        <v>305</v>
      </c>
      <c r="J194" s="149" t="s">
        <v>305</v>
      </c>
      <c r="K194" s="149" t="s">
        <v>305</v>
      </c>
      <c r="L194" s="155" t="s">
        <v>308</v>
      </c>
      <c r="M194" s="155"/>
      <c r="N194" s="155"/>
      <c r="O194" s="155"/>
      <c r="P194" s="149" t="s">
        <v>174</v>
      </c>
      <c r="Q194" s="149" t="s">
        <v>174</v>
      </c>
      <c r="R194" s="156" t="s">
        <v>353</v>
      </c>
    </row>
    <row r="195" spans="1:18" hidden="1" x14ac:dyDescent="0.25">
      <c r="A195" s="154" t="s">
        <v>43</v>
      </c>
      <c r="B195" s="154" t="s">
        <v>591</v>
      </c>
      <c r="C195" s="149" t="s">
        <v>594</v>
      </c>
      <c r="D195" s="149">
        <v>0.81</v>
      </c>
      <c r="E195" s="149">
        <v>4</v>
      </c>
      <c r="F195" s="149" t="s">
        <v>305</v>
      </c>
      <c r="G195" s="149" t="s">
        <v>173</v>
      </c>
      <c r="H195" s="149" t="s">
        <v>173</v>
      </c>
      <c r="I195" s="149" t="s">
        <v>305</v>
      </c>
      <c r="J195" s="149" t="s">
        <v>305</v>
      </c>
      <c r="K195" s="149" t="s">
        <v>305</v>
      </c>
      <c r="L195" s="155" t="s">
        <v>308</v>
      </c>
      <c r="M195" s="155"/>
      <c r="N195" s="155"/>
      <c r="O195" s="155"/>
      <c r="P195" s="149" t="s">
        <v>174</v>
      </c>
      <c r="Q195" s="149" t="s">
        <v>174</v>
      </c>
      <c r="R195" s="156" t="s">
        <v>443</v>
      </c>
    </row>
    <row r="196" spans="1:18" ht="20" hidden="1" x14ac:dyDescent="0.25">
      <c r="A196" s="154" t="str">
        <f t="shared" ref="A196:A223" si="2">IF(B196&lt;&gt;"",CONCATENATE(B196," ",C196),C196)</f>
        <v>Parking Area - Garage</v>
      </c>
      <c r="B196" s="159"/>
      <c r="C196" s="149" t="s">
        <v>595</v>
      </c>
      <c r="D196" s="149">
        <v>0.14000000000000001</v>
      </c>
      <c r="E196" s="149">
        <v>4</v>
      </c>
      <c r="F196" s="149" t="s">
        <v>596</v>
      </c>
      <c r="G196" s="149" t="s">
        <v>596</v>
      </c>
      <c r="H196" s="149" t="s">
        <v>596</v>
      </c>
      <c r="I196" s="149" t="s">
        <v>596</v>
      </c>
      <c r="J196" s="149" t="s">
        <v>596</v>
      </c>
      <c r="K196" s="149" t="s">
        <v>596</v>
      </c>
      <c r="L196" s="149" t="s">
        <v>596</v>
      </c>
      <c r="M196" s="149"/>
      <c r="N196" s="149"/>
      <c r="O196" s="149"/>
      <c r="P196" s="149" t="s">
        <v>596</v>
      </c>
      <c r="Q196" s="149" t="s">
        <v>596</v>
      </c>
      <c r="R196" s="156" t="s">
        <v>306</v>
      </c>
    </row>
    <row r="197" spans="1:18" ht="40" hidden="1" x14ac:dyDescent="0.25">
      <c r="A197" s="154" t="str">
        <f t="shared" si="2"/>
        <v>Performing Arts Theater - Dressing Room</v>
      </c>
      <c r="B197" s="163"/>
      <c r="C197" s="158" t="s">
        <v>447</v>
      </c>
      <c r="D197" s="158">
        <v>0.36</v>
      </c>
      <c r="E197" s="158">
        <v>6</v>
      </c>
      <c r="F197" s="158" t="s">
        <v>305</v>
      </c>
      <c r="G197" s="158" t="s">
        <v>173</v>
      </c>
      <c r="H197" s="158" t="s">
        <v>173</v>
      </c>
      <c r="I197" s="158" t="s">
        <v>305</v>
      </c>
      <c r="J197" s="158" t="s">
        <v>305</v>
      </c>
      <c r="K197" s="158" t="s">
        <v>305</v>
      </c>
      <c r="L197" s="162" t="s">
        <v>308</v>
      </c>
      <c r="M197" s="162"/>
      <c r="N197" s="162"/>
      <c r="O197" s="162"/>
      <c r="P197" s="158" t="s">
        <v>305</v>
      </c>
      <c r="Q197" s="158"/>
      <c r="R197" s="156" t="s">
        <v>304</v>
      </c>
    </row>
    <row r="198" spans="1:18" ht="20" hidden="1" x14ac:dyDescent="0.25">
      <c r="A198" s="154" t="str">
        <f t="shared" si="2"/>
        <v>Pharmacy Area</v>
      </c>
      <c r="B198" s="159"/>
      <c r="C198" s="149" t="s">
        <v>449</v>
      </c>
      <c r="D198" s="149">
        <v>1.34</v>
      </c>
      <c r="E198" s="149">
        <v>6</v>
      </c>
      <c r="F198" s="149" t="s">
        <v>305</v>
      </c>
      <c r="G198" s="149" t="s">
        <v>173</v>
      </c>
      <c r="H198" s="149" t="s">
        <v>173</v>
      </c>
      <c r="I198" s="149" t="s">
        <v>305</v>
      </c>
      <c r="J198" s="149" t="s">
        <v>305</v>
      </c>
      <c r="K198" s="149" t="s">
        <v>305</v>
      </c>
      <c r="L198" s="155" t="s">
        <v>308</v>
      </c>
      <c r="M198" s="155"/>
      <c r="N198" s="155"/>
      <c r="O198" s="155"/>
      <c r="P198" s="149" t="s">
        <v>174</v>
      </c>
      <c r="Q198" s="149" t="s">
        <v>174</v>
      </c>
      <c r="R198" s="156" t="s">
        <v>304</v>
      </c>
    </row>
    <row r="199" spans="1:18" ht="20" hidden="1" x14ac:dyDescent="0.25">
      <c r="A199" s="154" t="str">
        <f t="shared" si="2"/>
        <v>Post Office - Sorting Area</v>
      </c>
      <c r="B199" s="163"/>
      <c r="C199" s="158" t="s">
        <v>451</v>
      </c>
      <c r="D199" s="158">
        <v>0.68</v>
      </c>
      <c r="E199" s="158">
        <v>4</v>
      </c>
      <c r="F199" s="158" t="s">
        <v>305</v>
      </c>
      <c r="G199" s="158" t="s">
        <v>173</v>
      </c>
      <c r="H199" s="158" t="s">
        <v>173</v>
      </c>
      <c r="I199" s="158" t="s">
        <v>305</v>
      </c>
      <c r="J199" s="158" t="s">
        <v>305</v>
      </c>
      <c r="K199" s="158" t="s">
        <v>305</v>
      </c>
      <c r="L199" s="158" t="s">
        <v>305</v>
      </c>
      <c r="M199" s="158"/>
      <c r="N199" s="158"/>
      <c r="O199" s="158"/>
      <c r="P199" s="158" t="s">
        <v>174</v>
      </c>
      <c r="Q199" s="158" t="s">
        <v>174</v>
      </c>
      <c r="R199" s="156" t="s">
        <v>304</v>
      </c>
    </row>
    <row r="200" spans="1:18" ht="70" hidden="1" x14ac:dyDescent="0.25">
      <c r="A200" s="154" t="str">
        <f t="shared" si="2"/>
        <v>Recreation Room/ Common Living Room (and not used primarily by staff) for the Visually Impaired (used primarily by residents)</v>
      </c>
      <c r="B200" s="158" t="s">
        <v>597</v>
      </c>
      <c r="C200" s="158" t="s">
        <v>535</v>
      </c>
      <c r="D200" s="158">
        <v>1.8</v>
      </c>
      <c r="E200" s="158">
        <v>6</v>
      </c>
      <c r="F200" s="158" t="s">
        <v>305</v>
      </c>
      <c r="G200" s="158" t="s">
        <v>173</v>
      </c>
      <c r="H200" s="158" t="s">
        <v>173</v>
      </c>
      <c r="I200" s="158" t="s">
        <v>305</v>
      </c>
      <c r="J200" s="158" t="s">
        <v>305</v>
      </c>
      <c r="K200" s="158" t="s">
        <v>305</v>
      </c>
      <c r="L200" s="162" t="s">
        <v>308</v>
      </c>
      <c r="M200" s="162"/>
      <c r="N200" s="162"/>
      <c r="O200" s="162"/>
      <c r="P200" s="158" t="s">
        <v>174</v>
      </c>
      <c r="Q200" s="158" t="s">
        <v>174</v>
      </c>
      <c r="R200" s="156" t="s">
        <v>304</v>
      </c>
    </row>
    <row r="201" spans="1:18" ht="20" hidden="1" x14ac:dyDescent="0.25">
      <c r="A201" s="154" t="str">
        <f t="shared" si="2"/>
        <v>Religious Facility - Fellowship hall</v>
      </c>
      <c r="B201" s="154" t="s">
        <v>598</v>
      </c>
      <c r="C201" s="158" t="s">
        <v>599</v>
      </c>
      <c r="D201" s="158">
        <v>0.55000000000000004</v>
      </c>
      <c r="E201" s="158">
        <v>4</v>
      </c>
      <c r="F201" s="158" t="s">
        <v>305</v>
      </c>
      <c r="G201" s="158" t="s">
        <v>173</v>
      </c>
      <c r="H201" s="158" t="s">
        <v>173</v>
      </c>
      <c r="I201" s="158" t="s">
        <v>305</v>
      </c>
      <c r="J201" s="158" t="s">
        <v>305</v>
      </c>
      <c r="K201" s="158" t="s">
        <v>305</v>
      </c>
      <c r="L201" s="162" t="s">
        <v>308</v>
      </c>
      <c r="M201" s="162"/>
      <c r="N201" s="162"/>
      <c r="O201" s="162"/>
      <c r="P201" s="158" t="s">
        <v>174</v>
      </c>
      <c r="Q201" s="158" t="s">
        <v>174</v>
      </c>
      <c r="R201" s="156" t="s">
        <v>304</v>
      </c>
    </row>
    <row r="202" spans="1:18" ht="20" hidden="1" x14ac:dyDescent="0.25">
      <c r="A202" s="154" t="str">
        <f t="shared" si="2"/>
        <v>Religious Facility - Worship/pulpit/choir area</v>
      </c>
      <c r="B202" s="154" t="s">
        <v>598</v>
      </c>
      <c r="C202" s="158" t="s">
        <v>600</v>
      </c>
      <c r="D202" s="158">
        <v>1.53</v>
      </c>
      <c r="E202" s="158">
        <v>4</v>
      </c>
      <c r="F202" s="158" t="s">
        <v>305</v>
      </c>
      <c r="G202" s="158" t="s">
        <v>173</v>
      </c>
      <c r="H202" s="158" t="s">
        <v>173</v>
      </c>
      <c r="I202" s="158" t="s">
        <v>305</v>
      </c>
      <c r="J202" s="158" t="s">
        <v>305</v>
      </c>
      <c r="K202" s="158" t="s">
        <v>305</v>
      </c>
      <c r="L202" s="162" t="s">
        <v>308</v>
      </c>
      <c r="M202" s="162"/>
      <c r="N202" s="162"/>
      <c r="O202" s="162"/>
      <c r="P202" s="158" t="s">
        <v>174</v>
      </c>
      <c r="Q202" s="158" t="s">
        <v>174</v>
      </c>
      <c r="R202" s="156" t="s">
        <v>304</v>
      </c>
    </row>
    <row r="203" spans="1:18" ht="72" hidden="1" x14ac:dyDescent="0.25">
      <c r="A203" s="154" t="str">
        <f t="shared" si="2"/>
        <v>Restroom in a facility for the visually impaired (and not used primarily by the staff)3</v>
      </c>
      <c r="B203" s="159"/>
      <c r="C203" s="149" t="s">
        <v>601</v>
      </c>
      <c r="D203" s="149">
        <v>0.96</v>
      </c>
      <c r="E203" s="149">
        <v>8</v>
      </c>
      <c r="F203" s="155" t="s">
        <v>308</v>
      </c>
      <c r="G203" s="155" t="s">
        <v>308</v>
      </c>
      <c r="H203" s="155" t="s">
        <v>308</v>
      </c>
      <c r="I203" s="155" t="s">
        <v>308</v>
      </c>
      <c r="J203" s="149" t="s">
        <v>305</v>
      </c>
      <c r="K203" s="149" t="s">
        <v>305</v>
      </c>
      <c r="L203" s="162" t="s">
        <v>308</v>
      </c>
      <c r="M203" s="162"/>
      <c r="N203" s="162"/>
      <c r="O203" s="162"/>
      <c r="P203" s="149" t="s">
        <v>305</v>
      </c>
      <c r="Q203" s="149"/>
      <c r="R203" s="156" t="s">
        <v>304</v>
      </c>
    </row>
    <row r="204" spans="1:18" ht="20" hidden="1" x14ac:dyDescent="0.25">
      <c r="A204" s="154" t="str">
        <f t="shared" si="2"/>
        <v>Restrooms - All other</v>
      </c>
      <c r="B204" s="159"/>
      <c r="C204" s="149" t="s">
        <v>602</v>
      </c>
      <c r="D204" s="149">
        <v>0.85</v>
      </c>
      <c r="E204" s="149">
        <v>8</v>
      </c>
      <c r="F204" s="149"/>
      <c r="G204" s="149"/>
      <c r="H204" s="149"/>
      <c r="I204" s="155" t="s">
        <v>308</v>
      </c>
      <c r="J204" s="149" t="s">
        <v>305</v>
      </c>
      <c r="K204" s="149" t="s">
        <v>305</v>
      </c>
      <c r="L204" s="162" t="s">
        <v>308</v>
      </c>
      <c r="M204" s="162"/>
      <c r="N204" s="162"/>
      <c r="O204" s="162"/>
      <c r="P204" s="149" t="s">
        <v>305</v>
      </c>
      <c r="Q204" s="149"/>
      <c r="R204" s="156" t="s">
        <v>304</v>
      </c>
    </row>
    <row r="205" spans="1:18" ht="20" hidden="1" x14ac:dyDescent="0.25">
      <c r="A205" s="154" t="str">
        <f t="shared" si="2"/>
        <v>Retail Facilities - Dressing/fitting room</v>
      </c>
      <c r="B205" s="154" t="s">
        <v>603</v>
      </c>
      <c r="C205" s="158" t="s">
        <v>604</v>
      </c>
      <c r="D205" s="158">
        <v>0.5</v>
      </c>
      <c r="E205" s="158">
        <v>8</v>
      </c>
      <c r="F205" s="158" t="s">
        <v>305</v>
      </c>
      <c r="G205" s="158" t="s">
        <v>173</v>
      </c>
      <c r="H205" s="158" t="s">
        <v>173</v>
      </c>
      <c r="I205" s="158" t="s">
        <v>305</v>
      </c>
      <c r="J205" s="158"/>
      <c r="K205" s="158" t="s">
        <v>305</v>
      </c>
      <c r="L205" s="162" t="s">
        <v>308</v>
      </c>
      <c r="M205" s="162"/>
      <c r="N205" s="162"/>
      <c r="O205" s="162"/>
      <c r="P205" s="158" t="s">
        <v>305</v>
      </c>
      <c r="Q205" s="158"/>
      <c r="R205" s="156" t="s">
        <v>304</v>
      </c>
    </row>
    <row r="206" spans="1:18" ht="20" hidden="1" x14ac:dyDescent="0.25">
      <c r="A206" s="154" t="str">
        <f t="shared" si="2"/>
        <v xml:space="preserve">Retail Facilities - Mall concourse </v>
      </c>
      <c r="B206" s="154" t="s">
        <v>603</v>
      </c>
      <c r="C206" s="158" t="s">
        <v>605</v>
      </c>
      <c r="D206" s="158">
        <v>0.9</v>
      </c>
      <c r="E206" s="158">
        <v>4</v>
      </c>
      <c r="F206" s="158" t="s">
        <v>305</v>
      </c>
      <c r="G206" s="158" t="s">
        <v>173</v>
      </c>
      <c r="H206" s="158" t="s">
        <v>173</v>
      </c>
      <c r="I206" s="158" t="s">
        <v>305</v>
      </c>
      <c r="J206" s="158" t="s">
        <v>305</v>
      </c>
      <c r="K206" s="158" t="s">
        <v>305</v>
      </c>
      <c r="L206" s="162" t="s">
        <v>308</v>
      </c>
      <c r="M206" s="162"/>
      <c r="N206" s="162"/>
      <c r="O206" s="162"/>
      <c r="P206" s="158" t="s">
        <v>174</v>
      </c>
      <c r="Q206" s="158" t="s">
        <v>174</v>
      </c>
      <c r="R206" s="156" t="s">
        <v>306</v>
      </c>
    </row>
    <row r="207" spans="1:18" hidden="1" x14ac:dyDescent="0.25">
      <c r="A207" s="154" t="str">
        <f t="shared" si="2"/>
        <v>Sales Area</v>
      </c>
      <c r="B207" s="159"/>
      <c r="C207" s="149" t="s">
        <v>47</v>
      </c>
      <c r="D207" s="149">
        <v>1.22</v>
      </c>
      <c r="E207" s="149">
        <v>6</v>
      </c>
      <c r="F207" s="149" t="s">
        <v>305</v>
      </c>
      <c r="G207" s="149" t="s">
        <v>173</v>
      </c>
      <c r="H207" s="149" t="s">
        <v>173</v>
      </c>
      <c r="I207" s="149" t="s">
        <v>305</v>
      </c>
      <c r="J207" s="149"/>
      <c r="K207" s="149" t="s">
        <v>305</v>
      </c>
      <c r="L207" s="162" t="s">
        <v>308</v>
      </c>
      <c r="M207" s="162"/>
      <c r="N207" s="162"/>
      <c r="O207" s="162"/>
      <c r="P207" s="149" t="s">
        <v>174</v>
      </c>
      <c r="Q207" s="149" t="s">
        <v>174</v>
      </c>
      <c r="R207" s="156" t="s">
        <v>463</v>
      </c>
    </row>
    <row r="208" spans="1:18" ht="20" hidden="1" x14ac:dyDescent="0.25">
      <c r="A208" s="154" t="str">
        <f t="shared" si="2"/>
        <v>Seating Area, General</v>
      </c>
      <c r="B208" s="159"/>
      <c r="C208" s="149" t="s">
        <v>465</v>
      </c>
      <c r="D208" s="149">
        <v>0.42</v>
      </c>
      <c r="E208" s="149">
        <v>4</v>
      </c>
      <c r="F208" s="149" t="s">
        <v>305</v>
      </c>
      <c r="G208" s="149" t="s">
        <v>173</v>
      </c>
      <c r="H208" s="149" t="s">
        <v>173</v>
      </c>
      <c r="I208" s="155" t="s">
        <v>308</v>
      </c>
      <c r="J208" s="149" t="s">
        <v>305</v>
      </c>
      <c r="K208" s="149" t="s">
        <v>305</v>
      </c>
      <c r="L208" s="162" t="s">
        <v>308</v>
      </c>
      <c r="M208" s="162"/>
      <c r="N208" s="162"/>
      <c r="O208" s="162"/>
      <c r="P208" s="149" t="s">
        <v>174</v>
      </c>
      <c r="Q208" s="149" t="s">
        <v>174</v>
      </c>
      <c r="R208" s="156" t="s">
        <v>304</v>
      </c>
    </row>
    <row r="209" spans="1:18" ht="20" hidden="1" x14ac:dyDescent="0.25">
      <c r="A209" s="154" t="str">
        <f t="shared" si="2"/>
        <v>Sports Arena - Playing Area Class I facility</v>
      </c>
      <c r="B209" s="154" t="s">
        <v>606</v>
      </c>
      <c r="C209" s="158" t="s">
        <v>607</v>
      </c>
      <c r="D209" s="158">
        <v>2.4700000000000002</v>
      </c>
      <c r="E209" s="158">
        <v>4</v>
      </c>
      <c r="F209" s="158" t="s">
        <v>305</v>
      </c>
      <c r="G209" s="158" t="s">
        <v>173</v>
      </c>
      <c r="H209" s="158" t="s">
        <v>173</v>
      </c>
      <c r="I209" s="158" t="s">
        <v>305</v>
      </c>
      <c r="J209" s="158" t="s">
        <v>305</v>
      </c>
      <c r="K209" s="158" t="s">
        <v>305</v>
      </c>
      <c r="L209" s="162" t="s">
        <v>308</v>
      </c>
      <c r="M209" s="162"/>
      <c r="N209" s="162"/>
      <c r="O209" s="162"/>
      <c r="P209" s="158" t="s">
        <v>174</v>
      </c>
      <c r="Q209" s="158" t="s">
        <v>174</v>
      </c>
      <c r="R209" s="156" t="s">
        <v>304</v>
      </c>
    </row>
    <row r="210" spans="1:18" ht="20" hidden="1" x14ac:dyDescent="0.25">
      <c r="A210" s="154" t="str">
        <f t="shared" si="2"/>
        <v>Sports Arena - Playing Area Class II facility</v>
      </c>
      <c r="B210" s="154" t="s">
        <v>606</v>
      </c>
      <c r="C210" s="158" t="s">
        <v>608</v>
      </c>
      <c r="D210" s="158">
        <v>1.96</v>
      </c>
      <c r="E210" s="158">
        <v>4</v>
      </c>
      <c r="F210" s="158" t="s">
        <v>305</v>
      </c>
      <c r="G210" s="158" t="s">
        <v>173</v>
      </c>
      <c r="H210" s="158" t="s">
        <v>173</v>
      </c>
      <c r="I210" s="158" t="s">
        <v>305</v>
      </c>
      <c r="J210" s="158" t="s">
        <v>305</v>
      </c>
      <c r="K210" s="158" t="s">
        <v>305</v>
      </c>
      <c r="L210" s="162" t="s">
        <v>308</v>
      </c>
      <c r="M210" s="162"/>
      <c r="N210" s="162"/>
      <c r="O210" s="162"/>
      <c r="P210" s="158" t="s">
        <v>174</v>
      </c>
      <c r="Q210" s="158" t="s">
        <v>174</v>
      </c>
      <c r="R210" s="156" t="s">
        <v>304</v>
      </c>
    </row>
    <row r="211" spans="1:18" ht="20" hidden="1" x14ac:dyDescent="0.25">
      <c r="A211" s="154" t="str">
        <f t="shared" si="2"/>
        <v>Sports Arena - Playing Area Class III facility</v>
      </c>
      <c r="B211" s="154" t="s">
        <v>606</v>
      </c>
      <c r="C211" s="158" t="s">
        <v>609</v>
      </c>
      <c r="D211" s="158">
        <v>1.7</v>
      </c>
      <c r="E211" s="158">
        <v>4</v>
      </c>
      <c r="F211" s="158" t="s">
        <v>305</v>
      </c>
      <c r="G211" s="158" t="s">
        <v>173</v>
      </c>
      <c r="H211" s="158" t="s">
        <v>173</v>
      </c>
      <c r="I211" s="158" t="s">
        <v>305</v>
      </c>
      <c r="J211" s="158" t="s">
        <v>305</v>
      </c>
      <c r="K211" s="158" t="s">
        <v>305</v>
      </c>
      <c r="L211" s="162" t="s">
        <v>308</v>
      </c>
      <c r="M211" s="162"/>
      <c r="N211" s="162"/>
      <c r="O211" s="162"/>
      <c r="P211" s="158" t="s">
        <v>174</v>
      </c>
      <c r="Q211" s="158" t="s">
        <v>174</v>
      </c>
      <c r="R211" s="156" t="s">
        <v>304</v>
      </c>
    </row>
    <row r="212" spans="1:18" ht="20" hidden="1" x14ac:dyDescent="0.25">
      <c r="A212" s="154" t="str">
        <f t="shared" si="2"/>
        <v>Sports Arena - Playing Area Class IV facility</v>
      </c>
      <c r="B212" s="154" t="s">
        <v>606</v>
      </c>
      <c r="C212" s="158" t="s">
        <v>610</v>
      </c>
      <c r="D212" s="158">
        <v>1.1299999999999999</v>
      </c>
      <c r="E212" s="158">
        <v>4</v>
      </c>
      <c r="F212" s="158" t="s">
        <v>305</v>
      </c>
      <c r="G212" s="158" t="s">
        <v>173</v>
      </c>
      <c r="H212" s="158" t="s">
        <v>173</v>
      </c>
      <c r="I212" s="158" t="s">
        <v>305</v>
      </c>
      <c r="J212" s="158" t="s">
        <v>305</v>
      </c>
      <c r="K212" s="158" t="s">
        <v>305</v>
      </c>
      <c r="L212" s="162" t="s">
        <v>308</v>
      </c>
      <c r="M212" s="162"/>
      <c r="N212" s="162"/>
      <c r="O212" s="162"/>
      <c r="P212" s="158" t="s">
        <v>174</v>
      </c>
      <c r="Q212" s="158" t="s">
        <v>174</v>
      </c>
      <c r="R212" s="156" t="s">
        <v>304</v>
      </c>
    </row>
    <row r="213" spans="1:18" hidden="1" x14ac:dyDescent="0.25">
      <c r="A213" s="154" t="str">
        <f t="shared" si="2"/>
        <v>Stairwell</v>
      </c>
      <c r="B213" s="159"/>
      <c r="C213" s="149" t="s">
        <v>475</v>
      </c>
      <c r="D213" s="149">
        <v>0.57999999999999996</v>
      </c>
      <c r="E213" s="149">
        <v>10</v>
      </c>
      <c r="F213" s="155" t="s">
        <v>308</v>
      </c>
      <c r="G213" s="155" t="s">
        <v>308</v>
      </c>
      <c r="H213" s="155" t="s">
        <v>308</v>
      </c>
      <c r="I213" s="149" t="s">
        <v>305</v>
      </c>
      <c r="J213" s="149" t="s">
        <v>305</v>
      </c>
      <c r="K213" s="149" t="s">
        <v>305</v>
      </c>
      <c r="L213" s="149" t="s">
        <v>305</v>
      </c>
      <c r="M213" s="149"/>
      <c r="N213" s="149"/>
      <c r="O213" s="149"/>
      <c r="P213" s="149" t="s">
        <v>174</v>
      </c>
      <c r="Q213" s="149" t="s">
        <v>174</v>
      </c>
      <c r="R213" s="156" t="s">
        <v>306</v>
      </c>
    </row>
    <row r="214" spans="1:18" hidden="1" x14ac:dyDescent="0.25">
      <c r="A214" s="154" t="str">
        <f t="shared" si="2"/>
        <v>Storage Room &lt;50 ft2</v>
      </c>
      <c r="B214" s="154" t="s">
        <v>611</v>
      </c>
      <c r="C214" s="149" t="s">
        <v>612</v>
      </c>
      <c r="D214" s="149">
        <v>0.97</v>
      </c>
      <c r="E214" s="149">
        <v>6</v>
      </c>
      <c r="F214" s="149" t="s">
        <v>305</v>
      </c>
      <c r="G214" s="155" t="s">
        <v>308</v>
      </c>
      <c r="H214" s="155" t="s">
        <v>308</v>
      </c>
      <c r="I214" s="155" t="s">
        <v>308</v>
      </c>
      <c r="J214" s="149"/>
      <c r="K214" s="149"/>
      <c r="L214" s="155" t="s">
        <v>308</v>
      </c>
      <c r="M214" s="155"/>
      <c r="N214" s="155"/>
      <c r="O214" s="155"/>
      <c r="P214" s="149" t="s">
        <v>174</v>
      </c>
      <c r="Q214" s="149" t="s">
        <v>174</v>
      </c>
      <c r="R214" s="156" t="s">
        <v>304</v>
      </c>
    </row>
    <row r="215" spans="1:18" ht="24" hidden="1" x14ac:dyDescent="0.25">
      <c r="A215" s="154" t="str">
        <f t="shared" si="2"/>
        <v>Storage Room &gt;=50 ft2 and &lt;=1000 ft2</v>
      </c>
      <c r="B215" s="154" t="s">
        <v>611</v>
      </c>
      <c r="C215" s="149" t="s">
        <v>613</v>
      </c>
      <c r="D215" s="149">
        <v>0.46</v>
      </c>
      <c r="E215" s="149">
        <v>6</v>
      </c>
      <c r="F215" s="149" t="s">
        <v>305</v>
      </c>
      <c r="G215" s="149" t="s">
        <v>173</v>
      </c>
      <c r="H215" s="149" t="s">
        <v>173</v>
      </c>
      <c r="I215" s="155" t="s">
        <v>308</v>
      </c>
      <c r="J215" s="149" t="s">
        <v>305</v>
      </c>
      <c r="K215" s="149" t="s">
        <v>305</v>
      </c>
      <c r="L215" s="155" t="s">
        <v>308</v>
      </c>
      <c r="M215" s="155"/>
      <c r="N215" s="155"/>
      <c r="O215" s="155"/>
      <c r="P215" s="149" t="s">
        <v>305</v>
      </c>
      <c r="Q215" s="149"/>
      <c r="R215" s="156" t="s">
        <v>304</v>
      </c>
    </row>
    <row r="216" spans="1:18" ht="20" hidden="1" x14ac:dyDescent="0.25">
      <c r="A216" s="154" t="str">
        <f t="shared" si="2"/>
        <v>Storage Room All other storage rooms</v>
      </c>
      <c r="B216" s="154" t="s">
        <v>611</v>
      </c>
      <c r="C216" s="149" t="s">
        <v>614</v>
      </c>
      <c r="D216" s="149">
        <v>0.46</v>
      </c>
      <c r="E216" s="149">
        <v>6</v>
      </c>
      <c r="F216" s="149" t="s">
        <v>305</v>
      </c>
      <c r="G216" s="149" t="s">
        <v>173</v>
      </c>
      <c r="H216" s="149" t="s">
        <v>173</v>
      </c>
      <c r="I216" s="155" t="s">
        <v>308</v>
      </c>
      <c r="J216" s="149" t="s">
        <v>305</v>
      </c>
      <c r="K216" s="149" t="s">
        <v>305</v>
      </c>
      <c r="L216" s="149" t="s">
        <v>305</v>
      </c>
      <c r="M216" s="149"/>
      <c r="N216" s="149"/>
      <c r="O216" s="149"/>
      <c r="P216" s="149" t="s">
        <v>174</v>
      </c>
      <c r="Q216" s="149" t="s">
        <v>174</v>
      </c>
      <c r="R216" s="156" t="s">
        <v>304</v>
      </c>
    </row>
    <row r="217" spans="1:18" ht="20" hidden="1" x14ac:dyDescent="0.25">
      <c r="A217" s="154" t="str">
        <f t="shared" si="2"/>
        <v>Transportation Facility - Airport concourse</v>
      </c>
      <c r="B217" s="154" t="s">
        <v>615</v>
      </c>
      <c r="C217" s="158" t="s">
        <v>616</v>
      </c>
      <c r="D217" s="158">
        <v>0.31</v>
      </c>
      <c r="E217" s="158">
        <v>4</v>
      </c>
      <c r="F217" s="158" t="s">
        <v>305</v>
      </c>
      <c r="G217" s="158" t="s">
        <v>173</v>
      </c>
      <c r="H217" s="158" t="s">
        <v>173</v>
      </c>
      <c r="I217" s="162" t="s">
        <v>308</v>
      </c>
      <c r="J217" s="158" t="s">
        <v>305</v>
      </c>
      <c r="K217" s="158" t="s">
        <v>305</v>
      </c>
      <c r="L217" s="162" t="s">
        <v>308</v>
      </c>
      <c r="M217" s="162"/>
      <c r="N217" s="162"/>
      <c r="O217" s="162"/>
      <c r="P217" s="158" t="s">
        <v>174</v>
      </c>
      <c r="Q217" s="158" t="s">
        <v>174</v>
      </c>
      <c r="R217" s="156" t="s">
        <v>304</v>
      </c>
    </row>
    <row r="218" spans="1:18" ht="20" hidden="1" x14ac:dyDescent="0.25">
      <c r="A218" s="154" t="str">
        <f t="shared" si="2"/>
        <v>Transportation Facility - Baggage/carousel area</v>
      </c>
      <c r="B218" s="154" t="s">
        <v>615</v>
      </c>
      <c r="C218" s="158" t="s">
        <v>617</v>
      </c>
      <c r="D218" s="158">
        <v>0.45</v>
      </c>
      <c r="E218" s="158">
        <v>4</v>
      </c>
      <c r="F218" s="158" t="s">
        <v>305</v>
      </c>
      <c r="G218" s="158" t="s">
        <v>173</v>
      </c>
      <c r="H218" s="158" t="s">
        <v>173</v>
      </c>
      <c r="I218" s="162" t="s">
        <v>308</v>
      </c>
      <c r="J218" s="158" t="s">
        <v>305</v>
      </c>
      <c r="K218" s="158" t="s">
        <v>305</v>
      </c>
      <c r="L218" s="162" t="s">
        <v>308</v>
      </c>
      <c r="M218" s="162"/>
      <c r="N218" s="162"/>
      <c r="O218" s="162"/>
      <c r="P218" s="158" t="s">
        <v>174</v>
      </c>
      <c r="Q218" s="158" t="s">
        <v>174</v>
      </c>
      <c r="R218" s="156" t="s">
        <v>304</v>
      </c>
    </row>
    <row r="219" spans="1:18" ht="20" hidden="1" x14ac:dyDescent="0.25">
      <c r="A219" s="154" t="str">
        <f t="shared" si="2"/>
        <v>Transportation Facility - Ticket counter</v>
      </c>
      <c r="B219" s="154" t="s">
        <v>615</v>
      </c>
      <c r="C219" s="158" t="s">
        <v>618</v>
      </c>
      <c r="D219" s="158">
        <v>0.62</v>
      </c>
      <c r="E219" s="158">
        <v>4</v>
      </c>
      <c r="F219" s="158" t="s">
        <v>305</v>
      </c>
      <c r="G219" s="158" t="s">
        <v>173</v>
      </c>
      <c r="H219" s="158" t="s">
        <v>173</v>
      </c>
      <c r="I219" s="158" t="s">
        <v>305</v>
      </c>
      <c r="J219" s="158" t="s">
        <v>305</v>
      </c>
      <c r="K219" s="158" t="s">
        <v>305</v>
      </c>
      <c r="L219" s="162" t="s">
        <v>308</v>
      </c>
      <c r="M219" s="162"/>
      <c r="N219" s="162"/>
      <c r="O219" s="162"/>
      <c r="P219" s="158" t="s">
        <v>174</v>
      </c>
      <c r="Q219" s="158" t="s">
        <v>174</v>
      </c>
      <c r="R219" s="156" t="s">
        <v>304</v>
      </c>
    </row>
    <row r="220" spans="1:18" ht="30" hidden="1" x14ac:dyDescent="0.25">
      <c r="A220" s="154" t="str">
        <f t="shared" si="2"/>
        <v>Vehicular Maintenance Area</v>
      </c>
      <c r="B220" s="160"/>
      <c r="C220" s="149" t="s">
        <v>484</v>
      </c>
      <c r="D220" s="149">
        <v>0.56000000000000005</v>
      </c>
      <c r="E220" s="149">
        <v>4</v>
      </c>
      <c r="F220" s="149" t="s">
        <v>305</v>
      </c>
      <c r="G220" s="149" t="s">
        <v>173</v>
      </c>
      <c r="H220" s="149" t="s">
        <v>173</v>
      </c>
      <c r="I220" s="149" t="s">
        <v>305</v>
      </c>
      <c r="J220" s="149" t="s">
        <v>305</v>
      </c>
      <c r="K220" s="149" t="s">
        <v>305</v>
      </c>
      <c r="L220" s="162" t="s">
        <v>308</v>
      </c>
      <c r="M220" s="162"/>
      <c r="N220" s="162"/>
      <c r="O220" s="162"/>
      <c r="P220" s="149" t="s">
        <v>174</v>
      </c>
      <c r="Q220" s="149" t="s">
        <v>174</v>
      </c>
      <c r="R220" s="156" t="s">
        <v>304</v>
      </c>
    </row>
    <row r="221" spans="1:18" ht="40" hidden="1" x14ac:dyDescent="0.25">
      <c r="A221" s="154" t="str">
        <f t="shared" si="2"/>
        <v>Warehouse - Storage Area Medium to bulky, palletized items</v>
      </c>
      <c r="B221" s="154" t="s">
        <v>619</v>
      </c>
      <c r="C221" s="158" t="s">
        <v>620</v>
      </c>
      <c r="D221" s="158">
        <v>0.35</v>
      </c>
      <c r="E221" s="158">
        <v>4</v>
      </c>
      <c r="F221" s="158" t="s">
        <v>305</v>
      </c>
      <c r="G221" s="158" t="s">
        <v>173</v>
      </c>
      <c r="H221" s="158" t="s">
        <v>173</v>
      </c>
      <c r="I221" s="158" t="s">
        <v>305</v>
      </c>
      <c r="J221" s="158" t="s">
        <v>305</v>
      </c>
      <c r="K221" s="158" t="s">
        <v>305</v>
      </c>
      <c r="L221" s="158" t="s">
        <v>305</v>
      </c>
      <c r="M221" s="158"/>
      <c r="N221" s="158"/>
      <c r="O221" s="158"/>
      <c r="P221" s="158" t="s">
        <v>174</v>
      </c>
      <c r="Q221" s="158" t="s">
        <v>174</v>
      </c>
      <c r="R221" s="156" t="s">
        <v>304</v>
      </c>
    </row>
    <row r="222" spans="1:18" ht="20" hidden="1" x14ac:dyDescent="0.25">
      <c r="A222" s="154" t="str">
        <f t="shared" si="2"/>
        <v>Warehouse - Storage Area Smaller, hand-carried items</v>
      </c>
      <c r="B222" s="154" t="s">
        <v>619</v>
      </c>
      <c r="C222" s="158" t="s">
        <v>621</v>
      </c>
      <c r="D222" s="158">
        <v>0.69</v>
      </c>
      <c r="E222" s="158">
        <v>6</v>
      </c>
      <c r="F222" s="158" t="s">
        <v>305</v>
      </c>
      <c r="G222" s="158" t="s">
        <v>173</v>
      </c>
      <c r="H222" s="158" t="s">
        <v>173</v>
      </c>
      <c r="I222" s="158" t="s">
        <v>305</v>
      </c>
      <c r="J222" s="158" t="s">
        <v>305</v>
      </c>
      <c r="K222" s="158" t="s">
        <v>305</v>
      </c>
      <c r="L222" s="158" t="s">
        <v>305</v>
      </c>
      <c r="M222" s="158"/>
      <c r="N222" s="158"/>
      <c r="O222" s="158"/>
      <c r="P222" s="158" t="s">
        <v>174</v>
      </c>
      <c r="Q222" s="158" t="s">
        <v>174</v>
      </c>
      <c r="R222" s="156" t="s">
        <v>304</v>
      </c>
    </row>
    <row r="223" spans="1:18" ht="12.75" hidden="1" customHeight="1" x14ac:dyDescent="0.25">
      <c r="A223" s="154" t="str">
        <f t="shared" si="2"/>
        <v>Workshop</v>
      </c>
      <c r="B223" s="156"/>
      <c r="C223" s="149" t="s">
        <v>286</v>
      </c>
      <c r="D223" s="149">
        <v>1.1399999999999999</v>
      </c>
      <c r="E223" s="149">
        <v>6</v>
      </c>
      <c r="F223" s="149" t="s">
        <v>305</v>
      </c>
      <c r="G223" s="149" t="s">
        <v>173</v>
      </c>
      <c r="H223" s="149" t="s">
        <v>173</v>
      </c>
      <c r="I223" s="149" t="s">
        <v>305</v>
      </c>
      <c r="J223" s="149" t="s">
        <v>305</v>
      </c>
      <c r="K223" s="149" t="s">
        <v>305</v>
      </c>
      <c r="L223" s="155" t="s">
        <v>308</v>
      </c>
      <c r="M223" s="155"/>
      <c r="N223" s="155"/>
      <c r="O223" s="155"/>
      <c r="P223" s="149" t="s">
        <v>174</v>
      </c>
      <c r="Q223" s="149" t="s">
        <v>174</v>
      </c>
      <c r="R223" s="156" t="s">
        <v>304</v>
      </c>
    </row>
    <row r="224" spans="1:18" hidden="1" x14ac:dyDescent="0.25">
      <c r="A224" s="156"/>
      <c r="B224" s="156"/>
      <c r="C224" s="1832" t="s">
        <v>622</v>
      </c>
      <c r="D224" s="1832"/>
      <c r="E224" s="1832"/>
      <c r="F224" s="1832"/>
      <c r="G224" s="1832"/>
      <c r="H224" s="1832"/>
      <c r="I224" s="1832"/>
      <c r="J224" s="1832"/>
      <c r="K224" s="1832"/>
      <c r="L224" s="1832"/>
      <c r="M224" s="1832"/>
      <c r="N224" s="1832"/>
      <c r="O224" s="1832"/>
      <c r="P224" s="1832"/>
      <c r="Q224" s="1832"/>
    </row>
    <row r="225" spans="1:18" hidden="1" x14ac:dyDescent="0.25">
      <c r="A225" s="156"/>
      <c r="B225" s="156"/>
      <c r="C225" s="1832" t="s">
        <v>623</v>
      </c>
      <c r="D225" s="1832"/>
      <c r="E225" s="1832"/>
      <c r="F225" s="1832"/>
      <c r="G225" s="1832"/>
      <c r="H225" s="1832"/>
      <c r="I225" s="1832"/>
      <c r="J225" s="1832"/>
      <c r="K225" s="1832"/>
      <c r="L225" s="1832"/>
      <c r="M225" s="1832"/>
      <c r="N225" s="1832"/>
      <c r="O225" s="1832"/>
      <c r="P225" s="1832"/>
      <c r="Q225" s="1832"/>
    </row>
    <row r="226" spans="1:18" hidden="1" x14ac:dyDescent="0.25">
      <c r="A226" s="156"/>
      <c r="B226" s="156"/>
      <c r="C226" s="1832" t="s">
        <v>624</v>
      </c>
      <c r="D226" s="1832"/>
      <c r="E226" s="1832"/>
      <c r="F226" s="1832"/>
      <c r="G226" s="1832"/>
      <c r="H226" s="1832"/>
      <c r="I226" s="1832"/>
      <c r="J226" s="1832"/>
      <c r="K226" s="1832"/>
      <c r="L226" s="1832"/>
      <c r="M226" s="1832"/>
      <c r="N226" s="1832"/>
      <c r="O226" s="1832"/>
      <c r="P226" s="1832"/>
      <c r="Q226" s="1832"/>
    </row>
    <row r="227" spans="1:18" hidden="1" x14ac:dyDescent="0.25">
      <c r="A227" s="156"/>
      <c r="B227" s="156"/>
      <c r="C227" s="1832" t="s">
        <v>625</v>
      </c>
      <c r="D227" s="1832"/>
      <c r="E227" s="1832"/>
      <c r="F227" s="1832"/>
      <c r="G227" s="1832"/>
      <c r="H227" s="1832"/>
      <c r="I227" s="1832"/>
      <c r="J227" s="1832"/>
      <c r="K227" s="1832"/>
      <c r="L227" s="1832"/>
      <c r="M227" s="1832"/>
      <c r="N227" s="1832"/>
      <c r="O227" s="1832"/>
      <c r="P227" s="1832"/>
      <c r="Q227" s="1832"/>
    </row>
    <row r="228" spans="1:18" hidden="1" x14ac:dyDescent="0.25">
      <c r="A228" s="156"/>
      <c r="B228" s="156"/>
      <c r="C228" s="1832" t="s">
        <v>626</v>
      </c>
      <c r="D228" s="1832"/>
      <c r="E228" s="1832"/>
      <c r="F228" s="1832"/>
      <c r="G228" s="1832"/>
      <c r="H228" s="1832"/>
      <c r="I228" s="1832"/>
      <c r="J228" s="1832"/>
      <c r="K228" s="1832"/>
      <c r="L228" s="1832"/>
      <c r="M228" s="1832"/>
      <c r="N228" s="1832"/>
      <c r="O228" s="1832"/>
      <c r="P228" s="1832"/>
      <c r="Q228" s="1832"/>
    </row>
    <row r="229" spans="1:18" hidden="1" x14ac:dyDescent="0.25">
      <c r="A229" s="156"/>
      <c r="B229" s="156"/>
      <c r="C229" s="1832" t="s">
        <v>627</v>
      </c>
      <c r="D229" s="1832"/>
      <c r="E229" s="1832"/>
      <c r="F229" s="1832"/>
      <c r="G229" s="1832"/>
      <c r="H229" s="1832"/>
      <c r="I229" s="1832"/>
      <c r="J229" s="1832"/>
      <c r="K229" s="1832"/>
      <c r="L229" s="1832"/>
      <c r="M229" s="1832"/>
      <c r="N229" s="1832"/>
      <c r="O229" s="1832"/>
      <c r="P229" s="1832"/>
      <c r="Q229" s="1832"/>
    </row>
    <row r="230" spans="1:18" hidden="1" x14ac:dyDescent="0.25">
      <c r="A230" s="156"/>
      <c r="B230" s="156"/>
      <c r="C230" s="1832" t="s">
        <v>628</v>
      </c>
      <c r="D230" s="1832"/>
      <c r="E230" s="1832"/>
      <c r="F230" s="1832"/>
      <c r="G230" s="1832"/>
      <c r="H230" s="1832"/>
      <c r="I230" s="1832"/>
      <c r="J230" s="1832"/>
      <c r="K230" s="1832"/>
      <c r="L230" s="1832"/>
      <c r="M230" s="1832"/>
      <c r="N230" s="1832"/>
      <c r="O230" s="1832"/>
      <c r="P230" s="1832"/>
      <c r="Q230" s="1832"/>
    </row>
    <row r="231" spans="1:18" hidden="1" x14ac:dyDescent="0.25">
      <c r="A231" s="156"/>
      <c r="B231" s="156"/>
      <c r="C231" s="1832" t="s">
        <v>629</v>
      </c>
      <c r="D231" s="1832"/>
      <c r="E231" s="1832"/>
      <c r="F231" s="1832"/>
      <c r="G231" s="1832"/>
      <c r="H231" s="1832"/>
      <c r="I231" s="1832"/>
      <c r="J231" s="1832"/>
      <c r="K231" s="1832"/>
      <c r="L231" s="1832"/>
      <c r="M231" s="1832"/>
      <c r="N231" s="1832"/>
      <c r="O231" s="1832"/>
      <c r="P231" s="1832"/>
      <c r="Q231" s="1832"/>
    </row>
    <row r="232" spans="1:18" hidden="1" x14ac:dyDescent="0.25"/>
    <row r="233" spans="1:18" hidden="1" x14ac:dyDescent="0.25"/>
    <row r="234" spans="1:18" hidden="1" x14ac:dyDescent="0.25"/>
    <row r="235" spans="1:18" hidden="1" x14ac:dyDescent="0.25"/>
    <row r="236" spans="1:18" ht="13" hidden="1" x14ac:dyDescent="0.3">
      <c r="A236" s="164">
        <v>2010</v>
      </c>
      <c r="B236" s="165"/>
      <c r="C236" s="165"/>
      <c r="D236" s="165"/>
      <c r="E236" s="165"/>
      <c r="F236" s="165"/>
      <c r="G236" s="165"/>
    </row>
    <row r="237" spans="1:18" ht="91" hidden="1" x14ac:dyDescent="0.3">
      <c r="A237" s="165" t="s">
        <v>630</v>
      </c>
      <c r="B237" s="165"/>
      <c r="C237" s="165"/>
      <c r="D237" s="220" t="s">
        <v>35</v>
      </c>
      <c r="E237" s="220" t="s">
        <v>201</v>
      </c>
      <c r="F237" s="238" t="s">
        <v>631</v>
      </c>
      <c r="G237" s="238" t="s">
        <v>296</v>
      </c>
      <c r="H237" s="238" t="s">
        <v>297</v>
      </c>
      <c r="I237" s="238" t="s">
        <v>298</v>
      </c>
      <c r="J237" s="238" t="s">
        <v>299</v>
      </c>
      <c r="K237" s="238" t="s">
        <v>300</v>
      </c>
      <c r="L237" s="238" t="s">
        <v>301</v>
      </c>
      <c r="M237" s="238"/>
      <c r="N237" s="238"/>
      <c r="O237" s="238"/>
      <c r="P237" s="238" t="s">
        <v>302</v>
      </c>
      <c r="Q237" s="221"/>
    </row>
    <row r="238" spans="1:18" hidden="1" x14ac:dyDescent="0.25">
      <c r="A238" s="156" t="s">
        <v>307</v>
      </c>
      <c r="B238" s="156"/>
      <c r="C238" s="156"/>
      <c r="D238" s="222">
        <v>0.03</v>
      </c>
      <c r="E238" s="222" t="s">
        <v>632</v>
      </c>
      <c r="F238" s="222" t="s">
        <v>305</v>
      </c>
      <c r="G238" s="222" t="s">
        <v>633</v>
      </c>
      <c r="H238" s="222" t="s">
        <v>633</v>
      </c>
      <c r="I238" s="223" t="s">
        <v>305</v>
      </c>
      <c r="J238" s="222" t="s">
        <v>633</v>
      </c>
      <c r="K238" s="223" t="s">
        <v>634</v>
      </c>
      <c r="L238" s="223" t="s">
        <v>634</v>
      </c>
      <c r="M238" s="223"/>
      <c r="N238" s="223"/>
      <c r="O238" s="223"/>
      <c r="P238" s="223" t="s">
        <v>634</v>
      </c>
      <c r="Q238" s="223" t="s">
        <v>634</v>
      </c>
      <c r="R238" s="156" t="s">
        <v>306</v>
      </c>
    </row>
    <row r="239" spans="1:18" hidden="1" x14ac:dyDescent="0.25">
      <c r="A239" s="156" t="s">
        <v>310</v>
      </c>
      <c r="B239" s="156"/>
      <c r="C239" s="156"/>
      <c r="D239" s="222">
        <v>0.02</v>
      </c>
      <c r="E239" s="222" t="s">
        <v>632</v>
      </c>
      <c r="F239" s="222" t="s">
        <v>305</v>
      </c>
      <c r="G239" s="222" t="s">
        <v>633</v>
      </c>
      <c r="H239" s="222" t="s">
        <v>633</v>
      </c>
      <c r="I239" s="223" t="s">
        <v>305</v>
      </c>
      <c r="J239" s="222" t="s">
        <v>633</v>
      </c>
      <c r="K239" s="223" t="s">
        <v>634</v>
      </c>
      <c r="L239" s="223" t="s">
        <v>634</v>
      </c>
      <c r="M239" s="223"/>
      <c r="N239" s="223"/>
      <c r="O239" s="223"/>
      <c r="P239" s="223" t="s">
        <v>634</v>
      </c>
      <c r="Q239" s="223" t="s">
        <v>634</v>
      </c>
      <c r="R239" s="156" t="s">
        <v>306</v>
      </c>
    </row>
    <row r="240" spans="1:18" hidden="1" x14ac:dyDescent="0.25">
      <c r="A240" s="156" t="s">
        <v>313</v>
      </c>
      <c r="B240" s="156"/>
      <c r="C240" s="156"/>
      <c r="D240" s="222">
        <v>0.79</v>
      </c>
      <c r="E240" s="222">
        <v>6</v>
      </c>
      <c r="F240" s="222" t="s">
        <v>305</v>
      </c>
      <c r="G240" s="222" t="s">
        <v>305</v>
      </c>
      <c r="H240" s="222" t="s">
        <v>633</v>
      </c>
      <c r="I240" s="223" t="s">
        <v>305</v>
      </c>
      <c r="J240" s="222" t="s">
        <v>633</v>
      </c>
      <c r="K240" s="223" t="s">
        <v>634</v>
      </c>
      <c r="L240" s="223" t="s">
        <v>634</v>
      </c>
      <c r="M240" s="223"/>
      <c r="N240" s="223"/>
      <c r="O240" s="223"/>
      <c r="P240" s="223" t="s">
        <v>634</v>
      </c>
      <c r="Q240" s="223" t="s">
        <v>634</v>
      </c>
      <c r="R240" s="156" t="s">
        <v>304</v>
      </c>
    </row>
    <row r="241" spans="1:18" hidden="1" x14ac:dyDescent="0.25">
      <c r="A241" s="156" t="s">
        <v>319</v>
      </c>
      <c r="B241" s="156"/>
      <c r="C241" s="156"/>
      <c r="D241" s="222">
        <v>1.1399999999999999</v>
      </c>
      <c r="E241" s="222">
        <v>4</v>
      </c>
      <c r="F241" s="222" t="s">
        <v>305</v>
      </c>
      <c r="G241" s="222" t="s">
        <v>305</v>
      </c>
      <c r="H241" s="222" t="s">
        <v>633</v>
      </c>
      <c r="I241" s="223" t="s">
        <v>305</v>
      </c>
      <c r="J241" s="222" t="s">
        <v>633</v>
      </c>
      <c r="K241" s="223" t="s">
        <v>634</v>
      </c>
      <c r="L241" s="223" t="s">
        <v>634</v>
      </c>
      <c r="M241" s="223"/>
      <c r="N241" s="223"/>
      <c r="O241" s="223"/>
      <c r="P241" s="223" t="s">
        <v>634</v>
      </c>
      <c r="Q241" s="223" t="s">
        <v>634</v>
      </c>
      <c r="R241" s="156" t="s">
        <v>304</v>
      </c>
    </row>
    <row r="242" spans="1:18" hidden="1" x14ac:dyDescent="0.25">
      <c r="A242" s="156" t="s">
        <v>323</v>
      </c>
      <c r="B242" s="156"/>
      <c r="C242" s="156"/>
      <c r="D242" s="222">
        <v>2.4300000000000002</v>
      </c>
      <c r="E242" s="222">
        <v>8</v>
      </c>
      <c r="F242" s="222" t="s">
        <v>305</v>
      </c>
      <c r="G242" s="222" t="s">
        <v>305</v>
      </c>
      <c r="H242" s="222" t="s">
        <v>633</v>
      </c>
      <c r="I242" s="223" t="s">
        <v>305</v>
      </c>
      <c r="J242" s="222" t="s">
        <v>633</v>
      </c>
      <c r="K242" s="223" t="s">
        <v>634</v>
      </c>
      <c r="L242" s="223" t="s">
        <v>634</v>
      </c>
      <c r="M242" s="223"/>
      <c r="N242" s="223"/>
      <c r="O242" s="223"/>
      <c r="P242" s="223" t="s">
        <v>634</v>
      </c>
      <c r="Q242" s="223" t="s">
        <v>634</v>
      </c>
      <c r="R242" s="156" t="s">
        <v>304</v>
      </c>
    </row>
    <row r="243" spans="1:18" hidden="1" x14ac:dyDescent="0.25">
      <c r="A243" s="156" t="s">
        <v>333</v>
      </c>
      <c r="B243" s="156"/>
      <c r="C243" s="156"/>
      <c r="D243" s="222">
        <v>1.24</v>
      </c>
      <c r="E243" s="222">
        <v>4</v>
      </c>
      <c r="F243" s="222" t="s">
        <v>305</v>
      </c>
      <c r="G243" s="222" t="s">
        <v>305</v>
      </c>
      <c r="H243" s="222" t="s">
        <v>305</v>
      </c>
      <c r="I243" s="222" t="s">
        <v>633</v>
      </c>
      <c r="J243" s="222" t="s">
        <v>633</v>
      </c>
      <c r="K243" s="223" t="s">
        <v>634</v>
      </c>
      <c r="L243" s="223" t="s">
        <v>634</v>
      </c>
      <c r="M243" s="223"/>
      <c r="N243" s="223"/>
      <c r="O243" s="223"/>
      <c r="P243" s="223" t="s">
        <v>634</v>
      </c>
      <c r="Q243" s="223" t="s">
        <v>634</v>
      </c>
      <c r="R243" s="156" t="s">
        <v>332</v>
      </c>
    </row>
    <row r="244" spans="1:18" hidden="1" x14ac:dyDescent="0.25">
      <c r="A244" s="156" t="s">
        <v>338</v>
      </c>
      <c r="B244" s="156"/>
      <c r="C244" s="156"/>
      <c r="D244" s="222">
        <v>1.23</v>
      </c>
      <c r="E244" s="222">
        <v>6</v>
      </c>
      <c r="F244" s="222" t="s">
        <v>305</v>
      </c>
      <c r="G244" s="222" t="s">
        <v>305</v>
      </c>
      <c r="H244" s="222" t="s">
        <v>305</v>
      </c>
      <c r="I244" s="222" t="s">
        <v>633</v>
      </c>
      <c r="J244" s="222" t="s">
        <v>633</v>
      </c>
      <c r="K244" s="223" t="s">
        <v>634</v>
      </c>
      <c r="L244" s="223" t="s">
        <v>634</v>
      </c>
      <c r="M244" s="223"/>
      <c r="N244" s="223"/>
      <c r="O244" s="223"/>
      <c r="P244" s="223" t="s">
        <v>634</v>
      </c>
      <c r="Q244" s="223" t="s">
        <v>634</v>
      </c>
      <c r="R244" s="156" t="s">
        <v>332</v>
      </c>
    </row>
    <row r="245" spans="1:18" hidden="1" x14ac:dyDescent="0.25">
      <c r="A245" s="156" t="s">
        <v>345</v>
      </c>
      <c r="B245" s="156"/>
      <c r="C245" s="156"/>
      <c r="D245" s="222">
        <v>0.66</v>
      </c>
      <c r="E245" s="222" t="s">
        <v>346</v>
      </c>
      <c r="F245" s="222" t="s">
        <v>305</v>
      </c>
      <c r="G245" s="222" t="s">
        <v>633</v>
      </c>
      <c r="H245" s="222" t="s">
        <v>633</v>
      </c>
      <c r="I245" s="223" t="s">
        <v>305</v>
      </c>
      <c r="J245" s="222" t="s">
        <v>633</v>
      </c>
      <c r="K245" s="223" t="s">
        <v>634</v>
      </c>
      <c r="L245" s="223" t="s">
        <v>634</v>
      </c>
      <c r="M245" s="223"/>
      <c r="N245" s="223"/>
      <c r="O245" s="223"/>
      <c r="P245" s="223" t="s">
        <v>634</v>
      </c>
      <c r="Q245" s="223" t="s">
        <v>634</v>
      </c>
      <c r="R245" s="156" t="s">
        <v>306</v>
      </c>
    </row>
    <row r="246" spans="1:18" hidden="1" x14ac:dyDescent="0.25">
      <c r="A246" s="156" t="s">
        <v>357</v>
      </c>
      <c r="B246" s="156"/>
      <c r="C246" s="156"/>
      <c r="D246" s="222">
        <v>0.65</v>
      </c>
      <c r="E246" s="222">
        <v>4</v>
      </c>
      <c r="F246" s="222" t="s">
        <v>305</v>
      </c>
      <c r="G246" s="222" t="s">
        <v>305</v>
      </c>
      <c r="H246" s="222" t="s">
        <v>633</v>
      </c>
      <c r="I246" s="223" t="s">
        <v>305</v>
      </c>
      <c r="J246" s="222" t="s">
        <v>633</v>
      </c>
      <c r="K246" s="223" t="s">
        <v>634</v>
      </c>
      <c r="L246" s="223" t="s">
        <v>634</v>
      </c>
      <c r="M246" s="223"/>
      <c r="N246" s="223"/>
      <c r="O246" s="223"/>
      <c r="P246" s="223" t="s">
        <v>634</v>
      </c>
      <c r="Q246" s="223" t="s">
        <v>634</v>
      </c>
      <c r="R246" s="156" t="s">
        <v>306</v>
      </c>
    </row>
    <row r="247" spans="1:18" hidden="1" x14ac:dyDescent="0.25">
      <c r="A247" s="156" t="s">
        <v>359</v>
      </c>
      <c r="B247" s="156"/>
      <c r="C247" s="156"/>
      <c r="D247" s="222">
        <v>1.31</v>
      </c>
      <c r="E247" s="222">
        <v>4</v>
      </c>
      <c r="F247" s="222" t="s">
        <v>305</v>
      </c>
      <c r="G247" s="222" t="s">
        <v>305</v>
      </c>
      <c r="H247" s="222" t="s">
        <v>633</v>
      </c>
      <c r="I247" s="223" t="s">
        <v>305</v>
      </c>
      <c r="J247" s="222" t="s">
        <v>633</v>
      </c>
      <c r="K247" s="223" t="s">
        <v>634</v>
      </c>
      <c r="L247" s="223" t="s">
        <v>634</v>
      </c>
      <c r="M247" s="223"/>
      <c r="N247" s="223"/>
      <c r="O247" s="223"/>
      <c r="P247" s="223" t="s">
        <v>634</v>
      </c>
      <c r="Q247" s="223" t="s">
        <v>634</v>
      </c>
      <c r="R247" s="156" t="s">
        <v>306</v>
      </c>
    </row>
    <row r="248" spans="1:18" hidden="1" x14ac:dyDescent="0.25">
      <c r="A248" s="156" t="s">
        <v>361</v>
      </c>
      <c r="B248" s="156"/>
      <c r="C248" s="156"/>
      <c r="D248" s="222">
        <v>0.89</v>
      </c>
      <c r="E248" s="222">
        <v>4</v>
      </c>
      <c r="F248" s="222" t="s">
        <v>305</v>
      </c>
      <c r="G248" s="222" t="s">
        <v>305</v>
      </c>
      <c r="H248" s="222" t="s">
        <v>633</v>
      </c>
      <c r="I248" s="223" t="s">
        <v>305</v>
      </c>
      <c r="J248" s="222" t="s">
        <v>633</v>
      </c>
      <c r="K248" s="223" t="s">
        <v>634</v>
      </c>
      <c r="L248" s="223" t="s">
        <v>634</v>
      </c>
      <c r="M248" s="223"/>
      <c r="N248" s="223"/>
      <c r="O248" s="223"/>
      <c r="P248" s="223" t="s">
        <v>634</v>
      </c>
      <c r="Q248" s="223" t="s">
        <v>634</v>
      </c>
      <c r="R248" s="156" t="s">
        <v>306</v>
      </c>
    </row>
    <row r="249" spans="1:18" hidden="1" x14ac:dyDescent="0.25">
      <c r="A249" s="156" t="s">
        <v>448</v>
      </c>
      <c r="B249" s="156"/>
      <c r="C249" s="156"/>
      <c r="D249" s="222">
        <v>0.4</v>
      </c>
      <c r="E249" s="222">
        <v>6</v>
      </c>
      <c r="F249" s="222" t="s">
        <v>305</v>
      </c>
      <c r="G249" s="222" t="s">
        <v>305</v>
      </c>
      <c r="H249" s="222" t="s">
        <v>305</v>
      </c>
      <c r="I249" s="222" t="s">
        <v>633</v>
      </c>
      <c r="J249" s="222" t="s">
        <v>633</v>
      </c>
      <c r="K249" s="223" t="s">
        <v>634</v>
      </c>
      <c r="L249" s="223" t="s">
        <v>634</v>
      </c>
      <c r="M249" s="223"/>
      <c r="N249" s="223"/>
      <c r="O249" s="223"/>
      <c r="P249" s="223" t="s">
        <v>634</v>
      </c>
      <c r="Q249" s="223" t="s">
        <v>634</v>
      </c>
      <c r="R249" s="156" t="s">
        <v>304</v>
      </c>
    </row>
    <row r="250" spans="1:18" hidden="1" x14ac:dyDescent="0.25">
      <c r="A250" s="156" t="s">
        <v>369</v>
      </c>
      <c r="B250" s="156"/>
      <c r="C250" s="156"/>
      <c r="D250" s="222">
        <v>0.95</v>
      </c>
      <c r="E250" s="222">
        <v>6</v>
      </c>
      <c r="F250" s="222" t="s">
        <v>305</v>
      </c>
      <c r="G250" s="222" t="s">
        <v>633</v>
      </c>
      <c r="H250" s="222" t="s">
        <v>633</v>
      </c>
      <c r="I250" s="223" t="s">
        <v>305</v>
      </c>
      <c r="J250" s="222" t="s">
        <v>633</v>
      </c>
      <c r="K250" s="223" t="s">
        <v>634</v>
      </c>
      <c r="L250" s="223" t="s">
        <v>634</v>
      </c>
      <c r="M250" s="223"/>
      <c r="N250" s="223"/>
      <c r="O250" s="223"/>
      <c r="P250" s="223" t="s">
        <v>634</v>
      </c>
      <c r="Q250" s="223" t="s">
        <v>634</v>
      </c>
      <c r="R250" s="156" t="s">
        <v>304</v>
      </c>
    </row>
    <row r="251" spans="1:18" hidden="1" x14ac:dyDescent="0.25">
      <c r="A251" s="156" t="s">
        <v>375</v>
      </c>
      <c r="B251" s="156"/>
      <c r="C251" s="156"/>
      <c r="D251" s="222">
        <v>0.99</v>
      </c>
      <c r="E251" s="222">
        <v>6</v>
      </c>
      <c r="F251" s="222" t="s">
        <v>305</v>
      </c>
      <c r="G251" s="222" t="s">
        <v>305</v>
      </c>
      <c r="H251" s="222" t="s">
        <v>633</v>
      </c>
      <c r="I251" s="223" t="s">
        <v>305</v>
      </c>
      <c r="J251" s="222" t="s">
        <v>633</v>
      </c>
      <c r="K251" s="223" t="s">
        <v>634</v>
      </c>
      <c r="L251" s="223" t="s">
        <v>634</v>
      </c>
      <c r="M251" s="223"/>
      <c r="N251" s="223"/>
      <c r="O251" s="223"/>
      <c r="P251" s="223" t="s">
        <v>634</v>
      </c>
      <c r="Q251" s="223" t="s">
        <v>634</v>
      </c>
      <c r="R251" s="156" t="s">
        <v>304</v>
      </c>
    </row>
    <row r="252" spans="1:18" hidden="1" x14ac:dyDescent="0.25">
      <c r="A252" s="156" t="s">
        <v>404</v>
      </c>
      <c r="B252" s="156"/>
      <c r="C252" s="156"/>
      <c r="D252" s="222">
        <v>1.28</v>
      </c>
      <c r="E252" s="222">
        <v>6</v>
      </c>
      <c r="F252" s="222" t="s">
        <v>305</v>
      </c>
      <c r="G252" s="222" t="s">
        <v>305</v>
      </c>
      <c r="H252" s="222" t="s">
        <v>305</v>
      </c>
      <c r="I252" s="222" t="s">
        <v>633</v>
      </c>
      <c r="J252" s="222" t="s">
        <v>633</v>
      </c>
      <c r="K252" s="223" t="s">
        <v>634</v>
      </c>
      <c r="L252" s="223" t="s">
        <v>634</v>
      </c>
      <c r="M252" s="223"/>
      <c r="N252" s="223"/>
      <c r="O252" s="223"/>
      <c r="P252" s="223" t="s">
        <v>634</v>
      </c>
      <c r="Q252" s="223" t="s">
        <v>634</v>
      </c>
      <c r="R252" s="156" t="s">
        <v>332</v>
      </c>
    </row>
    <row r="253" spans="1:18" hidden="1" x14ac:dyDescent="0.25">
      <c r="A253" s="156" t="s">
        <v>402</v>
      </c>
      <c r="B253" s="156"/>
      <c r="C253" s="156"/>
      <c r="D253" s="222">
        <v>1.81</v>
      </c>
      <c r="E253" s="222">
        <v>6</v>
      </c>
      <c r="F253" s="222" t="s">
        <v>305</v>
      </c>
      <c r="G253" s="222" t="s">
        <v>305</v>
      </c>
      <c r="H253" s="222" t="s">
        <v>633</v>
      </c>
      <c r="I253" s="223" t="s">
        <v>305</v>
      </c>
      <c r="J253" s="222" t="s">
        <v>633</v>
      </c>
      <c r="K253" s="223" t="s">
        <v>634</v>
      </c>
      <c r="L253" s="223" t="s">
        <v>634</v>
      </c>
      <c r="M253" s="223"/>
      <c r="N253" s="223"/>
      <c r="O253" s="223"/>
      <c r="P253" s="223" t="s">
        <v>634</v>
      </c>
      <c r="Q253" s="223" t="s">
        <v>634</v>
      </c>
      <c r="R253" s="156" t="s">
        <v>304</v>
      </c>
    </row>
    <row r="254" spans="1:18" hidden="1" x14ac:dyDescent="0.25">
      <c r="A254" s="156" t="s">
        <v>413</v>
      </c>
      <c r="B254" s="156"/>
      <c r="C254" s="156"/>
      <c r="D254" s="222">
        <v>0.9</v>
      </c>
      <c r="E254" s="222">
        <v>4</v>
      </c>
      <c r="F254" s="222" t="s">
        <v>305</v>
      </c>
      <c r="G254" s="222" t="s">
        <v>633</v>
      </c>
      <c r="H254" s="222" t="s">
        <v>633</v>
      </c>
      <c r="I254" s="223" t="s">
        <v>305</v>
      </c>
      <c r="J254" s="222" t="s">
        <v>633</v>
      </c>
      <c r="K254" s="223" t="s">
        <v>634</v>
      </c>
      <c r="L254" s="223" t="s">
        <v>634</v>
      </c>
      <c r="M254" s="223"/>
      <c r="N254" s="223"/>
      <c r="O254" s="223"/>
      <c r="P254" s="223" t="s">
        <v>634</v>
      </c>
      <c r="Q254" s="223" t="s">
        <v>634</v>
      </c>
      <c r="R254" s="156" t="s">
        <v>306</v>
      </c>
    </row>
    <row r="255" spans="1:18" hidden="1" x14ac:dyDescent="0.25">
      <c r="A255" s="156" t="s">
        <v>414</v>
      </c>
      <c r="B255" s="156"/>
      <c r="C255" s="156"/>
      <c r="D255" s="222">
        <v>0.64</v>
      </c>
      <c r="E255" s="222">
        <v>6</v>
      </c>
      <c r="F255" s="222" t="s">
        <v>305</v>
      </c>
      <c r="G255" s="222" t="s">
        <v>633</v>
      </c>
      <c r="H255" s="222" t="s">
        <v>633</v>
      </c>
      <c r="I255" s="223" t="s">
        <v>305</v>
      </c>
      <c r="J255" s="222" t="s">
        <v>633</v>
      </c>
      <c r="K255" s="223" t="s">
        <v>634</v>
      </c>
      <c r="L255" s="223" t="s">
        <v>634</v>
      </c>
      <c r="M255" s="223"/>
      <c r="N255" s="223"/>
      <c r="O255" s="223"/>
      <c r="P255" s="223" t="s">
        <v>634</v>
      </c>
      <c r="Q255" s="223" t="s">
        <v>634</v>
      </c>
      <c r="R255" s="156" t="s">
        <v>306</v>
      </c>
    </row>
    <row r="256" spans="1:18" hidden="1" x14ac:dyDescent="0.25">
      <c r="A256" s="156" t="s">
        <v>419</v>
      </c>
      <c r="B256" s="156"/>
      <c r="C256" s="156"/>
      <c r="D256" s="222">
        <v>0.52</v>
      </c>
      <c r="E256" s="222">
        <v>4</v>
      </c>
      <c r="F256" s="222" t="s">
        <v>305</v>
      </c>
      <c r="G256" s="222" t="s">
        <v>633</v>
      </c>
      <c r="H256" s="222" t="s">
        <v>633</v>
      </c>
      <c r="I256" s="223" t="s">
        <v>305</v>
      </c>
      <c r="J256" s="222" t="s">
        <v>633</v>
      </c>
      <c r="K256" s="223" t="s">
        <v>634</v>
      </c>
      <c r="L256" s="223" t="s">
        <v>634</v>
      </c>
      <c r="M256" s="223"/>
      <c r="N256" s="223"/>
      <c r="O256" s="223"/>
      <c r="P256" s="223" t="s">
        <v>634</v>
      </c>
      <c r="Q256" s="223" t="s">
        <v>634</v>
      </c>
      <c r="R256" s="156" t="s">
        <v>306</v>
      </c>
    </row>
    <row r="257" spans="1:18" hidden="1" x14ac:dyDescent="0.25">
      <c r="A257" s="156" t="s">
        <v>421</v>
      </c>
      <c r="B257" s="156"/>
      <c r="C257" s="156"/>
      <c r="D257" s="222">
        <v>2</v>
      </c>
      <c r="E257" s="222">
        <v>6</v>
      </c>
      <c r="F257" s="222" t="s">
        <v>305</v>
      </c>
      <c r="G257" s="222" t="s">
        <v>633</v>
      </c>
      <c r="H257" s="222" t="s">
        <v>633</v>
      </c>
      <c r="I257" s="223" t="s">
        <v>305</v>
      </c>
      <c r="J257" s="222" t="s">
        <v>633</v>
      </c>
      <c r="K257" s="223" t="s">
        <v>634</v>
      </c>
      <c r="L257" s="223" t="s">
        <v>634</v>
      </c>
      <c r="M257" s="223"/>
      <c r="N257" s="223"/>
      <c r="O257" s="223"/>
      <c r="P257" s="223" t="s">
        <v>634</v>
      </c>
      <c r="Q257" s="223" t="s">
        <v>634</v>
      </c>
      <c r="R257" s="156" t="s">
        <v>306</v>
      </c>
    </row>
    <row r="258" spans="1:18" hidden="1" x14ac:dyDescent="0.25">
      <c r="A258" s="156" t="s">
        <v>422</v>
      </c>
      <c r="B258" s="156"/>
      <c r="C258" s="156"/>
      <c r="D258" s="222">
        <v>0.75</v>
      </c>
      <c r="E258" s="222">
        <v>6</v>
      </c>
      <c r="F258" s="222" t="s">
        <v>305</v>
      </c>
      <c r="G258" s="222" t="s">
        <v>305</v>
      </c>
      <c r="H258" s="222" t="s">
        <v>305</v>
      </c>
      <c r="I258" s="222" t="s">
        <v>633</v>
      </c>
      <c r="J258" s="222" t="s">
        <v>633</v>
      </c>
      <c r="K258" s="223" t="s">
        <v>634</v>
      </c>
      <c r="L258" s="223" t="s">
        <v>634</v>
      </c>
      <c r="M258" s="223"/>
      <c r="N258" s="223"/>
      <c r="O258" s="223"/>
      <c r="P258" s="223" t="s">
        <v>634</v>
      </c>
      <c r="Q258" s="223" t="s">
        <v>634</v>
      </c>
      <c r="R258" s="156" t="s">
        <v>304</v>
      </c>
    </row>
    <row r="259" spans="1:18" hidden="1" x14ac:dyDescent="0.25">
      <c r="A259" s="156" t="s">
        <v>424</v>
      </c>
      <c r="B259" s="156"/>
      <c r="C259" s="156"/>
      <c r="D259" s="222">
        <v>0.73</v>
      </c>
      <c r="E259" s="222">
        <v>4</v>
      </c>
      <c r="F259" s="222" t="s">
        <v>305</v>
      </c>
      <c r="G259" s="222" t="s">
        <v>305</v>
      </c>
      <c r="H259" s="222" t="s">
        <v>305</v>
      </c>
      <c r="I259" s="222" t="s">
        <v>633</v>
      </c>
      <c r="J259" s="222" t="s">
        <v>633</v>
      </c>
      <c r="K259" s="223" t="s">
        <v>634</v>
      </c>
      <c r="L259" s="223" t="s">
        <v>634</v>
      </c>
      <c r="M259" s="223"/>
      <c r="N259" s="223"/>
      <c r="O259" s="223"/>
      <c r="P259" s="223" t="s">
        <v>634</v>
      </c>
      <c r="Q259" s="223" t="s">
        <v>634</v>
      </c>
      <c r="R259" s="156" t="s">
        <v>304</v>
      </c>
    </row>
    <row r="260" spans="1:18" hidden="1" x14ac:dyDescent="0.25">
      <c r="A260" s="156" t="s">
        <v>442</v>
      </c>
      <c r="B260" s="156"/>
      <c r="C260" s="156"/>
      <c r="D260" s="222">
        <v>1.1100000000000001</v>
      </c>
      <c r="E260" s="222">
        <v>8</v>
      </c>
      <c r="F260" s="222" t="s">
        <v>305</v>
      </c>
      <c r="G260" s="222" t="s">
        <v>305</v>
      </c>
      <c r="H260" s="222" t="s">
        <v>305</v>
      </c>
      <c r="I260" s="222" t="s">
        <v>633</v>
      </c>
      <c r="J260" s="222" t="s">
        <v>633</v>
      </c>
      <c r="K260" s="223" t="s">
        <v>634</v>
      </c>
      <c r="L260" s="223" t="s">
        <v>634</v>
      </c>
      <c r="M260" s="223"/>
      <c r="N260" s="223"/>
      <c r="O260" s="223"/>
      <c r="P260" s="223" t="s">
        <v>634</v>
      </c>
      <c r="Q260" s="223" t="s">
        <v>634</v>
      </c>
      <c r="R260" s="156" t="s">
        <v>353</v>
      </c>
    </row>
    <row r="261" spans="1:18" hidden="1" x14ac:dyDescent="0.25">
      <c r="A261" s="156" t="s">
        <v>444</v>
      </c>
      <c r="B261" s="156"/>
      <c r="C261" s="156"/>
      <c r="D261" s="222">
        <v>0.98</v>
      </c>
      <c r="E261" s="222">
        <v>4</v>
      </c>
      <c r="F261" s="222" t="s">
        <v>305</v>
      </c>
      <c r="G261" s="222" t="s">
        <v>305</v>
      </c>
      <c r="H261" s="222" t="s">
        <v>633</v>
      </c>
      <c r="I261" s="223" t="s">
        <v>305</v>
      </c>
      <c r="J261" s="222" t="s">
        <v>633</v>
      </c>
      <c r="K261" s="223" t="s">
        <v>634</v>
      </c>
      <c r="L261" s="223" t="s">
        <v>634</v>
      </c>
      <c r="M261" s="223"/>
      <c r="N261" s="223"/>
      <c r="O261" s="223"/>
      <c r="P261" s="223" t="s">
        <v>634</v>
      </c>
      <c r="Q261" s="223" t="s">
        <v>634</v>
      </c>
      <c r="R261" s="156" t="s">
        <v>443</v>
      </c>
    </row>
    <row r="262" spans="1:18" hidden="1" x14ac:dyDescent="0.25">
      <c r="A262" s="156" t="s">
        <v>457</v>
      </c>
      <c r="B262" s="156"/>
      <c r="C262" s="156"/>
      <c r="D262" s="222">
        <v>0.98</v>
      </c>
      <c r="E262" s="222">
        <v>8</v>
      </c>
      <c r="F262" s="222" t="s">
        <v>305</v>
      </c>
      <c r="G262" s="222" t="s">
        <v>633</v>
      </c>
      <c r="H262" s="222" t="s">
        <v>305</v>
      </c>
      <c r="I262" s="222" t="s">
        <v>633</v>
      </c>
      <c r="J262" s="222" t="s">
        <v>633</v>
      </c>
      <c r="K262" s="223" t="s">
        <v>634</v>
      </c>
      <c r="L262" s="223" t="s">
        <v>634</v>
      </c>
      <c r="M262" s="223"/>
      <c r="N262" s="223"/>
      <c r="O262" s="223"/>
      <c r="P262" s="223" t="s">
        <v>634</v>
      </c>
      <c r="Q262" s="223" t="s">
        <v>634</v>
      </c>
      <c r="R262" s="156" t="s">
        <v>304</v>
      </c>
    </row>
    <row r="263" spans="1:18" hidden="1" x14ac:dyDescent="0.25">
      <c r="A263" s="156" t="s">
        <v>47</v>
      </c>
      <c r="B263" s="156"/>
      <c r="C263" s="156"/>
      <c r="D263" s="222">
        <v>1.68</v>
      </c>
      <c r="E263" s="222">
        <v>6</v>
      </c>
      <c r="F263" s="222" t="s">
        <v>305</v>
      </c>
      <c r="G263" s="222" t="s">
        <v>305</v>
      </c>
      <c r="H263" s="222" t="s">
        <v>633</v>
      </c>
      <c r="I263" s="223" t="s">
        <v>305</v>
      </c>
      <c r="J263" s="222" t="s">
        <v>633</v>
      </c>
      <c r="K263" s="223" t="s">
        <v>634</v>
      </c>
      <c r="L263" s="223" t="s">
        <v>634</v>
      </c>
      <c r="M263" s="223"/>
      <c r="N263" s="223"/>
      <c r="O263" s="223"/>
      <c r="P263" s="223" t="s">
        <v>634</v>
      </c>
      <c r="Q263" s="223" t="s">
        <v>634</v>
      </c>
      <c r="R263" s="156" t="s">
        <v>463</v>
      </c>
    </row>
    <row r="264" spans="1:18" hidden="1" x14ac:dyDescent="0.25">
      <c r="A264" s="156" t="s">
        <v>476</v>
      </c>
      <c r="B264" s="156"/>
      <c r="C264" s="156"/>
      <c r="D264" s="222">
        <v>0.69</v>
      </c>
      <c r="E264" s="222">
        <v>10</v>
      </c>
      <c r="F264" s="222" t="s">
        <v>305</v>
      </c>
      <c r="G264" s="222" t="s">
        <v>633</v>
      </c>
      <c r="H264" s="222" t="s">
        <v>633</v>
      </c>
      <c r="I264" s="223" t="s">
        <v>305</v>
      </c>
      <c r="J264" s="222" t="s">
        <v>633</v>
      </c>
      <c r="K264" s="223" t="s">
        <v>634</v>
      </c>
      <c r="L264" s="223" t="s">
        <v>634</v>
      </c>
      <c r="M264" s="223"/>
      <c r="N264" s="223"/>
      <c r="O264" s="223"/>
      <c r="P264" s="223" t="s">
        <v>634</v>
      </c>
      <c r="Q264" s="223" t="s">
        <v>634</v>
      </c>
      <c r="R264" s="156" t="s">
        <v>306</v>
      </c>
    </row>
    <row r="265" spans="1:18" hidden="1" x14ac:dyDescent="0.25">
      <c r="A265" s="156" t="s">
        <v>388</v>
      </c>
      <c r="B265" s="156"/>
      <c r="C265" s="156"/>
      <c r="D265" s="222">
        <v>0.63</v>
      </c>
      <c r="E265" s="222">
        <v>6</v>
      </c>
      <c r="F265" s="222" t="s">
        <v>305</v>
      </c>
      <c r="G265" s="222" t="s">
        <v>633</v>
      </c>
      <c r="H265" s="222" t="s">
        <v>305</v>
      </c>
      <c r="I265" s="222" t="s">
        <v>633</v>
      </c>
      <c r="J265" s="222" t="s">
        <v>633</v>
      </c>
      <c r="K265" s="223" t="s">
        <v>634</v>
      </c>
      <c r="L265" s="223" t="s">
        <v>634</v>
      </c>
      <c r="M265" s="223"/>
      <c r="N265" s="223"/>
      <c r="O265" s="223"/>
      <c r="P265" s="223" t="s">
        <v>634</v>
      </c>
      <c r="Q265" s="223" t="s">
        <v>634</v>
      </c>
      <c r="R265" s="156" t="s">
        <v>304</v>
      </c>
    </row>
    <row r="266" spans="1:18" hidden="1" x14ac:dyDescent="0.25">
      <c r="A266" s="156" t="s">
        <v>286</v>
      </c>
      <c r="B266" s="156"/>
      <c r="C266" s="156"/>
      <c r="D266" s="222">
        <v>1.59</v>
      </c>
      <c r="E266" s="222">
        <v>6</v>
      </c>
      <c r="F266" s="222" t="s">
        <v>305</v>
      </c>
      <c r="G266" s="222" t="s">
        <v>305</v>
      </c>
      <c r="H266" s="222" t="s">
        <v>633</v>
      </c>
      <c r="I266" s="223" t="s">
        <v>305</v>
      </c>
      <c r="J266" s="222" t="s">
        <v>633</v>
      </c>
      <c r="K266" s="223" t="s">
        <v>634</v>
      </c>
      <c r="L266" s="223" t="s">
        <v>634</v>
      </c>
      <c r="M266" s="223"/>
      <c r="N266" s="223"/>
      <c r="O266" s="223"/>
      <c r="P266" s="223" t="s">
        <v>634</v>
      </c>
      <c r="Q266" s="223" t="s">
        <v>634</v>
      </c>
      <c r="R266" s="156" t="s">
        <v>304</v>
      </c>
    </row>
    <row r="267" spans="1:18" hidden="1" x14ac:dyDescent="0.25">
      <c r="A267" s="156" t="s">
        <v>485</v>
      </c>
      <c r="B267" s="156"/>
      <c r="C267" s="156"/>
      <c r="D267" s="222">
        <v>0.67</v>
      </c>
      <c r="E267" s="222">
        <v>4</v>
      </c>
      <c r="F267" s="222" t="s">
        <v>305</v>
      </c>
      <c r="G267" s="222" t="s">
        <v>305</v>
      </c>
      <c r="H267" s="222" t="s">
        <v>633</v>
      </c>
      <c r="I267" s="223" t="s">
        <v>305</v>
      </c>
      <c r="J267" s="222" t="s">
        <v>633</v>
      </c>
      <c r="K267" s="223" t="s">
        <v>634</v>
      </c>
      <c r="L267" s="223" t="s">
        <v>634</v>
      </c>
      <c r="M267" s="223"/>
      <c r="N267" s="223"/>
      <c r="O267" s="223"/>
      <c r="P267" s="223" t="s">
        <v>634</v>
      </c>
      <c r="Q267" s="223" t="s">
        <v>634</v>
      </c>
      <c r="R267" s="156" t="s">
        <v>304</v>
      </c>
    </row>
    <row r="268" spans="1:18" hidden="1" x14ac:dyDescent="0.25">
      <c r="A268" s="156" t="s">
        <v>330</v>
      </c>
      <c r="B268" s="156"/>
      <c r="C268" s="156"/>
      <c r="D268" s="222">
        <v>1.38</v>
      </c>
      <c r="E268" s="222">
        <v>6</v>
      </c>
      <c r="F268" s="222" t="s">
        <v>305</v>
      </c>
      <c r="G268" s="222" t="s">
        <v>305</v>
      </c>
      <c r="H268" s="222" t="s">
        <v>633</v>
      </c>
      <c r="I268" s="223" t="s">
        <v>305</v>
      </c>
      <c r="J268" s="222" t="s">
        <v>633</v>
      </c>
      <c r="K268" s="223" t="s">
        <v>634</v>
      </c>
      <c r="L268" s="223" t="s">
        <v>634</v>
      </c>
      <c r="M268" s="223"/>
      <c r="N268" s="223"/>
      <c r="O268" s="223"/>
      <c r="P268" s="223" t="s">
        <v>634</v>
      </c>
      <c r="Q268" s="223" t="s">
        <v>634</v>
      </c>
      <c r="R268" s="156" t="s">
        <v>304</v>
      </c>
    </row>
    <row r="269" spans="1:18" hidden="1" x14ac:dyDescent="0.25">
      <c r="A269" s="156" t="s">
        <v>315</v>
      </c>
      <c r="B269" s="156"/>
      <c r="C269" s="156"/>
      <c r="D269" s="222">
        <v>0.82</v>
      </c>
      <c r="E269" s="222">
        <v>4</v>
      </c>
      <c r="F269" s="222" t="s">
        <v>305</v>
      </c>
      <c r="G269" s="222" t="s">
        <v>305</v>
      </c>
      <c r="H269" s="222" t="s">
        <v>633</v>
      </c>
      <c r="I269" s="223" t="s">
        <v>305</v>
      </c>
      <c r="J269" s="222" t="s">
        <v>633</v>
      </c>
      <c r="K269" s="223" t="s">
        <v>634</v>
      </c>
      <c r="L269" s="223" t="s">
        <v>634</v>
      </c>
      <c r="M269" s="223"/>
      <c r="N269" s="223"/>
      <c r="O269" s="223"/>
      <c r="P269" s="223" t="s">
        <v>634</v>
      </c>
      <c r="Q269" s="223" t="s">
        <v>634</v>
      </c>
      <c r="R269" s="156" t="s">
        <v>304</v>
      </c>
    </row>
    <row r="270" spans="1:18" hidden="1" x14ac:dyDescent="0.25">
      <c r="A270" s="156" t="s">
        <v>341</v>
      </c>
      <c r="B270" s="156"/>
      <c r="C270" s="156"/>
      <c r="D270" s="222">
        <v>1.45</v>
      </c>
      <c r="E270" s="222">
        <v>4</v>
      </c>
      <c r="F270" s="222" t="s">
        <v>305</v>
      </c>
      <c r="G270" s="222" t="s">
        <v>305</v>
      </c>
      <c r="H270" s="222" t="s">
        <v>633</v>
      </c>
      <c r="I270" s="223" t="s">
        <v>305</v>
      </c>
      <c r="J270" s="222" t="s">
        <v>633</v>
      </c>
      <c r="K270" s="223" t="s">
        <v>634</v>
      </c>
      <c r="L270" s="223" t="s">
        <v>634</v>
      </c>
      <c r="M270" s="223"/>
      <c r="N270" s="223"/>
      <c r="O270" s="223"/>
      <c r="P270" s="223" t="s">
        <v>634</v>
      </c>
      <c r="Q270" s="223" t="s">
        <v>634</v>
      </c>
      <c r="R270" s="156" t="s">
        <v>304</v>
      </c>
    </row>
    <row r="271" spans="1:18" hidden="1" x14ac:dyDescent="0.25">
      <c r="A271" s="156" t="s">
        <v>340</v>
      </c>
      <c r="B271" s="156"/>
      <c r="C271" s="156"/>
      <c r="D271" s="222">
        <v>1.1000000000000001</v>
      </c>
      <c r="E271" s="222">
        <v>6</v>
      </c>
      <c r="F271" s="222" t="s">
        <v>305</v>
      </c>
      <c r="G271" s="222" t="s">
        <v>305</v>
      </c>
      <c r="H271" s="222" t="s">
        <v>633</v>
      </c>
      <c r="I271" s="223" t="s">
        <v>305</v>
      </c>
      <c r="J271" s="222" t="s">
        <v>633</v>
      </c>
      <c r="K271" s="223" t="s">
        <v>634</v>
      </c>
      <c r="L271" s="223" t="s">
        <v>634</v>
      </c>
      <c r="M271" s="223"/>
      <c r="N271" s="223"/>
      <c r="O271" s="223"/>
      <c r="P271" s="223" t="s">
        <v>634</v>
      </c>
      <c r="Q271" s="223" t="s">
        <v>634</v>
      </c>
      <c r="R271" s="156" t="s">
        <v>304</v>
      </c>
    </row>
    <row r="272" spans="1:18" hidden="1" x14ac:dyDescent="0.25">
      <c r="A272" s="156" t="s">
        <v>355</v>
      </c>
      <c r="B272" s="156"/>
      <c r="C272" s="156"/>
      <c r="D272" s="222">
        <v>1.72</v>
      </c>
      <c r="E272" s="222">
        <v>6</v>
      </c>
      <c r="F272" s="222" t="s">
        <v>305</v>
      </c>
      <c r="G272" s="222" t="s">
        <v>305</v>
      </c>
      <c r="H272" s="222" t="s">
        <v>633</v>
      </c>
      <c r="I272" s="223" t="s">
        <v>305</v>
      </c>
      <c r="J272" s="222" t="s">
        <v>633</v>
      </c>
      <c r="K272" s="223" t="s">
        <v>634</v>
      </c>
      <c r="L272" s="223" t="s">
        <v>634</v>
      </c>
      <c r="M272" s="223"/>
      <c r="N272" s="223"/>
      <c r="O272" s="223"/>
      <c r="P272" s="223" t="s">
        <v>634</v>
      </c>
      <c r="Q272" s="223" t="s">
        <v>634</v>
      </c>
      <c r="R272" s="156" t="s">
        <v>304</v>
      </c>
    </row>
    <row r="273" spans="1:18" hidden="1" x14ac:dyDescent="0.25">
      <c r="A273" s="156" t="s">
        <v>352</v>
      </c>
      <c r="B273" s="156"/>
      <c r="C273" s="156"/>
      <c r="D273" s="222">
        <v>1.17</v>
      </c>
      <c r="E273" s="222">
        <v>8</v>
      </c>
      <c r="F273" s="222" t="s">
        <v>305</v>
      </c>
      <c r="G273" s="222" t="s">
        <v>305</v>
      </c>
      <c r="H273" s="222" t="s">
        <v>633</v>
      </c>
      <c r="I273" s="223" t="s">
        <v>305</v>
      </c>
      <c r="J273" s="222" t="s">
        <v>633</v>
      </c>
      <c r="K273" s="223" t="s">
        <v>634</v>
      </c>
      <c r="L273" s="223" t="s">
        <v>634</v>
      </c>
      <c r="M273" s="223"/>
      <c r="N273" s="223"/>
      <c r="O273" s="223"/>
      <c r="P273" s="223" t="s">
        <v>634</v>
      </c>
      <c r="Q273" s="223" t="s">
        <v>634</v>
      </c>
      <c r="R273" s="156" t="s">
        <v>304</v>
      </c>
    </row>
    <row r="274" spans="1:18" hidden="1" x14ac:dyDescent="0.25">
      <c r="A274" s="156" t="s">
        <v>321</v>
      </c>
      <c r="B274" s="156"/>
      <c r="C274" s="156"/>
      <c r="D274" s="222">
        <v>0.43</v>
      </c>
      <c r="E274" s="222">
        <v>4</v>
      </c>
      <c r="F274" s="222" t="s">
        <v>305</v>
      </c>
      <c r="G274" s="222" t="s">
        <v>305</v>
      </c>
      <c r="H274" s="222" t="s">
        <v>633</v>
      </c>
      <c r="I274" s="223" t="s">
        <v>305</v>
      </c>
      <c r="J274" s="222" t="s">
        <v>633</v>
      </c>
      <c r="K274" s="223" t="s">
        <v>634</v>
      </c>
      <c r="L274" s="223" t="s">
        <v>634</v>
      </c>
      <c r="M274" s="223"/>
      <c r="N274" s="223"/>
      <c r="O274" s="223"/>
      <c r="P274" s="223" t="s">
        <v>634</v>
      </c>
      <c r="Q274" s="223" t="s">
        <v>634</v>
      </c>
      <c r="R274" s="156" t="s">
        <v>304</v>
      </c>
    </row>
    <row r="275" spans="1:18" hidden="1" x14ac:dyDescent="0.25">
      <c r="A275" s="156" t="s">
        <v>367</v>
      </c>
      <c r="B275" s="156"/>
      <c r="C275" s="156"/>
      <c r="D275" s="222">
        <v>1.07</v>
      </c>
      <c r="E275" s="222">
        <v>6</v>
      </c>
      <c r="F275" s="222" t="s">
        <v>305</v>
      </c>
      <c r="G275" s="222" t="s">
        <v>305</v>
      </c>
      <c r="H275" s="222" t="s">
        <v>633</v>
      </c>
      <c r="I275" s="223" t="s">
        <v>305</v>
      </c>
      <c r="J275" s="222" t="s">
        <v>633</v>
      </c>
      <c r="K275" s="223" t="s">
        <v>634</v>
      </c>
      <c r="L275" s="223" t="s">
        <v>634</v>
      </c>
      <c r="M275" s="223"/>
      <c r="N275" s="223"/>
      <c r="O275" s="223"/>
      <c r="P275" s="223" t="s">
        <v>634</v>
      </c>
      <c r="Q275" s="223" t="s">
        <v>634</v>
      </c>
      <c r="R275" s="156" t="s">
        <v>304</v>
      </c>
    </row>
    <row r="276" spans="1:18" hidden="1" x14ac:dyDescent="0.25">
      <c r="A276" s="156" t="s">
        <v>335</v>
      </c>
      <c r="B276" s="156"/>
      <c r="C276" s="156"/>
      <c r="D276" s="222">
        <v>1.34</v>
      </c>
      <c r="E276" s="222">
        <v>4</v>
      </c>
      <c r="F276" s="222" t="s">
        <v>305</v>
      </c>
      <c r="G276" s="222" t="s">
        <v>305</v>
      </c>
      <c r="H276" s="222" t="s">
        <v>633</v>
      </c>
      <c r="I276" s="223" t="s">
        <v>305</v>
      </c>
      <c r="J276" s="222" t="s">
        <v>633</v>
      </c>
      <c r="K276" s="223" t="s">
        <v>634</v>
      </c>
      <c r="L276" s="223" t="s">
        <v>634</v>
      </c>
      <c r="M276" s="223"/>
      <c r="N276" s="223"/>
      <c r="O276" s="223"/>
      <c r="P276" s="223" t="s">
        <v>634</v>
      </c>
      <c r="Q276" s="223" t="s">
        <v>634</v>
      </c>
      <c r="R276" s="156" t="s">
        <v>304</v>
      </c>
    </row>
    <row r="277" spans="1:18" hidden="1" x14ac:dyDescent="0.25">
      <c r="A277" s="156" t="s">
        <v>368</v>
      </c>
      <c r="B277" s="156"/>
      <c r="C277" s="156"/>
      <c r="D277" s="222">
        <v>0.38</v>
      </c>
      <c r="E277" s="222">
        <v>8</v>
      </c>
      <c r="F277" s="222" t="s">
        <v>305</v>
      </c>
      <c r="G277" s="222" t="s">
        <v>305</v>
      </c>
      <c r="H277" s="222" t="s">
        <v>633</v>
      </c>
      <c r="I277" s="223" t="s">
        <v>305</v>
      </c>
      <c r="J277" s="222" t="s">
        <v>633</v>
      </c>
      <c r="K277" s="223" t="s">
        <v>634</v>
      </c>
      <c r="L277" s="223" t="s">
        <v>634</v>
      </c>
      <c r="M277" s="223"/>
      <c r="N277" s="223"/>
      <c r="O277" s="223"/>
      <c r="P277" s="223" t="s">
        <v>634</v>
      </c>
      <c r="Q277" s="223" t="s">
        <v>634</v>
      </c>
      <c r="R277" s="156" t="s">
        <v>304</v>
      </c>
    </row>
    <row r="278" spans="1:18" hidden="1" x14ac:dyDescent="0.25">
      <c r="A278" s="156" t="s">
        <v>371</v>
      </c>
      <c r="B278" s="156"/>
      <c r="C278" s="156"/>
      <c r="D278" s="222">
        <v>0.56000000000000005</v>
      </c>
      <c r="E278" s="222">
        <v>4</v>
      </c>
      <c r="F278" s="222" t="s">
        <v>305</v>
      </c>
      <c r="G278" s="222" t="s">
        <v>305</v>
      </c>
      <c r="H278" s="222" t="s">
        <v>633</v>
      </c>
      <c r="I278" s="223" t="s">
        <v>305</v>
      </c>
      <c r="J278" s="222" t="s">
        <v>633</v>
      </c>
      <c r="K278" s="223" t="s">
        <v>634</v>
      </c>
      <c r="L278" s="223" t="s">
        <v>634</v>
      </c>
      <c r="M278" s="223"/>
      <c r="N278" s="223"/>
      <c r="O278" s="223"/>
      <c r="P278" s="223" t="s">
        <v>634</v>
      </c>
      <c r="Q278" s="223" t="s">
        <v>634</v>
      </c>
      <c r="R278" s="156" t="s">
        <v>304</v>
      </c>
    </row>
    <row r="279" spans="1:18" hidden="1" x14ac:dyDescent="0.25">
      <c r="A279" s="156" t="s">
        <v>373</v>
      </c>
      <c r="B279" s="156"/>
      <c r="C279" s="156"/>
      <c r="D279" s="222">
        <v>0.25</v>
      </c>
      <c r="E279" s="222">
        <v>6</v>
      </c>
      <c r="F279" s="222" t="s">
        <v>305</v>
      </c>
      <c r="G279" s="222" t="s">
        <v>305</v>
      </c>
      <c r="H279" s="222" t="s">
        <v>633</v>
      </c>
      <c r="I279" s="223" t="s">
        <v>305</v>
      </c>
      <c r="J279" s="222" t="s">
        <v>633</v>
      </c>
      <c r="K279" s="223" t="s">
        <v>634</v>
      </c>
      <c r="L279" s="223" t="s">
        <v>634</v>
      </c>
      <c r="M279" s="223"/>
      <c r="N279" s="223"/>
      <c r="O279" s="223"/>
      <c r="P279" s="223" t="s">
        <v>634</v>
      </c>
      <c r="Q279" s="223" t="s">
        <v>634</v>
      </c>
      <c r="R279" s="156" t="s">
        <v>304</v>
      </c>
    </row>
    <row r="280" spans="1:18" hidden="1" x14ac:dyDescent="0.25">
      <c r="A280" s="156" t="s">
        <v>380</v>
      </c>
      <c r="B280" s="156"/>
      <c r="C280" s="156"/>
      <c r="D280" s="222">
        <v>0.72</v>
      </c>
      <c r="E280" s="222">
        <v>4</v>
      </c>
      <c r="F280" s="222" t="s">
        <v>305</v>
      </c>
      <c r="G280" s="222" t="s">
        <v>305</v>
      </c>
      <c r="H280" s="222" t="s">
        <v>633</v>
      </c>
      <c r="I280" s="223" t="s">
        <v>305</v>
      </c>
      <c r="J280" s="222" t="s">
        <v>633</v>
      </c>
      <c r="K280" s="223" t="s">
        <v>634</v>
      </c>
      <c r="L280" s="223" t="s">
        <v>634</v>
      </c>
      <c r="M280" s="223"/>
      <c r="N280" s="223"/>
      <c r="O280" s="223"/>
      <c r="P280" s="223" t="s">
        <v>634</v>
      </c>
      <c r="Q280" s="223" t="s">
        <v>634</v>
      </c>
      <c r="R280" s="156" t="s">
        <v>306</v>
      </c>
    </row>
    <row r="281" spans="1:18" hidden="1" x14ac:dyDescent="0.25">
      <c r="A281" s="156" t="s">
        <v>317</v>
      </c>
      <c r="B281" s="156"/>
      <c r="C281" s="156"/>
      <c r="D281" s="222">
        <v>0.43</v>
      </c>
      <c r="E281" s="222">
        <v>6</v>
      </c>
      <c r="F281" s="222" t="s">
        <v>305</v>
      </c>
      <c r="G281" s="222" t="s">
        <v>305</v>
      </c>
      <c r="H281" s="222" t="s">
        <v>633</v>
      </c>
      <c r="I281" s="223" t="s">
        <v>305</v>
      </c>
      <c r="J281" s="222" t="s">
        <v>633</v>
      </c>
      <c r="K281" s="223" t="s">
        <v>634</v>
      </c>
      <c r="L281" s="223" t="s">
        <v>634</v>
      </c>
      <c r="M281" s="223"/>
      <c r="N281" s="223"/>
      <c r="O281" s="223"/>
      <c r="P281" s="223" t="s">
        <v>634</v>
      </c>
      <c r="Q281" s="223" t="s">
        <v>634</v>
      </c>
      <c r="R281" s="156" t="s">
        <v>306</v>
      </c>
    </row>
    <row r="282" spans="1:18" hidden="1" x14ac:dyDescent="0.25">
      <c r="A282" s="156" t="s">
        <v>382</v>
      </c>
      <c r="B282" s="156"/>
      <c r="C282" s="156"/>
      <c r="D282" s="222">
        <v>1.2</v>
      </c>
      <c r="E282" s="222">
        <v>4</v>
      </c>
      <c r="F282" s="222" t="s">
        <v>305</v>
      </c>
      <c r="G282" s="222" t="s">
        <v>305</v>
      </c>
      <c r="H282" s="222" t="s">
        <v>633</v>
      </c>
      <c r="I282" s="223" t="s">
        <v>305</v>
      </c>
      <c r="J282" s="222" t="s">
        <v>633</v>
      </c>
      <c r="K282" s="223" t="s">
        <v>634</v>
      </c>
      <c r="L282" s="223" t="s">
        <v>634</v>
      </c>
      <c r="M282" s="223"/>
      <c r="N282" s="223"/>
      <c r="O282" s="223"/>
      <c r="P282" s="223" t="s">
        <v>634</v>
      </c>
      <c r="Q282" s="223" t="s">
        <v>634</v>
      </c>
      <c r="R282" s="156" t="s">
        <v>306</v>
      </c>
    </row>
    <row r="283" spans="1:18" hidden="1" x14ac:dyDescent="0.25">
      <c r="A283" s="156" t="s">
        <v>349</v>
      </c>
      <c r="B283" s="156"/>
      <c r="C283" s="156"/>
      <c r="D283" s="222">
        <v>0.89</v>
      </c>
      <c r="E283" s="222" t="s">
        <v>346</v>
      </c>
      <c r="F283" s="222" t="s">
        <v>305</v>
      </c>
      <c r="G283" s="222" t="s">
        <v>633</v>
      </c>
      <c r="H283" s="222" t="s">
        <v>633</v>
      </c>
      <c r="I283" s="223" t="s">
        <v>305</v>
      </c>
      <c r="J283" s="222" t="s">
        <v>633</v>
      </c>
      <c r="K283" s="223" t="s">
        <v>634</v>
      </c>
      <c r="L283" s="223" t="s">
        <v>634</v>
      </c>
      <c r="M283" s="223"/>
      <c r="N283" s="223"/>
      <c r="O283" s="223"/>
      <c r="P283" s="223" t="s">
        <v>634</v>
      </c>
      <c r="Q283" s="223" t="s">
        <v>634</v>
      </c>
      <c r="R283" s="156" t="s">
        <v>304</v>
      </c>
    </row>
    <row r="284" spans="1:18" hidden="1" x14ac:dyDescent="0.25">
      <c r="A284" s="156" t="s">
        <v>383</v>
      </c>
      <c r="B284" s="156"/>
      <c r="C284" s="156"/>
      <c r="D284" s="222">
        <v>2.2599999999999998</v>
      </c>
      <c r="E284" s="222">
        <v>6</v>
      </c>
      <c r="F284" s="222" t="s">
        <v>305</v>
      </c>
      <c r="G284" s="222" t="s">
        <v>305</v>
      </c>
      <c r="H284" s="222" t="s">
        <v>633</v>
      </c>
      <c r="I284" s="223" t="s">
        <v>305</v>
      </c>
      <c r="J284" s="222" t="s">
        <v>633</v>
      </c>
      <c r="K284" s="223" t="s">
        <v>634</v>
      </c>
      <c r="L284" s="223" t="s">
        <v>634</v>
      </c>
      <c r="M284" s="223"/>
      <c r="N284" s="223"/>
      <c r="O284" s="223"/>
      <c r="P284" s="223" t="s">
        <v>634</v>
      </c>
      <c r="Q284" s="223" t="s">
        <v>634</v>
      </c>
      <c r="R284" s="156" t="s">
        <v>304</v>
      </c>
    </row>
    <row r="285" spans="1:18" hidden="1" x14ac:dyDescent="0.25">
      <c r="A285" s="156" t="s">
        <v>385</v>
      </c>
      <c r="B285" s="156"/>
      <c r="C285" s="156"/>
      <c r="D285" s="222">
        <v>1.66</v>
      </c>
      <c r="E285" s="222">
        <v>8</v>
      </c>
      <c r="F285" s="222" t="s">
        <v>305</v>
      </c>
      <c r="G285" s="222" t="s">
        <v>305</v>
      </c>
      <c r="H285" s="222" t="s">
        <v>633</v>
      </c>
      <c r="I285" s="223" t="s">
        <v>305</v>
      </c>
      <c r="J285" s="222" t="s">
        <v>633</v>
      </c>
      <c r="K285" s="223" t="s">
        <v>634</v>
      </c>
      <c r="L285" s="223" t="s">
        <v>634</v>
      </c>
      <c r="M285" s="223"/>
      <c r="N285" s="223"/>
      <c r="O285" s="223"/>
      <c r="P285" s="223" t="s">
        <v>634</v>
      </c>
      <c r="Q285" s="223" t="s">
        <v>634</v>
      </c>
      <c r="R285" s="156" t="s">
        <v>304</v>
      </c>
    </row>
    <row r="286" spans="1:18" hidden="1" x14ac:dyDescent="0.25">
      <c r="A286" s="156" t="s">
        <v>406</v>
      </c>
      <c r="B286" s="156"/>
      <c r="C286" s="156"/>
      <c r="D286" s="222">
        <v>0.6</v>
      </c>
      <c r="E286" s="222">
        <v>4</v>
      </c>
      <c r="F286" s="222" t="s">
        <v>305</v>
      </c>
      <c r="G286" s="222" t="s">
        <v>305</v>
      </c>
      <c r="H286" s="222" t="s">
        <v>633</v>
      </c>
      <c r="I286" s="223" t="s">
        <v>305</v>
      </c>
      <c r="J286" s="222" t="s">
        <v>633</v>
      </c>
      <c r="K286" s="223" t="s">
        <v>634</v>
      </c>
      <c r="L286" s="223" t="s">
        <v>634</v>
      </c>
      <c r="M286" s="223"/>
      <c r="N286" s="223"/>
      <c r="O286" s="223"/>
      <c r="P286" s="223" t="s">
        <v>634</v>
      </c>
      <c r="Q286" s="223" t="s">
        <v>634</v>
      </c>
      <c r="R286" s="156" t="s">
        <v>304</v>
      </c>
    </row>
    <row r="287" spans="1:18" hidden="1" x14ac:dyDescent="0.25">
      <c r="A287" s="156" t="s">
        <v>426</v>
      </c>
      <c r="B287" s="156"/>
      <c r="C287" s="156"/>
      <c r="D287" s="222">
        <v>1.07</v>
      </c>
      <c r="E287" s="222">
        <v>6</v>
      </c>
      <c r="F287" s="222" t="s">
        <v>305</v>
      </c>
      <c r="G287" s="222" t="s">
        <v>305</v>
      </c>
      <c r="H287" s="222" t="s">
        <v>633</v>
      </c>
      <c r="I287" s="223" t="s">
        <v>305</v>
      </c>
      <c r="J287" s="222" t="s">
        <v>633</v>
      </c>
      <c r="K287" s="223" t="s">
        <v>634</v>
      </c>
      <c r="L287" s="223" t="s">
        <v>634</v>
      </c>
      <c r="M287" s="223"/>
      <c r="N287" s="223"/>
      <c r="O287" s="223"/>
      <c r="P287" s="223" t="s">
        <v>634</v>
      </c>
      <c r="Q287" s="223" t="s">
        <v>634</v>
      </c>
      <c r="R287" s="156" t="s">
        <v>304</v>
      </c>
    </row>
    <row r="288" spans="1:18" hidden="1" x14ac:dyDescent="0.25">
      <c r="A288" s="156" t="s">
        <v>635</v>
      </c>
      <c r="B288" s="156"/>
      <c r="C288" s="156"/>
      <c r="D288" s="222">
        <v>1.27</v>
      </c>
      <c r="E288" s="222">
        <v>6</v>
      </c>
      <c r="F288" s="222" t="s">
        <v>305</v>
      </c>
      <c r="G288" s="222" t="s">
        <v>305</v>
      </c>
      <c r="H288" s="222" t="s">
        <v>633</v>
      </c>
      <c r="I288" s="223" t="s">
        <v>305</v>
      </c>
      <c r="J288" s="222" t="s">
        <v>633</v>
      </c>
      <c r="K288" s="223" t="s">
        <v>634</v>
      </c>
      <c r="L288" s="223" t="s">
        <v>634</v>
      </c>
      <c r="M288" s="223"/>
      <c r="N288" s="223"/>
      <c r="O288" s="223"/>
      <c r="P288" s="223" t="s">
        <v>634</v>
      </c>
      <c r="Q288" s="223" t="s">
        <v>634</v>
      </c>
      <c r="R288" s="156" t="s">
        <v>304</v>
      </c>
    </row>
    <row r="289" spans="1:18" hidden="1" x14ac:dyDescent="0.25">
      <c r="A289" s="156" t="s">
        <v>393</v>
      </c>
      <c r="B289" s="156"/>
      <c r="C289" s="156"/>
      <c r="D289" s="222">
        <v>0.88</v>
      </c>
      <c r="E289" s="222">
        <v>6</v>
      </c>
      <c r="F289" s="222" t="s">
        <v>305</v>
      </c>
      <c r="G289" s="222" t="s">
        <v>305</v>
      </c>
      <c r="H289" s="222" t="s">
        <v>633</v>
      </c>
      <c r="I289" s="223" t="s">
        <v>305</v>
      </c>
      <c r="J289" s="222" t="s">
        <v>633</v>
      </c>
      <c r="K289" s="223" t="s">
        <v>634</v>
      </c>
      <c r="L289" s="223" t="s">
        <v>634</v>
      </c>
      <c r="M289" s="223"/>
      <c r="N289" s="223"/>
      <c r="O289" s="223"/>
      <c r="P289" s="223" t="s">
        <v>634</v>
      </c>
      <c r="Q289" s="223" t="s">
        <v>634</v>
      </c>
      <c r="R289" s="156" t="s">
        <v>304</v>
      </c>
    </row>
    <row r="290" spans="1:18" hidden="1" x14ac:dyDescent="0.25">
      <c r="A290" s="156" t="s">
        <v>391</v>
      </c>
      <c r="B290" s="156"/>
      <c r="C290" s="156"/>
      <c r="D290" s="222">
        <v>0.87</v>
      </c>
      <c r="E290" s="222">
        <v>6</v>
      </c>
      <c r="F290" s="222" t="s">
        <v>305</v>
      </c>
      <c r="G290" s="222" t="s">
        <v>305</v>
      </c>
      <c r="H290" s="222" t="s">
        <v>633</v>
      </c>
      <c r="I290" s="223" t="s">
        <v>305</v>
      </c>
      <c r="J290" s="222" t="s">
        <v>633</v>
      </c>
      <c r="K290" s="223" t="s">
        <v>634</v>
      </c>
      <c r="L290" s="223" t="s">
        <v>634</v>
      </c>
      <c r="M290" s="223"/>
      <c r="N290" s="223"/>
      <c r="O290" s="223"/>
      <c r="P290" s="223" t="s">
        <v>634</v>
      </c>
      <c r="Q290" s="223" t="s">
        <v>634</v>
      </c>
      <c r="R290" s="156" t="s">
        <v>304</v>
      </c>
    </row>
    <row r="291" spans="1:18" hidden="1" x14ac:dyDescent="0.25">
      <c r="A291" s="156" t="s">
        <v>395</v>
      </c>
      <c r="B291" s="156"/>
      <c r="C291" s="156"/>
      <c r="D291" s="222">
        <v>1.89</v>
      </c>
      <c r="E291" s="222">
        <v>6</v>
      </c>
      <c r="F291" s="222" t="s">
        <v>305</v>
      </c>
      <c r="G291" s="222" t="s">
        <v>305</v>
      </c>
      <c r="H291" s="222" t="s">
        <v>633</v>
      </c>
      <c r="I291" s="223" t="s">
        <v>305</v>
      </c>
      <c r="J291" s="222" t="s">
        <v>633</v>
      </c>
      <c r="K291" s="223" t="s">
        <v>634</v>
      </c>
      <c r="L291" s="223" t="s">
        <v>634</v>
      </c>
      <c r="M291" s="223"/>
      <c r="N291" s="223"/>
      <c r="O291" s="223"/>
      <c r="P291" s="223" t="s">
        <v>634</v>
      </c>
      <c r="Q291" s="223" t="s">
        <v>634</v>
      </c>
      <c r="R291" s="156" t="s">
        <v>304</v>
      </c>
    </row>
    <row r="292" spans="1:18" hidden="1" x14ac:dyDescent="0.25">
      <c r="A292" s="156" t="s">
        <v>397</v>
      </c>
      <c r="B292" s="156"/>
      <c r="C292" s="156"/>
      <c r="D292" s="222">
        <v>0.62</v>
      </c>
      <c r="E292" s="222">
        <v>6</v>
      </c>
      <c r="F292" s="222" t="s">
        <v>305</v>
      </c>
      <c r="G292" s="222" t="s">
        <v>305</v>
      </c>
      <c r="H292" s="222" t="s">
        <v>633</v>
      </c>
      <c r="I292" s="223" t="s">
        <v>305</v>
      </c>
      <c r="J292" s="222" t="s">
        <v>633</v>
      </c>
      <c r="K292" s="223" t="s">
        <v>634</v>
      </c>
      <c r="L292" s="223" t="s">
        <v>634</v>
      </c>
      <c r="M292" s="223"/>
      <c r="N292" s="223"/>
      <c r="O292" s="223"/>
      <c r="P292" s="223" t="s">
        <v>634</v>
      </c>
      <c r="Q292" s="223" t="s">
        <v>634</v>
      </c>
      <c r="R292" s="156" t="s">
        <v>304</v>
      </c>
    </row>
    <row r="293" spans="1:18" hidden="1" x14ac:dyDescent="0.25">
      <c r="A293" s="156" t="s">
        <v>450</v>
      </c>
      <c r="B293" s="156"/>
      <c r="C293" s="156"/>
      <c r="D293" s="222">
        <v>1.1399999999999999</v>
      </c>
      <c r="E293" s="222">
        <v>6</v>
      </c>
      <c r="F293" s="222" t="s">
        <v>305</v>
      </c>
      <c r="G293" s="222" t="s">
        <v>305</v>
      </c>
      <c r="H293" s="222" t="s">
        <v>633</v>
      </c>
      <c r="I293" s="223" t="s">
        <v>305</v>
      </c>
      <c r="J293" s="222" t="s">
        <v>633</v>
      </c>
      <c r="K293" s="223" t="s">
        <v>634</v>
      </c>
      <c r="L293" s="223" t="s">
        <v>634</v>
      </c>
      <c r="M293" s="223"/>
      <c r="N293" s="223"/>
      <c r="O293" s="223"/>
      <c r="P293" s="223" t="s">
        <v>634</v>
      </c>
      <c r="Q293" s="223" t="s">
        <v>634</v>
      </c>
      <c r="R293" s="156" t="s">
        <v>304</v>
      </c>
    </row>
    <row r="294" spans="1:18" hidden="1" x14ac:dyDescent="0.25">
      <c r="A294" s="156" t="s">
        <v>399</v>
      </c>
      <c r="B294" s="156"/>
      <c r="C294" s="156"/>
      <c r="D294" s="222">
        <v>0.91</v>
      </c>
      <c r="E294" s="222">
        <v>6</v>
      </c>
      <c r="F294" s="222" t="s">
        <v>305</v>
      </c>
      <c r="G294" s="222" t="s">
        <v>305</v>
      </c>
      <c r="H294" s="222" t="s">
        <v>633</v>
      </c>
      <c r="I294" s="223" t="s">
        <v>305</v>
      </c>
      <c r="J294" s="222" t="s">
        <v>633</v>
      </c>
      <c r="K294" s="223" t="s">
        <v>634</v>
      </c>
      <c r="L294" s="223" t="s">
        <v>634</v>
      </c>
      <c r="M294" s="223"/>
      <c r="N294" s="223"/>
      <c r="O294" s="223"/>
      <c r="P294" s="223" t="s">
        <v>634</v>
      </c>
      <c r="Q294" s="223" t="s">
        <v>634</v>
      </c>
      <c r="R294" s="156" t="s">
        <v>304</v>
      </c>
    </row>
    <row r="295" spans="1:18" hidden="1" x14ac:dyDescent="0.25">
      <c r="A295" s="156" t="s">
        <v>387</v>
      </c>
      <c r="B295" s="156"/>
      <c r="C295" s="156"/>
      <c r="D295" s="222">
        <v>1.32</v>
      </c>
      <c r="E295" s="222">
        <v>6</v>
      </c>
      <c r="F295" s="222" t="s">
        <v>305</v>
      </c>
      <c r="G295" s="222" t="s">
        <v>305</v>
      </c>
      <c r="H295" s="222" t="s">
        <v>633</v>
      </c>
      <c r="I295" s="223" t="s">
        <v>305</v>
      </c>
      <c r="J295" s="222" t="s">
        <v>633</v>
      </c>
      <c r="K295" s="223" t="s">
        <v>634</v>
      </c>
      <c r="L295" s="223" t="s">
        <v>634</v>
      </c>
      <c r="M295" s="223"/>
      <c r="N295" s="223"/>
      <c r="O295" s="223"/>
      <c r="P295" s="223" t="s">
        <v>634</v>
      </c>
      <c r="Q295" s="223" t="s">
        <v>634</v>
      </c>
      <c r="R295" s="156" t="s">
        <v>304</v>
      </c>
    </row>
    <row r="296" spans="1:18" hidden="1" x14ac:dyDescent="0.25">
      <c r="A296" s="156" t="s">
        <v>401</v>
      </c>
      <c r="B296" s="156"/>
      <c r="C296" s="156"/>
      <c r="D296" s="222">
        <v>1.1499999999999999</v>
      </c>
      <c r="E296" s="222">
        <v>6</v>
      </c>
      <c r="F296" s="222" t="s">
        <v>305</v>
      </c>
      <c r="G296" s="222" t="s">
        <v>305</v>
      </c>
      <c r="H296" s="222" t="s">
        <v>633</v>
      </c>
      <c r="I296" s="223" t="s">
        <v>305</v>
      </c>
      <c r="J296" s="222" t="s">
        <v>633</v>
      </c>
      <c r="K296" s="223" t="s">
        <v>634</v>
      </c>
      <c r="L296" s="223" t="s">
        <v>634</v>
      </c>
      <c r="M296" s="223"/>
      <c r="N296" s="223"/>
      <c r="O296" s="223"/>
      <c r="P296" s="223" t="s">
        <v>634</v>
      </c>
      <c r="Q296" s="223" t="s">
        <v>634</v>
      </c>
      <c r="R296" s="156" t="s">
        <v>304</v>
      </c>
    </row>
    <row r="297" spans="1:18" hidden="1" x14ac:dyDescent="0.25">
      <c r="A297" s="156" t="s">
        <v>364</v>
      </c>
      <c r="B297" s="156"/>
      <c r="C297" s="156"/>
      <c r="D297" s="222">
        <v>0.88</v>
      </c>
      <c r="E297" s="222">
        <v>4</v>
      </c>
      <c r="F297" s="222" t="s">
        <v>305</v>
      </c>
      <c r="G297" s="222" t="s">
        <v>305</v>
      </c>
      <c r="H297" s="222" t="s">
        <v>633</v>
      </c>
      <c r="I297" s="223" t="s">
        <v>305</v>
      </c>
      <c r="J297" s="222" t="s">
        <v>633</v>
      </c>
      <c r="K297" s="223" t="s">
        <v>634</v>
      </c>
      <c r="L297" s="223" t="s">
        <v>634</v>
      </c>
      <c r="M297" s="223"/>
      <c r="N297" s="223"/>
      <c r="O297" s="223"/>
      <c r="P297" s="223" t="s">
        <v>634</v>
      </c>
      <c r="Q297" s="223" t="s">
        <v>634</v>
      </c>
      <c r="R297" s="156" t="s">
        <v>304</v>
      </c>
    </row>
    <row r="298" spans="1:18" hidden="1" x14ac:dyDescent="0.25">
      <c r="A298" s="156" t="s">
        <v>377</v>
      </c>
      <c r="B298" s="156"/>
      <c r="C298" s="156"/>
      <c r="D298" s="222">
        <v>0.75</v>
      </c>
      <c r="E298" s="222">
        <v>6</v>
      </c>
      <c r="F298" s="222" t="s">
        <v>305</v>
      </c>
      <c r="G298" s="222" t="s">
        <v>305</v>
      </c>
      <c r="H298" s="222" t="s">
        <v>633</v>
      </c>
      <c r="I298" s="223" t="s">
        <v>305</v>
      </c>
      <c r="J298" s="222" t="s">
        <v>633</v>
      </c>
      <c r="K298" s="223" t="s">
        <v>634</v>
      </c>
      <c r="L298" s="223" t="s">
        <v>634</v>
      </c>
      <c r="M298" s="223"/>
      <c r="N298" s="223"/>
      <c r="O298" s="223"/>
      <c r="P298" s="223" t="s">
        <v>634</v>
      </c>
      <c r="Q298" s="223" t="s">
        <v>634</v>
      </c>
      <c r="R298" s="156" t="s">
        <v>304</v>
      </c>
    </row>
    <row r="299" spans="1:18" hidden="1" x14ac:dyDescent="0.25">
      <c r="A299" s="156" t="s">
        <v>365</v>
      </c>
      <c r="B299" s="156"/>
      <c r="C299" s="156"/>
      <c r="D299" s="222">
        <v>0.82</v>
      </c>
      <c r="E299" s="222">
        <v>4</v>
      </c>
      <c r="F299" s="222" t="s">
        <v>305</v>
      </c>
      <c r="G299" s="222" t="s">
        <v>305</v>
      </c>
      <c r="H299" s="222" t="s">
        <v>633</v>
      </c>
      <c r="I299" s="223" t="s">
        <v>305</v>
      </c>
      <c r="J299" s="222" t="s">
        <v>633</v>
      </c>
      <c r="K299" s="223" t="s">
        <v>634</v>
      </c>
      <c r="L299" s="223" t="s">
        <v>634</v>
      </c>
      <c r="M299" s="223"/>
      <c r="N299" s="223"/>
      <c r="O299" s="223"/>
      <c r="P299" s="223" t="s">
        <v>634</v>
      </c>
      <c r="Q299" s="223" t="s">
        <v>634</v>
      </c>
      <c r="R299" s="156" t="s">
        <v>304</v>
      </c>
    </row>
    <row r="300" spans="1:18" hidden="1" x14ac:dyDescent="0.25">
      <c r="A300" s="156" t="s">
        <v>378</v>
      </c>
      <c r="B300" s="156"/>
      <c r="C300" s="156"/>
      <c r="D300" s="222">
        <v>1.1100000000000001</v>
      </c>
      <c r="E300" s="222">
        <v>6</v>
      </c>
      <c r="F300" s="222" t="s">
        <v>305</v>
      </c>
      <c r="G300" s="222" t="s">
        <v>305</v>
      </c>
      <c r="H300" s="222" t="s">
        <v>633</v>
      </c>
      <c r="I300" s="223" t="s">
        <v>305</v>
      </c>
      <c r="J300" s="222" t="s">
        <v>633</v>
      </c>
      <c r="K300" s="223" t="s">
        <v>634</v>
      </c>
      <c r="L300" s="223" t="s">
        <v>634</v>
      </c>
      <c r="M300" s="223"/>
      <c r="N300" s="223"/>
      <c r="O300" s="223"/>
      <c r="P300" s="223" t="s">
        <v>634</v>
      </c>
      <c r="Q300" s="223" t="s">
        <v>634</v>
      </c>
      <c r="R300" s="156" t="s">
        <v>304</v>
      </c>
    </row>
    <row r="301" spans="1:18" hidden="1" x14ac:dyDescent="0.25">
      <c r="A301" s="156" t="s">
        <v>417</v>
      </c>
      <c r="B301" s="156"/>
      <c r="C301" s="156"/>
      <c r="D301" s="222">
        <v>1.06</v>
      </c>
      <c r="E301" s="222">
        <v>4</v>
      </c>
      <c r="F301" s="222" t="s">
        <v>305</v>
      </c>
      <c r="G301" s="222" t="s">
        <v>633</v>
      </c>
      <c r="H301" s="222" t="s">
        <v>633</v>
      </c>
      <c r="I301" s="223" t="s">
        <v>305</v>
      </c>
      <c r="J301" s="222" t="s">
        <v>633</v>
      </c>
      <c r="K301" s="223" t="s">
        <v>634</v>
      </c>
      <c r="L301" s="223" t="s">
        <v>634</v>
      </c>
      <c r="M301" s="223"/>
      <c r="N301" s="223"/>
      <c r="O301" s="223"/>
      <c r="P301" s="223" t="s">
        <v>634</v>
      </c>
      <c r="Q301" s="223" t="s">
        <v>634</v>
      </c>
      <c r="R301" s="156" t="s">
        <v>304</v>
      </c>
    </row>
    <row r="302" spans="1:18" hidden="1" x14ac:dyDescent="0.25">
      <c r="A302" s="156" t="s">
        <v>407</v>
      </c>
      <c r="B302" s="156"/>
      <c r="C302" s="156"/>
      <c r="D302" s="222">
        <v>0.72</v>
      </c>
      <c r="E302" s="222">
        <v>4</v>
      </c>
      <c r="F302" s="222" t="s">
        <v>305</v>
      </c>
      <c r="G302" s="222" t="s">
        <v>305</v>
      </c>
      <c r="H302" s="222" t="s">
        <v>633</v>
      </c>
      <c r="I302" s="223" t="s">
        <v>305</v>
      </c>
      <c r="J302" s="222" t="s">
        <v>633</v>
      </c>
      <c r="K302" s="223" t="s">
        <v>634</v>
      </c>
      <c r="L302" s="223" t="s">
        <v>634</v>
      </c>
      <c r="M302" s="223"/>
      <c r="N302" s="223"/>
      <c r="O302" s="223"/>
      <c r="P302" s="223" t="s">
        <v>634</v>
      </c>
      <c r="Q302" s="223" t="s">
        <v>634</v>
      </c>
      <c r="R302" s="156" t="s">
        <v>304</v>
      </c>
    </row>
    <row r="303" spans="1:18" hidden="1" x14ac:dyDescent="0.25">
      <c r="A303" s="156" t="s">
        <v>409</v>
      </c>
      <c r="B303" s="156"/>
      <c r="C303" s="156"/>
      <c r="D303" s="222">
        <v>0.93</v>
      </c>
      <c r="E303" s="222">
        <v>4</v>
      </c>
      <c r="F303" s="222" t="s">
        <v>305</v>
      </c>
      <c r="G303" s="222" t="s">
        <v>305</v>
      </c>
      <c r="H303" s="222" t="s">
        <v>633</v>
      </c>
      <c r="I303" s="223" t="s">
        <v>305</v>
      </c>
      <c r="J303" s="222" t="s">
        <v>633</v>
      </c>
      <c r="K303" s="223" t="s">
        <v>634</v>
      </c>
      <c r="L303" s="223" t="s">
        <v>634</v>
      </c>
      <c r="M303" s="223"/>
      <c r="N303" s="223"/>
      <c r="O303" s="223"/>
      <c r="P303" s="223" t="s">
        <v>634</v>
      </c>
      <c r="Q303" s="223" t="s">
        <v>634</v>
      </c>
      <c r="R303" s="156" t="s">
        <v>304</v>
      </c>
    </row>
    <row r="304" spans="1:18" hidden="1" x14ac:dyDescent="0.25">
      <c r="A304" s="156" t="s">
        <v>410</v>
      </c>
      <c r="B304" s="156"/>
      <c r="C304" s="156"/>
      <c r="D304" s="222">
        <v>1.71</v>
      </c>
      <c r="E304" s="222">
        <v>4</v>
      </c>
      <c r="F304" s="222" t="s">
        <v>305</v>
      </c>
      <c r="G304" s="222" t="s">
        <v>305</v>
      </c>
      <c r="H304" s="222" t="s">
        <v>633</v>
      </c>
      <c r="I304" s="223" t="s">
        <v>305</v>
      </c>
      <c r="J304" s="222" t="s">
        <v>633</v>
      </c>
      <c r="K304" s="223" t="s">
        <v>634</v>
      </c>
      <c r="L304" s="223" t="s">
        <v>634</v>
      </c>
      <c r="M304" s="223"/>
      <c r="N304" s="223"/>
      <c r="O304" s="223"/>
      <c r="P304" s="223" t="s">
        <v>634</v>
      </c>
      <c r="Q304" s="223" t="s">
        <v>634</v>
      </c>
      <c r="R304" s="156" t="s">
        <v>304</v>
      </c>
    </row>
    <row r="305" spans="1:18" hidden="1" x14ac:dyDescent="0.25">
      <c r="A305" s="156" t="s">
        <v>351</v>
      </c>
      <c r="B305" s="156"/>
      <c r="C305" s="156"/>
      <c r="D305" s="222">
        <v>0.41</v>
      </c>
      <c r="E305" s="222" t="s">
        <v>346</v>
      </c>
      <c r="F305" s="222" t="s">
        <v>305</v>
      </c>
      <c r="G305" s="222" t="s">
        <v>633</v>
      </c>
      <c r="H305" s="222" t="s">
        <v>633</v>
      </c>
      <c r="I305" s="223" t="s">
        <v>305</v>
      </c>
      <c r="J305" s="222" t="s">
        <v>633</v>
      </c>
      <c r="K305" s="223" t="s">
        <v>634</v>
      </c>
      <c r="L305" s="223" t="s">
        <v>634</v>
      </c>
      <c r="M305" s="223"/>
      <c r="N305" s="223"/>
      <c r="O305" s="223"/>
      <c r="P305" s="223" t="s">
        <v>634</v>
      </c>
      <c r="Q305" s="223" t="s">
        <v>634</v>
      </c>
      <c r="R305" s="156" t="s">
        <v>304</v>
      </c>
    </row>
    <row r="306" spans="1:18" hidden="1" x14ac:dyDescent="0.25">
      <c r="A306" s="156" t="s">
        <v>428</v>
      </c>
      <c r="B306" s="156"/>
      <c r="C306" s="156"/>
      <c r="D306" s="222">
        <v>1.29</v>
      </c>
      <c r="E306" s="222">
        <v>4</v>
      </c>
      <c r="F306" s="222" t="s">
        <v>305</v>
      </c>
      <c r="G306" s="222" t="s">
        <v>305</v>
      </c>
      <c r="H306" s="222" t="s">
        <v>633</v>
      </c>
      <c r="I306" s="223" t="s">
        <v>305</v>
      </c>
      <c r="J306" s="222" t="s">
        <v>633</v>
      </c>
      <c r="K306" s="223" t="s">
        <v>634</v>
      </c>
      <c r="L306" s="223" t="s">
        <v>634</v>
      </c>
      <c r="M306" s="223"/>
      <c r="N306" s="223"/>
      <c r="O306" s="223"/>
      <c r="P306" s="223" t="s">
        <v>634</v>
      </c>
      <c r="Q306" s="223" t="s">
        <v>634</v>
      </c>
      <c r="R306" s="156" t="s">
        <v>304</v>
      </c>
    </row>
    <row r="307" spans="1:18" hidden="1" x14ac:dyDescent="0.25">
      <c r="A307" s="156" t="s">
        <v>430</v>
      </c>
      <c r="B307" s="156"/>
      <c r="C307" s="156"/>
      <c r="D307" s="222">
        <v>0.95</v>
      </c>
      <c r="E307" s="222">
        <v>6</v>
      </c>
      <c r="F307" s="222" t="s">
        <v>305</v>
      </c>
      <c r="G307" s="222" t="s">
        <v>305</v>
      </c>
      <c r="H307" s="222" t="s">
        <v>633</v>
      </c>
      <c r="I307" s="223" t="s">
        <v>305</v>
      </c>
      <c r="J307" s="222" t="s">
        <v>633</v>
      </c>
      <c r="K307" s="223" t="s">
        <v>634</v>
      </c>
      <c r="L307" s="223" t="s">
        <v>634</v>
      </c>
      <c r="M307" s="223"/>
      <c r="N307" s="223"/>
      <c r="O307" s="223"/>
      <c r="P307" s="223" t="s">
        <v>634</v>
      </c>
      <c r="Q307" s="223" t="s">
        <v>634</v>
      </c>
      <c r="R307" s="156" t="s">
        <v>304</v>
      </c>
    </row>
    <row r="308" spans="1:18" hidden="1" x14ac:dyDescent="0.25">
      <c r="A308" s="156" t="s">
        <v>432</v>
      </c>
      <c r="B308" s="156"/>
      <c r="C308" s="156"/>
      <c r="D308" s="222">
        <v>1.05</v>
      </c>
      <c r="E308" s="222">
        <v>4</v>
      </c>
      <c r="F308" s="222" t="s">
        <v>305</v>
      </c>
      <c r="G308" s="222" t="s">
        <v>305</v>
      </c>
      <c r="H308" s="222" t="s">
        <v>633</v>
      </c>
      <c r="I308" s="223" t="s">
        <v>305</v>
      </c>
      <c r="J308" s="222" t="s">
        <v>633</v>
      </c>
      <c r="K308" s="223" t="s">
        <v>634</v>
      </c>
      <c r="L308" s="223" t="s">
        <v>634</v>
      </c>
      <c r="M308" s="223"/>
      <c r="N308" s="223"/>
      <c r="O308" s="223"/>
      <c r="P308" s="223" t="s">
        <v>634</v>
      </c>
      <c r="Q308" s="223" t="s">
        <v>634</v>
      </c>
      <c r="R308" s="156" t="s">
        <v>304</v>
      </c>
    </row>
    <row r="309" spans="1:18" hidden="1" x14ac:dyDescent="0.25">
      <c r="A309" s="156" t="s">
        <v>434</v>
      </c>
      <c r="B309" s="156"/>
      <c r="C309" s="156"/>
      <c r="D309" s="222">
        <v>1.23</v>
      </c>
      <c r="E309" s="222">
        <v>4</v>
      </c>
      <c r="F309" s="222" t="s">
        <v>305</v>
      </c>
      <c r="G309" s="222" t="s">
        <v>305</v>
      </c>
      <c r="H309" s="222" t="s">
        <v>633</v>
      </c>
      <c r="I309" s="223" t="s">
        <v>305</v>
      </c>
      <c r="J309" s="222" t="s">
        <v>633</v>
      </c>
      <c r="K309" s="223" t="s">
        <v>634</v>
      </c>
      <c r="L309" s="223" t="s">
        <v>634</v>
      </c>
      <c r="M309" s="223"/>
      <c r="N309" s="223"/>
      <c r="O309" s="223"/>
      <c r="P309" s="223" t="s">
        <v>634</v>
      </c>
      <c r="Q309" s="223" t="s">
        <v>634</v>
      </c>
      <c r="R309" s="156" t="s">
        <v>304</v>
      </c>
    </row>
    <row r="310" spans="1:18" hidden="1" x14ac:dyDescent="0.25">
      <c r="A310" s="156" t="s">
        <v>436</v>
      </c>
      <c r="B310" s="156"/>
      <c r="C310" s="156"/>
      <c r="D310" s="222">
        <v>1.19</v>
      </c>
      <c r="E310" s="222">
        <v>4</v>
      </c>
      <c r="F310" s="222" t="s">
        <v>305</v>
      </c>
      <c r="G310" s="222" t="s">
        <v>305</v>
      </c>
      <c r="H310" s="222" t="s">
        <v>633</v>
      </c>
      <c r="I310" s="223" t="s">
        <v>305</v>
      </c>
      <c r="J310" s="222" t="s">
        <v>633</v>
      </c>
      <c r="K310" s="223" t="s">
        <v>634</v>
      </c>
      <c r="L310" s="223" t="s">
        <v>634</v>
      </c>
      <c r="M310" s="223"/>
      <c r="N310" s="223"/>
      <c r="O310" s="223"/>
      <c r="P310" s="223" t="s">
        <v>634</v>
      </c>
      <c r="Q310" s="223" t="s">
        <v>634</v>
      </c>
      <c r="R310" s="156" t="s">
        <v>304</v>
      </c>
    </row>
    <row r="311" spans="1:18" hidden="1" x14ac:dyDescent="0.25">
      <c r="A311" s="156" t="s">
        <v>438</v>
      </c>
      <c r="B311" s="156"/>
      <c r="C311" s="156"/>
      <c r="D311" s="222">
        <v>1.05</v>
      </c>
      <c r="E311" s="222">
        <v>6</v>
      </c>
      <c r="F311" s="222" t="s">
        <v>305</v>
      </c>
      <c r="G311" s="222" t="s">
        <v>305</v>
      </c>
      <c r="H311" s="222" t="s">
        <v>633</v>
      </c>
      <c r="I311" s="223" t="s">
        <v>305</v>
      </c>
      <c r="J311" s="222" t="s">
        <v>633</v>
      </c>
      <c r="K311" s="223" t="s">
        <v>634</v>
      </c>
      <c r="L311" s="223" t="s">
        <v>634</v>
      </c>
      <c r="M311" s="223"/>
      <c r="N311" s="223"/>
      <c r="O311" s="223"/>
      <c r="P311" s="223" t="s">
        <v>634</v>
      </c>
      <c r="Q311" s="223" t="s">
        <v>634</v>
      </c>
      <c r="R311" s="156" t="s">
        <v>304</v>
      </c>
    </row>
    <row r="312" spans="1:18" hidden="1" x14ac:dyDescent="0.25">
      <c r="A312" s="156" t="s">
        <v>440</v>
      </c>
      <c r="B312" s="156"/>
      <c r="C312" s="156"/>
      <c r="D312" s="222">
        <v>1.02</v>
      </c>
      <c r="E312" s="222">
        <v>6</v>
      </c>
      <c r="F312" s="222" t="s">
        <v>305</v>
      </c>
      <c r="G312" s="222" t="s">
        <v>305</v>
      </c>
      <c r="H312" s="222" t="s">
        <v>633</v>
      </c>
      <c r="I312" s="223" t="s">
        <v>305</v>
      </c>
      <c r="J312" s="222" t="s">
        <v>633</v>
      </c>
      <c r="K312" s="223" t="s">
        <v>634</v>
      </c>
      <c r="L312" s="223" t="s">
        <v>634</v>
      </c>
      <c r="M312" s="223"/>
      <c r="N312" s="223"/>
      <c r="O312" s="223"/>
      <c r="P312" s="223" t="s">
        <v>634</v>
      </c>
      <c r="Q312" s="223" t="s">
        <v>634</v>
      </c>
      <c r="R312" s="156" t="s">
        <v>304</v>
      </c>
    </row>
    <row r="313" spans="1:18" hidden="1" x14ac:dyDescent="0.25">
      <c r="A313" s="156" t="s">
        <v>446</v>
      </c>
      <c r="B313" s="156"/>
      <c r="C313" s="156"/>
      <c r="D313" s="222">
        <v>0.19</v>
      </c>
      <c r="E313" s="222">
        <v>4</v>
      </c>
      <c r="F313" s="222" t="s">
        <v>305</v>
      </c>
      <c r="G313" s="222" t="s">
        <v>305</v>
      </c>
      <c r="H313" s="222" t="s">
        <v>633</v>
      </c>
      <c r="I313" s="223" t="s">
        <v>305</v>
      </c>
      <c r="J313" s="223" t="s">
        <v>305</v>
      </c>
      <c r="K313" s="223" t="s">
        <v>634</v>
      </c>
      <c r="L313" s="223" t="s">
        <v>634</v>
      </c>
      <c r="M313" s="223"/>
      <c r="N313" s="223"/>
      <c r="O313" s="223"/>
      <c r="P313" s="223" t="s">
        <v>634</v>
      </c>
      <c r="Q313" s="223" t="s">
        <v>634</v>
      </c>
      <c r="R313" s="156" t="s">
        <v>306</v>
      </c>
    </row>
    <row r="314" spans="1:18" hidden="1" x14ac:dyDescent="0.25">
      <c r="A314" s="156" t="s">
        <v>451</v>
      </c>
      <c r="B314" s="156"/>
      <c r="C314" s="156"/>
      <c r="D314" s="222">
        <v>0.94</v>
      </c>
      <c r="E314" s="222">
        <v>4</v>
      </c>
      <c r="F314" s="222" t="s">
        <v>305</v>
      </c>
      <c r="G314" s="222" t="s">
        <v>305</v>
      </c>
      <c r="H314" s="222" t="s">
        <v>633</v>
      </c>
      <c r="I314" s="223" t="s">
        <v>305</v>
      </c>
      <c r="J314" s="222" t="s">
        <v>633</v>
      </c>
      <c r="K314" s="223" t="s">
        <v>634</v>
      </c>
      <c r="L314" s="223" t="s">
        <v>634</v>
      </c>
      <c r="M314" s="223"/>
      <c r="N314" s="223"/>
      <c r="O314" s="223"/>
      <c r="P314" s="223" t="s">
        <v>634</v>
      </c>
      <c r="Q314" s="223" t="s">
        <v>634</v>
      </c>
      <c r="R314" s="156" t="s">
        <v>304</v>
      </c>
    </row>
    <row r="315" spans="1:18" hidden="1" x14ac:dyDescent="0.25">
      <c r="A315" s="156" t="s">
        <v>325</v>
      </c>
      <c r="B315" s="156"/>
      <c r="C315" s="156"/>
      <c r="D315" s="222">
        <v>1.53</v>
      </c>
      <c r="E315" s="222">
        <v>4</v>
      </c>
      <c r="F315" s="222" t="s">
        <v>305</v>
      </c>
      <c r="G315" s="222" t="s">
        <v>305</v>
      </c>
      <c r="H315" s="222" t="s">
        <v>633</v>
      </c>
      <c r="I315" s="223" t="s">
        <v>305</v>
      </c>
      <c r="J315" s="222" t="s">
        <v>633</v>
      </c>
      <c r="K315" s="223" t="s">
        <v>634</v>
      </c>
      <c r="L315" s="223" t="s">
        <v>634</v>
      </c>
      <c r="M315" s="223"/>
      <c r="N315" s="223"/>
      <c r="O315" s="223"/>
      <c r="P315" s="223" t="s">
        <v>634</v>
      </c>
      <c r="Q315" s="223" t="s">
        <v>634</v>
      </c>
      <c r="R315" s="156" t="s">
        <v>304</v>
      </c>
    </row>
    <row r="316" spans="1:18" hidden="1" x14ac:dyDescent="0.25">
      <c r="A316" s="156" t="s">
        <v>454</v>
      </c>
      <c r="B316" s="156"/>
      <c r="C316" s="156"/>
      <c r="D316" s="222">
        <v>0.64</v>
      </c>
      <c r="E316" s="222">
        <v>4</v>
      </c>
      <c r="F316" s="222" t="s">
        <v>305</v>
      </c>
      <c r="G316" s="222" t="s">
        <v>305</v>
      </c>
      <c r="H316" s="222" t="s">
        <v>633</v>
      </c>
      <c r="I316" s="223" t="s">
        <v>305</v>
      </c>
      <c r="J316" s="222" t="s">
        <v>633</v>
      </c>
      <c r="K316" s="223" t="s">
        <v>634</v>
      </c>
      <c r="L316" s="223" t="s">
        <v>634</v>
      </c>
      <c r="M316" s="223"/>
      <c r="N316" s="223"/>
      <c r="O316" s="223"/>
      <c r="P316" s="223" t="s">
        <v>634</v>
      </c>
      <c r="Q316" s="223" t="s">
        <v>634</v>
      </c>
      <c r="R316" s="156" t="s">
        <v>304</v>
      </c>
    </row>
    <row r="317" spans="1:18" hidden="1" x14ac:dyDescent="0.25">
      <c r="A317" s="156" t="s">
        <v>456</v>
      </c>
      <c r="B317" s="156"/>
      <c r="C317" s="156"/>
      <c r="D317" s="222">
        <v>1.53</v>
      </c>
      <c r="E317" s="222">
        <v>4</v>
      </c>
      <c r="F317" s="222" t="s">
        <v>305</v>
      </c>
      <c r="G317" s="222" t="s">
        <v>305</v>
      </c>
      <c r="H317" s="222" t="s">
        <v>633</v>
      </c>
      <c r="I317" s="223" t="s">
        <v>305</v>
      </c>
      <c r="J317" s="222" t="s">
        <v>633</v>
      </c>
      <c r="K317" s="223" t="s">
        <v>634</v>
      </c>
      <c r="L317" s="223" t="s">
        <v>634</v>
      </c>
      <c r="M317" s="223"/>
      <c r="N317" s="223"/>
      <c r="O317" s="223"/>
      <c r="P317" s="223" t="s">
        <v>634</v>
      </c>
      <c r="Q317" s="223" t="s">
        <v>634</v>
      </c>
      <c r="R317" s="156" t="s">
        <v>304</v>
      </c>
    </row>
    <row r="318" spans="1:18" hidden="1" x14ac:dyDescent="0.25">
      <c r="A318" s="156" t="s">
        <v>460</v>
      </c>
      <c r="B318" s="156"/>
      <c r="C318" s="156"/>
      <c r="D318" s="222">
        <v>0.87</v>
      </c>
      <c r="E318" s="222">
        <v>8</v>
      </c>
      <c r="F318" s="222" t="s">
        <v>305</v>
      </c>
      <c r="G318" s="222" t="s">
        <v>305</v>
      </c>
      <c r="H318" s="222" t="s">
        <v>305</v>
      </c>
      <c r="I318" s="222" t="s">
        <v>633</v>
      </c>
      <c r="J318" s="222" t="s">
        <v>633</v>
      </c>
      <c r="K318" s="223" t="s">
        <v>634</v>
      </c>
      <c r="L318" s="223" t="s">
        <v>634</v>
      </c>
      <c r="M318" s="223"/>
      <c r="N318" s="223"/>
      <c r="O318" s="223"/>
      <c r="P318" s="223" t="s">
        <v>634</v>
      </c>
      <c r="Q318" s="223" t="s">
        <v>634</v>
      </c>
      <c r="R318" s="156" t="s">
        <v>304</v>
      </c>
    </row>
    <row r="319" spans="1:18" hidden="1" x14ac:dyDescent="0.25">
      <c r="A319" s="156" t="s">
        <v>462</v>
      </c>
      <c r="B319" s="156"/>
      <c r="C319" s="156"/>
      <c r="D319" s="222">
        <v>1.1000000000000001</v>
      </c>
      <c r="E319" s="222">
        <v>4</v>
      </c>
      <c r="F319" s="222" t="s">
        <v>305</v>
      </c>
      <c r="G319" s="222" t="s">
        <v>633</v>
      </c>
      <c r="H319" s="222" t="s">
        <v>633</v>
      </c>
      <c r="I319" s="223" t="s">
        <v>305</v>
      </c>
      <c r="J319" s="222" t="s">
        <v>633</v>
      </c>
      <c r="K319" s="223" t="s">
        <v>634</v>
      </c>
      <c r="L319" s="223" t="s">
        <v>634</v>
      </c>
      <c r="M319" s="223"/>
      <c r="N319" s="223"/>
      <c r="O319" s="223"/>
      <c r="P319" s="223" t="s">
        <v>634</v>
      </c>
      <c r="Q319" s="223" t="s">
        <v>634</v>
      </c>
      <c r="R319" s="156" t="s">
        <v>304</v>
      </c>
    </row>
    <row r="320" spans="1:18" hidden="1" x14ac:dyDescent="0.25">
      <c r="A320" s="156" t="s">
        <v>464</v>
      </c>
      <c r="B320" s="156"/>
      <c r="C320" s="156"/>
      <c r="D320" s="222">
        <v>1.68</v>
      </c>
      <c r="E320" s="222">
        <v>6</v>
      </c>
      <c r="F320" s="222" t="s">
        <v>305</v>
      </c>
      <c r="G320" s="222" t="s">
        <v>305</v>
      </c>
      <c r="H320" s="222" t="s">
        <v>633</v>
      </c>
      <c r="I320" s="223" t="s">
        <v>305</v>
      </c>
      <c r="J320" s="222" t="s">
        <v>633</v>
      </c>
      <c r="K320" s="223" t="s">
        <v>634</v>
      </c>
      <c r="L320" s="223" t="s">
        <v>634</v>
      </c>
      <c r="M320" s="223"/>
      <c r="N320" s="223"/>
      <c r="O320" s="223"/>
      <c r="P320" s="223" t="s">
        <v>634</v>
      </c>
      <c r="Q320" s="223" t="s">
        <v>634</v>
      </c>
      <c r="R320" s="156" t="s">
        <v>463</v>
      </c>
    </row>
    <row r="321" spans="1:21" hidden="1" x14ac:dyDescent="0.25">
      <c r="A321" s="156" t="s">
        <v>327</v>
      </c>
      <c r="B321" s="156"/>
      <c r="C321" s="156"/>
      <c r="D321" s="222">
        <v>0.43</v>
      </c>
      <c r="E321" s="222">
        <v>4</v>
      </c>
      <c r="F321" s="222" t="s">
        <v>305</v>
      </c>
      <c r="G321" s="222" t="s">
        <v>305</v>
      </c>
      <c r="H321" s="222" t="s">
        <v>633</v>
      </c>
      <c r="I321" s="223" t="s">
        <v>305</v>
      </c>
      <c r="J321" s="222" t="s">
        <v>633</v>
      </c>
      <c r="K321" s="223" t="s">
        <v>634</v>
      </c>
      <c r="L321" s="223" t="s">
        <v>634</v>
      </c>
      <c r="M321" s="223"/>
      <c r="N321" s="223"/>
      <c r="O321" s="223"/>
      <c r="P321" s="223" t="s">
        <v>634</v>
      </c>
      <c r="Q321" s="223" t="s">
        <v>634</v>
      </c>
      <c r="R321" s="156" t="s">
        <v>304</v>
      </c>
    </row>
    <row r="322" spans="1:21" hidden="1" x14ac:dyDescent="0.25">
      <c r="A322" s="156" t="s">
        <v>468</v>
      </c>
      <c r="B322" s="156"/>
      <c r="C322" s="156"/>
      <c r="D322" s="222">
        <v>3.01</v>
      </c>
      <c r="E322" s="222">
        <v>4</v>
      </c>
      <c r="F322" s="222" t="s">
        <v>305</v>
      </c>
      <c r="G322" s="222" t="s">
        <v>305</v>
      </c>
      <c r="H322" s="222" t="s">
        <v>633</v>
      </c>
      <c r="I322" s="223" t="s">
        <v>305</v>
      </c>
      <c r="J322" s="222" t="s">
        <v>633</v>
      </c>
      <c r="K322" s="223" t="s">
        <v>634</v>
      </c>
      <c r="L322" s="223" t="s">
        <v>634</v>
      </c>
      <c r="M322" s="223"/>
      <c r="N322" s="223"/>
      <c r="O322" s="223"/>
      <c r="P322" s="223" t="s">
        <v>634</v>
      </c>
      <c r="Q322" s="223" t="s">
        <v>634</v>
      </c>
      <c r="R322" s="156" t="s">
        <v>304</v>
      </c>
    </row>
    <row r="323" spans="1:21" hidden="1" x14ac:dyDescent="0.25">
      <c r="A323" s="156" t="s">
        <v>470</v>
      </c>
      <c r="B323" s="156"/>
      <c r="C323" s="156"/>
      <c r="D323" s="222">
        <v>1.92</v>
      </c>
      <c r="E323" s="222">
        <v>4</v>
      </c>
      <c r="F323" s="222" t="s">
        <v>305</v>
      </c>
      <c r="G323" s="222" t="s">
        <v>305</v>
      </c>
      <c r="H323" s="222" t="s">
        <v>633</v>
      </c>
      <c r="I323" s="223" t="s">
        <v>305</v>
      </c>
      <c r="J323" s="222" t="s">
        <v>633</v>
      </c>
      <c r="K323" s="223" t="s">
        <v>634</v>
      </c>
      <c r="L323" s="223" t="s">
        <v>634</v>
      </c>
      <c r="M323" s="223"/>
      <c r="N323" s="223"/>
      <c r="O323" s="223"/>
      <c r="P323" s="223" t="s">
        <v>634</v>
      </c>
      <c r="Q323" s="223" t="s">
        <v>634</v>
      </c>
      <c r="R323" s="156" t="s">
        <v>304</v>
      </c>
    </row>
    <row r="324" spans="1:21" hidden="1" x14ac:dyDescent="0.25">
      <c r="A324" s="156" t="s">
        <v>472</v>
      </c>
      <c r="B324" s="156"/>
      <c r="C324" s="156"/>
      <c r="D324" s="222">
        <v>1.2</v>
      </c>
      <c r="E324" s="222">
        <v>4</v>
      </c>
      <c r="F324" s="222" t="s">
        <v>305</v>
      </c>
      <c r="G324" s="222" t="s">
        <v>305</v>
      </c>
      <c r="H324" s="222" t="s">
        <v>633</v>
      </c>
      <c r="I324" s="223" t="s">
        <v>305</v>
      </c>
      <c r="J324" s="222" t="s">
        <v>633</v>
      </c>
      <c r="K324" s="223" t="s">
        <v>634</v>
      </c>
      <c r="L324" s="223" t="s">
        <v>634</v>
      </c>
      <c r="M324" s="223"/>
      <c r="N324" s="223"/>
      <c r="O324" s="223"/>
      <c r="P324" s="223" t="s">
        <v>634</v>
      </c>
      <c r="Q324" s="223" t="s">
        <v>634</v>
      </c>
      <c r="R324" s="156" t="s">
        <v>304</v>
      </c>
    </row>
    <row r="325" spans="1:21" hidden="1" x14ac:dyDescent="0.25">
      <c r="A325" s="156" t="s">
        <v>474</v>
      </c>
      <c r="B325" s="156"/>
      <c r="C325" s="156"/>
      <c r="D325" s="222">
        <v>0.72</v>
      </c>
      <c r="E325" s="222">
        <v>4</v>
      </c>
      <c r="F325" s="222" t="s">
        <v>305</v>
      </c>
      <c r="G325" s="222" t="s">
        <v>305</v>
      </c>
      <c r="H325" s="222" t="s">
        <v>633</v>
      </c>
      <c r="I325" s="223" t="s">
        <v>305</v>
      </c>
      <c r="J325" s="222" t="s">
        <v>633</v>
      </c>
      <c r="K325" s="223" t="s">
        <v>634</v>
      </c>
      <c r="L325" s="223" t="s">
        <v>634</v>
      </c>
      <c r="M325" s="223"/>
      <c r="N325" s="223"/>
      <c r="O325" s="223"/>
      <c r="P325" s="223" t="s">
        <v>634</v>
      </c>
      <c r="Q325" s="223" t="s">
        <v>634</v>
      </c>
      <c r="R325" s="156" t="s">
        <v>304</v>
      </c>
    </row>
    <row r="326" spans="1:21" hidden="1" x14ac:dyDescent="0.25">
      <c r="A326" s="156" t="s">
        <v>466</v>
      </c>
      <c r="B326" s="156"/>
      <c r="C326" s="156"/>
      <c r="D326" s="222">
        <v>2.68</v>
      </c>
      <c r="E326" s="222">
        <v>4</v>
      </c>
      <c r="F326" s="222" t="s">
        <v>305</v>
      </c>
      <c r="G326" s="222" t="s">
        <v>305</v>
      </c>
      <c r="H326" s="222" t="s">
        <v>633</v>
      </c>
      <c r="I326" s="223" t="s">
        <v>305</v>
      </c>
      <c r="J326" s="222" t="s">
        <v>633</v>
      </c>
      <c r="K326" s="223" t="s">
        <v>634</v>
      </c>
      <c r="L326" s="223" t="s">
        <v>634</v>
      </c>
      <c r="M326" s="223"/>
      <c r="N326" s="223"/>
      <c r="O326" s="223"/>
      <c r="P326" s="223" t="s">
        <v>634</v>
      </c>
      <c r="Q326" s="223" t="s">
        <v>634</v>
      </c>
      <c r="R326" s="156" t="s">
        <v>304</v>
      </c>
    </row>
    <row r="327" spans="1:21" hidden="1" x14ac:dyDescent="0.25">
      <c r="A327" s="156" t="s">
        <v>481</v>
      </c>
      <c r="B327" s="156"/>
      <c r="C327" s="156"/>
      <c r="D327" s="222">
        <v>0.76</v>
      </c>
      <c r="E327" s="222">
        <v>4</v>
      </c>
      <c r="F327" s="222" t="s">
        <v>305</v>
      </c>
      <c r="G327" s="222" t="s">
        <v>305</v>
      </c>
      <c r="H327" s="222" t="s">
        <v>633</v>
      </c>
      <c r="I327" s="223" t="s">
        <v>305</v>
      </c>
      <c r="J327" s="222" t="s">
        <v>633</v>
      </c>
      <c r="K327" s="223" t="s">
        <v>634</v>
      </c>
      <c r="L327" s="223" t="s">
        <v>634</v>
      </c>
      <c r="M327" s="223"/>
      <c r="N327" s="223"/>
      <c r="O327" s="223"/>
      <c r="P327" s="223" t="s">
        <v>634</v>
      </c>
      <c r="Q327" s="223" t="s">
        <v>634</v>
      </c>
      <c r="R327" s="156" t="s">
        <v>304</v>
      </c>
    </row>
    <row r="328" spans="1:21" hidden="1" x14ac:dyDescent="0.25">
      <c r="A328" s="156" t="s">
        <v>479</v>
      </c>
      <c r="B328" s="156"/>
      <c r="C328" s="156"/>
      <c r="D328" s="222">
        <v>0.36</v>
      </c>
      <c r="E328" s="222">
        <v>4</v>
      </c>
      <c r="F328" s="222" t="s">
        <v>305</v>
      </c>
      <c r="G328" s="222" t="s">
        <v>633</v>
      </c>
      <c r="H328" s="222" t="s">
        <v>633</v>
      </c>
      <c r="I328" s="223" t="s">
        <v>305</v>
      </c>
      <c r="J328" s="222" t="s">
        <v>633</v>
      </c>
      <c r="K328" s="223" t="s">
        <v>634</v>
      </c>
      <c r="L328" s="223" t="s">
        <v>634</v>
      </c>
      <c r="M328" s="223"/>
      <c r="N328" s="223"/>
      <c r="O328" s="223"/>
      <c r="P328" s="223" t="s">
        <v>634</v>
      </c>
      <c r="Q328" s="223" t="s">
        <v>634</v>
      </c>
      <c r="R328" s="156" t="s">
        <v>304</v>
      </c>
    </row>
    <row r="329" spans="1:21" hidden="1" x14ac:dyDescent="0.25">
      <c r="A329" s="156" t="s">
        <v>328</v>
      </c>
      <c r="B329" s="156"/>
      <c r="C329" s="156"/>
      <c r="D329" s="222">
        <v>0.54</v>
      </c>
      <c r="E329" s="222">
        <v>4</v>
      </c>
      <c r="F329" s="222" t="s">
        <v>305</v>
      </c>
      <c r="G329" s="222" t="s">
        <v>305</v>
      </c>
      <c r="H329" s="222" t="s">
        <v>633</v>
      </c>
      <c r="I329" s="223" t="s">
        <v>305</v>
      </c>
      <c r="J329" s="222" t="s">
        <v>633</v>
      </c>
      <c r="K329" s="223" t="s">
        <v>634</v>
      </c>
      <c r="L329" s="223" t="s">
        <v>634</v>
      </c>
      <c r="M329" s="223"/>
      <c r="N329" s="223"/>
      <c r="O329" s="223"/>
      <c r="P329" s="223" t="s">
        <v>634</v>
      </c>
      <c r="Q329" s="223" t="s">
        <v>634</v>
      </c>
      <c r="R329" s="156" t="s">
        <v>304</v>
      </c>
    </row>
    <row r="330" spans="1:21" hidden="1" x14ac:dyDescent="0.25">
      <c r="A330" s="156" t="s">
        <v>483</v>
      </c>
      <c r="B330" s="156"/>
      <c r="C330" s="156"/>
      <c r="D330" s="222">
        <v>1.08</v>
      </c>
      <c r="E330" s="222">
        <v>4</v>
      </c>
      <c r="F330" s="222" t="s">
        <v>305</v>
      </c>
      <c r="G330" s="222" t="s">
        <v>305</v>
      </c>
      <c r="H330" s="222" t="s">
        <v>633</v>
      </c>
      <c r="I330" s="223" t="s">
        <v>305</v>
      </c>
      <c r="J330" s="222" t="s">
        <v>633</v>
      </c>
      <c r="K330" s="223" t="s">
        <v>634</v>
      </c>
      <c r="L330" s="223" t="s">
        <v>634</v>
      </c>
      <c r="M330" s="223"/>
      <c r="N330" s="223"/>
      <c r="O330" s="223"/>
      <c r="P330" s="223" t="s">
        <v>634</v>
      </c>
      <c r="Q330" s="223" t="s">
        <v>634</v>
      </c>
      <c r="R330" s="156" t="s">
        <v>304</v>
      </c>
    </row>
    <row r="331" spans="1:21" hidden="1" x14ac:dyDescent="0.25">
      <c r="A331" s="156" t="s">
        <v>489</v>
      </c>
      <c r="B331" s="156"/>
      <c r="C331" s="156"/>
      <c r="D331" s="222">
        <v>0.95</v>
      </c>
      <c r="E331" s="222">
        <v>6</v>
      </c>
      <c r="F331" s="222" t="s">
        <v>305</v>
      </c>
      <c r="G331" s="222" t="s">
        <v>305</v>
      </c>
      <c r="H331" s="222" t="s">
        <v>633</v>
      </c>
      <c r="I331" s="223" t="s">
        <v>305</v>
      </c>
      <c r="J331" s="222" t="s">
        <v>633</v>
      </c>
      <c r="K331" s="223" t="s">
        <v>634</v>
      </c>
      <c r="L331" s="223" t="s">
        <v>634</v>
      </c>
      <c r="M331" s="223"/>
      <c r="N331" s="223"/>
      <c r="O331" s="223"/>
      <c r="P331" s="223" t="s">
        <v>634</v>
      </c>
      <c r="Q331" s="223" t="s">
        <v>634</v>
      </c>
      <c r="R331" s="156" t="s">
        <v>304</v>
      </c>
    </row>
    <row r="332" spans="1:21" x14ac:dyDescent="0.25">
      <c r="A332" s="156" t="s">
        <v>487</v>
      </c>
      <c r="B332" s="156"/>
      <c r="C332" s="156"/>
      <c r="D332" s="222">
        <v>0.57999999999999996</v>
      </c>
      <c r="E332" s="222">
        <v>4</v>
      </c>
      <c r="F332" s="222" t="s">
        <v>305</v>
      </c>
      <c r="G332" s="222" t="s">
        <v>305</v>
      </c>
      <c r="H332" s="222" t="s">
        <v>633</v>
      </c>
      <c r="I332" s="223" t="s">
        <v>305</v>
      </c>
      <c r="J332" s="222" t="s">
        <v>633</v>
      </c>
      <c r="K332" s="223" t="s">
        <v>634</v>
      </c>
      <c r="L332" s="223" t="s">
        <v>634</v>
      </c>
      <c r="M332" s="223"/>
      <c r="N332" s="223"/>
      <c r="O332" s="223"/>
      <c r="P332" s="223" t="s">
        <v>634</v>
      </c>
      <c r="Q332" s="223" t="s">
        <v>634</v>
      </c>
      <c r="R332" s="156" t="s">
        <v>304</v>
      </c>
      <c r="T332" s="148" t="s">
        <v>1074</v>
      </c>
      <c r="U332" s="148" t="s">
        <v>1072</v>
      </c>
    </row>
    <row r="334" spans="1:21" x14ac:dyDescent="0.25">
      <c r="G334" s="659">
        <f>Compliance_Version_Year</f>
        <v>2019</v>
      </c>
      <c r="H334" s="1830" t="s">
        <v>354</v>
      </c>
      <c r="I334" s="1831"/>
      <c r="J334" s="1831"/>
      <c r="K334" s="148">
        <f>IF(Compliance_Version_Year=2016,VLOOKUP(H334,Table_9.6.1_2016[],2,FALSE),IF(Compliance_Version_Year=2019,VLOOKUP(H334,Table_9.6.1_2019[],2,FALSE),"NA"))</f>
        <v>1.2</v>
      </c>
      <c r="N334" s="148">
        <v>2016</v>
      </c>
      <c r="O334" s="148" t="s">
        <v>1143</v>
      </c>
      <c r="P334" s="148" t="s">
        <v>985</v>
      </c>
      <c r="S334" s="148">
        <v>2010</v>
      </c>
      <c r="T334" s="148" t="s">
        <v>1073</v>
      </c>
      <c r="U334" s="148" t="s">
        <v>1077</v>
      </c>
    </row>
    <row r="335" spans="1:21" x14ac:dyDescent="0.25">
      <c r="A335" s="148" t="s">
        <v>304</v>
      </c>
      <c r="B335" s="148">
        <v>2010</v>
      </c>
      <c r="C335" s="148">
        <v>2016</v>
      </c>
      <c r="D335" s="148">
        <v>2019</v>
      </c>
      <c r="E335" s="148" t="s">
        <v>638</v>
      </c>
      <c r="N335" s="148">
        <v>2019</v>
      </c>
      <c r="O335" s="148" t="s">
        <v>1144</v>
      </c>
      <c r="P335" s="148" t="s">
        <v>986</v>
      </c>
      <c r="S335" s="148">
        <v>2016</v>
      </c>
      <c r="T335" s="148" t="s">
        <v>1075</v>
      </c>
      <c r="U335" s="148" t="s">
        <v>1078</v>
      </c>
    </row>
    <row r="336" spans="1:21" ht="13" x14ac:dyDescent="0.3">
      <c r="A336" s="673" t="s">
        <v>964</v>
      </c>
      <c r="B336" s="674">
        <v>2010</v>
      </c>
      <c r="C336" s="674">
        <v>2016</v>
      </c>
      <c r="D336" s="674">
        <v>2019</v>
      </c>
      <c r="E336" s="675" t="s">
        <v>638</v>
      </c>
      <c r="N336" s="148">
        <v>2010</v>
      </c>
      <c r="O336" s="148" t="s">
        <v>1145</v>
      </c>
      <c r="P336" s="148" t="s">
        <v>987</v>
      </c>
      <c r="S336" s="148">
        <v>2019</v>
      </c>
      <c r="T336" s="148" t="s">
        <v>1076</v>
      </c>
      <c r="U336" s="148" t="s">
        <v>1079</v>
      </c>
    </row>
    <row r="337" spans="1:31" x14ac:dyDescent="0.25">
      <c r="A337" s="676" t="s">
        <v>139</v>
      </c>
      <c r="B337" s="677">
        <v>0.6</v>
      </c>
      <c r="C337" s="677">
        <v>0.45</v>
      </c>
      <c r="D337" s="677">
        <v>0.45</v>
      </c>
      <c r="E337" s="678" t="s">
        <v>140</v>
      </c>
    </row>
    <row r="338" spans="1:31" x14ac:dyDescent="0.25">
      <c r="A338" s="679" t="s">
        <v>142</v>
      </c>
      <c r="B338" s="680">
        <v>0.6</v>
      </c>
      <c r="C338" s="680">
        <v>0.45</v>
      </c>
      <c r="D338" s="680">
        <v>0.45</v>
      </c>
      <c r="E338" s="681" t="s">
        <v>143</v>
      </c>
      <c r="N338" s="148">
        <f>VLOOKUP(G334,_Year_Space_List,1,FALSE)</f>
        <v>2019</v>
      </c>
      <c r="O338" s="148" t="str">
        <f>VLOOKUP(G334,_Year_Space_List,2,FALSE)</f>
        <v>__2019_Space_List</v>
      </c>
      <c r="P338" s="148" t="str">
        <f>VLOOKUP(G334,_Year_Space_List,3,FALSE)</f>
        <v>Table_9.6.1_2019</v>
      </c>
      <c r="S338" s="148">
        <f>Compliance_Version_Year</f>
        <v>2019</v>
      </c>
      <c r="T338" s="148" t="str">
        <f>VLOOKUP(S338,S334:U336,2,FALSE)</f>
        <v>2019 areas</v>
      </c>
      <c r="U338" s="148" t="str">
        <f>VLOOKUP(S338,S334:U336,3,FALSE)</f>
        <v>2019 Table</v>
      </c>
    </row>
    <row r="339" spans="1:31" x14ac:dyDescent="0.25">
      <c r="A339" s="676" t="s">
        <v>146</v>
      </c>
      <c r="B339" s="677">
        <v>1.4</v>
      </c>
      <c r="C339" s="677">
        <v>1.05</v>
      </c>
      <c r="D339" s="677">
        <v>1.05</v>
      </c>
      <c r="E339" s="678" t="s">
        <v>147</v>
      </c>
    </row>
    <row r="340" spans="1:31" x14ac:dyDescent="0.25">
      <c r="A340" s="679" t="s">
        <v>148</v>
      </c>
      <c r="B340" s="680">
        <v>2.5</v>
      </c>
      <c r="C340" s="680">
        <v>1.88</v>
      </c>
      <c r="D340" s="680">
        <v>1.88</v>
      </c>
      <c r="E340" s="681" t="s">
        <v>149</v>
      </c>
    </row>
    <row r="341" spans="1:31" x14ac:dyDescent="0.25">
      <c r="A341" s="662" t="s">
        <v>636</v>
      </c>
      <c r="B341" s="682">
        <v>1000</v>
      </c>
      <c r="C341" s="682">
        <v>1000</v>
      </c>
      <c r="D341" s="682">
        <v>1000</v>
      </c>
      <c r="E341" s="683" t="s">
        <v>969</v>
      </c>
      <c r="G341" s="684">
        <f>HLOOKUP(G334,A336:E341,6,FALSE)</f>
        <v>1000</v>
      </c>
    </row>
    <row r="342" spans="1:31" x14ac:dyDescent="0.25">
      <c r="D342" s="233"/>
    </row>
    <row r="344" spans="1:31" x14ac:dyDescent="0.25">
      <c r="A344" s="148">
        <v>2019</v>
      </c>
    </row>
    <row r="345" spans="1:31" x14ac:dyDescent="0.25">
      <c r="A345" s="221">
        <v>1</v>
      </c>
      <c r="B345" s="221">
        <v>2</v>
      </c>
      <c r="C345" s="221">
        <v>3</v>
      </c>
      <c r="D345" s="221">
        <v>4</v>
      </c>
      <c r="E345" s="221">
        <v>5</v>
      </c>
      <c r="F345" s="221">
        <v>6</v>
      </c>
      <c r="G345" s="221">
        <v>7</v>
      </c>
      <c r="H345" s="221">
        <v>8</v>
      </c>
      <c r="I345" s="221">
        <v>9</v>
      </c>
      <c r="J345" s="221">
        <v>10</v>
      </c>
      <c r="K345" s="221">
        <v>11</v>
      </c>
      <c r="L345" s="221">
        <v>12</v>
      </c>
      <c r="M345" s="221">
        <v>13</v>
      </c>
      <c r="N345" s="221">
        <v>14</v>
      </c>
      <c r="O345" s="986">
        <v>15</v>
      </c>
      <c r="P345" s="986">
        <v>16</v>
      </c>
      <c r="Q345" s="986">
        <v>17</v>
      </c>
      <c r="R345" s="986">
        <v>18</v>
      </c>
      <c r="S345" s="986">
        <v>19</v>
      </c>
      <c r="T345" s="986">
        <v>20</v>
      </c>
      <c r="U345" s="986">
        <v>21</v>
      </c>
      <c r="V345" s="986">
        <v>22</v>
      </c>
      <c r="W345" s="986">
        <v>23</v>
      </c>
      <c r="X345" s="986">
        <v>24</v>
      </c>
      <c r="Y345" s="986">
        <v>25</v>
      </c>
      <c r="Z345" s="986">
        <v>26</v>
      </c>
      <c r="AA345" s="986">
        <v>27</v>
      </c>
      <c r="AB345" s="986">
        <v>28</v>
      </c>
      <c r="AC345" s="986">
        <v>29</v>
      </c>
      <c r="AD345" s="986">
        <v>30</v>
      </c>
      <c r="AE345" s="986">
        <v>31</v>
      </c>
    </row>
    <row r="346" spans="1:31" ht="122" x14ac:dyDescent="0.25">
      <c r="A346" s="148" t="s">
        <v>1005</v>
      </c>
      <c r="B346" s="657" t="s">
        <v>947</v>
      </c>
      <c r="C346" s="657" t="s">
        <v>948</v>
      </c>
      <c r="D346" s="658" t="s">
        <v>949</v>
      </c>
      <c r="E346" s="658" t="s">
        <v>950</v>
      </c>
      <c r="F346" s="658" t="s">
        <v>951</v>
      </c>
      <c r="G346" s="658" t="s">
        <v>952</v>
      </c>
      <c r="H346" s="658" t="s">
        <v>953</v>
      </c>
      <c r="I346" s="658" t="s">
        <v>954</v>
      </c>
      <c r="J346" s="658" t="s">
        <v>955</v>
      </c>
      <c r="K346" s="658" t="s">
        <v>956</v>
      </c>
      <c r="L346" s="658" t="s">
        <v>957</v>
      </c>
      <c r="M346" s="658" t="s">
        <v>965</v>
      </c>
      <c r="N346" s="658" t="s">
        <v>966</v>
      </c>
      <c r="O346" s="658" t="s">
        <v>967</v>
      </c>
      <c r="P346" s="658" t="s">
        <v>968</v>
      </c>
      <c r="Q346" s="658" t="s">
        <v>958</v>
      </c>
      <c r="R346" s="670" t="s">
        <v>982</v>
      </c>
      <c r="S346" s="1034" t="s">
        <v>1166</v>
      </c>
      <c r="T346" s="1034" t="s">
        <v>1167</v>
      </c>
      <c r="U346" s="1034" t="s">
        <v>1168</v>
      </c>
      <c r="V346" s="1034" t="s">
        <v>1169</v>
      </c>
      <c r="W346" s="1034" t="s">
        <v>1170</v>
      </c>
      <c r="X346" s="1034" t="s">
        <v>1171</v>
      </c>
      <c r="Y346" s="1034" t="s">
        <v>1172</v>
      </c>
      <c r="Z346" s="1034" t="s">
        <v>1173</v>
      </c>
      <c r="AA346" s="1034" t="s">
        <v>1174</v>
      </c>
      <c r="AB346" s="1034" t="s">
        <v>1175</v>
      </c>
      <c r="AC346" s="1034" t="s">
        <v>1176</v>
      </c>
      <c r="AD346" s="1034" t="s">
        <v>1177</v>
      </c>
      <c r="AE346" s="1034" t="s">
        <v>1165</v>
      </c>
    </row>
    <row r="347" spans="1:31" ht="62.5" x14ac:dyDescent="0.25">
      <c r="A347" s="652" t="s">
        <v>1005</v>
      </c>
      <c r="B347" s="1030" t="s">
        <v>947</v>
      </c>
      <c r="C347" s="1030" t="s">
        <v>948</v>
      </c>
      <c r="D347" s="1030" t="s">
        <v>1153</v>
      </c>
      <c r="E347" s="1030" t="s">
        <v>1154</v>
      </c>
      <c r="F347" s="1030" t="s">
        <v>1155</v>
      </c>
      <c r="G347" s="1030" t="s">
        <v>1156</v>
      </c>
      <c r="H347" s="1030" t="s">
        <v>1157</v>
      </c>
      <c r="I347" s="1030" t="s">
        <v>1158</v>
      </c>
      <c r="J347" s="1030" t="s">
        <v>1159</v>
      </c>
      <c r="K347" s="1030" t="s">
        <v>1160</v>
      </c>
      <c r="L347" s="1030" t="s">
        <v>1161</v>
      </c>
      <c r="M347" s="1030" t="s">
        <v>1162</v>
      </c>
      <c r="N347" s="1030" t="s">
        <v>1163</v>
      </c>
      <c r="O347" s="1030" t="s">
        <v>1164</v>
      </c>
      <c r="P347" s="1030" t="s">
        <v>1165</v>
      </c>
      <c r="Q347" s="1030" t="s">
        <v>519</v>
      </c>
      <c r="R347" s="663" t="s">
        <v>982</v>
      </c>
      <c r="S347" s="1030" t="s">
        <v>1153</v>
      </c>
      <c r="T347" s="1030" t="s">
        <v>1154</v>
      </c>
      <c r="U347" s="1030" t="s">
        <v>1155</v>
      </c>
      <c r="V347" s="1030" t="s">
        <v>1156</v>
      </c>
      <c r="W347" s="1030" t="s">
        <v>1157</v>
      </c>
      <c r="X347" s="1030" t="s">
        <v>1158</v>
      </c>
      <c r="Y347" s="1030" t="s">
        <v>1159</v>
      </c>
      <c r="Z347" s="1030" t="s">
        <v>1160</v>
      </c>
      <c r="AA347" s="1030" t="s">
        <v>1161</v>
      </c>
      <c r="AB347" s="1030" t="s">
        <v>1162</v>
      </c>
      <c r="AC347" s="1030" t="s">
        <v>1163</v>
      </c>
      <c r="AD347" s="1030" t="s">
        <v>1164</v>
      </c>
      <c r="AE347" s="1030" t="s">
        <v>1165</v>
      </c>
    </row>
    <row r="348" spans="1:31" x14ac:dyDescent="0.25">
      <c r="A348" s="652" t="s">
        <v>303</v>
      </c>
      <c r="B348" s="221">
        <v>0.39</v>
      </c>
      <c r="C348" s="221" t="s">
        <v>304</v>
      </c>
      <c r="D348" s="221" t="s">
        <v>305</v>
      </c>
      <c r="E348" s="221" t="s">
        <v>173</v>
      </c>
      <c r="F348" s="221" t="s">
        <v>173</v>
      </c>
      <c r="G348" s="221" t="s">
        <v>304</v>
      </c>
      <c r="H348" s="221" t="s">
        <v>305</v>
      </c>
      <c r="I348" s="221" t="s">
        <v>305</v>
      </c>
      <c r="J348" s="221" t="s">
        <v>304</v>
      </c>
      <c r="K348" s="221" t="s">
        <v>174</v>
      </c>
      <c r="L348" s="221" t="s">
        <v>174</v>
      </c>
      <c r="M348" s="221" t="s">
        <v>304</v>
      </c>
      <c r="N348" s="221" t="s">
        <v>304</v>
      </c>
      <c r="O348" s="221" t="s">
        <v>304</v>
      </c>
      <c r="P348" s="148" t="s">
        <v>304</v>
      </c>
      <c r="Q348" s="731">
        <v>5</v>
      </c>
      <c r="R348" s="663"/>
      <c r="S348" s="986" t="s">
        <v>305</v>
      </c>
      <c r="T348" s="986" t="s">
        <v>173</v>
      </c>
      <c r="U348" s="986" t="s">
        <v>173</v>
      </c>
      <c r="V348" s="986" t="s">
        <v>304</v>
      </c>
      <c r="W348" s="986" t="s">
        <v>304</v>
      </c>
      <c r="X348" s="986" t="s">
        <v>304</v>
      </c>
      <c r="Y348" s="986" t="s">
        <v>304</v>
      </c>
      <c r="Z348" s="986" t="s">
        <v>174</v>
      </c>
      <c r="AA348" s="986" t="s">
        <v>174</v>
      </c>
      <c r="AB348" s="986" t="s">
        <v>304</v>
      </c>
      <c r="AC348" s="986" t="s">
        <v>304</v>
      </c>
      <c r="AD348" s="986" t="s">
        <v>304</v>
      </c>
      <c r="AE348" s="148" t="s">
        <v>304</v>
      </c>
    </row>
    <row r="349" spans="1:31" x14ac:dyDescent="0.25">
      <c r="A349" s="652" t="s">
        <v>309</v>
      </c>
      <c r="B349" s="221">
        <v>0.48</v>
      </c>
      <c r="C349" s="221" t="s">
        <v>304</v>
      </c>
      <c r="D349" s="221" t="s">
        <v>305</v>
      </c>
      <c r="E349" s="221" t="s">
        <v>173</v>
      </c>
      <c r="F349" s="221" t="s">
        <v>173</v>
      </c>
      <c r="G349" s="221" t="s">
        <v>305</v>
      </c>
      <c r="H349" s="221" t="s">
        <v>305</v>
      </c>
      <c r="I349" s="221" t="s">
        <v>305</v>
      </c>
      <c r="J349" s="221" t="s">
        <v>304</v>
      </c>
      <c r="K349" s="221" t="s">
        <v>174</v>
      </c>
      <c r="L349" s="221" t="s">
        <v>174</v>
      </c>
      <c r="M349" s="221" t="s">
        <v>304</v>
      </c>
      <c r="N349" s="221" t="s">
        <v>304</v>
      </c>
      <c r="O349" s="221" t="s">
        <v>304</v>
      </c>
      <c r="P349" s="148" t="s">
        <v>304</v>
      </c>
      <c r="Q349" s="731">
        <v>5</v>
      </c>
      <c r="R349" s="663"/>
      <c r="S349" s="986" t="s">
        <v>305</v>
      </c>
      <c r="T349" s="986" t="s">
        <v>173</v>
      </c>
      <c r="U349" s="986" t="s">
        <v>173</v>
      </c>
      <c r="V349" s="986" t="s">
        <v>305</v>
      </c>
      <c r="W349" s="986" t="s">
        <v>304</v>
      </c>
      <c r="X349" s="986" t="s">
        <v>304</v>
      </c>
      <c r="Y349" s="986" t="s">
        <v>304</v>
      </c>
      <c r="Z349" s="986" t="s">
        <v>174</v>
      </c>
      <c r="AA349" s="986" t="s">
        <v>174</v>
      </c>
      <c r="AB349" s="986" t="s">
        <v>304</v>
      </c>
      <c r="AC349" s="986" t="s">
        <v>304</v>
      </c>
      <c r="AD349" s="986" t="s">
        <v>304</v>
      </c>
      <c r="AE349" s="148" t="s">
        <v>304</v>
      </c>
    </row>
    <row r="350" spans="1:31" x14ac:dyDescent="0.25">
      <c r="A350" s="652" t="s">
        <v>310</v>
      </c>
      <c r="B350" s="221">
        <v>0.6</v>
      </c>
      <c r="C350" s="221">
        <v>11</v>
      </c>
      <c r="D350" s="221" t="s">
        <v>305</v>
      </c>
      <c r="E350" s="221" t="s">
        <v>173</v>
      </c>
      <c r="F350" s="221" t="s">
        <v>173</v>
      </c>
      <c r="G350" s="221" t="s">
        <v>305</v>
      </c>
      <c r="H350" s="221" t="s">
        <v>305</v>
      </c>
      <c r="I350" s="221" t="s">
        <v>305</v>
      </c>
      <c r="J350" s="221" t="s">
        <v>304</v>
      </c>
      <c r="K350" s="221" t="s">
        <v>174</v>
      </c>
      <c r="L350" s="221" t="s">
        <v>174</v>
      </c>
      <c r="M350" s="221" t="s">
        <v>304</v>
      </c>
      <c r="N350" s="221" t="s">
        <v>304</v>
      </c>
      <c r="O350" s="221" t="s">
        <v>304</v>
      </c>
      <c r="P350" s="148" t="s">
        <v>304</v>
      </c>
      <c r="Q350" s="731">
        <v>5</v>
      </c>
      <c r="R350" s="663"/>
      <c r="S350" s="986" t="s">
        <v>305</v>
      </c>
      <c r="T350" s="986" t="s">
        <v>173</v>
      </c>
      <c r="U350" s="986" t="s">
        <v>173</v>
      </c>
      <c r="V350" s="986" t="s">
        <v>305</v>
      </c>
      <c r="W350" s="986" t="s">
        <v>304</v>
      </c>
      <c r="X350" s="986" t="s">
        <v>304</v>
      </c>
      <c r="Y350" s="986" t="s">
        <v>304</v>
      </c>
      <c r="Z350" s="986" t="s">
        <v>174</v>
      </c>
      <c r="AA350" s="986" t="s">
        <v>174</v>
      </c>
      <c r="AB350" s="986" t="s">
        <v>304</v>
      </c>
      <c r="AC350" s="986" t="s">
        <v>304</v>
      </c>
      <c r="AD350" s="986" t="s">
        <v>304</v>
      </c>
      <c r="AE350" s="148" t="s">
        <v>304</v>
      </c>
    </row>
    <row r="351" spans="1:31" x14ac:dyDescent="0.25">
      <c r="A351" s="652" t="s">
        <v>311</v>
      </c>
      <c r="B351" s="221">
        <v>0.23</v>
      </c>
      <c r="C351" s="221">
        <v>4</v>
      </c>
      <c r="D351" s="221" t="s">
        <v>305</v>
      </c>
      <c r="E351" s="221" t="s">
        <v>173</v>
      </c>
      <c r="F351" s="221" t="s">
        <v>173</v>
      </c>
      <c r="G351" s="221" t="s">
        <v>304</v>
      </c>
      <c r="H351" s="221" t="s">
        <v>305</v>
      </c>
      <c r="I351" s="221" t="s">
        <v>305</v>
      </c>
      <c r="J351" s="221" t="s">
        <v>304</v>
      </c>
      <c r="K351" s="221" t="s">
        <v>174</v>
      </c>
      <c r="L351" s="221" t="s">
        <v>174</v>
      </c>
      <c r="M351" s="221" t="s">
        <v>304</v>
      </c>
      <c r="N351" s="221" t="s">
        <v>304</v>
      </c>
      <c r="O351" s="221" t="s">
        <v>304</v>
      </c>
      <c r="P351" s="148" t="s">
        <v>304</v>
      </c>
      <c r="Q351" s="731" t="s">
        <v>304</v>
      </c>
      <c r="R351" s="663"/>
      <c r="S351" s="986" t="s">
        <v>305</v>
      </c>
      <c r="T351" s="986" t="s">
        <v>173</v>
      </c>
      <c r="U351" s="986" t="s">
        <v>173</v>
      </c>
      <c r="V351" s="986" t="s">
        <v>304</v>
      </c>
      <c r="W351" s="986" t="s">
        <v>304</v>
      </c>
      <c r="X351" s="986" t="s">
        <v>304</v>
      </c>
      <c r="Y351" s="986" t="s">
        <v>304</v>
      </c>
      <c r="Z351" s="986" t="s">
        <v>174</v>
      </c>
      <c r="AA351" s="986" t="s">
        <v>174</v>
      </c>
      <c r="AB351" s="986" t="s">
        <v>304</v>
      </c>
      <c r="AC351" s="986" t="s">
        <v>304</v>
      </c>
      <c r="AD351" s="986" t="s">
        <v>304</v>
      </c>
      <c r="AE351" s="148" t="s">
        <v>304</v>
      </c>
    </row>
    <row r="352" spans="1:31" x14ac:dyDescent="0.25">
      <c r="A352" s="652" t="s">
        <v>312</v>
      </c>
      <c r="B352" s="221">
        <v>0.61</v>
      </c>
      <c r="C352" s="221">
        <v>6</v>
      </c>
      <c r="D352" s="221" t="s">
        <v>305</v>
      </c>
      <c r="E352" s="221" t="s">
        <v>173</v>
      </c>
      <c r="F352" s="221" t="s">
        <v>173</v>
      </c>
      <c r="G352" s="221" t="s">
        <v>305</v>
      </c>
      <c r="H352" s="221" t="s">
        <v>305</v>
      </c>
      <c r="I352" s="221" t="s">
        <v>305</v>
      </c>
      <c r="J352" s="221" t="s">
        <v>304</v>
      </c>
      <c r="K352" s="221" t="s">
        <v>174</v>
      </c>
      <c r="L352" s="221" t="s">
        <v>174</v>
      </c>
      <c r="M352" s="221" t="s">
        <v>304</v>
      </c>
      <c r="N352" s="221" t="s">
        <v>304</v>
      </c>
      <c r="O352" s="221" t="s">
        <v>304</v>
      </c>
      <c r="P352" s="148" t="s">
        <v>304</v>
      </c>
      <c r="Q352" s="731" t="s">
        <v>304</v>
      </c>
      <c r="R352" s="663"/>
      <c r="S352" s="986" t="s">
        <v>305</v>
      </c>
      <c r="T352" s="986" t="s">
        <v>173</v>
      </c>
      <c r="U352" s="986" t="s">
        <v>173</v>
      </c>
      <c r="V352" s="986" t="s">
        <v>305</v>
      </c>
      <c r="W352" s="986" t="s">
        <v>304</v>
      </c>
      <c r="X352" s="986" t="s">
        <v>304</v>
      </c>
      <c r="Y352" s="986" t="s">
        <v>304</v>
      </c>
      <c r="Z352" s="986" t="s">
        <v>174</v>
      </c>
      <c r="AA352" s="986" t="s">
        <v>174</v>
      </c>
      <c r="AB352" s="986" t="s">
        <v>304</v>
      </c>
      <c r="AC352" s="986" t="s">
        <v>304</v>
      </c>
      <c r="AD352" s="986" t="s">
        <v>304</v>
      </c>
      <c r="AE352" s="148" t="s">
        <v>304</v>
      </c>
    </row>
    <row r="353" spans="1:31" x14ac:dyDescent="0.25">
      <c r="A353" s="652" t="s">
        <v>316</v>
      </c>
      <c r="B353" s="221">
        <v>0.23</v>
      </c>
      <c r="C353" s="221">
        <v>6</v>
      </c>
      <c r="D353" s="221" t="s">
        <v>305</v>
      </c>
      <c r="E353" s="221" t="s">
        <v>173</v>
      </c>
      <c r="F353" s="221" t="s">
        <v>173</v>
      </c>
      <c r="G353" s="221" t="s">
        <v>305</v>
      </c>
      <c r="H353" s="221" t="s">
        <v>305</v>
      </c>
      <c r="I353" s="221" t="s">
        <v>305</v>
      </c>
      <c r="J353" s="221" t="s">
        <v>304</v>
      </c>
      <c r="K353" s="221" t="s">
        <v>174</v>
      </c>
      <c r="L353" s="221" t="s">
        <v>174</v>
      </c>
      <c r="M353" s="221" t="s">
        <v>304</v>
      </c>
      <c r="N353" s="221" t="s">
        <v>304</v>
      </c>
      <c r="O353" s="221" t="s">
        <v>304</v>
      </c>
      <c r="P353" s="148" t="s">
        <v>304</v>
      </c>
      <c r="Q353" s="731" t="s">
        <v>304</v>
      </c>
      <c r="R353" s="663"/>
      <c r="S353" s="986" t="s">
        <v>305</v>
      </c>
      <c r="T353" s="986" t="s">
        <v>173</v>
      </c>
      <c r="U353" s="986" t="s">
        <v>173</v>
      </c>
      <c r="V353" s="986" t="s">
        <v>305</v>
      </c>
      <c r="W353" s="986" t="s">
        <v>304</v>
      </c>
      <c r="X353" s="986" t="s">
        <v>304</v>
      </c>
      <c r="Y353" s="986" t="s">
        <v>304</v>
      </c>
      <c r="Z353" s="986" t="s">
        <v>174</v>
      </c>
      <c r="AA353" s="986" t="s">
        <v>174</v>
      </c>
      <c r="AB353" s="986" t="s">
        <v>304</v>
      </c>
      <c r="AC353" s="986" t="s">
        <v>304</v>
      </c>
      <c r="AD353" s="986" t="s">
        <v>304</v>
      </c>
      <c r="AE353" s="148" t="s">
        <v>304</v>
      </c>
    </row>
    <row r="354" spans="1:31" x14ac:dyDescent="0.25">
      <c r="A354" s="652" t="s">
        <v>318</v>
      </c>
      <c r="B354" s="221">
        <v>0.27</v>
      </c>
      <c r="C354" s="221">
        <v>4</v>
      </c>
      <c r="D354" s="221" t="s">
        <v>305</v>
      </c>
      <c r="E354" s="221" t="s">
        <v>173</v>
      </c>
      <c r="F354" s="221" t="s">
        <v>173</v>
      </c>
      <c r="G354" s="221" t="s">
        <v>305</v>
      </c>
      <c r="H354" s="221" t="s">
        <v>305</v>
      </c>
      <c r="I354" s="221" t="s">
        <v>305</v>
      </c>
      <c r="J354" s="221" t="s">
        <v>304</v>
      </c>
      <c r="K354" s="221" t="s">
        <v>174</v>
      </c>
      <c r="L354" s="221" t="s">
        <v>174</v>
      </c>
      <c r="M354" s="221" t="s">
        <v>304</v>
      </c>
      <c r="N354" s="221" t="s">
        <v>304</v>
      </c>
      <c r="O354" s="221" t="s">
        <v>304</v>
      </c>
      <c r="P354" s="148" t="s">
        <v>304</v>
      </c>
      <c r="Q354" s="731" t="s">
        <v>304</v>
      </c>
      <c r="R354" s="663"/>
      <c r="S354" s="986" t="s">
        <v>305</v>
      </c>
      <c r="T354" s="986" t="s">
        <v>173</v>
      </c>
      <c r="U354" s="986" t="s">
        <v>173</v>
      </c>
      <c r="V354" s="986" t="s">
        <v>305</v>
      </c>
      <c r="W354" s="986" t="s">
        <v>304</v>
      </c>
      <c r="X354" s="986" t="s">
        <v>304</v>
      </c>
      <c r="Y354" s="986" t="s">
        <v>304</v>
      </c>
      <c r="Z354" s="986" t="s">
        <v>174</v>
      </c>
      <c r="AA354" s="986" t="s">
        <v>174</v>
      </c>
      <c r="AB354" s="986" t="s">
        <v>304</v>
      </c>
      <c r="AC354" s="986" t="s">
        <v>304</v>
      </c>
      <c r="AD354" s="986" t="s">
        <v>304</v>
      </c>
      <c r="AE354" s="148" t="s">
        <v>304</v>
      </c>
    </row>
    <row r="355" spans="1:31" x14ac:dyDescent="0.25">
      <c r="A355" s="652" t="s">
        <v>320</v>
      </c>
      <c r="B355" s="663">
        <v>0.67</v>
      </c>
      <c r="C355" s="663">
        <v>4</v>
      </c>
      <c r="D355" s="663" t="s">
        <v>305</v>
      </c>
      <c r="E355" s="663" t="s">
        <v>173</v>
      </c>
      <c r="F355" s="663" t="s">
        <v>173</v>
      </c>
      <c r="G355" s="663" t="s">
        <v>304</v>
      </c>
      <c r="H355" s="663" t="s">
        <v>305</v>
      </c>
      <c r="I355" s="663" t="s">
        <v>305</v>
      </c>
      <c r="J355" s="663" t="s">
        <v>304</v>
      </c>
      <c r="K355" s="663" t="s">
        <v>174</v>
      </c>
      <c r="L355" s="663" t="s">
        <v>174</v>
      </c>
      <c r="M355" s="663" t="s">
        <v>304</v>
      </c>
      <c r="N355" s="663" t="s">
        <v>304</v>
      </c>
      <c r="O355" s="663" t="s">
        <v>304</v>
      </c>
      <c r="P355" s="652" t="s">
        <v>304</v>
      </c>
      <c r="Q355" s="663" t="s">
        <v>304</v>
      </c>
      <c r="R355" s="663"/>
      <c r="S355" s="663" t="s">
        <v>305</v>
      </c>
      <c r="T355" s="663" t="s">
        <v>173</v>
      </c>
      <c r="U355" s="663" t="s">
        <v>173</v>
      </c>
      <c r="V355" s="663" t="s">
        <v>304</v>
      </c>
      <c r="W355" s="986" t="s">
        <v>304</v>
      </c>
      <c r="X355" s="986" t="s">
        <v>304</v>
      </c>
      <c r="Y355" s="663" t="s">
        <v>304</v>
      </c>
      <c r="Z355" s="663" t="s">
        <v>174</v>
      </c>
      <c r="AA355" s="663" t="s">
        <v>174</v>
      </c>
      <c r="AB355" s="663" t="s">
        <v>304</v>
      </c>
      <c r="AC355" s="663" t="s">
        <v>304</v>
      </c>
      <c r="AD355" s="663" t="s">
        <v>304</v>
      </c>
      <c r="AE355" s="652" t="s">
        <v>304</v>
      </c>
    </row>
    <row r="356" spans="1:31" x14ac:dyDescent="0.25">
      <c r="A356" s="652" t="s">
        <v>322</v>
      </c>
      <c r="B356" s="663">
        <v>1.1599999999999999</v>
      </c>
      <c r="C356" s="663">
        <v>8</v>
      </c>
      <c r="D356" s="663" t="s">
        <v>305</v>
      </c>
      <c r="E356" s="663" t="s">
        <v>173</v>
      </c>
      <c r="F356" s="663" t="s">
        <v>173</v>
      </c>
      <c r="G356" s="663" t="s">
        <v>305</v>
      </c>
      <c r="H356" s="663" t="s">
        <v>305</v>
      </c>
      <c r="I356" s="663" t="s">
        <v>305</v>
      </c>
      <c r="J356" s="663" t="s">
        <v>304</v>
      </c>
      <c r="K356" s="663" t="s">
        <v>174</v>
      </c>
      <c r="L356" s="663" t="s">
        <v>174</v>
      </c>
      <c r="M356" s="663" t="s">
        <v>304</v>
      </c>
      <c r="N356" s="663" t="s">
        <v>304</v>
      </c>
      <c r="O356" s="663" t="s">
        <v>304</v>
      </c>
      <c r="P356" s="652" t="s">
        <v>304</v>
      </c>
      <c r="Q356" s="663" t="s">
        <v>304</v>
      </c>
      <c r="R356" s="663"/>
      <c r="S356" s="663" t="s">
        <v>305</v>
      </c>
      <c r="T356" s="663" t="s">
        <v>173</v>
      </c>
      <c r="U356" s="663" t="s">
        <v>173</v>
      </c>
      <c r="V356" s="663" t="s">
        <v>305</v>
      </c>
      <c r="W356" s="986" t="s">
        <v>304</v>
      </c>
      <c r="X356" s="986" t="s">
        <v>304</v>
      </c>
      <c r="Y356" s="663" t="s">
        <v>304</v>
      </c>
      <c r="Z356" s="663" t="s">
        <v>174</v>
      </c>
      <c r="AA356" s="663" t="s">
        <v>174</v>
      </c>
      <c r="AB356" s="663" t="s">
        <v>304</v>
      </c>
      <c r="AC356" s="663" t="s">
        <v>304</v>
      </c>
      <c r="AD356" s="663" t="s">
        <v>304</v>
      </c>
      <c r="AE356" s="652" t="s">
        <v>304</v>
      </c>
    </row>
    <row r="357" spans="1:31" x14ac:dyDescent="0.25">
      <c r="A357" s="652" t="s">
        <v>324</v>
      </c>
      <c r="B357" s="663">
        <v>0.72</v>
      </c>
      <c r="C357" s="663">
        <v>4</v>
      </c>
      <c r="D357" s="663" t="s">
        <v>305</v>
      </c>
      <c r="E357" s="663" t="s">
        <v>173</v>
      </c>
      <c r="F357" s="663" t="s">
        <v>173</v>
      </c>
      <c r="G357" s="663" t="s">
        <v>305</v>
      </c>
      <c r="H357" s="663" t="s">
        <v>305</v>
      </c>
      <c r="I357" s="663" t="s">
        <v>305</v>
      </c>
      <c r="J357" s="663" t="s">
        <v>304</v>
      </c>
      <c r="K357" s="663" t="s">
        <v>174</v>
      </c>
      <c r="L357" s="663" t="s">
        <v>174</v>
      </c>
      <c r="M357" s="663" t="s">
        <v>304</v>
      </c>
      <c r="N357" s="663" t="s">
        <v>304</v>
      </c>
      <c r="O357" s="663" t="s">
        <v>304</v>
      </c>
      <c r="P357" s="652" t="s">
        <v>304</v>
      </c>
      <c r="Q357" s="663" t="s">
        <v>304</v>
      </c>
      <c r="R357" s="663"/>
      <c r="S357" s="663" t="s">
        <v>305</v>
      </c>
      <c r="T357" s="663" t="s">
        <v>173</v>
      </c>
      <c r="U357" s="663" t="s">
        <v>173</v>
      </c>
      <c r="V357" s="663" t="s">
        <v>305</v>
      </c>
      <c r="W357" s="986" t="s">
        <v>304</v>
      </c>
      <c r="X357" s="986" t="s">
        <v>304</v>
      </c>
      <c r="Y357" s="663" t="s">
        <v>304</v>
      </c>
      <c r="Z357" s="663" t="s">
        <v>174</v>
      </c>
      <c r="AA357" s="663" t="s">
        <v>174</v>
      </c>
      <c r="AB357" s="663" t="s">
        <v>304</v>
      </c>
      <c r="AC357" s="663" t="s">
        <v>304</v>
      </c>
      <c r="AD357" s="663" t="s">
        <v>304</v>
      </c>
      <c r="AE357" s="652" t="s">
        <v>304</v>
      </c>
    </row>
    <row r="358" spans="1:31" x14ac:dyDescent="0.25">
      <c r="A358" s="652" t="s">
        <v>326</v>
      </c>
      <c r="B358" s="663">
        <v>0.33</v>
      </c>
      <c r="C358" s="663">
        <v>4</v>
      </c>
      <c r="D358" s="663" t="s">
        <v>305</v>
      </c>
      <c r="E358" s="663" t="s">
        <v>173</v>
      </c>
      <c r="F358" s="663" t="s">
        <v>173</v>
      </c>
      <c r="G358" s="663" t="s">
        <v>304</v>
      </c>
      <c r="H358" s="663" t="s">
        <v>305</v>
      </c>
      <c r="I358" s="663" t="s">
        <v>305</v>
      </c>
      <c r="J358" s="663" t="s">
        <v>304</v>
      </c>
      <c r="K358" s="663" t="s">
        <v>174</v>
      </c>
      <c r="L358" s="663" t="s">
        <v>174</v>
      </c>
      <c r="M358" s="663" t="s">
        <v>304</v>
      </c>
      <c r="N358" s="663" t="s">
        <v>304</v>
      </c>
      <c r="O358" s="663" t="s">
        <v>304</v>
      </c>
      <c r="P358" s="652" t="s">
        <v>304</v>
      </c>
      <c r="Q358" s="663" t="s">
        <v>304</v>
      </c>
      <c r="R358" s="663"/>
      <c r="S358" s="663" t="s">
        <v>305</v>
      </c>
      <c r="T358" s="663" t="s">
        <v>173</v>
      </c>
      <c r="U358" s="663" t="s">
        <v>173</v>
      </c>
      <c r="V358" s="663" t="s">
        <v>304</v>
      </c>
      <c r="W358" s="986" t="s">
        <v>304</v>
      </c>
      <c r="X358" s="986" t="s">
        <v>304</v>
      </c>
      <c r="Y358" s="663" t="s">
        <v>304</v>
      </c>
      <c r="Z358" s="663" t="s">
        <v>174</v>
      </c>
      <c r="AA358" s="663" t="s">
        <v>174</v>
      </c>
      <c r="AB358" s="663" t="s">
        <v>304</v>
      </c>
      <c r="AC358" s="663" t="s">
        <v>304</v>
      </c>
      <c r="AD358" s="663" t="s">
        <v>304</v>
      </c>
      <c r="AE358" s="652" t="s">
        <v>304</v>
      </c>
    </row>
    <row r="359" spans="1:31" x14ac:dyDescent="0.25">
      <c r="A359" s="652" t="s">
        <v>961</v>
      </c>
      <c r="B359" s="221">
        <v>0.61</v>
      </c>
      <c r="C359" s="221">
        <v>6</v>
      </c>
      <c r="D359" s="221" t="s">
        <v>305</v>
      </c>
      <c r="E359" s="221" t="s">
        <v>173</v>
      </c>
      <c r="F359" s="221" t="s">
        <v>173</v>
      </c>
      <c r="G359" s="221" t="s">
        <v>305</v>
      </c>
      <c r="H359" s="221" t="s">
        <v>305</v>
      </c>
      <c r="I359" s="221" t="s">
        <v>305</v>
      </c>
      <c r="J359" s="221" t="s">
        <v>304</v>
      </c>
      <c r="K359" s="221" t="s">
        <v>174</v>
      </c>
      <c r="L359" s="221" t="s">
        <v>174</v>
      </c>
      <c r="M359" s="221" t="s">
        <v>304</v>
      </c>
      <c r="N359" s="221" t="s">
        <v>304</v>
      </c>
      <c r="O359" s="221" t="s">
        <v>304</v>
      </c>
      <c r="P359" s="148" t="s">
        <v>304</v>
      </c>
      <c r="Q359" s="731" t="s">
        <v>304</v>
      </c>
      <c r="R359" s="663"/>
      <c r="S359" s="986" t="s">
        <v>305</v>
      </c>
      <c r="T359" s="986" t="s">
        <v>173</v>
      </c>
      <c r="U359" s="986" t="s">
        <v>173</v>
      </c>
      <c r="V359" s="986" t="s">
        <v>305</v>
      </c>
      <c r="W359" s="986" t="s">
        <v>304</v>
      </c>
      <c r="X359" s="986" t="s">
        <v>304</v>
      </c>
      <c r="Y359" s="986" t="s">
        <v>304</v>
      </c>
      <c r="Z359" s="986" t="s">
        <v>174</v>
      </c>
      <c r="AA359" s="986" t="s">
        <v>174</v>
      </c>
      <c r="AB359" s="986" t="s">
        <v>304</v>
      </c>
      <c r="AC359" s="986" t="s">
        <v>304</v>
      </c>
      <c r="AD359" s="986" t="s">
        <v>304</v>
      </c>
      <c r="AE359" s="148" t="s">
        <v>304</v>
      </c>
    </row>
    <row r="360" spans="1:31" x14ac:dyDescent="0.25">
      <c r="A360" s="148" t="s">
        <v>331</v>
      </c>
      <c r="B360" s="221">
        <v>0.7</v>
      </c>
      <c r="C360" s="221">
        <v>4</v>
      </c>
      <c r="D360" s="221" t="s">
        <v>305</v>
      </c>
      <c r="E360" s="221" t="s">
        <v>173</v>
      </c>
      <c r="F360" s="221" t="s">
        <v>173</v>
      </c>
      <c r="G360" s="221" t="s">
        <v>305</v>
      </c>
      <c r="H360" s="221" t="s">
        <v>305</v>
      </c>
      <c r="I360" s="221" t="s">
        <v>305</v>
      </c>
      <c r="J360" s="221" t="s">
        <v>304</v>
      </c>
      <c r="K360" s="221" t="s">
        <v>174</v>
      </c>
      <c r="L360" s="221" t="s">
        <v>174</v>
      </c>
      <c r="M360" s="221" t="s">
        <v>304</v>
      </c>
      <c r="N360" s="221" t="s">
        <v>304</v>
      </c>
      <c r="O360" s="221" t="s">
        <v>304</v>
      </c>
      <c r="P360" s="148" t="s">
        <v>304</v>
      </c>
      <c r="Q360" s="731" t="s">
        <v>304</v>
      </c>
      <c r="R360" s="663"/>
      <c r="S360" s="986" t="s">
        <v>305</v>
      </c>
      <c r="T360" s="986" t="s">
        <v>173</v>
      </c>
      <c r="U360" s="986" t="s">
        <v>173</v>
      </c>
      <c r="V360" s="986" t="s">
        <v>305</v>
      </c>
      <c r="W360" s="986" t="s">
        <v>304</v>
      </c>
      <c r="X360" s="986" t="s">
        <v>304</v>
      </c>
      <c r="Y360" s="986" t="s">
        <v>304</v>
      </c>
      <c r="Z360" s="986" t="s">
        <v>174</v>
      </c>
      <c r="AA360" s="986" t="s">
        <v>174</v>
      </c>
      <c r="AB360" s="986" t="s">
        <v>304</v>
      </c>
      <c r="AC360" s="986" t="s">
        <v>304</v>
      </c>
      <c r="AD360" s="986" t="s">
        <v>304</v>
      </c>
      <c r="AE360" s="148" t="s">
        <v>304</v>
      </c>
    </row>
    <row r="361" spans="1:31" x14ac:dyDescent="0.25">
      <c r="A361" s="652" t="s">
        <v>963</v>
      </c>
      <c r="B361" s="221">
        <v>0.71</v>
      </c>
      <c r="C361" s="221">
        <v>4</v>
      </c>
      <c r="D361" s="221" t="s">
        <v>305</v>
      </c>
      <c r="E361" s="221" t="s">
        <v>173</v>
      </c>
      <c r="F361" s="221" t="s">
        <v>173</v>
      </c>
      <c r="G361" s="221" t="s">
        <v>305</v>
      </c>
      <c r="H361" s="221" t="s">
        <v>305</v>
      </c>
      <c r="I361" s="221" t="s">
        <v>305</v>
      </c>
      <c r="J361" s="221" t="s">
        <v>304</v>
      </c>
      <c r="K361" s="221" t="s">
        <v>305</v>
      </c>
      <c r="L361" s="221" t="s">
        <v>304</v>
      </c>
      <c r="M361" s="221" t="s">
        <v>304</v>
      </c>
      <c r="N361" s="221" t="s">
        <v>304</v>
      </c>
      <c r="O361" s="221" t="s">
        <v>304</v>
      </c>
      <c r="P361" s="148" t="s">
        <v>304</v>
      </c>
      <c r="Q361" s="731">
        <v>3</v>
      </c>
      <c r="R361" s="663"/>
      <c r="S361" s="986" t="s">
        <v>305</v>
      </c>
      <c r="T361" s="986" t="s">
        <v>173</v>
      </c>
      <c r="U361" s="986" t="s">
        <v>173</v>
      </c>
      <c r="V361" s="986" t="s">
        <v>305</v>
      </c>
      <c r="W361" s="986" t="s">
        <v>304</v>
      </c>
      <c r="X361" s="986" t="s">
        <v>304</v>
      </c>
      <c r="Y361" s="986" t="s">
        <v>304</v>
      </c>
      <c r="Z361" s="986" t="s">
        <v>305</v>
      </c>
      <c r="AA361" s="986" t="s">
        <v>304</v>
      </c>
      <c r="AB361" s="986" t="s">
        <v>304</v>
      </c>
      <c r="AC361" s="986" t="s">
        <v>304</v>
      </c>
      <c r="AD361" s="986" t="s">
        <v>304</v>
      </c>
      <c r="AE361" s="148" t="s">
        <v>304</v>
      </c>
    </row>
    <row r="362" spans="1:31" x14ac:dyDescent="0.25">
      <c r="A362" s="652" t="s">
        <v>334</v>
      </c>
      <c r="B362" s="663">
        <v>0.89</v>
      </c>
      <c r="C362" s="663">
        <v>4</v>
      </c>
      <c r="D362" s="663" t="s">
        <v>305</v>
      </c>
      <c r="E362" s="663" t="s">
        <v>173</v>
      </c>
      <c r="F362" s="663" t="s">
        <v>173</v>
      </c>
      <c r="G362" s="663" t="s">
        <v>305</v>
      </c>
      <c r="H362" s="663" t="s">
        <v>305</v>
      </c>
      <c r="I362" s="663" t="s">
        <v>305</v>
      </c>
      <c r="J362" s="663" t="s">
        <v>304</v>
      </c>
      <c r="K362" s="663" t="s">
        <v>305</v>
      </c>
      <c r="L362" s="663" t="s">
        <v>304</v>
      </c>
      <c r="M362" s="663" t="s">
        <v>304</v>
      </c>
      <c r="N362" s="663" t="s">
        <v>304</v>
      </c>
      <c r="O362" s="663" t="s">
        <v>304</v>
      </c>
      <c r="P362" s="652" t="s">
        <v>304</v>
      </c>
      <c r="Q362" s="663">
        <v>3</v>
      </c>
      <c r="R362" s="663"/>
      <c r="S362" s="663" t="s">
        <v>305</v>
      </c>
      <c r="T362" s="663" t="s">
        <v>173</v>
      </c>
      <c r="U362" s="663" t="s">
        <v>173</v>
      </c>
      <c r="V362" s="663" t="s">
        <v>305</v>
      </c>
      <c r="W362" s="986" t="s">
        <v>304</v>
      </c>
      <c r="X362" s="986" t="s">
        <v>304</v>
      </c>
      <c r="Y362" s="663" t="s">
        <v>304</v>
      </c>
      <c r="Z362" s="663" t="s">
        <v>305</v>
      </c>
      <c r="AA362" s="663" t="s">
        <v>304</v>
      </c>
      <c r="AB362" s="663" t="s">
        <v>304</v>
      </c>
      <c r="AC362" s="663" t="s">
        <v>304</v>
      </c>
      <c r="AD362" s="663" t="s">
        <v>304</v>
      </c>
      <c r="AE362" s="652" t="s">
        <v>304</v>
      </c>
    </row>
    <row r="363" spans="1:31" x14ac:dyDescent="0.25">
      <c r="A363" s="652" t="s">
        <v>336</v>
      </c>
      <c r="B363" s="221">
        <v>0.94</v>
      </c>
      <c r="C363" s="221">
        <v>4</v>
      </c>
      <c r="D363" s="221" t="s">
        <v>305</v>
      </c>
      <c r="E363" s="221" t="s">
        <v>173</v>
      </c>
      <c r="F363" s="221" t="s">
        <v>173</v>
      </c>
      <c r="G363" s="221" t="s">
        <v>305</v>
      </c>
      <c r="H363" s="221" t="s">
        <v>305</v>
      </c>
      <c r="I363" s="221" t="s">
        <v>305</v>
      </c>
      <c r="J363" s="221" t="s">
        <v>304</v>
      </c>
      <c r="K363" s="221" t="s">
        <v>174</v>
      </c>
      <c r="L363" s="221" t="s">
        <v>174</v>
      </c>
      <c r="M363" s="221" t="s">
        <v>304</v>
      </c>
      <c r="N363" s="221" t="s">
        <v>304</v>
      </c>
      <c r="O363" s="221" t="s">
        <v>304</v>
      </c>
      <c r="P363" s="148" t="s">
        <v>304</v>
      </c>
      <c r="Q363" s="731" t="s">
        <v>304</v>
      </c>
      <c r="R363" s="663"/>
      <c r="S363" s="986" t="s">
        <v>305</v>
      </c>
      <c r="T363" s="986" t="s">
        <v>173</v>
      </c>
      <c r="U363" s="986" t="s">
        <v>173</v>
      </c>
      <c r="V363" s="986" t="s">
        <v>305</v>
      </c>
      <c r="W363" s="986" t="s">
        <v>304</v>
      </c>
      <c r="X363" s="986" t="s">
        <v>304</v>
      </c>
      <c r="Y363" s="986" t="s">
        <v>304</v>
      </c>
      <c r="Z363" s="986" t="s">
        <v>174</v>
      </c>
      <c r="AA363" s="986" t="s">
        <v>174</v>
      </c>
      <c r="AB363" s="986" t="s">
        <v>304</v>
      </c>
      <c r="AC363" s="986" t="s">
        <v>304</v>
      </c>
      <c r="AD363" s="986" t="s">
        <v>304</v>
      </c>
      <c r="AE363" s="148" t="s">
        <v>304</v>
      </c>
    </row>
    <row r="364" spans="1:31" x14ac:dyDescent="0.25">
      <c r="A364" s="652" t="s">
        <v>337</v>
      </c>
      <c r="B364" s="221">
        <v>0.97</v>
      </c>
      <c r="C364" s="221">
        <v>6</v>
      </c>
      <c r="D364" s="221" t="s">
        <v>305</v>
      </c>
      <c r="E364" s="221" t="s">
        <v>173</v>
      </c>
      <c r="F364" s="221" t="s">
        <v>173</v>
      </c>
      <c r="G364" s="221" t="s">
        <v>305</v>
      </c>
      <c r="H364" s="221" t="s">
        <v>305</v>
      </c>
      <c r="I364" s="221" t="s">
        <v>305</v>
      </c>
      <c r="J364" s="221" t="s">
        <v>304</v>
      </c>
      <c r="K364" s="221" t="s">
        <v>305</v>
      </c>
      <c r="L364" s="221" t="s">
        <v>304</v>
      </c>
      <c r="M364" s="221" t="s">
        <v>304</v>
      </c>
      <c r="N364" s="221" t="s">
        <v>304</v>
      </c>
      <c r="O364" s="221" t="s">
        <v>304</v>
      </c>
      <c r="P364" s="148" t="s">
        <v>304</v>
      </c>
      <c r="Q364" s="731">
        <v>3</v>
      </c>
      <c r="R364" s="663"/>
      <c r="S364" s="986" t="s">
        <v>305</v>
      </c>
      <c r="T364" s="986" t="s">
        <v>173</v>
      </c>
      <c r="U364" s="986" t="s">
        <v>173</v>
      </c>
      <c r="V364" s="986" t="s">
        <v>305</v>
      </c>
      <c r="W364" s="986" t="s">
        <v>304</v>
      </c>
      <c r="X364" s="986" t="s">
        <v>304</v>
      </c>
      <c r="Y364" s="986" t="s">
        <v>304</v>
      </c>
      <c r="Z364" s="986" t="s">
        <v>305</v>
      </c>
      <c r="AA364" s="986" t="s">
        <v>304</v>
      </c>
      <c r="AB364" s="986" t="s">
        <v>304</v>
      </c>
      <c r="AC364" s="986" t="s">
        <v>304</v>
      </c>
      <c r="AD364" s="986" t="s">
        <v>304</v>
      </c>
      <c r="AE364" s="148" t="s">
        <v>304</v>
      </c>
    </row>
    <row r="365" spans="1:31" x14ac:dyDescent="0.25">
      <c r="A365" s="652" t="s">
        <v>339</v>
      </c>
      <c r="B365" s="221">
        <v>0.7</v>
      </c>
      <c r="C365" s="221">
        <v>6</v>
      </c>
      <c r="D365" s="221" t="s">
        <v>305</v>
      </c>
      <c r="E365" s="221" t="s">
        <v>173</v>
      </c>
      <c r="F365" s="221" t="s">
        <v>173</v>
      </c>
      <c r="G365" s="221" t="s">
        <v>305</v>
      </c>
      <c r="H365" s="221" t="s">
        <v>305</v>
      </c>
      <c r="I365" s="221" t="s">
        <v>305</v>
      </c>
      <c r="J365" s="221" t="s">
        <v>304</v>
      </c>
      <c r="K365" s="221" t="s">
        <v>174</v>
      </c>
      <c r="L365" s="221" t="s">
        <v>174</v>
      </c>
      <c r="M365" s="221" t="s">
        <v>304</v>
      </c>
      <c r="N365" s="221" t="s">
        <v>304</v>
      </c>
      <c r="O365" s="221" t="s">
        <v>304</v>
      </c>
      <c r="P365" s="148" t="s">
        <v>304</v>
      </c>
      <c r="Q365" s="731" t="s">
        <v>304</v>
      </c>
      <c r="R365" s="663"/>
      <c r="S365" s="986" t="s">
        <v>305</v>
      </c>
      <c r="T365" s="986" t="s">
        <v>173</v>
      </c>
      <c r="U365" s="986" t="s">
        <v>173</v>
      </c>
      <c r="V365" s="986" t="s">
        <v>305</v>
      </c>
      <c r="W365" s="986" t="s">
        <v>304</v>
      </c>
      <c r="X365" s="986" t="s">
        <v>304</v>
      </c>
      <c r="Y365" s="986" t="s">
        <v>304</v>
      </c>
      <c r="Z365" s="986" t="s">
        <v>174</v>
      </c>
      <c r="AA365" s="986" t="s">
        <v>174</v>
      </c>
      <c r="AB365" s="986" t="s">
        <v>304</v>
      </c>
      <c r="AC365" s="986" t="s">
        <v>304</v>
      </c>
      <c r="AD365" s="986" t="s">
        <v>304</v>
      </c>
      <c r="AE365" s="148" t="s">
        <v>304</v>
      </c>
    </row>
    <row r="366" spans="1:31" x14ac:dyDescent="0.25">
      <c r="A366" s="148" t="s">
        <v>341</v>
      </c>
      <c r="B366" s="221">
        <v>0.61</v>
      </c>
      <c r="C366" s="221">
        <v>4</v>
      </c>
      <c r="D366" s="221" t="s">
        <v>305</v>
      </c>
      <c r="E366" s="221" t="s">
        <v>173</v>
      </c>
      <c r="F366" s="221" t="s">
        <v>173</v>
      </c>
      <c r="G366" s="221" t="s">
        <v>305</v>
      </c>
      <c r="H366" s="221" t="s">
        <v>305</v>
      </c>
      <c r="I366" s="221" t="s">
        <v>305</v>
      </c>
      <c r="J366" s="221" t="s">
        <v>304</v>
      </c>
      <c r="K366" s="221" t="s">
        <v>174</v>
      </c>
      <c r="L366" s="221" t="s">
        <v>174</v>
      </c>
      <c r="M366" s="221" t="s">
        <v>304</v>
      </c>
      <c r="N366" s="221" t="s">
        <v>304</v>
      </c>
      <c r="O366" s="221" t="s">
        <v>304</v>
      </c>
      <c r="P366" s="148" t="s">
        <v>304</v>
      </c>
      <c r="Q366" s="731" t="s">
        <v>304</v>
      </c>
      <c r="R366" s="663"/>
      <c r="S366" s="986" t="s">
        <v>305</v>
      </c>
      <c r="T366" s="986" t="s">
        <v>173</v>
      </c>
      <c r="U366" s="986" t="s">
        <v>173</v>
      </c>
      <c r="V366" s="986" t="s">
        <v>305</v>
      </c>
      <c r="W366" s="986" t="s">
        <v>304</v>
      </c>
      <c r="X366" s="986" t="s">
        <v>304</v>
      </c>
      <c r="Y366" s="986" t="s">
        <v>304</v>
      </c>
      <c r="Z366" s="986" t="s">
        <v>174</v>
      </c>
      <c r="AA366" s="986" t="s">
        <v>174</v>
      </c>
      <c r="AB366" s="986" t="s">
        <v>304</v>
      </c>
      <c r="AC366" s="986" t="s">
        <v>304</v>
      </c>
      <c r="AD366" s="986" t="s">
        <v>304</v>
      </c>
      <c r="AE366" s="148" t="s">
        <v>304</v>
      </c>
    </row>
    <row r="367" spans="1:31" x14ac:dyDescent="0.25">
      <c r="A367" s="652" t="s">
        <v>342</v>
      </c>
      <c r="B367" s="221">
        <v>0.31</v>
      </c>
      <c r="C367" s="221">
        <v>6</v>
      </c>
      <c r="D367" s="221" t="s">
        <v>305</v>
      </c>
      <c r="E367" s="221" t="s">
        <v>173</v>
      </c>
      <c r="F367" s="221" t="s">
        <v>173</v>
      </c>
      <c r="G367" s="221" t="s">
        <v>305</v>
      </c>
      <c r="H367" s="221" t="s">
        <v>305</v>
      </c>
      <c r="I367" s="221" t="s">
        <v>305</v>
      </c>
      <c r="J367" s="221" t="s">
        <v>304</v>
      </c>
      <c r="K367" s="221" t="s">
        <v>305</v>
      </c>
      <c r="L367" s="221" t="s">
        <v>304</v>
      </c>
      <c r="M367" s="221" t="s">
        <v>304</v>
      </c>
      <c r="N367" s="221" t="s">
        <v>304</v>
      </c>
      <c r="O367" s="221" t="s">
        <v>304</v>
      </c>
      <c r="P367" s="148" t="s">
        <v>304</v>
      </c>
      <c r="Q367" s="731" t="s">
        <v>304</v>
      </c>
      <c r="R367" s="663"/>
      <c r="S367" s="986" t="s">
        <v>305</v>
      </c>
      <c r="T367" s="986" t="s">
        <v>173</v>
      </c>
      <c r="U367" s="986" t="s">
        <v>173</v>
      </c>
      <c r="V367" s="986" t="s">
        <v>305</v>
      </c>
      <c r="W367" s="986" t="s">
        <v>304</v>
      </c>
      <c r="X367" s="986" t="s">
        <v>304</v>
      </c>
      <c r="Y367" s="986" t="s">
        <v>304</v>
      </c>
      <c r="Z367" s="986" t="s">
        <v>305</v>
      </c>
      <c r="AA367" s="986" t="s">
        <v>304</v>
      </c>
      <c r="AB367" s="986" t="s">
        <v>304</v>
      </c>
      <c r="AC367" s="986" t="s">
        <v>304</v>
      </c>
      <c r="AD367" s="986" t="s">
        <v>304</v>
      </c>
      <c r="AE367" s="148" t="s">
        <v>304</v>
      </c>
    </row>
    <row r="368" spans="1:31" x14ac:dyDescent="0.25">
      <c r="A368" s="652" t="s">
        <v>343</v>
      </c>
      <c r="B368" s="221">
        <v>0.41</v>
      </c>
      <c r="C368" s="221" t="s">
        <v>344</v>
      </c>
      <c r="D368" s="221" t="s">
        <v>305</v>
      </c>
      <c r="E368" s="221" t="s">
        <v>304</v>
      </c>
      <c r="F368" s="221" t="s">
        <v>304</v>
      </c>
      <c r="G368" s="221" t="s">
        <v>304</v>
      </c>
      <c r="H368" s="221" t="s">
        <v>305</v>
      </c>
      <c r="I368" s="221" t="s">
        <v>305</v>
      </c>
      <c r="J368" s="221" t="s">
        <v>305</v>
      </c>
      <c r="K368" s="221" t="s">
        <v>174</v>
      </c>
      <c r="L368" s="221" t="s">
        <v>174</v>
      </c>
      <c r="M368" s="221" t="s">
        <v>304</v>
      </c>
      <c r="N368" s="221" t="s">
        <v>304</v>
      </c>
      <c r="O368" s="221" t="s">
        <v>304</v>
      </c>
      <c r="P368" s="148" t="s">
        <v>304</v>
      </c>
      <c r="Q368" s="731">
        <v>5</v>
      </c>
      <c r="R368" s="663"/>
      <c r="S368" s="986" t="s">
        <v>305</v>
      </c>
      <c r="T368" s="986" t="s">
        <v>304</v>
      </c>
      <c r="U368" s="986" t="s">
        <v>304</v>
      </c>
      <c r="V368" s="986" t="s">
        <v>304</v>
      </c>
      <c r="W368" s="986" t="s">
        <v>304</v>
      </c>
      <c r="X368" s="986" t="s">
        <v>304</v>
      </c>
      <c r="Y368" s="986" t="s">
        <v>305</v>
      </c>
      <c r="Z368" s="986" t="s">
        <v>174</v>
      </c>
      <c r="AA368" s="986" t="s">
        <v>174</v>
      </c>
      <c r="AB368" s="986" t="s">
        <v>304</v>
      </c>
      <c r="AC368" s="986" t="s">
        <v>304</v>
      </c>
      <c r="AD368" s="986" t="s">
        <v>304</v>
      </c>
      <c r="AE368" s="148" t="s">
        <v>304</v>
      </c>
    </row>
    <row r="369" spans="1:31" x14ac:dyDescent="0.25">
      <c r="A369" s="652" t="s">
        <v>347</v>
      </c>
      <c r="B369" s="221">
        <v>0.71</v>
      </c>
      <c r="C369" s="221" t="s">
        <v>344</v>
      </c>
      <c r="D369" s="221" t="s">
        <v>305</v>
      </c>
      <c r="E369" s="221" t="s">
        <v>304</v>
      </c>
      <c r="F369" s="221" t="s">
        <v>304</v>
      </c>
      <c r="G369" s="221" t="s">
        <v>304</v>
      </c>
      <c r="H369" s="221" t="s">
        <v>305</v>
      </c>
      <c r="I369" s="221" t="s">
        <v>305</v>
      </c>
      <c r="J369" s="221" t="s">
        <v>305</v>
      </c>
      <c r="K369" s="221" t="s">
        <v>174</v>
      </c>
      <c r="L369" s="221" t="s">
        <v>174</v>
      </c>
      <c r="M369" s="221" t="s">
        <v>304</v>
      </c>
      <c r="N369" s="221" t="s">
        <v>304</v>
      </c>
      <c r="O369" s="221" t="s">
        <v>304</v>
      </c>
      <c r="P369" s="148" t="s">
        <v>304</v>
      </c>
      <c r="Q369" s="731">
        <v>5</v>
      </c>
      <c r="R369" s="663"/>
      <c r="S369" s="986" t="s">
        <v>305</v>
      </c>
      <c r="T369" s="986" t="s">
        <v>304</v>
      </c>
      <c r="U369" s="986" t="s">
        <v>304</v>
      </c>
      <c r="V369" s="986" t="s">
        <v>304</v>
      </c>
      <c r="W369" s="986" t="s">
        <v>304</v>
      </c>
      <c r="X369" s="986" t="s">
        <v>304</v>
      </c>
      <c r="Y369" s="986" t="s">
        <v>305</v>
      </c>
      <c r="Z369" s="986" t="s">
        <v>174</v>
      </c>
      <c r="AA369" s="986" t="s">
        <v>174</v>
      </c>
      <c r="AB369" s="986" t="s">
        <v>304</v>
      </c>
      <c r="AC369" s="986" t="s">
        <v>304</v>
      </c>
      <c r="AD369" s="986" t="s">
        <v>304</v>
      </c>
      <c r="AE369" s="148" t="s">
        <v>304</v>
      </c>
    </row>
    <row r="370" spans="1:31" x14ac:dyDescent="0.25">
      <c r="A370" s="652" t="s">
        <v>348</v>
      </c>
      <c r="B370" s="221">
        <v>0.71</v>
      </c>
      <c r="C370" s="221" t="s">
        <v>344</v>
      </c>
      <c r="D370" s="221" t="s">
        <v>305</v>
      </c>
      <c r="E370" s="221" t="s">
        <v>304</v>
      </c>
      <c r="F370" s="221" t="s">
        <v>304</v>
      </c>
      <c r="G370" s="221" t="s">
        <v>304</v>
      </c>
      <c r="H370" s="221" t="s">
        <v>305</v>
      </c>
      <c r="I370" s="221" t="s">
        <v>305</v>
      </c>
      <c r="J370" s="221" t="s">
        <v>174</v>
      </c>
      <c r="K370" s="221" t="s">
        <v>174</v>
      </c>
      <c r="L370" s="221" t="s">
        <v>174</v>
      </c>
      <c r="M370" s="221" t="s">
        <v>304</v>
      </c>
      <c r="N370" s="221" t="s">
        <v>304</v>
      </c>
      <c r="O370" s="221" t="s">
        <v>304</v>
      </c>
      <c r="P370" s="148" t="s">
        <v>304</v>
      </c>
      <c r="Q370" s="731">
        <v>5</v>
      </c>
      <c r="R370" s="663"/>
      <c r="S370" s="986" t="s">
        <v>305</v>
      </c>
      <c r="T370" s="986" t="s">
        <v>304</v>
      </c>
      <c r="U370" s="986" t="s">
        <v>304</v>
      </c>
      <c r="V370" s="986" t="s">
        <v>304</v>
      </c>
      <c r="W370" s="986" t="s">
        <v>304</v>
      </c>
      <c r="X370" s="986" t="s">
        <v>304</v>
      </c>
      <c r="Y370" s="986" t="s">
        <v>174</v>
      </c>
      <c r="Z370" s="986" t="s">
        <v>174</v>
      </c>
      <c r="AA370" s="986" t="s">
        <v>174</v>
      </c>
      <c r="AB370" s="986" t="s">
        <v>304</v>
      </c>
      <c r="AC370" s="986" t="s">
        <v>304</v>
      </c>
      <c r="AD370" s="986" t="s">
        <v>304</v>
      </c>
      <c r="AE370" s="148" t="s">
        <v>304</v>
      </c>
    </row>
    <row r="371" spans="1:31" x14ac:dyDescent="0.25">
      <c r="A371" s="652" t="s">
        <v>354</v>
      </c>
      <c r="B371" s="221">
        <v>1.2</v>
      </c>
      <c r="C371" s="221">
        <v>6</v>
      </c>
      <c r="D371" s="221" t="s">
        <v>305</v>
      </c>
      <c r="E371" s="221" t="s">
        <v>173</v>
      </c>
      <c r="F371" s="221" t="s">
        <v>173</v>
      </c>
      <c r="G371" s="221" t="s">
        <v>305</v>
      </c>
      <c r="H371" s="221" t="s">
        <v>305</v>
      </c>
      <c r="I371" s="221" t="s">
        <v>305</v>
      </c>
      <c r="J371" s="221" t="s">
        <v>304</v>
      </c>
      <c r="K371" s="221" t="s">
        <v>174</v>
      </c>
      <c r="L371" s="221" t="s">
        <v>174</v>
      </c>
      <c r="M371" s="221" t="s">
        <v>304</v>
      </c>
      <c r="N371" s="221" t="s">
        <v>304</v>
      </c>
      <c r="O371" s="221" t="s">
        <v>304</v>
      </c>
      <c r="P371" s="148" t="s">
        <v>304</v>
      </c>
      <c r="Q371" s="731" t="s">
        <v>304</v>
      </c>
      <c r="R371" s="663"/>
      <c r="S371" s="986" t="s">
        <v>305</v>
      </c>
      <c r="T371" s="986" t="s">
        <v>173</v>
      </c>
      <c r="U371" s="986" t="s">
        <v>173</v>
      </c>
      <c r="V371" s="986" t="s">
        <v>305</v>
      </c>
      <c r="W371" s="986" t="s">
        <v>304</v>
      </c>
      <c r="X371" s="986" t="s">
        <v>304</v>
      </c>
      <c r="Y371" s="986" t="s">
        <v>304</v>
      </c>
      <c r="Z371" s="986" t="s">
        <v>174</v>
      </c>
      <c r="AA371" s="986" t="s">
        <v>174</v>
      </c>
      <c r="AB371" s="986" t="s">
        <v>304</v>
      </c>
      <c r="AC371" s="986" t="s">
        <v>304</v>
      </c>
      <c r="AD371" s="986" t="s">
        <v>304</v>
      </c>
      <c r="AE371" s="148" t="s">
        <v>304</v>
      </c>
    </row>
    <row r="372" spans="1:31" x14ac:dyDescent="0.25">
      <c r="A372" s="654" t="s">
        <v>356</v>
      </c>
      <c r="B372" s="221">
        <v>0.43</v>
      </c>
      <c r="C372" s="221">
        <v>4</v>
      </c>
      <c r="D372" s="221" t="s">
        <v>305</v>
      </c>
      <c r="E372" s="221" t="s">
        <v>173</v>
      </c>
      <c r="F372" s="221" t="s">
        <v>173</v>
      </c>
      <c r="G372" s="221" t="s">
        <v>305</v>
      </c>
      <c r="H372" s="221" t="s">
        <v>305</v>
      </c>
      <c r="I372" s="221" t="s">
        <v>305</v>
      </c>
      <c r="J372" s="221" t="s">
        <v>304</v>
      </c>
      <c r="K372" s="221" t="s">
        <v>174</v>
      </c>
      <c r="L372" s="221" t="s">
        <v>174</v>
      </c>
      <c r="M372" s="221" t="s">
        <v>304</v>
      </c>
      <c r="N372" s="221" t="s">
        <v>304</v>
      </c>
      <c r="O372" s="221" t="s">
        <v>304</v>
      </c>
      <c r="P372" s="148" t="s">
        <v>304</v>
      </c>
      <c r="Q372" s="731">
        <v>5</v>
      </c>
      <c r="R372" s="663"/>
      <c r="S372" s="986" t="s">
        <v>305</v>
      </c>
      <c r="T372" s="986" t="s">
        <v>173</v>
      </c>
      <c r="U372" s="986" t="s">
        <v>173</v>
      </c>
      <c r="V372" s="986" t="s">
        <v>305</v>
      </c>
      <c r="W372" s="986" t="s">
        <v>304</v>
      </c>
      <c r="X372" s="986" t="s">
        <v>304</v>
      </c>
      <c r="Y372" s="986" t="s">
        <v>304</v>
      </c>
      <c r="Z372" s="986" t="s">
        <v>174</v>
      </c>
      <c r="AA372" s="986" t="s">
        <v>174</v>
      </c>
      <c r="AB372" s="986" t="s">
        <v>304</v>
      </c>
      <c r="AC372" s="986" t="s">
        <v>304</v>
      </c>
      <c r="AD372" s="986" t="s">
        <v>304</v>
      </c>
      <c r="AE372" s="148" t="s">
        <v>304</v>
      </c>
    </row>
    <row r="373" spans="1:31" x14ac:dyDescent="0.25">
      <c r="A373" s="654" t="s">
        <v>358</v>
      </c>
      <c r="B373" s="221">
        <v>0.86</v>
      </c>
      <c r="C373" s="221">
        <v>4</v>
      </c>
      <c r="D373" s="221" t="s">
        <v>305</v>
      </c>
      <c r="E373" s="221" t="s">
        <v>173</v>
      </c>
      <c r="F373" s="221" t="s">
        <v>173</v>
      </c>
      <c r="G373" s="221" t="s">
        <v>305</v>
      </c>
      <c r="H373" s="221" t="s">
        <v>305</v>
      </c>
      <c r="I373" s="221" t="s">
        <v>305</v>
      </c>
      <c r="J373" s="221" t="s">
        <v>304</v>
      </c>
      <c r="K373" s="221" t="s">
        <v>174</v>
      </c>
      <c r="L373" s="221" t="s">
        <v>174</v>
      </c>
      <c r="M373" s="221" t="s">
        <v>304</v>
      </c>
      <c r="N373" s="221" t="s">
        <v>304</v>
      </c>
      <c r="O373" s="221" t="s">
        <v>304</v>
      </c>
      <c r="P373" s="148" t="s">
        <v>304</v>
      </c>
      <c r="Q373" s="731">
        <v>5</v>
      </c>
      <c r="R373" s="663"/>
      <c r="S373" s="986" t="s">
        <v>305</v>
      </c>
      <c r="T373" s="986" t="s">
        <v>173</v>
      </c>
      <c r="U373" s="986" t="s">
        <v>173</v>
      </c>
      <c r="V373" s="986" t="s">
        <v>305</v>
      </c>
      <c r="W373" s="986" t="s">
        <v>304</v>
      </c>
      <c r="X373" s="986" t="s">
        <v>304</v>
      </c>
      <c r="Y373" s="986" t="s">
        <v>304</v>
      </c>
      <c r="Z373" s="986" t="s">
        <v>174</v>
      </c>
      <c r="AA373" s="986" t="s">
        <v>174</v>
      </c>
      <c r="AB373" s="986" t="s">
        <v>304</v>
      </c>
      <c r="AC373" s="986" t="s">
        <v>304</v>
      </c>
      <c r="AD373" s="986" t="s">
        <v>304</v>
      </c>
      <c r="AE373" s="148" t="s">
        <v>304</v>
      </c>
    </row>
    <row r="374" spans="1:31" x14ac:dyDescent="0.25">
      <c r="A374" s="654" t="s">
        <v>360</v>
      </c>
      <c r="B374" s="221">
        <v>0.4</v>
      </c>
      <c r="C374" s="221">
        <v>4</v>
      </c>
      <c r="D374" s="221" t="s">
        <v>305</v>
      </c>
      <c r="E374" s="221" t="s">
        <v>173</v>
      </c>
      <c r="F374" s="221" t="s">
        <v>173</v>
      </c>
      <c r="G374" s="221" t="s">
        <v>305</v>
      </c>
      <c r="H374" s="221" t="s">
        <v>305</v>
      </c>
      <c r="I374" s="221" t="s">
        <v>305</v>
      </c>
      <c r="J374" s="221" t="s">
        <v>304</v>
      </c>
      <c r="K374" s="221" t="s">
        <v>174</v>
      </c>
      <c r="L374" s="221" t="s">
        <v>174</v>
      </c>
      <c r="M374" s="221" t="s">
        <v>304</v>
      </c>
      <c r="N374" s="221" t="s">
        <v>304</v>
      </c>
      <c r="O374" s="221" t="s">
        <v>304</v>
      </c>
      <c r="P374" s="148" t="s">
        <v>304</v>
      </c>
      <c r="Q374" s="731">
        <v>5</v>
      </c>
      <c r="R374" s="663"/>
      <c r="S374" s="986" t="s">
        <v>305</v>
      </c>
      <c r="T374" s="986" t="s">
        <v>173</v>
      </c>
      <c r="U374" s="986" t="s">
        <v>173</v>
      </c>
      <c r="V374" s="986" t="s">
        <v>305</v>
      </c>
      <c r="W374" s="986" t="s">
        <v>304</v>
      </c>
      <c r="X374" s="986" t="s">
        <v>304</v>
      </c>
      <c r="Y374" s="986" t="s">
        <v>304</v>
      </c>
      <c r="Z374" s="986" t="s">
        <v>174</v>
      </c>
      <c r="AA374" s="986" t="s">
        <v>174</v>
      </c>
      <c r="AB374" s="986" t="s">
        <v>304</v>
      </c>
      <c r="AC374" s="986" t="s">
        <v>304</v>
      </c>
      <c r="AD374" s="986" t="s">
        <v>304</v>
      </c>
      <c r="AE374" s="148" t="s">
        <v>304</v>
      </c>
    </row>
    <row r="375" spans="1:31" x14ac:dyDescent="0.25">
      <c r="A375" s="654" t="s">
        <v>362</v>
      </c>
      <c r="B375" s="221">
        <v>1.27</v>
      </c>
      <c r="C375" s="221">
        <v>4</v>
      </c>
      <c r="D375" s="221" t="s">
        <v>305</v>
      </c>
      <c r="E375" s="221" t="s">
        <v>173</v>
      </c>
      <c r="F375" s="221" t="s">
        <v>173</v>
      </c>
      <c r="G375" s="221" t="s">
        <v>305</v>
      </c>
      <c r="H375" s="221" t="s">
        <v>305</v>
      </c>
      <c r="I375" s="221" t="s">
        <v>305</v>
      </c>
      <c r="J375" s="221" t="s">
        <v>304</v>
      </c>
      <c r="K375" s="221" t="s">
        <v>174</v>
      </c>
      <c r="L375" s="221" t="s">
        <v>174</v>
      </c>
      <c r="M375" s="221" t="s">
        <v>304</v>
      </c>
      <c r="N375" s="221" t="s">
        <v>304</v>
      </c>
      <c r="O375" s="221" t="s">
        <v>304</v>
      </c>
      <c r="P375" s="148" t="s">
        <v>304</v>
      </c>
      <c r="Q375" s="731">
        <v>5</v>
      </c>
      <c r="R375" s="663"/>
      <c r="S375" s="986" t="s">
        <v>305</v>
      </c>
      <c r="T375" s="986" t="s">
        <v>173</v>
      </c>
      <c r="U375" s="986" t="s">
        <v>173</v>
      </c>
      <c r="V375" s="986" t="s">
        <v>305</v>
      </c>
      <c r="W375" s="986" t="s">
        <v>304</v>
      </c>
      <c r="X375" s="986" t="s">
        <v>304</v>
      </c>
      <c r="Y375" s="986" t="s">
        <v>304</v>
      </c>
      <c r="Z375" s="986" t="s">
        <v>174</v>
      </c>
      <c r="AA375" s="986" t="s">
        <v>174</v>
      </c>
      <c r="AB375" s="986" t="s">
        <v>304</v>
      </c>
      <c r="AC375" s="986" t="s">
        <v>304</v>
      </c>
      <c r="AD375" s="986" t="s">
        <v>304</v>
      </c>
      <c r="AE375" s="148" t="s">
        <v>304</v>
      </c>
    </row>
    <row r="376" spans="1:31" x14ac:dyDescent="0.25">
      <c r="A376" s="654" t="s">
        <v>363</v>
      </c>
      <c r="B376" s="221">
        <v>0.6</v>
      </c>
      <c r="C376" s="221">
        <v>4</v>
      </c>
      <c r="D376" s="221" t="s">
        <v>305</v>
      </c>
      <c r="E376" s="221" t="s">
        <v>173</v>
      </c>
      <c r="F376" s="221" t="s">
        <v>173</v>
      </c>
      <c r="G376" s="221" t="s">
        <v>305</v>
      </c>
      <c r="H376" s="221" t="s">
        <v>305</v>
      </c>
      <c r="I376" s="221" t="s">
        <v>305</v>
      </c>
      <c r="J376" s="221" t="s">
        <v>304</v>
      </c>
      <c r="K376" s="221" t="s">
        <v>174</v>
      </c>
      <c r="L376" s="221" t="s">
        <v>174</v>
      </c>
      <c r="M376" s="221" t="s">
        <v>304</v>
      </c>
      <c r="N376" s="221" t="s">
        <v>304</v>
      </c>
      <c r="O376" s="221" t="s">
        <v>304</v>
      </c>
      <c r="P376" s="148" t="s">
        <v>304</v>
      </c>
      <c r="Q376" s="731">
        <v>5</v>
      </c>
      <c r="R376" s="663"/>
      <c r="S376" s="986" t="s">
        <v>305</v>
      </c>
      <c r="T376" s="986" t="s">
        <v>173</v>
      </c>
      <c r="U376" s="986" t="s">
        <v>173</v>
      </c>
      <c r="V376" s="986" t="s">
        <v>305</v>
      </c>
      <c r="W376" s="986" t="s">
        <v>304</v>
      </c>
      <c r="X376" s="986" t="s">
        <v>304</v>
      </c>
      <c r="Y376" s="986" t="s">
        <v>304</v>
      </c>
      <c r="Z376" s="986" t="s">
        <v>174</v>
      </c>
      <c r="AA376" s="986" t="s">
        <v>174</v>
      </c>
      <c r="AB376" s="986" t="s">
        <v>304</v>
      </c>
      <c r="AC376" s="986" t="s">
        <v>304</v>
      </c>
      <c r="AD376" s="986" t="s">
        <v>304</v>
      </c>
      <c r="AE376" s="148" t="s">
        <v>304</v>
      </c>
    </row>
    <row r="377" spans="1:31" x14ac:dyDescent="0.25">
      <c r="A377" s="652" t="s">
        <v>366</v>
      </c>
      <c r="B377" s="663">
        <v>0.42</v>
      </c>
      <c r="C377" s="663">
        <v>6</v>
      </c>
      <c r="D377" s="663" t="s">
        <v>305</v>
      </c>
      <c r="E377" s="663" t="s">
        <v>173</v>
      </c>
      <c r="F377" s="663" t="s">
        <v>173</v>
      </c>
      <c r="G377" s="663" t="s">
        <v>305</v>
      </c>
      <c r="H377" s="663" t="s">
        <v>305</v>
      </c>
      <c r="I377" s="663" t="s">
        <v>305</v>
      </c>
      <c r="J377" s="663" t="s">
        <v>304</v>
      </c>
      <c r="K377" s="663" t="s">
        <v>174</v>
      </c>
      <c r="L377" s="663" t="s">
        <v>174</v>
      </c>
      <c r="M377" s="663" t="s">
        <v>304</v>
      </c>
      <c r="N377" s="663" t="s">
        <v>304</v>
      </c>
      <c r="O377" s="663" t="s">
        <v>304</v>
      </c>
      <c r="P377" s="652" t="s">
        <v>304</v>
      </c>
      <c r="Q377" s="731">
        <v>5</v>
      </c>
      <c r="R377" s="663"/>
      <c r="S377" s="663" t="s">
        <v>305</v>
      </c>
      <c r="T377" s="663" t="s">
        <v>173</v>
      </c>
      <c r="U377" s="663" t="s">
        <v>173</v>
      </c>
      <c r="V377" s="663" t="s">
        <v>305</v>
      </c>
      <c r="W377" s="986" t="s">
        <v>304</v>
      </c>
      <c r="X377" s="986" t="s">
        <v>304</v>
      </c>
      <c r="Y377" s="663" t="s">
        <v>304</v>
      </c>
      <c r="Z377" s="663" t="s">
        <v>174</v>
      </c>
      <c r="AA377" s="663" t="s">
        <v>174</v>
      </c>
      <c r="AB377" s="663" t="s">
        <v>304</v>
      </c>
      <c r="AC377" s="663" t="s">
        <v>304</v>
      </c>
      <c r="AD377" s="663" t="s">
        <v>304</v>
      </c>
      <c r="AE377" s="652" t="s">
        <v>304</v>
      </c>
    </row>
    <row r="378" spans="1:31" x14ac:dyDescent="0.25">
      <c r="A378" s="652" t="s">
        <v>368</v>
      </c>
      <c r="B378" s="221">
        <v>0.5</v>
      </c>
      <c r="C378" s="221">
        <v>8</v>
      </c>
      <c r="D378" s="221" t="s">
        <v>305</v>
      </c>
      <c r="E378" s="221" t="s">
        <v>304</v>
      </c>
      <c r="F378" s="221" t="s">
        <v>304</v>
      </c>
      <c r="G378" s="221" t="s">
        <v>304</v>
      </c>
      <c r="H378" s="221" t="s">
        <v>304</v>
      </c>
      <c r="I378" s="221" t="s">
        <v>304</v>
      </c>
      <c r="J378" s="221" t="s">
        <v>304</v>
      </c>
      <c r="K378" s="221" t="s">
        <v>304</v>
      </c>
      <c r="L378" s="221" t="s">
        <v>304</v>
      </c>
      <c r="M378" s="221" t="s">
        <v>304</v>
      </c>
      <c r="N378" s="221" t="s">
        <v>304</v>
      </c>
      <c r="O378" s="221" t="s">
        <v>304</v>
      </c>
      <c r="P378" s="148" t="s">
        <v>304</v>
      </c>
      <c r="Q378" s="731" t="s">
        <v>304</v>
      </c>
      <c r="R378" s="663"/>
      <c r="S378" s="986" t="s">
        <v>305</v>
      </c>
      <c r="T378" s="986" t="s">
        <v>304</v>
      </c>
      <c r="U378" s="986" t="s">
        <v>304</v>
      </c>
      <c r="V378" s="986" t="s">
        <v>304</v>
      </c>
      <c r="W378" s="986" t="s">
        <v>304</v>
      </c>
      <c r="X378" s="986" t="s">
        <v>304</v>
      </c>
      <c r="Y378" s="986" t="s">
        <v>304</v>
      </c>
      <c r="Z378" s="986" t="s">
        <v>304</v>
      </c>
      <c r="AA378" s="986" t="s">
        <v>304</v>
      </c>
      <c r="AB378" s="986" t="s">
        <v>304</v>
      </c>
      <c r="AC378" s="986" t="s">
        <v>304</v>
      </c>
      <c r="AD378" s="986" t="s">
        <v>304</v>
      </c>
      <c r="AE378" s="148" t="s">
        <v>304</v>
      </c>
    </row>
    <row r="379" spans="1:31" x14ac:dyDescent="0.25">
      <c r="A379" s="654" t="s">
        <v>369</v>
      </c>
      <c r="B379" s="221">
        <v>0.43</v>
      </c>
      <c r="C379" s="221">
        <v>6</v>
      </c>
      <c r="D379" s="221" t="s">
        <v>305</v>
      </c>
      <c r="E379" s="221" t="s">
        <v>304</v>
      </c>
      <c r="F379" s="221" t="s">
        <v>304</v>
      </c>
      <c r="G379" s="221" t="s">
        <v>304</v>
      </c>
      <c r="H379" s="221" t="s">
        <v>305</v>
      </c>
      <c r="I379" s="221" t="s">
        <v>305</v>
      </c>
      <c r="J379" s="221" t="s">
        <v>304</v>
      </c>
      <c r="K379" s="221" t="s">
        <v>304</v>
      </c>
      <c r="L379" s="221" t="s">
        <v>304</v>
      </c>
      <c r="M379" s="221" t="s">
        <v>304</v>
      </c>
      <c r="N379" s="221" t="s">
        <v>304</v>
      </c>
      <c r="O379" s="221" t="s">
        <v>304</v>
      </c>
      <c r="P379" s="148" t="s">
        <v>304</v>
      </c>
      <c r="Q379" s="731" t="s">
        <v>304</v>
      </c>
      <c r="R379" s="663"/>
      <c r="S379" s="986" t="s">
        <v>305</v>
      </c>
      <c r="T379" s="986" t="s">
        <v>304</v>
      </c>
      <c r="U379" s="986" t="s">
        <v>304</v>
      </c>
      <c r="V379" s="986" t="s">
        <v>304</v>
      </c>
      <c r="W379" s="986" t="s">
        <v>304</v>
      </c>
      <c r="X379" s="986" t="s">
        <v>304</v>
      </c>
      <c r="Y379" s="986" t="s">
        <v>304</v>
      </c>
      <c r="Z379" s="986" t="s">
        <v>304</v>
      </c>
      <c r="AA379" s="986" t="s">
        <v>304</v>
      </c>
      <c r="AB379" s="986" t="s">
        <v>304</v>
      </c>
      <c r="AC379" s="986" t="s">
        <v>304</v>
      </c>
      <c r="AD379" s="986" t="s">
        <v>304</v>
      </c>
      <c r="AE379" s="148" t="s">
        <v>304</v>
      </c>
    </row>
    <row r="380" spans="1:31" x14ac:dyDescent="0.25">
      <c r="A380" s="654" t="s">
        <v>370</v>
      </c>
      <c r="B380" s="221">
        <v>0.52</v>
      </c>
      <c r="C380" s="221">
        <v>4</v>
      </c>
      <c r="D380" s="221" t="s">
        <v>305</v>
      </c>
      <c r="E380" s="221" t="s">
        <v>173</v>
      </c>
      <c r="F380" s="221" t="s">
        <v>173</v>
      </c>
      <c r="G380" s="221" t="s">
        <v>304</v>
      </c>
      <c r="H380" s="221" t="s">
        <v>305</v>
      </c>
      <c r="I380" s="221" t="s">
        <v>305</v>
      </c>
      <c r="J380" s="221" t="s">
        <v>304</v>
      </c>
      <c r="K380" s="221" t="s">
        <v>174</v>
      </c>
      <c r="L380" s="221" t="s">
        <v>174</v>
      </c>
      <c r="M380" s="221" t="s">
        <v>304</v>
      </c>
      <c r="N380" s="221" t="s">
        <v>304</v>
      </c>
      <c r="O380" s="221" t="s">
        <v>304</v>
      </c>
      <c r="P380" s="148" t="s">
        <v>304</v>
      </c>
      <c r="Q380" s="731" t="s">
        <v>304</v>
      </c>
      <c r="R380" s="663"/>
      <c r="S380" s="986" t="s">
        <v>305</v>
      </c>
      <c r="T380" s="986" t="s">
        <v>173</v>
      </c>
      <c r="U380" s="986" t="s">
        <v>173</v>
      </c>
      <c r="V380" s="986" t="s">
        <v>304</v>
      </c>
      <c r="W380" s="986" t="s">
        <v>304</v>
      </c>
      <c r="X380" s="986" t="s">
        <v>304</v>
      </c>
      <c r="Y380" s="986" t="s">
        <v>304</v>
      </c>
      <c r="Z380" s="986" t="s">
        <v>174</v>
      </c>
      <c r="AA380" s="986" t="s">
        <v>174</v>
      </c>
      <c r="AB380" s="986" t="s">
        <v>304</v>
      </c>
      <c r="AC380" s="986" t="s">
        <v>304</v>
      </c>
      <c r="AD380" s="986" t="s">
        <v>304</v>
      </c>
      <c r="AE380" s="148" t="s">
        <v>304</v>
      </c>
    </row>
    <row r="381" spans="1:31" x14ac:dyDescent="0.25">
      <c r="A381" s="148" t="s">
        <v>372</v>
      </c>
      <c r="B381" s="221">
        <v>0.23</v>
      </c>
      <c r="C381" s="221">
        <v>6</v>
      </c>
      <c r="D381" s="221" t="s">
        <v>305</v>
      </c>
      <c r="E381" s="221" t="s">
        <v>304</v>
      </c>
      <c r="F381" s="221" t="s">
        <v>304</v>
      </c>
      <c r="G381" s="221" t="s">
        <v>304</v>
      </c>
      <c r="H381" s="221" t="s">
        <v>304</v>
      </c>
      <c r="I381" s="221" t="s">
        <v>304</v>
      </c>
      <c r="J381" s="221" t="s">
        <v>304</v>
      </c>
      <c r="K381" s="221" t="s">
        <v>304</v>
      </c>
      <c r="L381" s="221" t="s">
        <v>304</v>
      </c>
      <c r="M381" s="221" t="s">
        <v>304</v>
      </c>
      <c r="N381" s="221" t="s">
        <v>304</v>
      </c>
      <c r="O381" s="221" t="s">
        <v>304</v>
      </c>
      <c r="P381" s="148" t="s">
        <v>304</v>
      </c>
      <c r="Q381" s="731" t="s">
        <v>304</v>
      </c>
      <c r="R381" s="663"/>
      <c r="S381" s="986" t="s">
        <v>305</v>
      </c>
      <c r="T381" s="986" t="s">
        <v>304</v>
      </c>
      <c r="U381" s="986" t="s">
        <v>304</v>
      </c>
      <c r="V381" s="986" t="s">
        <v>304</v>
      </c>
      <c r="W381" s="986" t="s">
        <v>304</v>
      </c>
      <c r="X381" s="986" t="s">
        <v>304</v>
      </c>
      <c r="Y381" s="986" t="s">
        <v>304</v>
      </c>
      <c r="Z381" s="986" t="s">
        <v>304</v>
      </c>
      <c r="AA381" s="986" t="s">
        <v>304</v>
      </c>
      <c r="AB381" s="986" t="s">
        <v>304</v>
      </c>
      <c r="AC381" s="986" t="s">
        <v>304</v>
      </c>
      <c r="AD381" s="986" t="s">
        <v>304</v>
      </c>
      <c r="AE381" s="148" t="s">
        <v>304</v>
      </c>
    </row>
    <row r="382" spans="1:31" x14ac:dyDescent="0.25">
      <c r="A382" s="654" t="s">
        <v>374</v>
      </c>
      <c r="B382" s="221">
        <v>1.0900000000000001</v>
      </c>
      <c r="C382" s="221">
        <v>6</v>
      </c>
      <c r="D382" s="221" t="s">
        <v>305</v>
      </c>
      <c r="E382" s="221" t="s">
        <v>173</v>
      </c>
      <c r="F382" s="221" t="s">
        <v>173</v>
      </c>
      <c r="G382" s="221" t="s">
        <v>305</v>
      </c>
      <c r="H382" s="221" t="s">
        <v>305</v>
      </c>
      <c r="I382" s="221" t="s">
        <v>305</v>
      </c>
      <c r="J382" s="221" t="s">
        <v>304</v>
      </c>
      <c r="K382" s="221" t="s">
        <v>174</v>
      </c>
      <c r="L382" s="221" t="s">
        <v>174</v>
      </c>
      <c r="M382" s="221" t="s">
        <v>304</v>
      </c>
      <c r="N382" s="221" t="s">
        <v>304</v>
      </c>
      <c r="O382" s="221" t="s">
        <v>304</v>
      </c>
      <c r="P382" s="148" t="s">
        <v>304</v>
      </c>
      <c r="Q382" s="731" t="s">
        <v>304</v>
      </c>
      <c r="R382" s="663"/>
      <c r="S382" s="986" t="s">
        <v>305</v>
      </c>
      <c r="T382" s="986" t="s">
        <v>173</v>
      </c>
      <c r="U382" s="986" t="s">
        <v>173</v>
      </c>
      <c r="V382" s="986" t="s">
        <v>305</v>
      </c>
      <c r="W382" s="986" t="s">
        <v>304</v>
      </c>
      <c r="X382" s="986" t="s">
        <v>304</v>
      </c>
      <c r="Y382" s="986" t="s">
        <v>304</v>
      </c>
      <c r="Z382" s="986" t="s">
        <v>174</v>
      </c>
      <c r="AA382" s="986" t="s">
        <v>174</v>
      </c>
      <c r="AB382" s="986" t="s">
        <v>304</v>
      </c>
      <c r="AC382" s="986" t="s">
        <v>304</v>
      </c>
      <c r="AD382" s="986" t="s">
        <v>304</v>
      </c>
      <c r="AE382" s="148" t="s">
        <v>304</v>
      </c>
    </row>
    <row r="383" spans="1:31" x14ac:dyDescent="0.25">
      <c r="A383" s="654" t="s">
        <v>376</v>
      </c>
      <c r="B383" s="221">
        <v>0.41</v>
      </c>
      <c r="C383" s="221">
        <v>6</v>
      </c>
      <c r="D383" s="221" t="s">
        <v>304</v>
      </c>
      <c r="E383" s="221" t="s">
        <v>304</v>
      </c>
      <c r="F383" s="221" t="s">
        <v>304</v>
      </c>
      <c r="G383" s="221" t="s">
        <v>304</v>
      </c>
      <c r="H383" s="221" t="s">
        <v>304</v>
      </c>
      <c r="I383" s="221" t="s">
        <v>304</v>
      </c>
      <c r="J383" s="221" t="s">
        <v>304</v>
      </c>
      <c r="K383" s="221" t="s">
        <v>304</v>
      </c>
      <c r="L383" s="221" t="s">
        <v>304</v>
      </c>
      <c r="M383" s="221" t="s">
        <v>304</v>
      </c>
      <c r="N383" s="221" t="s">
        <v>304</v>
      </c>
      <c r="O383" s="221" t="s">
        <v>304</v>
      </c>
      <c r="P383" s="148" t="s">
        <v>305</v>
      </c>
      <c r="Q383" s="731" t="s">
        <v>304</v>
      </c>
      <c r="R383" s="663"/>
      <c r="S383" s="986" t="s">
        <v>304</v>
      </c>
      <c r="T383" s="986" t="s">
        <v>304</v>
      </c>
      <c r="U383" s="986" t="s">
        <v>304</v>
      </c>
      <c r="V383" s="986" t="s">
        <v>304</v>
      </c>
      <c r="W383" s="986" t="s">
        <v>304</v>
      </c>
      <c r="X383" s="986" t="s">
        <v>304</v>
      </c>
      <c r="Y383" s="986" t="s">
        <v>304</v>
      </c>
      <c r="Z383" s="986" t="s">
        <v>304</v>
      </c>
      <c r="AA383" s="986" t="s">
        <v>304</v>
      </c>
      <c r="AB383" s="986" t="s">
        <v>304</v>
      </c>
      <c r="AC383" s="986" t="s">
        <v>304</v>
      </c>
      <c r="AD383" s="986" t="s">
        <v>304</v>
      </c>
      <c r="AE383" s="148" t="s">
        <v>305</v>
      </c>
    </row>
    <row r="384" spans="1:31" x14ac:dyDescent="0.25">
      <c r="A384" s="652" t="s">
        <v>379</v>
      </c>
      <c r="B384" s="221">
        <v>0.9</v>
      </c>
      <c r="C384" s="221">
        <v>4</v>
      </c>
      <c r="D384" s="221" t="s">
        <v>305</v>
      </c>
      <c r="E384" s="221" t="s">
        <v>173</v>
      </c>
      <c r="F384" s="221" t="s">
        <v>173</v>
      </c>
      <c r="G384" s="221" t="s">
        <v>305</v>
      </c>
      <c r="H384" s="221" t="s">
        <v>305</v>
      </c>
      <c r="I384" s="221" t="s">
        <v>305</v>
      </c>
      <c r="J384" s="221" t="s">
        <v>304</v>
      </c>
      <c r="K384" s="221" t="s">
        <v>174</v>
      </c>
      <c r="L384" s="221" t="s">
        <v>174</v>
      </c>
      <c r="M384" s="221" t="s">
        <v>304</v>
      </c>
      <c r="N384" s="221" t="s">
        <v>304</v>
      </c>
      <c r="O384" s="221" t="s">
        <v>304</v>
      </c>
      <c r="P384" s="148" t="s">
        <v>304</v>
      </c>
      <c r="Q384" s="731">
        <v>5</v>
      </c>
      <c r="R384" s="663"/>
      <c r="S384" s="986" t="s">
        <v>305</v>
      </c>
      <c r="T384" s="986" t="s">
        <v>173</v>
      </c>
      <c r="U384" s="986" t="s">
        <v>173</v>
      </c>
      <c r="V384" s="986" t="s">
        <v>305</v>
      </c>
      <c r="W384" s="986" t="s">
        <v>304</v>
      </c>
      <c r="X384" s="986" t="s">
        <v>304</v>
      </c>
      <c r="Y384" s="986" t="s">
        <v>304</v>
      </c>
      <c r="Z384" s="986" t="s">
        <v>174</v>
      </c>
      <c r="AA384" s="986" t="s">
        <v>174</v>
      </c>
      <c r="AB384" s="986" t="s">
        <v>304</v>
      </c>
      <c r="AC384" s="986" t="s">
        <v>304</v>
      </c>
      <c r="AD384" s="986" t="s">
        <v>304</v>
      </c>
      <c r="AE384" s="148" t="s">
        <v>304</v>
      </c>
    </row>
    <row r="385" spans="1:31" x14ac:dyDescent="0.25">
      <c r="A385" s="652" t="s">
        <v>381</v>
      </c>
      <c r="B385" s="221">
        <v>0.85</v>
      </c>
      <c r="C385" s="221">
        <v>4</v>
      </c>
      <c r="D385" s="221" t="s">
        <v>305</v>
      </c>
      <c r="E385" s="221" t="s">
        <v>173</v>
      </c>
      <c r="F385" s="221" t="s">
        <v>173</v>
      </c>
      <c r="G385" s="221" t="s">
        <v>305</v>
      </c>
      <c r="H385" s="221" t="s">
        <v>305</v>
      </c>
      <c r="I385" s="221" t="s">
        <v>305</v>
      </c>
      <c r="J385" s="221" t="s">
        <v>304</v>
      </c>
      <c r="K385" s="221" t="s">
        <v>174</v>
      </c>
      <c r="L385" s="221" t="s">
        <v>174</v>
      </c>
      <c r="M385" s="221" t="s">
        <v>304</v>
      </c>
      <c r="N385" s="221" t="s">
        <v>304</v>
      </c>
      <c r="O385" s="221" t="s">
        <v>304</v>
      </c>
      <c r="P385" s="148" t="s">
        <v>304</v>
      </c>
      <c r="Q385" s="731">
        <v>5</v>
      </c>
      <c r="R385" s="663"/>
      <c r="S385" s="986" t="s">
        <v>305</v>
      </c>
      <c r="T385" s="986" t="s">
        <v>173</v>
      </c>
      <c r="U385" s="986" t="s">
        <v>173</v>
      </c>
      <c r="V385" s="986" t="s">
        <v>305</v>
      </c>
      <c r="W385" s="986" t="s">
        <v>304</v>
      </c>
      <c r="X385" s="986" t="s">
        <v>304</v>
      </c>
      <c r="Y385" s="986" t="s">
        <v>304</v>
      </c>
      <c r="Z385" s="986" t="s">
        <v>174</v>
      </c>
      <c r="AA385" s="986" t="s">
        <v>174</v>
      </c>
      <c r="AB385" s="986" t="s">
        <v>304</v>
      </c>
      <c r="AC385" s="986" t="s">
        <v>304</v>
      </c>
      <c r="AD385" s="986" t="s">
        <v>304</v>
      </c>
      <c r="AE385" s="148" t="s">
        <v>304</v>
      </c>
    </row>
    <row r="386" spans="1:31" x14ac:dyDescent="0.25">
      <c r="A386" s="664" t="s">
        <v>978</v>
      </c>
      <c r="B386" s="663">
        <v>0.71</v>
      </c>
      <c r="C386" s="221" t="str">
        <f>VLOOKUP($R386,Table_9.6.1_2019[],C$345,FALSE)</f>
        <v>width &lt;8 ft</v>
      </c>
      <c r="D386" s="221" t="str">
        <f>VLOOKUP($R386,Table_9.6.1_2019[],D$345,FALSE)</f>
        <v>REQ</v>
      </c>
      <c r="E386" s="221" t="str">
        <f>VLOOKUP($R386,Table_9.6.1_2019[],E$345,FALSE)</f>
        <v>NA</v>
      </c>
      <c r="F386" s="221" t="str">
        <f>VLOOKUP($R386,Table_9.6.1_2019[],F$345,FALSE)</f>
        <v>NA</v>
      </c>
      <c r="G386" s="221" t="str">
        <f>VLOOKUP($R386,Table_9.6.1_2019[],G$345,FALSE)</f>
        <v>NA</v>
      </c>
      <c r="H386" s="221" t="str">
        <f>VLOOKUP($R386,Table_9.6.1_2019[],H$345,FALSE)</f>
        <v>REQ</v>
      </c>
      <c r="I386" s="221" t="str">
        <f>VLOOKUP($R386,Table_9.6.1_2019[],I$345,FALSE)</f>
        <v>REQ</v>
      </c>
      <c r="J386" s="221" t="str">
        <f>VLOOKUP($R386,Table_9.6.1_2019[],J$345,FALSE)</f>
        <v>ADD2</v>
      </c>
      <c r="K386" s="221" t="str">
        <f>VLOOKUP($R386,Table_9.6.1_2019[],K$345,FALSE)</f>
        <v>ADD2</v>
      </c>
      <c r="L386" s="221" t="str">
        <f>VLOOKUP($R386,Table_9.6.1_2019[],L$345,FALSE)</f>
        <v>ADD2</v>
      </c>
      <c r="M386" s="221" t="str">
        <f>VLOOKUP($R386,Table_9.6.1_2019[],M$345,FALSE)</f>
        <v>NA</v>
      </c>
      <c r="N386" s="221" t="str">
        <f>VLOOKUP($R386,Table_9.6.1_2019[],N$345,FALSE)</f>
        <v>NA</v>
      </c>
      <c r="O386" s="221" t="str">
        <f>VLOOKUP($R386,Table_9.6.1_2019[],O$345,FALSE)</f>
        <v>NA</v>
      </c>
      <c r="P386" s="221" t="str">
        <f>VLOOKUP($R386,Table_9.6.1_2019[],P$345,FALSE)</f>
        <v>NA</v>
      </c>
      <c r="Q386" s="731">
        <v>5</v>
      </c>
      <c r="R386" s="652" t="s">
        <v>348</v>
      </c>
      <c r="S386" s="986" t="str">
        <f>VLOOKUP($R386,Table_9.6.1_2019[],S$345,FALSE)</f>
        <v>REQ</v>
      </c>
      <c r="T386" s="986" t="str">
        <f>VLOOKUP($R386,Table_9.6.1_2019[],T$345,FALSE)</f>
        <v>NA</v>
      </c>
      <c r="U386" s="986" t="str">
        <f>VLOOKUP($R386,Table_9.6.1_2019[],U$345,FALSE)</f>
        <v>NA</v>
      </c>
      <c r="V386" s="986" t="str">
        <f>VLOOKUP($R386,Table_9.6.1_2019[],V$345,FALSE)</f>
        <v>NA</v>
      </c>
      <c r="W386" s="986" t="s">
        <v>304</v>
      </c>
      <c r="X386" s="986" t="s">
        <v>304</v>
      </c>
      <c r="Y386" s="986" t="str">
        <f>VLOOKUP($R386,Table_9.6.1_2019[],Y$345,FALSE)</f>
        <v>ADD2</v>
      </c>
      <c r="Z386" s="986" t="str">
        <f>VLOOKUP($R386,Table_9.6.1_2019[],Z$345,FALSE)</f>
        <v>ADD2</v>
      </c>
      <c r="AA386" s="986" t="str">
        <f>VLOOKUP($R386,Table_9.6.1_2019[],AA$345,FALSE)</f>
        <v>ADD2</v>
      </c>
      <c r="AB386" s="986" t="str">
        <f>VLOOKUP($R386,Table_9.6.1_2019[],AB$345,FALSE)</f>
        <v>NA</v>
      </c>
      <c r="AC386" s="986" t="str">
        <f>VLOOKUP($R386,Table_9.6.1_2019[],AC$345,FALSE)</f>
        <v>NA</v>
      </c>
      <c r="AD386" s="986" t="str">
        <f>VLOOKUP($R386,Table_9.6.1_2019[],AD$345,FALSE)</f>
        <v>NA</v>
      </c>
      <c r="AE386" s="986" t="str">
        <f>VLOOKUP($R386,Table_9.6.1_2019[],AE$345,FALSE)</f>
        <v>NA</v>
      </c>
    </row>
    <row r="387" spans="1:31" x14ac:dyDescent="0.25">
      <c r="A387" s="652" t="s">
        <v>384</v>
      </c>
      <c r="B387" s="221">
        <v>1.4</v>
      </c>
      <c r="C387" s="221">
        <v>8</v>
      </c>
      <c r="D387" s="221" t="s">
        <v>305</v>
      </c>
      <c r="E387" s="221" t="s">
        <v>304</v>
      </c>
      <c r="F387" s="221" t="s">
        <v>304</v>
      </c>
      <c r="G387" s="221" t="s">
        <v>305</v>
      </c>
      <c r="H387" s="221" t="s">
        <v>305</v>
      </c>
      <c r="I387" s="221" t="s">
        <v>305</v>
      </c>
      <c r="J387" s="221" t="s">
        <v>304</v>
      </c>
      <c r="K387" s="221" t="s">
        <v>174</v>
      </c>
      <c r="L387" s="221" t="s">
        <v>174</v>
      </c>
      <c r="M387" s="221" t="s">
        <v>304</v>
      </c>
      <c r="N387" s="221" t="s">
        <v>304</v>
      </c>
      <c r="O387" s="221" t="s">
        <v>304</v>
      </c>
      <c r="P387" s="148" t="s">
        <v>304</v>
      </c>
      <c r="Q387" s="731" t="s">
        <v>304</v>
      </c>
      <c r="R387" s="663"/>
      <c r="S387" s="986" t="s">
        <v>305</v>
      </c>
      <c r="T387" s="986" t="s">
        <v>304</v>
      </c>
      <c r="U387" s="986" t="s">
        <v>304</v>
      </c>
      <c r="V387" s="986" t="s">
        <v>305</v>
      </c>
      <c r="W387" s="986" t="s">
        <v>304</v>
      </c>
      <c r="X387" s="986" t="s">
        <v>304</v>
      </c>
      <c r="Y387" s="986" t="s">
        <v>304</v>
      </c>
      <c r="Z387" s="986" t="s">
        <v>174</v>
      </c>
      <c r="AA387" s="986" t="s">
        <v>174</v>
      </c>
      <c r="AB387" s="986" t="s">
        <v>304</v>
      </c>
      <c r="AC387" s="986" t="s">
        <v>304</v>
      </c>
      <c r="AD387" s="986" t="s">
        <v>304</v>
      </c>
      <c r="AE387" s="148" t="s">
        <v>304</v>
      </c>
    </row>
    <row r="388" spans="1:31" x14ac:dyDescent="0.25">
      <c r="A388" s="652" t="s">
        <v>386</v>
      </c>
      <c r="B388" s="221">
        <v>0.94</v>
      </c>
      <c r="C388" s="221">
        <v>6</v>
      </c>
      <c r="D388" s="221" t="s">
        <v>305</v>
      </c>
      <c r="E388" s="221" t="s">
        <v>304</v>
      </c>
      <c r="F388" s="221" t="s">
        <v>304</v>
      </c>
      <c r="G388" s="221" t="s">
        <v>305</v>
      </c>
      <c r="H388" s="221" t="s">
        <v>304</v>
      </c>
      <c r="I388" s="221" t="s">
        <v>304</v>
      </c>
      <c r="J388" s="221" t="s">
        <v>304</v>
      </c>
      <c r="K388" s="221" t="s">
        <v>174</v>
      </c>
      <c r="L388" s="221" t="s">
        <v>174</v>
      </c>
      <c r="M388" s="221" t="s">
        <v>304</v>
      </c>
      <c r="N388" s="221" t="s">
        <v>304</v>
      </c>
      <c r="O388" s="221" t="s">
        <v>304</v>
      </c>
      <c r="P388" s="148" t="s">
        <v>304</v>
      </c>
      <c r="Q388" s="731" t="s">
        <v>304</v>
      </c>
      <c r="R388" s="663"/>
      <c r="S388" s="986" t="s">
        <v>305</v>
      </c>
      <c r="T388" s="986" t="s">
        <v>304</v>
      </c>
      <c r="U388" s="986" t="s">
        <v>304</v>
      </c>
      <c r="V388" s="986" t="s">
        <v>305</v>
      </c>
      <c r="W388" s="986" t="s">
        <v>304</v>
      </c>
      <c r="X388" s="986" t="s">
        <v>304</v>
      </c>
      <c r="Y388" s="986" t="s">
        <v>304</v>
      </c>
      <c r="Z388" s="986" t="s">
        <v>174</v>
      </c>
      <c r="AA388" s="986" t="s">
        <v>174</v>
      </c>
      <c r="AB388" s="986" t="s">
        <v>304</v>
      </c>
      <c r="AC388" s="986" t="s">
        <v>304</v>
      </c>
      <c r="AD388" s="986" t="s">
        <v>304</v>
      </c>
      <c r="AE388" s="148" t="s">
        <v>304</v>
      </c>
    </row>
    <row r="389" spans="1:31" x14ac:dyDescent="0.25">
      <c r="A389" s="664" t="s">
        <v>981</v>
      </c>
      <c r="B389" s="221">
        <f>VLOOKUP($R389,Table_9.6.1_2019[],B$345,FALSE)</f>
        <v>0.42</v>
      </c>
      <c r="C389" s="221">
        <f>VLOOKUP($R389,Table_9.6.1_2019[],C$345,FALSE)</f>
        <v>6</v>
      </c>
      <c r="D389" s="221" t="str">
        <f>VLOOKUP($R389,Table_9.6.1_2019[],D$345,FALSE)</f>
        <v>REQ</v>
      </c>
      <c r="E389" s="221" t="str">
        <f>VLOOKUP($R389,Table_9.6.1_2019[],E$345,FALSE)</f>
        <v>ADD1</v>
      </c>
      <c r="F389" s="221" t="str">
        <f>VLOOKUP($R389,Table_9.6.1_2019[],F$345,FALSE)</f>
        <v>ADD1</v>
      </c>
      <c r="G389" s="221" t="str">
        <f>VLOOKUP($R389,Table_9.6.1_2019[],G$345,FALSE)</f>
        <v>REQ</v>
      </c>
      <c r="H389" s="221" t="str">
        <f>VLOOKUP($R389,Table_9.6.1_2019[],H$345,FALSE)</f>
        <v>REQ</v>
      </c>
      <c r="I389" s="221" t="str">
        <f>VLOOKUP($R389,Table_9.6.1_2019[],I$345,FALSE)</f>
        <v>REQ</v>
      </c>
      <c r="J389" s="221" t="str">
        <f>VLOOKUP($R389,Table_9.6.1_2019[],J$345,FALSE)</f>
        <v>NA</v>
      </c>
      <c r="K389" s="221" t="str">
        <f>VLOOKUP($R389,Table_9.6.1_2019[],K$345,FALSE)</f>
        <v>REQ</v>
      </c>
      <c r="L389" s="221" t="str">
        <f>VLOOKUP($R389,Table_9.6.1_2019[],L$345,FALSE)</f>
        <v>NA</v>
      </c>
      <c r="M389" s="221" t="str">
        <f>VLOOKUP($R389,Table_9.6.1_2019[],M$345,FALSE)</f>
        <v>NA</v>
      </c>
      <c r="N389" s="221" t="str">
        <f>VLOOKUP($R389,Table_9.6.1_2019[],N$345,FALSE)</f>
        <v>NA</v>
      </c>
      <c r="O389" s="221" t="str">
        <f>VLOOKUP($R389,Table_9.6.1_2019[],O$345,FALSE)</f>
        <v>NA</v>
      </c>
      <c r="P389" s="221" t="str">
        <f>VLOOKUP($R389,Table_9.6.1_2019[],P$345,FALSE)</f>
        <v>NA</v>
      </c>
      <c r="Q389" s="731" t="s">
        <v>304</v>
      </c>
      <c r="R389" s="652" t="s">
        <v>425</v>
      </c>
      <c r="S389" s="986" t="str">
        <f>VLOOKUP($R389,Table_9.6.1_2019[],S$345,FALSE)</f>
        <v>REQ</v>
      </c>
      <c r="T389" s="986" t="str">
        <f>VLOOKUP($R389,Table_9.6.1_2019[],T$345,FALSE)</f>
        <v>ADD1</v>
      </c>
      <c r="U389" s="986" t="str">
        <f>VLOOKUP($R389,Table_9.6.1_2019[],U$345,FALSE)</f>
        <v>ADD1</v>
      </c>
      <c r="V389" s="986" t="str">
        <f>VLOOKUP($R389,Table_9.6.1_2019[],V$345,FALSE)</f>
        <v>REQ</v>
      </c>
      <c r="W389" s="986" t="s">
        <v>304</v>
      </c>
      <c r="X389" s="986" t="s">
        <v>304</v>
      </c>
      <c r="Y389" s="986" t="str">
        <f>VLOOKUP($R389,Table_9.6.1_2019[],Y$345,FALSE)</f>
        <v>NA</v>
      </c>
      <c r="Z389" s="986" t="str">
        <f>VLOOKUP($R389,Table_9.6.1_2019[],Z$345,FALSE)</f>
        <v>REQ</v>
      </c>
      <c r="AA389" s="986" t="str">
        <f>VLOOKUP($R389,Table_9.6.1_2019[],AA$345,FALSE)</f>
        <v>NA</v>
      </c>
      <c r="AB389" s="986" t="str">
        <f>VLOOKUP($R389,Table_9.6.1_2019[],AB$345,FALSE)</f>
        <v>NA</v>
      </c>
      <c r="AC389" s="986" t="str">
        <f>VLOOKUP($R389,Table_9.6.1_2019[],AC$345,FALSE)</f>
        <v>NA</v>
      </c>
      <c r="AD389" s="986" t="str">
        <f>VLOOKUP($R389,Table_9.6.1_2019[],AD$345,FALSE)</f>
        <v>NA</v>
      </c>
      <c r="AE389" s="986" t="str">
        <f>VLOOKUP($R389,Table_9.6.1_2019[],AE$345,FALSE)</f>
        <v>NA</v>
      </c>
    </row>
    <row r="390" spans="1:31" x14ac:dyDescent="0.25">
      <c r="A390" s="652" t="s">
        <v>389</v>
      </c>
      <c r="B390" s="663">
        <v>0.51</v>
      </c>
      <c r="C390" s="663">
        <v>9</v>
      </c>
      <c r="D390" s="663" t="s">
        <v>305</v>
      </c>
      <c r="E390" s="663" t="s">
        <v>304</v>
      </c>
      <c r="F390" s="663" t="s">
        <v>304</v>
      </c>
      <c r="G390" s="663" t="s">
        <v>304</v>
      </c>
      <c r="H390" s="663" t="s">
        <v>304</v>
      </c>
      <c r="I390" s="663" t="s">
        <v>304</v>
      </c>
      <c r="J390" s="663" t="s">
        <v>304</v>
      </c>
      <c r="K390" s="663" t="s">
        <v>174</v>
      </c>
      <c r="L390" s="663" t="s">
        <v>174</v>
      </c>
      <c r="M390" s="663" t="s">
        <v>304</v>
      </c>
      <c r="N390" s="663" t="s">
        <v>304</v>
      </c>
      <c r="O390" s="663" t="s">
        <v>304</v>
      </c>
      <c r="P390" s="652" t="s">
        <v>304</v>
      </c>
      <c r="Q390" s="663" t="s">
        <v>304</v>
      </c>
      <c r="R390" s="663"/>
      <c r="S390" s="663" t="s">
        <v>305</v>
      </c>
      <c r="T390" s="663" t="s">
        <v>304</v>
      </c>
      <c r="U390" s="663" t="s">
        <v>304</v>
      </c>
      <c r="V390" s="663" t="s">
        <v>304</v>
      </c>
      <c r="W390" s="986" t="s">
        <v>304</v>
      </c>
      <c r="X390" s="986" t="s">
        <v>304</v>
      </c>
      <c r="Y390" s="663" t="s">
        <v>304</v>
      </c>
      <c r="Z390" s="663" t="s">
        <v>174</v>
      </c>
      <c r="AA390" s="663" t="s">
        <v>174</v>
      </c>
      <c r="AB390" s="663" t="s">
        <v>304</v>
      </c>
      <c r="AC390" s="663" t="s">
        <v>304</v>
      </c>
      <c r="AD390" s="663" t="s">
        <v>304</v>
      </c>
      <c r="AE390" s="652" t="s">
        <v>304</v>
      </c>
    </row>
    <row r="391" spans="1:31" x14ac:dyDescent="0.25">
      <c r="A391" s="652" t="s">
        <v>972</v>
      </c>
      <c r="B391" s="663">
        <v>0.38</v>
      </c>
      <c r="C391" s="663">
        <v>6</v>
      </c>
      <c r="D391" s="663" t="s">
        <v>305</v>
      </c>
      <c r="E391" s="663" t="s">
        <v>173</v>
      </c>
      <c r="F391" s="663" t="s">
        <v>173</v>
      </c>
      <c r="G391" s="663" t="s">
        <v>304</v>
      </c>
      <c r="H391" s="663" t="s">
        <v>305</v>
      </c>
      <c r="I391" s="663" t="s">
        <v>305</v>
      </c>
      <c r="J391" s="663" t="s">
        <v>304</v>
      </c>
      <c r="K391" s="663" t="s">
        <v>305</v>
      </c>
      <c r="L391" s="663" t="s">
        <v>304</v>
      </c>
      <c r="M391" s="663" t="s">
        <v>304</v>
      </c>
      <c r="N391" s="663" t="s">
        <v>304</v>
      </c>
      <c r="O391" s="663" t="s">
        <v>304</v>
      </c>
      <c r="P391" s="652" t="s">
        <v>304</v>
      </c>
      <c r="Q391" s="663" t="s">
        <v>304</v>
      </c>
      <c r="R391" s="663"/>
      <c r="S391" s="663" t="s">
        <v>305</v>
      </c>
      <c r="T391" s="663" t="s">
        <v>173</v>
      </c>
      <c r="U391" s="663" t="s">
        <v>173</v>
      </c>
      <c r="V391" s="663" t="s">
        <v>304</v>
      </c>
      <c r="W391" s="986" t="s">
        <v>304</v>
      </c>
      <c r="X391" s="986" t="s">
        <v>304</v>
      </c>
      <c r="Y391" s="663" t="s">
        <v>304</v>
      </c>
      <c r="Z391" s="663" t="s">
        <v>305</v>
      </c>
      <c r="AA391" s="663" t="s">
        <v>304</v>
      </c>
      <c r="AB391" s="663" t="s">
        <v>304</v>
      </c>
      <c r="AC391" s="663" t="s">
        <v>304</v>
      </c>
      <c r="AD391" s="663" t="s">
        <v>304</v>
      </c>
      <c r="AE391" s="652" t="s">
        <v>304</v>
      </c>
    </row>
    <row r="392" spans="1:31" x14ac:dyDescent="0.25">
      <c r="A392" s="652" t="s">
        <v>390</v>
      </c>
      <c r="B392" s="221">
        <v>1.17</v>
      </c>
      <c r="C392" s="221">
        <v>6</v>
      </c>
      <c r="D392" s="221" t="s">
        <v>305</v>
      </c>
      <c r="E392" s="221" t="s">
        <v>304</v>
      </c>
      <c r="F392" s="221" t="s">
        <v>304</v>
      </c>
      <c r="G392" s="221" t="s">
        <v>305</v>
      </c>
      <c r="H392" s="221" t="s">
        <v>305</v>
      </c>
      <c r="I392" s="221" t="s">
        <v>305</v>
      </c>
      <c r="J392" s="221" t="s">
        <v>304</v>
      </c>
      <c r="K392" s="221" t="s">
        <v>174</v>
      </c>
      <c r="L392" s="221" t="s">
        <v>174</v>
      </c>
      <c r="M392" s="221" t="s">
        <v>304</v>
      </c>
      <c r="N392" s="221" t="s">
        <v>304</v>
      </c>
      <c r="O392" s="221" t="s">
        <v>304</v>
      </c>
      <c r="P392" s="148" t="s">
        <v>304</v>
      </c>
      <c r="Q392" s="731" t="s">
        <v>304</v>
      </c>
      <c r="R392" s="663"/>
      <c r="S392" s="986" t="s">
        <v>305</v>
      </c>
      <c r="T392" s="986" t="s">
        <v>304</v>
      </c>
      <c r="U392" s="986" t="s">
        <v>304</v>
      </c>
      <c r="V392" s="986" t="s">
        <v>305</v>
      </c>
      <c r="W392" s="986" t="s">
        <v>304</v>
      </c>
      <c r="X392" s="986" t="s">
        <v>304</v>
      </c>
      <c r="Y392" s="986" t="s">
        <v>304</v>
      </c>
      <c r="Z392" s="986" t="s">
        <v>174</v>
      </c>
      <c r="AA392" s="986" t="s">
        <v>174</v>
      </c>
      <c r="AB392" s="986" t="s">
        <v>304</v>
      </c>
      <c r="AC392" s="986" t="s">
        <v>304</v>
      </c>
      <c r="AD392" s="986" t="s">
        <v>304</v>
      </c>
      <c r="AE392" s="148" t="s">
        <v>304</v>
      </c>
    </row>
    <row r="393" spans="1:31" x14ac:dyDescent="0.25">
      <c r="A393" s="652" t="s">
        <v>392</v>
      </c>
      <c r="B393" s="221">
        <v>0.92</v>
      </c>
      <c r="C393" s="221">
        <v>6</v>
      </c>
      <c r="D393" s="221" t="s">
        <v>305</v>
      </c>
      <c r="E393" s="221" t="s">
        <v>304</v>
      </c>
      <c r="F393" s="221" t="s">
        <v>304</v>
      </c>
      <c r="G393" s="221" t="s">
        <v>305</v>
      </c>
      <c r="H393" s="221" t="s">
        <v>305</v>
      </c>
      <c r="I393" s="221" t="s">
        <v>305</v>
      </c>
      <c r="J393" s="221" t="s">
        <v>304</v>
      </c>
      <c r="K393" s="221" t="s">
        <v>174</v>
      </c>
      <c r="L393" s="221" t="s">
        <v>174</v>
      </c>
      <c r="M393" s="221" t="s">
        <v>304</v>
      </c>
      <c r="N393" s="221" t="s">
        <v>304</v>
      </c>
      <c r="O393" s="221" t="s">
        <v>304</v>
      </c>
      <c r="P393" s="148" t="s">
        <v>304</v>
      </c>
      <c r="Q393" s="731" t="s">
        <v>304</v>
      </c>
      <c r="R393" s="663"/>
      <c r="S393" s="986" t="s">
        <v>305</v>
      </c>
      <c r="T393" s="986" t="s">
        <v>304</v>
      </c>
      <c r="U393" s="986" t="s">
        <v>304</v>
      </c>
      <c r="V393" s="986" t="s">
        <v>305</v>
      </c>
      <c r="W393" s="986" t="s">
        <v>304</v>
      </c>
      <c r="X393" s="986" t="s">
        <v>304</v>
      </c>
      <c r="Y393" s="986" t="s">
        <v>304</v>
      </c>
      <c r="Z393" s="986" t="s">
        <v>174</v>
      </c>
      <c r="AA393" s="986" t="s">
        <v>174</v>
      </c>
      <c r="AB393" s="986" t="s">
        <v>304</v>
      </c>
      <c r="AC393" s="986" t="s">
        <v>304</v>
      </c>
      <c r="AD393" s="986" t="s">
        <v>304</v>
      </c>
      <c r="AE393" s="148" t="s">
        <v>304</v>
      </c>
    </row>
    <row r="394" spans="1:31" x14ac:dyDescent="0.25">
      <c r="A394" s="652" t="s">
        <v>394</v>
      </c>
      <c r="B394" s="221">
        <v>2.2599999999999998</v>
      </c>
      <c r="C394" s="221">
        <v>6</v>
      </c>
      <c r="D394" s="221" t="s">
        <v>305</v>
      </c>
      <c r="E394" s="221" t="s">
        <v>304</v>
      </c>
      <c r="F394" s="221" t="s">
        <v>304</v>
      </c>
      <c r="G394" s="221" t="s">
        <v>305</v>
      </c>
      <c r="H394" s="221" t="s">
        <v>304</v>
      </c>
      <c r="I394" s="221" t="s">
        <v>304</v>
      </c>
      <c r="J394" s="221" t="s">
        <v>304</v>
      </c>
      <c r="K394" s="221" t="s">
        <v>174</v>
      </c>
      <c r="L394" s="221" t="s">
        <v>174</v>
      </c>
      <c r="M394" s="221" t="s">
        <v>304</v>
      </c>
      <c r="N394" s="221" t="s">
        <v>304</v>
      </c>
      <c r="O394" s="221" t="s">
        <v>304</v>
      </c>
      <c r="P394" s="148" t="s">
        <v>304</v>
      </c>
      <c r="Q394" s="731" t="s">
        <v>304</v>
      </c>
      <c r="R394" s="663"/>
      <c r="S394" s="986" t="s">
        <v>305</v>
      </c>
      <c r="T394" s="986" t="s">
        <v>304</v>
      </c>
      <c r="U394" s="986" t="s">
        <v>304</v>
      </c>
      <c r="V394" s="986" t="s">
        <v>305</v>
      </c>
      <c r="W394" s="986" t="s">
        <v>304</v>
      </c>
      <c r="X394" s="986" t="s">
        <v>304</v>
      </c>
      <c r="Y394" s="986" t="s">
        <v>304</v>
      </c>
      <c r="Z394" s="986" t="s">
        <v>174</v>
      </c>
      <c r="AA394" s="986" t="s">
        <v>174</v>
      </c>
      <c r="AB394" s="986" t="s">
        <v>304</v>
      </c>
      <c r="AC394" s="986" t="s">
        <v>304</v>
      </c>
      <c r="AD394" s="986" t="s">
        <v>304</v>
      </c>
      <c r="AE394" s="148" t="s">
        <v>304</v>
      </c>
    </row>
    <row r="395" spans="1:31" x14ac:dyDescent="0.25">
      <c r="A395" s="652" t="s">
        <v>396</v>
      </c>
      <c r="B395" s="221">
        <v>0.68</v>
      </c>
      <c r="C395" s="221">
        <v>6</v>
      </c>
      <c r="D395" s="221" t="s">
        <v>305</v>
      </c>
      <c r="E395" s="221" t="s">
        <v>304</v>
      </c>
      <c r="F395" s="221" t="s">
        <v>304</v>
      </c>
      <c r="G395" s="221" t="s">
        <v>305</v>
      </c>
      <c r="H395" s="221" t="s">
        <v>305</v>
      </c>
      <c r="I395" s="221" t="s">
        <v>305</v>
      </c>
      <c r="J395" s="221" t="s">
        <v>304</v>
      </c>
      <c r="K395" s="221" t="s">
        <v>174</v>
      </c>
      <c r="L395" s="221" t="s">
        <v>174</v>
      </c>
      <c r="M395" s="221" t="s">
        <v>304</v>
      </c>
      <c r="N395" s="221" t="s">
        <v>304</v>
      </c>
      <c r="O395" s="221" t="s">
        <v>304</v>
      </c>
      <c r="P395" s="148" t="s">
        <v>304</v>
      </c>
      <c r="Q395" s="731" t="s">
        <v>304</v>
      </c>
      <c r="R395" s="663"/>
      <c r="S395" s="986" t="s">
        <v>305</v>
      </c>
      <c r="T395" s="986" t="s">
        <v>304</v>
      </c>
      <c r="U395" s="986" t="s">
        <v>304</v>
      </c>
      <c r="V395" s="986" t="s">
        <v>305</v>
      </c>
      <c r="W395" s="986" t="s">
        <v>304</v>
      </c>
      <c r="X395" s="986" t="s">
        <v>304</v>
      </c>
      <c r="Y395" s="986" t="s">
        <v>304</v>
      </c>
      <c r="Z395" s="986" t="s">
        <v>174</v>
      </c>
      <c r="AA395" s="986" t="s">
        <v>174</v>
      </c>
      <c r="AB395" s="986" t="s">
        <v>304</v>
      </c>
      <c r="AC395" s="986" t="s">
        <v>304</v>
      </c>
      <c r="AD395" s="986" t="s">
        <v>304</v>
      </c>
      <c r="AE395" s="148" t="s">
        <v>304</v>
      </c>
    </row>
    <row r="396" spans="1:31" x14ac:dyDescent="0.25">
      <c r="A396" s="652" t="s">
        <v>398</v>
      </c>
      <c r="B396" s="221">
        <v>0.91</v>
      </c>
      <c r="C396" s="221">
        <v>6</v>
      </c>
      <c r="D396" s="221" t="s">
        <v>305</v>
      </c>
      <c r="E396" s="221" t="s">
        <v>304</v>
      </c>
      <c r="F396" s="221" t="s">
        <v>304</v>
      </c>
      <c r="G396" s="221" t="s">
        <v>305</v>
      </c>
      <c r="H396" s="221" t="s">
        <v>305</v>
      </c>
      <c r="I396" s="221" t="s">
        <v>305</v>
      </c>
      <c r="J396" s="221" t="s">
        <v>304</v>
      </c>
      <c r="K396" s="221" t="s">
        <v>174</v>
      </c>
      <c r="L396" s="221" t="s">
        <v>174</v>
      </c>
      <c r="M396" s="221" t="s">
        <v>304</v>
      </c>
      <c r="N396" s="221" t="s">
        <v>304</v>
      </c>
      <c r="O396" s="221" t="s">
        <v>304</v>
      </c>
      <c r="P396" s="148" t="s">
        <v>304</v>
      </c>
      <c r="Q396" s="731" t="s">
        <v>304</v>
      </c>
      <c r="R396" s="663"/>
      <c r="S396" s="986" t="s">
        <v>305</v>
      </c>
      <c r="T396" s="986" t="s">
        <v>304</v>
      </c>
      <c r="U396" s="986" t="s">
        <v>304</v>
      </c>
      <c r="V396" s="986" t="s">
        <v>305</v>
      </c>
      <c r="W396" s="986" t="s">
        <v>304</v>
      </c>
      <c r="X396" s="986" t="s">
        <v>304</v>
      </c>
      <c r="Y396" s="986" t="s">
        <v>304</v>
      </c>
      <c r="Z396" s="986" t="s">
        <v>174</v>
      </c>
      <c r="AA396" s="986" t="s">
        <v>174</v>
      </c>
      <c r="AB396" s="986" t="s">
        <v>304</v>
      </c>
      <c r="AC396" s="986" t="s">
        <v>304</v>
      </c>
      <c r="AD396" s="986" t="s">
        <v>304</v>
      </c>
      <c r="AE396" s="148" t="s">
        <v>304</v>
      </c>
    </row>
    <row r="397" spans="1:31" x14ac:dyDescent="0.25">
      <c r="A397" s="652" t="s">
        <v>400</v>
      </c>
      <c r="B397" s="221">
        <v>1.25</v>
      </c>
      <c r="C397" s="221">
        <v>6</v>
      </c>
      <c r="D397" s="221" t="s">
        <v>305</v>
      </c>
      <c r="E397" s="221" t="s">
        <v>304</v>
      </c>
      <c r="F397" s="221" t="s">
        <v>304</v>
      </c>
      <c r="G397" s="221" t="s">
        <v>305</v>
      </c>
      <c r="H397" s="221" t="s">
        <v>305</v>
      </c>
      <c r="I397" s="221" t="s">
        <v>305</v>
      </c>
      <c r="J397" s="221" t="s">
        <v>304</v>
      </c>
      <c r="K397" s="221" t="s">
        <v>174</v>
      </c>
      <c r="L397" s="221" t="s">
        <v>174</v>
      </c>
      <c r="M397" s="221" t="s">
        <v>304</v>
      </c>
      <c r="N397" s="221" t="s">
        <v>304</v>
      </c>
      <c r="O397" s="221" t="s">
        <v>304</v>
      </c>
      <c r="P397" s="148" t="s">
        <v>304</v>
      </c>
      <c r="Q397" s="731" t="s">
        <v>304</v>
      </c>
      <c r="R397" s="663"/>
      <c r="S397" s="986" t="s">
        <v>305</v>
      </c>
      <c r="T397" s="986" t="s">
        <v>304</v>
      </c>
      <c r="U397" s="986" t="s">
        <v>304</v>
      </c>
      <c r="V397" s="986" t="s">
        <v>305</v>
      </c>
      <c r="W397" s="986" t="s">
        <v>304</v>
      </c>
      <c r="X397" s="986" t="s">
        <v>304</v>
      </c>
      <c r="Y397" s="986" t="s">
        <v>304</v>
      </c>
      <c r="Z397" s="986" t="s">
        <v>174</v>
      </c>
      <c r="AA397" s="986" t="s">
        <v>174</v>
      </c>
      <c r="AB397" s="986" t="s">
        <v>304</v>
      </c>
      <c r="AC397" s="986" t="s">
        <v>304</v>
      </c>
      <c r="AD397" s="986" t="s">
        <v>304</v>
      </c>
      <c r="AE397" s="148" t="s">
        <v>304</v>
      </c>
    </row>
    <row r="398" spans="1:31" x14ac:dyDescent="0.25">
      <c r="A398" s="654" t="s">
        <v>37</v>
      </c>
      <c r="B398" s="221">
        <v>1.33</v>
      </c>
      <c r="C398" s="221">
        <v>6</v>
      </c>
      <c r="D398" s="221" t="s">
        <v>305</v>
      </c>
      <c r="E398" s="221" t="s">
        <v>173</v>
      </c>
      <c r="F398" s="221" t="s">
        <v>173</v>
      </c>
      <c r="G398" s="221" t="s">
        <v>305</v>
      </c>
      <c r="H398" s="221" t="s">
        <v>305</v>
      </c>
      <c r="I398" s="221" t="s">
        <v>305</v>
      </c>
      <c r="J398" s="221" t="s">
        <v>304</v>
      </c>
      <c r="K398" s="221" t="s">
        <v>174</v>
      </c>
      <c r="L398" s="221" t="s">
        <v>174</v>
      </c>
      <c r="M398" s="221" t="s">
        <v>304</v>
      </c>
      <c r="N398" s="221" t="s">
        <v>304</v>
      </c>
      <c r="O398" s="221" t="s">
        <v>304</v>
      </c>
      <c r="P398" s="148" t="s">
        <v>304</v>
      </c>
      <c r="Q398" s="731" t="s">
        <v>304</v>
      </c>
      <c r="R398" s="663"/>
      <c r="S398" s="986" t="s">
        <v>305</v>
      </c>
      <c r="T398" s="986" t="s">
        <v>173</v>
      </c>
      <c r="U398" s="986" t="s">
        <v>173</v>
      </c>
      <c r="V398" s="986" t="s">
        <v>305</v>
      </c>
      <c r="W398" s="986" t="s">
        <v>304</v>
      </c>
      <c r="X398" s="986" t="s">
        <v>304</v>
      </c>
      <c r="Y398" s="986" t="s">
        <v>304</v>
      </c>
      <c r="Z398" s="986" t="s">
        <v>174</v>
      </c>
      <c r="AA398" s="986" t="s">
        <v>174</v>
      </c>
      <c r="AB398" s="986" t="s">
        <v>304</v>
      </c>
      <c r="AC398" s="986" t="s">
        <v>304</v>
      </c>
      <c r="AD398" s="986" t="s">
        <v>304</v>
      </c>
      <c r="AE398" s="148" t="s">
        <v>304</v>
      </c>
    </row>
    <row r="399" spans="1:31" x14ac:dyDescent="0.25">
      <c r="A399" s="654" t="s">
        <v>403</v>
      </c>
      <c r="B399" s="221">
        <v>1.1100000000000001</v>
      </c>
      <c r="C399" s="221">
        <v>6</v>
      </c>
      <c r="D399" s="221" t="s">
        <v>305</v>
      </c>
      <c r="E399" s="221" t="s">
        <v>173</v>
      </c>
      <c r="F399" s="221" t="s">
        <v>173</v>
      </c>
      <c r="G399" s="221" t="s">
        <v>305</v>
      </c>
      <c r="H399" s="221" t="s">
        <v>305</v>
      </c>
      <c r="I399" s="221" t="s">
        <v>305</v>
      </c>
      <c r="J399" s="221" t="s">
        <v>305</v>
      </c>
      <c r="K399" s="221" t="s">
        <v>174</v>
      </c>
      <c r="L399" s="221" t="s">
        <v>174</v>
      </c>
      <c r="M399" s="221" t="s">
        <v>304</v>
      </c>
      <c r="N399" s="221" t="s">
        <v>304</v>
      </c>
      <c r="O399" s="221" t="s">
        <v>304</v>
      </c>
      <c r="P399" s="148" t="s">
        <v>304</v>
      </c>
      <c r="Q399" s="731">
        <v>3</v>
      </c>
      <c r="R399" s="663"/>
      <c r="S399" s="986" t="s">
        <v>305</v>
      </c>
      <c r="T399" s="986" t="s">
        <v>173</v>
      </c>
      <c r="U399" s="986" t="s">
        <v>173</v>
      </c>
      <c r="V399" s="986" t="s">
        <v>305</v>
      </c>
      <c r="W399" s="986" t="s">
        <v>304</v>
      </c>
      <c r="X399" s="986" t="s">
        <v>304</v>
      </c>
      <c r="Y399" s="986" t="s">
        <v>305</v>
      </c>
      <c r="Z399" s="986" t="s">
        <v>174</v>
      </c>
      <c r="AA399" s="986" t="s">
        <v>174</v>
      </c>
      <c r="AB399" s="986" t="s">
        <v>304</v>
      </c>
      <c r="AC399" s="986" t="s">
        <v>304</v>
      </c>
      <c r="AD399" s="986" t="s">
        <v>304</v>
      </c>
      <c r="AE399" s="148" t="s">
        <v>304</v>
      </c>
    </row>
    <row r="400" spans="1:31" x14ac:dyDescent="0.25">
      <c r="A400" s="654" t="s">
        <v>405</v>
      </c>
      <c r="B400" s="221">
        <v>0.53</v>
      </c>
      <c r="C400" s="221">
        <v>4</v>
      </c>
      <c r="D400" s="221" t="s">
        <v>305</v>
      </c>
      <c r="E400" s="221" t="s">
        <v>173</v>
      </c>
      <c r="F400" s="221" t="s">
        <v>173</v>
      </c>
      <c r="G400" s="221" t="s">
        <v>305</v>
      </c>
      <c r="H400" s="221" t="s">
        <v>305</v>
      </c>
      <c r="I400" s="221" t="s">
        <v>305</v>
      </c>
      <c r="J400" s="221" t="s">
        <v>304</v>
      </c>
      <c r="K400" s="221" t="s">
        <v>174</v>
      </c>
      <c r="L400" s="221" t="s">
        <v>174</v>
      </c>
      <c r="M400" s="221" t="s">
        <v>304</v>
      </c>
      <c r="N400" s="221" t="s">
        <v>304</v>
      </c>
      <c r="O400" s="221" t="s">
        <v>304</v>
      </c>
      <c r="P400" s="148" t="s">
        <v>304</v>
      </c>
      <c r="Q400" s="731" t="s">
        <v>304</v>
      </c>
      <c r="R400" s="663"/>
      <c r="S400" s="986" t="s">
        <v>305</v>
      </c>
      <c r="T400" s="986" t="s">
        <v>173</v>
      </c>
      <c r="U400" s="986" t="s">
        <v>173</v>
      </c>
      <c r="V400" s="986" t="s">
        <v>305</v>
      </c>
      <c r="W400" s="986" t="s">
        <v>304</v>
      </c>
      <c r="X400" s="986" t="s">
        <v>304</v>
      </c>
      <c r="Y400" s="986" t="s">
        <v>304</v>
      </c>
      <c r="Z400" s="986" t="s">
        <v>174</v>
      </c>
      <c r="AA400" s="986" t="s">
        <v>174</v>
      </c>
      <c r="AB400" s="986" t="s">
        <v>304</v>
      </c>
      <c r="AC400" s="986" t="s">
        <v>304</v>
      </c>
      <c r="AD400" s="986" t="s">
        <v>304</v>
      </c>
      <c r="AE400" s="148" t="s">
        <v>304</v>
      </c>
    </row>
    <row r="401" spans="1:31" x14ac:dyDescent="0.25">
      <c r="A401" s="652" t="s">
        <v>408</v>
      </c>
      <c r="B401" s="221">
        <v>0.96</v>
      </c>
      <c r="C401" s="221">
        <v>4</v>
      </c>
      <c r="D401" s="221" t="s">
        <v>305</v>
      </c>
      <c r="E401" s="221" t="s">
        <v>173</v>
      </c>
      <c r="F401" s="221" t="s">
        <v>173</v>
      </c>
      <c r="G401" s="221" t="s">
        <v>305</v>
      </c>
      <c r="H401" s="221" t="s">
        <v>305</v>
      </c>
      <c r="I401" s="221" t="s">
        <v>305</v>
      </c>
      <c r="J401" s="221" t="s">
        <v>304</v>
      </c>
      <c r="K401" s="221" t="s">
        <v>174</v>
      </c>
      <c r="L401" s="221" t="s">
        <v>174</v>
      </c>
      <c r="M401" s="221" t="s">
        <v>304</v>
      </c>
      <c r="N401" s="221" t="s">
        <v>304</v>
      </c>
      <c r="O401" s="221" t="s">
        <v>304</v>
      </c>
      <c r="P401" s="148" t="s">
        <v>304</v>
      </c>
      <c r="Q401" s="731" t="s">
        <v>304</v>
      </c>
      <c r="R401" s="663"/>
      <c r="S401" s="986" t="s">
        <v>305</v>
      </c>
      <c r="T401" s="986" t="s">
        <v>173</v>
      </c>
      <c r="U401" s="986" t="s">
        <v>173</v>
      </c>
      <c r="V401" s="986" t="s">
        <v>305</v>
      </c>
      <c r="W401" s="986" t="s">
        <v>304</v>
      </c>
      <c r="X401" s="986" t="s">
        <v>304</v>
      </c>
      <c r="Y401" s="986" t="s">
        <v>304</v>
      </c>
      <c r="Z401" s="986" t="s">
        <v>174</v>
      </c>
      <c r="AA401" s="986" t="s">
        <v>174</v>
      </c>
      <c r="AB401" s="986" t="s">
        <v>304</v>
      </c>
      <c r="AC401" s="986" t="s">
        <v>304</v>
      </c>
      <c r="AD401" s="986" t="s">
        <v>304</v>
      </c>
      <c r="AE401" s="148" t="s">
        <v>304</v>
      </c>
    </row>
    <row r="402" spans="1:31" x14ac:dyDescent="0.25">
      <c r="A402" s="652" t="s">
        <v>410</v>
      </c>
      <c r="B402" s="221">
        <v>1.18</v>
      </c>
      <c r="C402" s="221">
        <v>4</v>
      </c>
      <c r="D402" s="221" t="s">
        <v>305</v>
      </c>
      <c r="E402" s="221" t="s">
        <v>173</v>
      </c>
      <c r="F402" s="221" t="s">
        <v>173</v>
      </c>
      <c r="G402" s="221" t="s">
        <v>305</v>
      </c>
      <c r="H402" s="221" t="s">
        <v>305</v>
      </c>
      <c r="I402" s="221" t="s">
        <v>305</v>
      </c>
      <c r="J402" s="221" t="s">
        <v>305</v>
      </c>
      <c r="K402" s="221" t="s">
        <v>174</v>
      </c>
      <c r="L402" s="221" t="s">
        <v>174</v>
      </c>
      <c r="M402" s="221" t="s">
        <v>304</v>
      </c>
      <c r="N402" s="221" t="s">
        <v>304</v>
      </c>
      <c r="O402" s="221" t="s">
        <v>304</v>
      </c>
      <c r="P402" s="148" t="s">
        <v>304</v>
      </c>
      <c r="Q402" s="731" t="s">
        <v>304</v>
      </c>
      <c r="R402" s="663"/>
      <c r="S402" s="986" t="s">
        <v>305</v>
      </c>
      <c r="T402" s="986" t="s">
        <v>173</v>
      </c>
      <c r="U402" s="986" t="s">
        <v>173</v>
      </c>
      <c r="V402" s="986" t="s">
        <v>305</v>
      </c>
      <c r="W402" s="986" t="s">
        <v>304</v>
      </c>
      <c r="X402" s="986" t="s">
        <v>304</v>
      </c>
      <c r="Y402" s="986" t="s">
        <v>305</v>
      </c>
      <c r="Z402" s="986" t="s">
        <v>174</v>
      </c>
      <c r="AA402" s="986" t="s">
        <v>174</v>
      </c>
      <c r="AB402" s="986" t="s">
        <v>304</v>
      </c>
      <c r="AC402" s="986" t="s">
        <v>304</v>
      </c>
      <c r="AD402" s="986" t="s">
        <v>304</v>
      </c>
      <c r="AE402" s="148" t="s">
        <v>304</v>
      </c>
    </row>
    <row r="403" spans="1:31" x14ac:dyDescent="0.25">
      <c r="A403" s="654" t="s">
        <v>411</v>
      </c>
      <c r="B403" s="221">
        <v>0.88</v>
      </c>
      <c r="C403" s="221">
        <v>6</v>
      </c>
      <c r="D403" s="221" t="s">
        <v>305</v>
      </c>
      <c r="E403" s="221" t="s">
        <v>173</v>
      </c>
      <c r="F403" s="221" t="s">
        <v>173</v>
      </c>
      <c r="G403" s="221" t="s">
        <v>304</v>
      </c>
      <c r="H403" s="221" t="s">
        <v>305</v>
      </c>
      <c r="I403" s="221" t="s">
        <v>305</v>
      </c>
      <c r="J403" s="221" t="s">
        <v>304</v>
      </c>
      <c r="K403" s="221" t="s">
        <v>174</v>
      </c>
      <c r="L403" s="221" t="s">
        <v>174</v>
      </c>
      <c r="M403" s="221" t="s">
        <v>304</v>
      </c>
      <c r="N403" s="221" t="s">
        <v>304</v>
      </c>
      <c r="O403" s="221" t="s">
        <v>304</v>
      </c>
      <c r="P403" s="148" t="s">
        <v>304</v>
      </c>
      <c r="Q403" s="731" t="s">
        <v>304</v>
      </c>
      <c r="R403" s="663"/>
      <c r="S403" s="986" t="s">
        <v>305</v>
      </c>
      <c r="T403" s="986" t="s">
        <v>173</v>
      </c>
      <c r="U403" s="986" t="s">
        <v>173</v>
      </c>
      <c r="V403" s="986" t="s">
        <v>304</v>
      </c>
      <c r="W403" s="986" t="s">
        <v>304</v>
      </c>
      <c r="X403" s="986" t="s">
        <v>304</v>
      </c>
      <c r="Y403" s="986" t="s">
        <v>304</v>
      </c>
      <c r="Z403" s="986" t="s">
        <v>174</v>
      </c>
      <c r="AA403" s="986" t="s">
        <v>174</v>
      </c>
      <c r="AB403" s="986" t="s">
        <v>304</v>
      </c>
      <c r="AC403" s="986" t="s">
        <v>304</v>
      </c>
      <c r="AD403" s="986" t="s">
        <v>304</v>
      </c>
      <c r="AE403" s="148" t="s">
        <v>304</v>
      </c>
    </row>
    <row r="404" spans="1:31" x14ac:dyDescent="0.25">
      <c r="A404" s="652" t="s">
        <v>412</v>
      </c>
      <c r="B404" s="221">
        <v>0.84</v>
      </c>
      <c r="C404" s="221">
        <v>4</v>
      </c>
      <c r="D404" s="221" t="s">
        <v>305</v>
      </c>
      <c r="E404" s="221" t="s">
        <v>304</v>
      </c>
      <c r="F404" s="221" t="s">
        <v>304</v>
      </c>
      <c r="G404" s="221" t="s">
        <v>304</v>
      </c>
      <c r="H404" s="221" t="s">
        <v>305</v>
      </c>
      <c r="I404" s="221" t="s">
        <v>305</v>
      </c>
      <c r="J404" s="221" t="s">
        <v>305</v>
      </c>
      <c r="K404" s="221" t="s">
        <v>174</v>
      </c>
      <c r="L404" s="221" t="s">
        <v>174</v>
      </c>
      <c r="M404" s="221" t="s">
        <v>304</v>
      </c>
      <c r="N404" s="221" t="s">
        <v>304</v>
      </c>
      <c r="O404" s="221" t="s">
        <v>304</v>
      </c>
      <c r="P404" s="148" t="s">
        <v>304</v>
      </c>
      <c r="Q404" s="222">
        <v>5</v>
      </c>
      <c r="R404" s="663"/>
      <c r="S404" s="986" t="s">
        <v>305</v>
      </c>
      <c r="T404" s="986" t="s">
        <v>304</v>
      </c>
      <c r="U404" s="986" t="s">
        <v>304</v>
      </c>
      <c r="V404" s="986" t="s">
        <v>304</v>
      </c>
      <c r="W404" s="986" t="s">
        <v>304</v>
      </c>
      <c r="X404" s="986" t="s">
        <v>304</v>
      </c>
      <c r="Y404" s="986" t="s">
        <v>305</v>
      </c>
      <c r="Z404" s="986" t="s">
        <v>174</v>
      </c>
      <c r="AA404" s="986" t="s">
        <v>174</v>
      </c>
      <c r="AB404" s="986" t="s">
        <v>304</v>
      </c>
      <c r="AC404" s="986" t="s">
        <v>304</v>
      </c>
      <c r="AD404" s="986" t="s">
        <v>304</v>
      </c>
      <c r="AE404" s="148" t="s">
        <v>304</v>
      </c>
    </row>
    <row r="405" spans="1:31" x14ac:dyDescent="0.25">
      <c r="A405" s="652" t="s">
        <v>414</v>
      </c>
      <c r="B405" s="221">
        <v>0.65</v>
      </c>
      <c r="C405" s="221">
        <v>6</v>
      </c>
      <c r="D405" s="221" t="s">
        <v>305</v>
      </c>
      <c r="E405" s="221" t="s">
        <v>304</v>
      </c>
      <c r="F405" s="221" t="s">
        <v>304</v>
      </c>
      <c r="G405" s="221" t="s">
        <v>304</v>
      </c>
      <c r="H405" s="221" t="s">
        <v>305</v>
      </c>
      <c r="I405" s="221" t="s">
        <v>305</v>
      </c>
      <c r="J405" s="221" t="s">
        <v>304</v>
      </c>
      <c r="K405" s="221" t="s">
        <v>174</v>
      </c>
      <c r="L405" s="221" t="s">
        <v>174</v>
      </c>
      <c r="M405" s="221" t="s">
        <v>304</v>
      </c>
      <c r="N405" s="221" t="s">
        <v>304</v>
      </c>
      <c r="O405" s="221" t="s">
        <v>304</v>
      </c>
      <c r="P405" s="148" t="s">
        <v>304</v>
      </c>
      <c r="Q405" s="222">
        <v>5</v>
      </c>
      <c r="R405" s="663"/>
      <c r="S405" s="986" t="s">
        <v>305</v>
      </c>
      <c r="T405" s="986" t="s">
        <v>304</v>
      </c>
      <c r="U405" s="986" t="s">
        <v>304</v>
      </c>
      <c r="V405" s="986" t="s">
        <v>304</v>
      </c>
      <c r="W405" s="986" t="s">
        <v>304</v>
      </c>
      <c r="X405" s="986" t="s">
        <v>304</v>
      </c>
      <c r="Y405" s="986" t="s">
        <v>304</v>
      </c>
      <c r="Z405" s="986" t="s">
        <v>174</v>
      </c>
      <c r="AA405" s="986" t="s">
        <v>174</v>
      </c>
      <c r="AB405" s="986" t="s">
        <v>304</v>
      </c>
      <c r="AC405" s="986" t="s">
        <v>304</v>
      </c>
      <c r="AD405" s="986" t="s">
        <v>304</v>
      </c>
      <c r="AE405" s="148" t="s">
        <v>304</v>
      </c>
    </row>
    <row r="406" spans="1:31" x14ac:dyDescent="0.25">
      <c r="A406" s="667" t="s">
        <v>415</v>
      </c>
      <c r="B406" s="221">
        <v>1.69</v>
      </c>
      <c r="C406" s="221">
        <v>4</v>
      </c>
      <c r="D406" s="221" t="s">
        <v>305</v>
      </c>
      <c r="E406" s="221" t="s">
        <v>304</v>
      </c>
      <c r="F406" s="221" t="s">
        <v>304</v>
      </c>
      <c r="G406" s="221" t="s">
        <v>304</v>
      </c>
      <c r="H406" s="221" t="s">
        <v>305</v>
      </c>
      <c r="I406" s="221" t="s">
        <v>305</v>
      </c>
      <c r="J406" s="221" t="s">
        <v>305</v>
      </c>
      <c r="K406" s="221" t="s">
        <v>174</v>
      </c>
      <c r="L406" s="221" t="s">
        <v>174</v>
      </c>
      <c r="M406" s="221" t="s">
        <v>304</v>
      </c>
      <c r="N406" s="221" t="s">
        <v>304</v>
      </c>
      <c r="O406" s="221" t="s">
        <v>304</v>
      </c>
      <c r="P406" s="148" t="s">
        <v>304</v>
      </c>
      <c r="Q406" s="222">
        <v>5</v>
      </c>
      <c r="R406" s="663"/>
      <c r="S406" s="986" t="s">
        <v>305</v>
      </c>
      <c r="T406" s="986" t="s">
        <v>304</v>
      </c>
      <c r="U406" s="986" t="s">
        <v>304</v>
      </c>
      <c r="V406" s="986" t="s">
        <v>304</v>
      </c>
      <c r="W406" s="986" t="s">
        <v>304</v>
      </c>
      <c r="X406" s="986" t="s">
        <v>304</v>
      </c>
      <c r="Y406" s="986" t="s">
        <v>305</v>
      </c>
      <c r="Z406" s="986" t="s">
        <v>174</v>
      </c>
      <c r="AA406" s="986" t="s">
        <v>174</v>
      </c>
      <c r="AB406" s="986" t="s">
        <v>304</v>
      </c>
      <c r="AC406" s="986" t="s">
        <v>304</v>
      </c>
      <c r="AD406" s="986" t="s">
        <v>304</v>
      </c>
      <c r="AE406" s="148" t="s">
        <v>304</v>
      </c>
    </row>
    <row r="407" spans="1:31" x14ac:dyDescent="0.25">
      <c r="A407" s="652" t="s">
        <v>416</v>
      </c>
      <c r="B407" s="221">
        <v>0.51</v>
      </c>
      <c r="C407" s="221">
        <v>4</v>
      </c>
      <c r="D407" s="221" t="s">
        <v>305</v>
      </c>
      <c r="E407" s="221" t="s">
        <v>304</v>
      </c>
      <c r="F407" s="221" t="s">
        <v>304</v>
      </c>
      <c r="G407" s="221" t="s">
        <v>304</v>
      </c>
      <c r="H407" s="221" t="s">
        <v>305</v>
      </c>
      <c r="I407" s="221" t="s">
        <v>305</v>
      </c>
      <c r="J407" s="221" t="s">
        <v>304</v>
      </c>
      <c r="K407" s="221" t="s">
        <v>174</v>
      </c>
      <c r="L407" s="221" t="s">
        <v>174</v>
      </c>
      <c r="M407" s="221" t="s">
        <v>304</v>
      </c>
      <c r="N407" s="221" t="s">
        <v>304</v>
      </c>
      <c r="O407" s="221" t="s">
        <v>304</v>
      </c>
      <c r="P407" s="148" t="s">
        <v>304</v>
      </c>
      <c r="Q407" s="222">
        <v>5</v>
      </c>
      <c r="R407" s="663"/>
      <c r="S407" s="986" t="s">
        <v>305</v>
      </c>
      <c r="T407" s="986" t="s">
        <v>304</v>
      </c>
      <c r="U407" s="986" t="s">
        <v>304</v>
      </c>
      <c r="V407" s="986" t="s">
        <v>304</v>
      </c>
      <c r="W407" s="986" t="s">
        <v>304</v>
      </c>
      <c r="X407" s="986" t="s">
        <v>304</v>
      </c>
      <c r="Y407" s="986" t="s">
        <v>304</v>
      </c>
      <c r="Z407" s="986" t="s">
        <v>174</v>
      </c>
      <c r="AA407" s="986" t="s">
        <v>174</v>
      </c>
      <c r="AB407" s="986" t="s">
        <v>304</v>
      </c>
      <c r="AC407" s="986" t="s">
        <v>304</v>
      </c>
      <c r="AD407" s="986" t="s">
        <v>304</v>
      </c>
      <c r="AE407" s="148" t="s">
        <v>304</v>
      </c>
    </row>
    <row r="408" spans="1:31" x14ac:dyDescent="0.25">
      <c r="A408" s="652" t="s">
        <v>418</v>
      </c>
      <c r="B408" s="663">
        <v>0.23</v>
      </c>
      <c r="C408" s="663">
        <v>4</v>
      </c>
      <c r="D408" s="663" t="s">
        <v>305</v>
      </c>
      <c r="E408" s="663" t="s">
        <v>304</v>
      </c>
      <c r="F408" s="663" t="s">
        <v>304</v>
      </c>
      <c r="G408" s="663" t="s">
        <v>304</v>
      </c>
      <c r="H408" s="663" t="s">
        <v>305</v>
      </c>
      <c r="I408" s="663" t="s">
        <v>305</v>
      </c>
      <c r="J408" s="663" t="s">
        <v>304</v>
      </c>
      <c r="K408" s="663" t="s">
        <v>174</v>
      </c>
      <c r="L408" s="663" t="s">
        <v>174</v>
      </c>
      <c r="M408" s="663" t="s">
        <v>304</v>
      </c>
      <c r="N408" s="663" t="s">
        <v>304</v>
      </c>
      <c r="O408" s="663" t="s">
        <v>304</v>
      </c>
      <c r="P408" s="652" t="s">
        <v>304</v>
      </c>
      <c r="Q408" s="222">
        <v>5</v>
      </c>
      <c r="R408" s="663"/>
      <c r="S408" s="663" t="s">
        <v>305</v>
      </c>
      <c r="T408" s="663" t="s">
        <v>304</v>
      </c>
      <c r="U408" s="663" t="s">
        <v>304</v>
      </c>
      <c r="V408" s="663" t="s">
        <v>304</v>
      </c>
      <c r="W408" s="986" t="s">
        <v>304</v>
      </c>
      <c r="X408" s="986" t="s">
        <v>304</v>
      </c>
      <c r="Y408" s="663" t="s">
        <v>304</v>
      </c>
      <c r="Z408" s="663" t="s">
        <v>174</v>
      </c>
      <c r="AA408" s="663" t="s">
        <v>174</v>
      </c>
      <c r="AB408" s="663" t="s">
        <v>304</v>
      </c>
      <c r="AC408" s="663" t="s">
        <v>304</v>
      </c>
      <c r="AD408" s="663" t="s">
        <v>304</v>
      </c>
      <c r="AE408" s="652" t="s">
        <v>304</v>
      </c>
    </row>
    <row r="409" spans="1:31" x14ac:dyDescent="0.25">
      <c r="A409" s="652" t="s">
        <v>420</v>
      </c>
      <c r="B409" s="663">
        <v>1.25</v>
      </c>
      <c r="C409" s="663">
        <v>6</v>
      </c>
      <c r="D409" s="663" t="s">
        <v>305</v>
      </c>
      <c r="E409" s="663" t="s">
        <v>304</v>
      </c>
      <c r="F409" s="663" t="s">
        <v>304</v>
      </c>
      <c r="G409" s="663" t="s">
        <v>304</v>
      </c>
      <c r="H409" s="663" t="s">
        <v>305</v>
      </c>
      <c r="I409" s="663" t="s">
        <v>305</v>
      </c>
      <c r="J409" s="663" t="s">
        <v>305</v>
      </c>
      <c r="K409" s="663" t="s">
        <v>174</v>
      </c>
      <c r="L409" s="663" t="s">
        <v>174</v>
      </c>
      <c r="M409" s="663" t="s">
        <v>304</v>
      </c>
      <c r="N409" s="663" t="s">
        <v>304</v>
      </c>
      <c r="O409" s="663" t="s">
        <v>304</v>
      </c>
      <c r="P409" s="652" t="s">
        <v>304</v>
      </c>
      <c r="Q409" s="222">
        <v>5</v>
      </c>
      <c r="R409" s="663"/>
      <c r="S409" s="663" t="s">
        <v>305</v>
      </c>
      <c r="T409" s="663" t="s">
        <v>304</v>
      </c>
      <c r="U409" s="663" t="s">
        <v>304</v>
      </c>
      <c r="V409" s="663" t="s">
        <v>304</v>
      </c>
      <c r="W409" s="986" t="s">
        <v>304</v>
      </c>
      <c r="X409" s="986" t="s">
        <v>304</v>
      </c>
      <c r="Y409" s="663" t="s">
        <v>305</v>
      </c>
      <c r="Z409" s="663" t="s">
        <v>174</v>
      </c>
      <c r="AA409" s="663" t="s">
        <v>174</v>
      </c>
      <c r="AB409" s="663" t="s">
        <v>304</v>
      </c>
      <c r="AC409" s="663" t="s">
        <v>304</v>
      </c>
      <c r="AD409" s="663" t="s">
        <v>304</v>
      </c>
      <c r="AE409" s="652" t="s">
        <v>304</v>
      </c>
    </row>
    <row r="410" spans="1:31" x14ac:dyDescent="0.25">
      <c r="A410" s="652" t="s">
        <v>422</v>
      </c>
      <c r="B410" s="221">
        <v>0.52</v>
      </c>
      <c r="C410" s="221">
        <v>6</v>
      </c>
      <c r="D410" s="221" t="s">
        <v>305</v>
      </c>
      <c r="E410" s="221" t="s">
        <v>173</v>
      </c>
      <c r="F410" s="221" t="s">
        <v>173</v>
      </c>
      <c r="G410" s="221" t="s">
        <v>305</v>
      </c>
      <c r="H410" s="221" t="s">
        <v>305</v>
      </c>
      <c r="I410" s="221" t="s">
        <v>305</v>
      </c>
      <c r="J410" s="221" t="s">
        <v>304</v>
      </c>
      <c r="K410" s="221" t="s">
        <v>305</v>
      </c>
      <c r="L410" s="221" t="s">
        <v>304</v>
      </c>
      <c r="M410" s="221" t="s">
        <v>304</v>
      </c>
      <c r="N410" s="221" t="s">
        <v>304</v>
      </c>
      <c r="O410" s="221" t="s">
        <v>304</v>
      </c>
      <c r="P410" s="148" t="s">
        <v>304</v>
      </c>
      <c r="Q410" s="663" t="s">
        <v>304</v>
      </c>
      <c r="S410" s="986" t="s">
        <v>305</v>
      </c>
      <c r="T410" s="986" t="s">
        <v>173</v>
      </c>
      <c r="U410" s="986" t="s">
        <v>173</v>
      </c>
      <c r="V410" s="986" t="s">
        <v>305</v>
      </c>
      <c r="W410" s="986" t="s">
        <v>304</v>
      </c>
      <c r="X410" s="986" t="s">
        <v>304</v>
      </c>
      <c r="Y410" s="986" t="s">
        <v>304</v>
      </c>
      <c r="Z410" s="986" t="s">
        <v>305</v>
      </c>
      <c r="AA410" s="986" t="s">
        <v>304</v>
      </c>
      <c r="AB410" s="986" t="s">
        <v>304</v>
      </c>
      <c r="AC410" s="986" t="s">
        <v>304</v>
      </c>
      <c r="AD410" s="986" t="s">
        <v>304</v>
      </c>
      <c r="AE410" s="148" t="s">
        <v>304</v>
      </c>
    </row>
    <row r="411" spans="1:31" x14ac:dyDescent="0.25">
      <c r="A411" s="652" t="s">
        <v>423</v>
      </c>
      <c r="B411" s="221">
        <v>0.59</v>
      </c>
      <c r="C411" s="221">
        <v>4</v>
      </c>
      <c r="D411" s="221" t="s">
        <v>305</v>
      </c>
      <c r="E411" s="221" t="s">
        <v>173</v>
      </c>
      <c r="F411" s="221" t="s">
        <v>173</v>
      </c>
      <c r="G411" s="221" t="s">
        <v>305</v>
      </c>
      <c r="H411" s="221" t="s">
        <v>305</v>
      </c>
      <c r="I411" s="221" t="s">
        <v>305</v>
      </c>
      <c r="J411" s="221" t="s">
        <v>304</v>
      </c>
      <c r="K411" s="221" t="s">
        <v>305</v>
      </c>
      <c r="L411" s="221" t="s">
        <v>304</v>
      </c>
      <c r="M411" s="221" t="s">
        <v>304</v>
      </c>
      <c r="N411" s="221" t="s">
        <v>304</v>
      </c>
      <c r="O411" s="221" t="s">
        <v>304</v>
      </c>
      <c r="P411" s="148" t="s">
        <v>304</v>
      </c>
      <c r="Q411" s="663" t="s">
        <v>304</v>
      </c>
      <c r="S411" s="986" t="s">
        <v>305</v>
      </c>
      <c r="T411" s="986" t="s">
        <v>173</v>
      </c>
      <c r="U411" s="986" t="s">
        <v>173</v>
      </c>
      <c r="V411" s="986" t="s">
        <v>305</v>
      </c>
      <c r="W411" s="986" t="s">
        <v>304</v>
      </c>
      <c r="X411" s="986" t="s">
        <v>304</v>
      </c>
      <c r="Y411" s="986" t="s">
        <v>304</v>
      </c>
      <c r="Z411" s="986" t="s">
        <v>305</v>
      </c>
      <c r="AA411" s="986" t="s">
        <v>304</v>
      </c>
      <c r="AB411" s="986" t="s">
        <v>304</v>
      </c>
      <c r="AC411" s="986" t="s">
        <v>304</v>
      </c>
      <c r="AD411" s="986" t="s">
        <v>304</v>
      </c>
      <c r="AE411" s="148" t="s">
        <v>304</v>
      </c>
    </row>
    <row r="412" spans="1:31" x14ac:dyDescent="0.25">
      <c r="A412" s="668" t="s">
        <v>425</v>
      </c>
      <c r="B412" s="663">
        <v>0.42</v>
      </c>
      <c r="C412" s="663">
        <v>6</v>
      </c>
      <c r="D412" s="663" t="s">
        <v>305</v>
      </c>
      <c r="E412" s="663" t="s">
        <v>173</v>
      </c>
      <c r="F412" s="663" t="s">
        <v>173</v>
      </c>
      <c r="G412" s="663" t="s">
        <v>305</v>
      </c>
      <c r="H412" s="663" t="s">
        <v>305</v>
      </c>
      <c r="I412" s="663" t="s">
        <v>305</v>
      </c>
      <c r="J412" s="663" t="s">
        <v>304</v>
      </c>
      <c r="K412" s="663" t="s">
        <v>305</v>
      </c>
      <c r="L412" s="663" t="s">
        <v>304</v>
      </c>
      <c r="M412" s="663" t="s">
        <v>304</v>
      </c>
      <c r="N412" s="663" t="s">
        <v>304</v>
      </c>
      <c r="O412" s="663" t="s">
        <v>304</v>
      </c>
      <c r="P412" s="652" t="s">
        <v>304</v>
      </c>
      <c r="Q412" s="663" t="s">
        <v>304</v>
      </c>
      <c r="R412" s="663"/>
      <c r="S412" s="663" t="s">
        <v>305</v>
      </c>
      <c r="T412" s="663" t="s">
        <v>173</v>
      </c>
      <c r="U412" s="663" t="s">
        <v>173</v>
      </c>
      <c r="V412" s="663" t="s">
        <v>305</v>
      </c>
      <c r="W412" s="986" t="s">
        <v>304</v>
      </c>
      <c r="X412" s="986" t="s">
        <v>304</v>
      </c>
      <c r="Y412" s="663" t="s">
        <v>304</v>
      </c>
      <c r="Z412" s="663" t="s">
        <v>305</v>
      </c>
      <c r="AA412" s="663" t="s">
        <v>304</v>
      </c>
      <c r="AB412" s="663" t="s">
        <v>304</v>
      </c>
      <c r="AC412" s="663" t="s">
        <v>304</v>
      </c>
      <c r="AD412" s="663" t="s">
        <v>304</v>
      </c>
      <c r="AE412" s="652" t="s">
        <v>304</v>
      </c>
    </row>
    <row r="413" spans="1:31" x14ac:dyDescent="0.25">
      <c r="A413" s="652" t="s">
        <v>427</v>
      </c>
      <c r="B413" s="221">
        <v>0.8</v>
      </c>
      <c r="C413" s="221">
        <v>4</v>
      </c>
      <c r="D413" s="221" t="s">
        <v>305</v>
      </c>
      <c r="E413" s="221" t="s">
        <v>173</v>
      </c>
      <c r="F413" s="221" t="s">
        <v>173</v>
      </c>
      <c r="G413" s="221" t="s">
        <v>305</v>
      </c>
      <c r="H413" s="221" t="s">
        <v>305</v>
      </c>
      <c r="I413" s="221" t="s">
        <v>305</v>
      </c>
      <c r="J413" s="221" t="s">
        <v>304</v>
      </c>
      <c r="K413" s="221" t="s">
        <v>174</v>
      </c>
      <c r="L413" s="221" t="s">
        <v>174</v>
      </c>
      <c r="M413" s="221" t="s">
        <v>304</v>
      </c>
      <c r="N413" s="221" t="s">
        <v>304</v>
      </c>
      <c r="O413" s="221" t="s">
        <v>304</v>
      </c>
      <c r="P413" s="148" t="s">
        <v>304</v>
      </c>
      <c r="Q413" s="731" t="s">
        <v>304</v>
      </c>
      <c r="R413" s="663"/>
      <c r="S413" s="986" t="s">
        <v>305</v>
      </c>
      <c r="T413" s="986" t="s">
        <v>173</v>
      </c>
      <c r="U413" s="986" t="s">
        <v>173</v>
      </c>
      <c r="V413" s="986" t="s">
        <v>305</v>
      </c>
      <c r="W413" s="986" t="s">
        <v>304</v>
      </c>
      <c r="X413" s="986" t="s">
        <v>304</v>
      </c>
      <c r="Y413" s="986" t="s">
        <v>304</v>
      </c>
      <c r="Z413" s="986" t="s">
        <v>174</v>
      </c>
      <c r="AA413" s="986" t="s">
        <v>174</v>
      </c>
      <c r="AB413" s="986" t="s">
        <v>304</v>
      </c>
      <c r="AC413" s="986" t="s">
        <v>304</v>
      </c>
      <c r="AD413" s="986" t="s">
        <v>304</v>
      </c>
      <c r="AE413" s="148" t="s">
        <v>304</v>
      </c>
    </row>
    <row r="414" spans="1:31" x14ac:dyDescent="0.25">
      <c r="A414" s="652" t="s">
        <v>429</v>
      </c>
      <c r="B414" s="221">
        <v>0.76</v>
      </c>
      <c r="C414" s="221">
        <v>6</v>
      </c>
      <c r="D414" s="221" t="s">
        <v>305</v>
      </c>
      <c r="E414" s="221" t="s">
        <v>173</v>
      </c>
      <c r="F414" s="221" t="s">
        <v>173</v>
      </c>
      <c r="G414" s="221" t="s">
        <v>305</v>
      </c>
      <c r="H414" s="221" t="s">
        <v>305</v>
      </c>
      <c r="I414" s="221" t="s">
        <v>305</v>
      </c>
      <c r="J414" s="221" t="s">
        <v>304</v>
      </c>
      <c r="K414" s="221" t="s">
        <v>174</v>
      </c>
      <c r="L414" s="221" t="s">
        <v>174</v>
      </c>
      <c r="M414" s="221" t="s">
        <v>304</v>
      </c>
      <c r="N414" s="221" t="s">
        <v>304</v>
      </c>
      <c r="O414" s="221" t="s">
        <v>304</v>
      </c>
      <c r="P414" s="148" t="s">
        <v>304</v>
      </c>
      <c r="Q414" s="731" t="s">
        <v>304</v>
      </c>
      <c r="R414" s="663"/>
      <c r="S414" s="986" t="s">
        <v>305</v>
      </c>
      <c r="T414" s="986" t="s">
        <v>173</v>
      </c>
      <c r="U414" s="986" t="s">
        <v>173</v>
      </c>
      <c r="V414" s="986" t="s">
        <v>305</v>
      </c>
      <c r="W414" s="986" t="s">
        <v>304</v>
      </c>
      <c r="X414" s="986" t="s">
        <v>304</v>
      </c>
      <c r="Y414" s="986" t="s">
        <v>304</v>
      </c>
      <c r="Z414" s="986" t="s">
        <v>174</v>
      </c>
      <c r="AA414" s="986" t="s">
        <v>174</v>
      </c>
      <c r="AB414" s="986" t="s">
        <v>304</v>
      </c>
      <c r="AC414" s="986" t="s">
        <v>304</v>
      </c>
      <c r="AD414" s="986" t="s">
        <v>304</v>
      </c>
      <c r="AE414" s="148" t="s">
        <v>304</v>
      </c>
    </row>
    <row r="415" spans="1:31" x14ac:dyDescent="0.25">
      <c r="A415" s="652" t="s">
        <v>431</v>
      </c>
      <c r="B415" s="221">
        <v>1.42</v>
      </c>
      <c r="C415" s="221">
        <v>8</v>
      </c>
      <c r="D415" s="221" t="s">
        <v>305</v>
      </c>
      <c r="E415" s="221" t="s">
        <v>173</v>
      </c>
      <c r="F415" s="221" t="s">
        <v>173</v>
      </c>
      <c r="G415" s="221" t="s">
        <v>305</v>
      </c>
      <c r="H415" s="221" t="s">
        <v>305</v>
      </c>
      <c r="I415" s="221" t="s">
        <v>305</v>
      </c>
      <c r="J415" s="221" t="s">
        <v>304</v>
      </c>
      <c r="K415" s="221" t="s">
        <v>174</v>
      </c>
      <c r="L415" s="221" t="s">
        <v>174</v>
      </c>
      <c r="M415" s="221" t="s">
        <v>304</v>
      </c>
      <c r="N415" s="221" t="s">
        <v>304</v>
      </c>
      <c r="O415" s="221" t="s">
        <v>304</v>
      </c>
      <c r="P415" s="148" t="s">
        <v>304</v>
      </c>
      <c r="Q415" s="731" t="s">
        <v>304</v>
      </c>
      <c r="R415" s="663"/>
      <c r="S415" s="986" t="s">
        <v>305</v>
      </c>
      <c r="T415" s="986" t="s">
        <v>173</v>
      </c>
      <c r="U415" s="986" t="s">
        <v>173</v>
      </c>
      <c r="V415" s="986" t="s">
        <v>305</v>
      </c>
      <c r="W415" s="986" t="s">
        <v>304</v>
      </c>
      <c r="X415" s="986" t="s">
        <v>304</v>
      </c>
      <c r="Y415" s="986" t="s">
        <v>304</v>
      </c>
      <c r="Z415" s="986" t="s">
        <v>174</v>
      </c>
      <c r="AA415" s="986" t="s">
        <v>174</v>
      </c>
      <c r="AB415" s="986" t="s">
        <v>304</v>
      </c>
      <c r="AC415" s="986" t="s">
        <v>304</v>
      </c>
      <c r="AD415" s="986" t="s">
        <v>304</v>
      </c>
      <c r="AE415" s="148" t="s">
        <v>304</v>
      </c>
    </row>
    <row r="416" spans="1:31" x14ac:dyDescent="0.25">
      <c r="A416" s="652" t="s">
        <v>433</v>
      </c>
      <c r="B416" s="221">
        <v>1.24</v>
      </c>
      <c r="C416" s="221">
        <v>6</v>
      </c>
      <c r="D416" s="221" t="s">
        <v>305</v>
      </c>
      <c r="E416" s="221" t="s">
        <v>173</v>
      </c>
      <c r="F416" s="221" t="s">
        <v>173</v>
      </c>
      <c r="G416" s="221" t="s">
        <v>305</v>
      </c>
      <c r="H416" s="221" t="s">
        <v>305</v>
      </c>
      <c r="I416" s="221" t="s">
        <v>305</v>
      </c>
      <c r="J416" s="221" t="s">
        <v>304</v>
      </c>
      <c r="K416" s="221" t="s">
        <v>174</v>
      </c>
      <c r="L416" s="221" t="s">
        <v>174</v>
      </c>
      <c r="M416" s="221" t="s">
        <v>304</v>
      </c>
      <c r="N416" s="221" t="s">
        <v>304</v>
      </c>
      <c r="O416" s="221" t="s">
        <v>304</v>
      </c>
      <c r="P416" s="148" t="s">
        <v>304</v>
      </c>
      <c r="Q416" s="731" t="s">
        <v>304</v>
      </c>
      <c r="R416" s="663"/>
      <c r="S416" s="986" t="s">
        <v>305</v>
      </c>
      <c r="T416" s="986" t="s">
        <v>173</v>
      </c>
      <c r="U416" s="986" t="s">
        <v>173</v>
      </c>
      <c r="V416" s="986" t="s">
        <v>305</v>
      </c>
      <c r="W416" s="986" t="s">
        <v>304</v>
      </c>
      <c r="X416" s="986" t="s">
        <v>304</v>
      </c>
      <c r="Y416" s="986" t="s">
        <v>304</v>
      </c>
      <c r="Z416" s="986" t="s">
        <v>174</v>
      </c>
      <c r="AA416" s="986" t="s">
        <v>174</v>
      </c>
      <c r="AB416" s="986" t="s">
        <v>304</v>
      </c>
      <c r="AC416" s="986" t="s">
        <v>304</v>
      </c>
      <c r="AD416" s="986" t="s">
        <v>304</v>
      </c>
      <c r="AE416" s="148" t="s">
        <v>304</v>
      </c>
    </row>
    <row r="417" spans="1:31" x14ac:dyDescent="0.25">
      <c r="A417" s="652" t="s">
        <v>435</v>
      </c>
      <c r="B417" s="221">
        <v>0.86</v>
      </c>
      <c r="C417" s="221">
        <v>3</v>
      </c>
      <c r="D417" s="221" t="s">
        <v>305</v>
      </c>
      <c r="E417" s="221" t="s">
        <v>173</v>
      </c>
      <c r="F417" s="221" t="s">
        <v>173</v>
      </c>
      <c r="G417" s="221" t="s">
        <v>305</v>
      </c>
      <c r="H417" s="221" t="s">
        <v>305</v>
      </c>
      <c r="I417" s="221" t="s">
        <v>305</v>
      </c>
      <c r="J417" s="221" t="s">
        <v>304</v>
      </c>
      <c r="K417" s="221" t="s">
        <v>174</v>
      </c>
      <c r="L417" s="221" t="s">
        <v>174</v>
      </c>
      <c r="M417" s="221" t="s">
        <v>304</v>
      </c>
      <c r="N417" s="221" t="s">
        <v>304</v>
      </c>
      <c r="O417" s="221" t="s">
        <v>304</v>
      </c>
      <c r="P417" s="148" t="s">
        <v>304</v>
      </c>
      <c r="Q417" s="731" t="s">
        <v>304</v>
      </c>
      <c r="R417" s="663"/>
      <c r="S417" s="986" t="s">
        <v>305</v>
      </c>
      <c r="T417" s="986" t="s">
        <v>173</v>
      </c>
      <c r="U417" s="986" t="s">
        <v>173</v>
      </c>
      <c r="V417" s="986" t="s">
        <v>305</v>
      </c>
      <c r="W417" s="986" t="s">
        <v>304</v>
      </c>
      <c r="X417" s="986" t="s">
        <v>304</v>
      </c>
      <c r="Y417" s="986" t="s">
        <v>304</v>
      </c>
      <c r="Z417" s="986" t="s">
        <v>174</v>
      </c>
      <c r="AA417" s="986" t="s">
        <v>174</v>
      </c>
      <c r="AB417" s="986" t="s">
        <v>304</v>
      </c>
      <c r="AC417" s="986" t="s">
        <v>304</v>
      </c>
      <c r="AD417" s="986" t="s">
        <v>304</v>
      </c>
      <c r="AE417" s="148" t="s">
        <v>304</v>
      </c>
    </row>
    <row r="418" spans="1:31" x14ac:dyDescent="0.25">
      <c r="A418" s="664" t="s">
        <v>973</v>
      </c>
      <c r="B418" s="221">
        <v>0.27</v>
      </c>
      <c r="C418" s="221">
        <f>VLOOKUP($R418,Table_9.6.1_2019[],C$345,FALSE)</f>
        <v>4</v>
      </c>
      <c r="D418" s="221" t="str">
        <f>VLOOKUP($R418,Table_9.6.1_2019[],D$345,FALSE)</f>
        <v>REQ</v>
      </c>
      <c r="E418" s="221" t="str">
        <f>VLOOKUP($R418,Table_9.6.1_2019[],E$345,FALSE)</f>
        <v>ADD1</v>
      </c>
      <c r="F418" s="221" t="str">
        <f>VLOOKUP($R418,Table_9.6.1_2019[],F$345,FALSE)</f>
        <v>ADD1</v>
      </c>
      <c r="G418" s="221" t="str">
        <f>VLOOKUP($R418,Table_9.6.1_2019[],G$345,FALSE)</f>
        <v>REQ</v>
      </c>
      <c r="H418" s="221" t="str">
        <f>VLOOKUP($R418,Table_9.6.1_2019[],H$345,FALSE)</f>
        <v>REQ</v>
      </c>
      <c r="I418" s="221" t="str">
        <f>VLOOKUP($R418,Table_9.6.1_2019[],I$345,FALSE)</f>
        <v>REQ</v>
      </c>
      <c r="J418" s="221" t="str">
        <f>VLOOKUP($R418,Table_9.6.1_2019[],J$345,FALSE)</f>
        <v>NA</v>
      </c>
      <c r="K418" s="221" t="str">
        <f>VLOOKUP($R418,Table_9.6.1_2019[],K$345,FALSE)</f>
        <v>ADD2</v>
      </c>
      <c r="L418" s="221" t="str">
        <f>VLOOKUP($R418,Table_9.6.1_2019[],L$345,FALSE)</f>
        <v>ADD2</v>
      </c>
      <c r="M418" s="221" t="str">
        <f>VLOOKUP($R418,Table_9.6.1_2019[],M$345,FALSE)</f>
        <v>NA</v>
      </c>
      <c r="N418" s="221" t="str">
        <f>VLOOKUP($R418,Table_9.6.1_2019[],N$345,FALSE)</f>
        <v>NA</v>
      </c>
      <c r="O418" s="221" t="str">
        <f>VLOOKUP($R418,Table_9.6.1_2019[],O$345,FALSE)</f>
        <v>NA</v>
      </c>
      <c r="P418" s="233" t="str">
        <f>VLOOKUP($R418,Table_9.6.1_2019[],P$345,FALSE)</f>
        <v>NA</v>
      </c>
      <c r="Q418" s="731" t="str">
        <f>VLOOKUP($R418,Table_9.6.1_2019[],Q$345,FALSE)</f>
        <v>NA</v>
      </c>
      <c r="R418" s="666" t="s">
        <v>318</v>
      </c>
      <c r="S418" s="986" t="str">
        <f>VLOOKUP($R418,Table_9.6.1_2019[],S$345,FALSE)</f>
        <v>REQ</v>
      </c>
      <c r="T418" s="986" t="str">
        <f>VLOOKUP($R418,Table_9.6.1_2019[],T$345,FALSE)</f>
        <v>ADD1</v>
      </c>
      <c r="U418" s="986" t="str">
        <f>VLOOKUP($R418,Table_9.6.1_2019[],U$345,FALSE)</f>
        <v>ADD1</v>
      </c>
      <c r="V418" s="986" t="str">
        <f>VLOOKUP($R418,Table_9.6.1_2019[],V$345,FALSE)</f>
        <v>REQ</v>
      </c>
      <c r="W418" s="986" t="s">
        <v>304</v>
      </c>
      <c r="X418" s="986" t="s">
        <v>304</v>
      </c>
      <c r="Y418" s="986" t="str">
        <f>VLOOKUP($R418,Table_9.6.1_2019[],Y$345,FALSE)</f>
        <v>NA</v>
      </c>
      <c r="Z418" s="986" t="str">
        <f>VLOOKUP($R418,Table_9.6.1_2019[],Z$345,FALSE)</f>
        <v>ADD2</v>
      </c>
      <c r="AA418" s="986" t="str">
        <f>VLOOKUP($R418,Table_9.6.1_2019[],AA$345,FALSE)</f>
        <v>ADD2</v>
      </c>
      <c r="AB418" s="986" t="str">
        <f>VLOOKUP($R418,Table_9.6.1_2019[],AB$345,FALSE)</f>
        <v>NA</v>
      </c>
      <c r="AC418" s="986" t="str">
        <f>VLOOKUP($R418,Table_9.6.1_2019[],AC$345,FALSE)</f>
        <v>NA</v>
      </c>
      <c r="AD418" s="986" t="str">
        <f>VLOOKUP($R418,Table_9.6.1_2019[],AD$345,FALSE)</f>
        <v>NA</v>
      </c>
      <c r="AE418" s="233" t="str">
        <f>VLOOKUP($R418,Table_9.6.1_2019[],AE$345,FALSE)</f>
        <v>NA</v>
      </c>
    </row>
    <row r="419" spans="1:31" x14ac:dyDescent="0.25">
      <c r="A419" s="664" t="s">
        <v>980</v>
      </c>
      <c r="B419" s="221">
        <v>0.23</v>
      </c>
      <c r="C419" s="221">
        <f>VLOOKUP($R419,Table_9.6.1_2019[],C$345,FALSE)</f>
        <v>4</v>
      </c>
      <c r="D419" s="221" t="str">
        <f>VLOOKUP($R419,Table_9.6.1_2019[],D$345,FALSE)</f>
        <v>REQ</v>
      </c>
      <c r="E419" s="221" t="str">
        <f>VLOOKUP($R419,Table_9.6.1_2019[],E$345,FALSE)</f>
        <v>NA</v>
      </c>
      <c r="F419" s="221" t="str">
        <f>VLOOKUP($R419,Table_9.6.1_2019[],F$345,FALSE)</f>
        <v>NA</v>
      </c>
      <c r="G419" s="221" t="str">
        <f>VLOOKUP($R419,Table_9.6.1_2019[],G$345,FALSE)</f>
        <v>NA</v>
      </c>
      <c r="H419" s="221" t="str">
        <f>VLOOKUP($R419,Table_9.6.1_2019[],H$345,FALSE)</f>
        <v>REQ</v>
      </c>
      <c r="I419" s="221" t="str">
        <f>VLOOKUP($R419,Table_9.6.1_2019[],I$345,FALSE)</f>
        <v>REQ</v>
      </c>
      <c r="J419" s="221" t="str">
        <f>VLOOKUP($R419,Table_9.6.1_2019[],J$345,FALSE)</f>
        <v>NA</v>
      </c>
      <c r="K419" s="221" t="str">
        <f>VLOOKUP($R419,Table_9.6.1_2019[],K$345,FALSE)</f>
        <v>ADD2</v>
      </c>
      <c r="L419" s="221" t="str">
        <f>VLOOKUP($R419,Table_9.6.1_2019[],L$345,FALSE)</f>
        <v>ADD2</v>
      </c>
      <c r="M419" s="221" t="str">
        <f>VLOOKUP($R419,Table_9.6.1_2019[],M$345,FALSE)</f>
        <v>NA</v>
      </c>
      <c r="N419" s="221" t="str">
        <f>VLOOKUP($R419,Table_9.6.1_2019[],N$345,FALSE)</f>
        <v>NA</v>
      </c>
      <c r="O419" s="221" t="str">
        <f>VLOOKUP($R419,Table_9.6.1_2019[],O$345,FALSE)</f>
        <v>NA</v>
      </c>
      <c r="P419" s="233" t="str">
        <f>VLOOKUP($R419,Table_9.6.1_2019[],P$345,FALSE)</f>
        <v>NA</v>
      </c>
      <c r="Q419" s="663" t="s">
        <v>304</v>
      </c>
      <c r="R419" s="652" t="s">
        <v>418</v>
      </c>
      <c r="S419" s="986" t="str">
        <f>VLOOKUP($R419,Table_9.6.1_2019[],S$345,FALSE)</f>
        <v>REQ</v>
      </c>
      <c r="T419" s="986" t="str">
        <f>VLOOKUP($R419,Table_9.6.1_2019[],T$345,FALSE)</f>
        <v>NA</v>
      </c>
      <c r="U419" s="986" t="str">
        <f>VLOOKUP($R419,Table_9.6.1_2019[],U$345,FALSE)</f>
        <v>NA</v>
      </c>
      <c r="V419" s="986" t="str">
        <f>VLOOKUP($R419,Table_9.6.1_2019[],V$345,FALSE)</f>
        <v>NA</v>
      </c>
      <c r="W419" s="986" t="s">
        <v>304</v>
      </c>
      <c r="X419" s="986" t="s">
        <v>304</v>
      </c>
      <c r="Y419" s="986" t="str">
        <f>VLOOKUP($R419,Table_9.6.1_2019[],Y$345,FALSE)</f>
        <v>NA</v>
      </c>
      <c r="Z419" s="986" t="str">
        <f>VLOOKUP($R419,Table_9.6.1_2019[],Z$345,FALSE)</f>
        <v>ADD2</v>
      </c>
      <c r="AA419" s="986" t="str">
        <f>VLOOKUP($R419,Table_9.6.1_2019[],AA$345,FALSE)</f>
        <v>ADD2</v>
      </c>
      <c r="AB419" s="986" t="str">
        <f>VLOOKUP($R419,Table_9.6.1_2019[],AB$345,FALSE)</f>
        <v>NA</v>
      </c>
      <c r="AC419" s="986" t="str">
        <f>VLOOKUP($R419,Table_9.6.1_2019[],AC$345,FALSE)</f>
        <v>NA</v>
      </c>
      <c r="AD419" s="986" t="str">
        <f>VLOOKUP($R419,Table_9.6.1_2019[],AD$345,FALSE)</f>
        <v>NA</v>
      </c>
      <c r="AE419" s="233" t="str">
        <f>VLOOKUP($R419,Table_9.6.1_2019[],AE$345,FALSE)</f>
        <v>NA</v>
      </c>
    </row>
    <row r="420" spans="1:31" x14ac:dyDescent="0.25">
      <c r="A420" s="652" t="s">
        <v>437</v>
      </c>
      <c r="B420" s="221">
        <v>0.31</v>
      </c>
      <c r="C420" s="221">
        <v>6</v>
      </c>
      <c r="D420" s="221" t="s">
        <v>305</v>
      </c>
      <c r="E420" s="221" t="s">
        <v>173</v>
      </c>
      <c r="F420" s="221" t="s">
        <v>173</v>
      </c>
      <c r="G420" s="221" t="s">
        <v>305</v>
      </c>
      <c r="H420" s="221" t="s">
        <v>305</v>
      </c>
      <c r="I420" s="221" t="s">
        <v>305</v>
      </c>
      <c r="J420" s="221" t="s">
        <v>304</v>
      </c>
      <c r="K420" s="221" t="s">
        <v>174</v>
      </c>
      <c r="L420" s="221" t="s">
        <v>174</v>
      </c>
      <c r="M420" s="221" t="s">
        <v>304</v>
      </c>
      <c r="N420" s="221" t="s">
        <v>304</v>
      </c>
      <c r="O420" s="221" t="s">
        <v>304</v>
      </c>
      <c r="P420" s="148" t="s">
        <v>304</v>
      </c>
      <c r="Q420" s="731" t="s">
        <v>304</v>
      </c>
      <c r="R420" s="663"/>
      <c r="S420" s="986" t="s">
        <v>305</v>
      </c>
      <c r="T420" s="986" t="s">
        <v>173</v>
      </c>
      <c r="U420" s="986" t="s">
        <v>173</v>
      </c>
      <c r="V420" s="986" t="s">
        <v>305</v>
      </c>
      <c r="W420" s="986" t="s">
        <v>304</v>
      </c>
      <c r="X420" s="986" t="s">
        <v>304</v>
      </c>
      <c r="Y420" s="986" t="s">
        <v>304</v>
      </c>
      <c r="Z420" s="986" t="s">
        <v>174</v>
      </c>
      <c r="AA420" s="986" t="s">
        <v>174</v>
      </c>
      <c r="AB420" s="986" t="s">
        <v>304</v>
      </c>
      <c r="AC420" s="986" t="s">
        <v>304</v>
      </c>
      <c r="AD420" s="986" t="s">
        <v>304</v>
      </c>
      <c r="AE420" s="148" t="s">
        <v>304</v>
      </c>
    </row>
    <row r="421" spans="1:31" x14ac:dyDescent="0.25">
      <c r="A421" s="652" t="s">
        <v>439</v>
      </c>
      <c r="B421" s="221">
        <v>1.1000000000000001</v>
      </c>
      <c r="C421" s="221">
        <v>6</v>
      </c>
      <c r="D421" s="221" t="s">
        <v>305</v>
      </c>
      <c r="E421" s="221" t="s">
        <v>173</v>
      </c>
      <c r="F421" s="221" t="s">
        <v>173</v>
      </c>
      <c r="G421" s="221" t="s">
        <v>305</v>
      </c>
      <c r="H421" s="221" t="s">
        <v>305</v>
      </c>
      <c r="I421" s="221" t="s">
        <v>305</v>
      </c>
      <c r="J421" s="221" t="s">
        <v>304</v>
      </c>
      <c r="K421" s="221" t="s">
        <v>174</v>
      </c>
      <c r="L421" s="221" t="s">
        <v>174</v>
      </c>
      <c r="M421" s="221" t="s">
        <v>304</v>
      </c>
      <c r="N421" s="221" t="s">
        <v>304</v>
      </c>
      <c r="O421" s="221" t="s">
        <v>304</v>
      </c>
      <c r="P421" s="148" t="s">
        <v>304</v>
      </c>
      <c r="Q421" s="731" t="s">
        <v>304</v>
      </c>
      <c r="R421" s="663"/>
      <c r="S421" s="986" t="s">
        <v>305</v>
      </c>
      <c r="T421" s="986" t="s">
        <v>173</v>
      </c>
      <c r="U421" s="986" t="s">
        <v>173</v>
      </c>
      <c r="V421" s="986" t="s">
        <v>305</v>
      </c>
      <c r="W421" s="986" t="s">
        <v>304</v>
      </c>
      <c r="X421" s="986" t="s">
        <v>304</v>
      </c>
      <c r="Y421" s="986" t="s">
        <v>304</v>
      </c>
      <c r="Z421" s="986" t="s">
        <v>174</v>
      </c>
      <c r="AA421" s="986" t="s">
        <v>174</v>
      </c>
      <c r="AB421" s="986" t="s">
        <v>304</v>
      </c>
      <c r="AC421" s="986" t="s">
        <v>304</v>
      </c>
      <c r="AD421" s="986" t="s">
        <v>304</v>
      </c>
      <c r="AE421" s="148" t="s">
        <v>304</v>
      </c>
    </row>
    <row r="422" spans="1:31" x14ac:dyDescent="0.25">
      <c r="A422" s="148" t="s">
        <v>441</v>
      </c>
      <c r="B422" s="221">
        <v>0.74</v>
      </c>
      <c r="C422" s="221">
        <v>8</v>
      </c>
      <c r="D422" s="221" t="s">
        <v>305</v>
      </c>
      <c r="E422" s="221" t="s">
        <v>173</v>
      </c>
      <c r="F422" s="221" t="s">
        <v>173</v>
      </c>
      <c r="G422" s="221" t="s">
        <v>305</v>
      </c>
      <c r="H422" s="221" t="s">
        <v>305</v>
      </c>
      <c r="I422" s="221" t="s">
        <v>305</v>
      </c>
      <c r="J422" s="221" t="s">
        <v>304</v>
      </c>
      <c r="K422" s="221" t="s">
        <v>305</v>
      </c>
      <c r="L422" s="221" t="s">
        <v>304</v>
      </c>
      <c r="M422" s="221" t="s">
        <v>304</v>
      </c>
      <c r="N422" s="221" t="s">
        <v>304</v>
      </c>
      <c r="O422" s="221" t="s">
        <v>304</v>
      </c>
      <c r="P422" s="148" t="s">
        <v>304</v>
      </c>
      <c r="Q422" s="663">
        <v>2</v>
      </c>
      <c r="R422" s="663"/>
      <c r="S422" s="986" t="s">
        <v>305</v>
      </c>
      <c r="T422" s="986" t="s">
        <v>173</v>
      </c>
      <c r="U422" s="986" t="s">
        <v>173</v>
      </c>
      <c r="V422" s="986" t="s">
        <v>305</v>
      </c>
      <c r="W422" s="986" t="s">
        <v>304</v>
      </c>
      <c r="X422" s="986" t="s">
        <v>304</v>
      </c>
      <c r="Y422" s="986" t="s">
        <v>304</v>
      </c>
      <c r="Z422" s="986" t="s">
        <v>305</v>
      </c>
      <c r="AA422" s="986" t="s">
        <v>304</v>
      </c>
      <c r="AB422" s="986" t="s">
        <v>304</v>
      </c>
      <c r="AC422" s="986" t="s">
        <v>304</v>
      </c>
      <c r="AD422" s="986" t="s">
        <v>304</v>
      </c>
      <c r="AE422" s="148" t="s">
        <v>304</v>
      </c>
    </row>
    <row r="423" spans="1:31" x14ac:dyDescent="0.25">
      <c r="A423" s="652" t="s">
        <v>40</v>
      </c>
      <c r="B423" s="221">
        <v>0.66</v>
      </c>
      <c r="C423" s="221">
        <v>8</v>
      </c>
      <c r="D423" s="221" t="s">
        <v>305</v>
      </c>
      <c r="E423" s="221" t="s">
        <v>173</v>
      </c>
      <c r="F423" s="221" t="s">
        <v>173</v>
      </c>
      <c r="G423" s="221" t="s">
        <v>305</v>
      </c>
      <c r="H423" s="221" t="s">
        <v>305</v>
      </c>
      <c r="I423" s="221" t="s">
        <v>305</v>
      </c>
      <c r="J423" s="221" t="s">
        <v>304</v>
      </c>
      <c r="K423" s="221" t="s">
        <v>174</v>
      </c>
      <c r="L423" s="221" t="s">
        <v>174</v>
      </c>
      <c r="M423" s="221" t="s">
        <v>304</v>
      </c>
      <c r="N423" s="221" t="s">
        <v>304</v>
      </c>
      <c r="O423" s="221" t="s">
        <v>304</v>
      </c>
      <c r="P423" s="148" t="s">
        <v>304</v>
      </c>
      <c r="Q423" s="663">
        <v>2</v>
      </c>
      <c r="R423" s="663"/>
      <c r="S423" s="986" t="s">
        <v>305</v>
      </c>
      <c r="T423" s="986" t="s">
        <v>173</v>
      </c>
      <c r="U423" s="986" t="s">
        <v>173</v>
      </c>
      <c r="V423" s="986" t="s">
        <v>305</v>
      </c>
      <c r="W423" s="986" t="s">
        <v>304</v>
      </c>
      <c r="X423" s="986" t="s">
        <v>304</v>
      </c>
      <c r="Y423" s="986" t="s">
        <v>304</v>
      </c>
      <c r="Z423" s="986" t="s">
        <v>174</v>
      </c>
      <c r="AA423" s="986" t="s">
        <v>174</v>
      </c>
      <c r="AB423" s="986" t="s">
        <v>304</v>
      </c>
      <c r="AC423" s="986" t="s">
        <v>304</v>
      </c>
      <c r="AD423" s="986" t="s">
        <v>304</v>
      </c>
      <c r="AE423" s="148" t="s">
        <v>304</v>
      </c>
    </row>
    <row r="424" spans="1:31" x14ac:dyDescent="0.25">
      <c r="A424" s="652" t="s">
        <v>43</v>
      </c>
      <c r="B424" s="221">
        <v>0.61</v>
      </c>
      <c r="C424" s="221">
        <v>4</v>
      </c>
      <c r="D424" s="221" t="s">
        <v>305</v>
      </c>
      <c r="E424" s="221" t="s">
        <v>173</v>
      </c>
      <c r="F424" s="221" t="s">
        <v>173</v>
      </c>
      <c r="G424" s="221" t="s">
        <v>305</v>
      </c>
      <c r="H424" s="221" t="s">
        <v>305</v>
      </c>
      <c r="I424" s="221" t="s">
        <v>305</v>
      </c>
      <c r="J424" s="221" t="s">
        <v>304</v>
      </c>
      <c r="K424" s="221" t="s">
        <v>174</v>
      </c>
      <c r="L424" s="221" t="s">
        <v>174</v>
      </c>
      <c r="M424" s="221" t="s">
        <v>304</v>
      </c>
      <c r="N424" s="221" t="s">
        <v>304</v>
      </c>
      <c r="O424" s="221" t="s">
        <v>304</v>
      </c>
      <c r="P424" s="148" t="s">
        <v>304</v>
      </c>
      <c r="Q424" s="663">
        <v>1</v>
      </c>
      <c r="R424" s="663"/>
      <c r="S424" s="986" t="s">
        <v>305</v>
      </c>
      <c r="T424" s="986" t="s">
        <v>173</v>
      </c>
      <c r="U424" s="986" t="s">
        <v>173</v>
      </c>
      <c r="V424" s="986" t="s">
        <v>305</v>
      </c>
      <c r="W424" s="986" t="s">
        <v>304</v>
      </c>
      <c r="X424" s="986" t="s">
        <v>304</v>
      </c>
      <c r="Y424" s="986" t="s">
        <v>304</v>
      </c>
      <c r="Z424" s="986" t="s">
        <v>174</v>
      </c>
      <c r="AA424" s="986" t="s">
        <v>174</v>
      </c>
      <c r="AB424" s="986" t="s">
        <v>304</v>
      </c>
      <c r="AC424" s="986" t="s">
        <v>304</v>
      </c>
      <c r="AD424" s="986" t="s">
        <v>304</v>
      </c>
      <c r="AE424" s="148" t="s">
        <v>304</v>
      </c>
    </row>
    <row r="425" spans="1:31" x14ac:dyDescent="0.25">
      <c r="A425" s="652" t="s">
        <v>445</v>
      </c>
      <c r="B425" s="221">
        <v>0.15</v>
      </c>
      <c r="C425" s="221">
        <v>4</v>
      </c>
      <c r="D425" s="221" t="s">
        <v>304</v>
      </c>
      <c r="E425" s="221" t="s">
        <v>304</v>
      </c>
      <c r="F425" s="221" t="s">
        <v>304</v>
      </c>
      <c r="G425" s="221" t="s">
        <v>304</v>
      </c>
      <c r="H425" s="221" t="s">
        <v>304</v>
      </c>
      <c r="I425" s="221" t="s">
        <v>304</v>
      </c>
      <c r="J425" s="221" t="s">
        <v>304</v>
      </c>
      <c r="K425" s="221" t="s">
        <v>304</v>
      </c>
      <c r="L425" s="221" t="s">
        <v>305</v>
      </c>
      <c r="M425" s="221" t="s">
        <v>305</v>
      </c>
      <c r="N425" s="221" t="s">
        <v>305</v>
      </c>
      <c r="O425" s="221" t="s">
        <v>305</v>
      </c>
      <c r="P425" s="148" t="s">
        <v>304</v>
      </c>
      <c r="Q425" s="731">
        <v>5</v>
      </c>
      <c r="R425" s="663"/>
      <c r="S425" s="986" t="s">
        <v>304</v>
      </c>
      <c r="T425" s="986" t="s">
        <v>304</v>
      </c>
      <c r="U425" s="986" t="s">
        <v>304</v>
      </c>
      <c r="V425" s="986" t="s">
        <v>304</v>
      </c>
      <c r="W425" s="986" t="s">
        <v>304</v>
      </c>
      <c r="X425" s="986" t="s">
        <v>304</v>
      </c>
      <c r="Y425" s="986" t="s">
        <v>304</v>
      </c>
      <c r="Z425" s="986" t="s">
        <v>304</v>
      </c>
      <c r="AA425" s="986" t="s">
        <v>305</v>
      </c>
      <c r="AB425" s="986" t="s">
        <v>305</v>
      </c>
      <c r="AC425" s="986" t="s">
        <v>305</v>
      </c>
      <c r="AD425" s="986" t="s">
        <v>305</v>
      </c>
      <c r="AE425" s="148" t="s">
        <v>304</v>
      </c>
    </row>
    <row r="426" spans="1:31" x14ac:dyDescent="0.25">
      <c r="A426" s="664" t="s">
        <v>974</v>
      </c>
      <c r="B426" s="221">
        <v>0.67</v>
      </c>
      <c r="C426" s="221">
        <f>VLOOKUP($R426,Table_9.6.1_2019[],C$345,FALSE)</f>
        <v>4</v>
      </c>
      <c r="D426" s="221" t="str">
        <f>VLOOKUP($R426,Table_9.6.1_2019[],D$345,FALSE)</f>
        <v>REQ</v>
      </c>
      <c r="E426" s="221" t="str">
        <f>VLOOKUP($R426,Table_9.6.1_2019[],E$345,FALSE)</f>
        <v>ADD1</v>
      </c>
      <c r="F426" s="221" t="str">
        <f>VLOOKUP($R426,Table_9.6.1_2019[],F$345,FALSE)</f>
        <v>ADD1</v>
      </c>
      <c r="G426" s="221" t="str">
        <f>VLOOKUP($R426,Table_9.6.1_2019[],G$345,FALSE)</f>
        <v>NA</v>
      </c>
      <c r="H426" s="221" t="str">
        <f>VLOOKUP($R426,Table_9.6.1_2019[],H$345,FALSE)</f>
        <v>REQ</v>
      </c>
      <c r="I426" s="221" t="str">
        <f>VLOOKUP($R426,Table_9.6.1_2019[],I$345,FALSE)</f>
        <v>REQ</v>
      </c>
      <c r="J426" s="221" t="str">
        <f>VLOOKUP($R426,Table_9.6.1_2019[],J$345,FALSE)</f>
        <v>NA</v>
      </c>
      <c r="K426" s="221" t="str">
        <f>VLOOKUP($R426,Table_9.6.1_2019[],K$345,FALSE)</f>
        <v>ADD2</v>
      </c>
      <c r="L426" s="221" t="str">
        <f>VLOOKUP($R426,Table_9.6.1_2019[],L$345,FALSE)</f>
        <v>ADD2</v>
      </c>
      <c r="M426" s="221" t="str">
        <f>VLOOKUP($R426,Table_9.6.1_2019[],M$345,FALSE)</f>
        <v>NA</v>
      </c>
      <c r="N426" s="221" t="str">
        <f>VLOOKUP($R426,Table_9.6.1_2019[],N$345,FALSE)</f>
        <v>NA</v>
      </c>
      <c r="O426" s="221" t="str">
        <f>VLOOKUP($R426,Table_9.6.1_2019[],O$345,FALSE)</f>
        <v>NA</v>
      </c>
      <c r="P426" s="221" t="str">
        <f>VLOOKUP($R426,Table_9.6.1_2019[],P$345,FALSE)</f>
        <v>NA</v>
      </c>
      <c r="Q426" s="731" t="str">
        <f>VLOOKUP($R426,Table_9.6.1_2019[],Q$345,FALSE)</f>
        <v>NA</v>
      </c>
      <c r="R426" s="652" t="s">
        <v>320</v>
      </c>
      <c r="S426" s="986" t="str">
        <f>VLOOKUP($R426,Table_9.6.1_2019[],S$345,FALSE)</f>
        <v>REQ</v>
      </c>
      <c r="T426" s="986" t="str">
        <f>VLOOKUP($R426,Table_9.6.1_2019[],T$345,FALSE)</f>
        <v>ADD1</v>
      </c>
      <c r="U426" s="986" t="str">
        <f>VLOOKUP($R426,Table_9.6.1_2019[],U$345,FALSE)</f>
        <v>ADD1</v>
      </c>
      <c r="V426" s="986" t="str">
        <f>VLOOKUP($R426,Table_9.6.1_2019[],V$345,FALSE)</f>
        <v>NA</v>
      </c>
      <c r="W426" s="986" t="s">
        <v>304</v>
      </c>
      <c r="X426" s="986" t="s">
        <v>304</v>
      </c>
      <c r="Y426" s="986" t="str">
        <f>VLOOKUP($R426,Table_9.6.1_2019[],Y$345,FALSE)</f>
        <v>NA</v>
      </c>
      <c r="Z426" s="986" t="str">
        <f>VLOOKUP($R426,Table_9.6.1_2019[],Z$345,FALSE)</f>
        <v>ADD2</v>
      </c>
      <c r="AA426" s="986" t="str">
        <f>VLOOKUP($R426,Table_9.6.1_2019[],AA$345,FALSE)</f>
        <v>ADD2</v>
      </c>
      <c r="AB426" s="986" t="str">
        <f>VLOOKUP($R426,Table_9.6.1_2019[],AB$345,FALSE)</f>
        <v>NA</v>
      </c>
      <c r="AC426" s="986" t="str">
        <f>VLOOKUP($R426,Table_9.6.1_2019[],AC$345,FALSE)</f>
        <v>NA</v>
      </c>
      <c r="AD426" s="986" t="str">
        <f>VLOOKUP($R426,Table_9.6.1_2019[],AD$345,FALSE)</f>
        <v>NA</v>
      </c>
      <c r="AE426" s="986" t="str">
        <f>VLOOKUP($R426,Table_9.6.1_2019[],AE$345,FALSE)</f>
        <v>NA</v>
      </c>
    </row>
    <row r="427" spans="1:31" x14ac:dyDescent="0.25">
      <c r="A427" s="652" t="s">
        <v>977</v>
      </c>
      <c r="B427" s="221">
        <v>0.89</v>
      </c>
      <c r="C427" s="221">
        <v>4</v>
      </c>
      <c r="D427" s="221" t="s">
        <v>305</v>
      </c>
      <c r="E427" s="221" t="s">
        <v>173</v>
      </c>
      <c r="F427" s="221" t="s">
        <v>173</v>
      </c>
      <c r="G427" s="221" t="s">
        <v>305</v>
      </c>
      <c r="H427" s="221" t="s">
        <v>305</v>
      </c>
      <c r="I427" s="221" t="s">
        <v>305</v>
      </c>
      <c r="J427" s="221" t="s">
        <v>304</v>
      </c>
      <c r="K427" s="221" t="s">
        <v>305</v>
      </c>
      <c r="L427" s="221" t="s">
        <v>304</v>
      </c>
      <c r="M427" s="221" t="s">
        <v>304</v>
      </c>
      <c r="N427" s="221" t="s">
        <v>304</v>
      </c>
      <c r="O427" s="221" t="s">
        <v>304</v>
      </c>
      <c r="P427" s="148" t="s">
        <v>304</v>
      </c>
      <c r="Q427" s="731" t="s">
        <v>304</v>
      </c>
      <c r="R427" s="663"/>
      <c r="S427" s="986" t="s">
        <v>305</v>
      </c>
      <c r="T427" s="986" t="s">
        <v>173</v>
      </c>
      <c r="U427" s="986" t="s">
        <v>173</v>
      </c>
      <c r="V427" s="986" t="s">
        <v>305</v>
      </c>
      <c r="W427" s="986" t="s">
        <v>304</v>
      </c>
      <c r="X427" s="986" t="s">
        <v>304</v>
      </c>
      <c r="Y427" s="986" t="s">
        <v>304</v>
      </c>
      <c r="Z427" s="986" t="s">
        <v>305</v>
      </c>
      <c r="AA427" s="986" t="s">
        <v>304</v>
      </c>
      <c r="AB427" s="986" t="s">
        <v>304</v>
      </c>
      <c r="AC427" s="986" t="s">
        <v>304</v>
      </c>
      <c r="AD427" s="986" t="s">
        <v>304</v>
      </c>
      <c r="AE427" s="148" t="s">
        <v>304</v>
      </c>
    </row>
    <row r="428" spans="1:31" x14ac:dyDescent="0.25">
      <c r="A428" s="665" t="s">
        <v>979</v>
      </c>
      <c r="B428" s="221">
        <v>0.42</v>
      </c>
      <c r="C428" s="221">
        <f>VLOOKUP($R428,Table_9.6.1_2019[],C$345,FALSE)</f>
        <v>6</v>
      </c>
      <c r="D428" s="221" t="str">
        <f>VLOOKUP($R428,Table_9.6.1_2019[],D$345,FALSE)</f>
        <v>REQ</v>
      </c>
      <c r="E428" s="221" t="str">
        <f>VLOOKUP($R428,Table_9.6.1_2019[],E$345,FALSE)</f>
        <v>ADD1</v>
      </c>
      <c r="F428" s="221" t="str">
        <f>VLOOKUP($R428,Table_9.6.1_2019[],F$345,FALSE)</f>
        <v>ADD1</v>
      </c>
      <c r="G428" s="221" t="str">
        <f>VLOOKUP($R428,Table_9.6.1_2019[],G$345,FALSE)</f>
        <v>REQ</v>
      </c>
      <c r="H428" s="221" t="str">
        <f>VLOOKUP($R428,Table_9.6.1_2019[],H$345,FALSE)</f>
        <v>REQ</v>
      </c>
      <c r="I428" s="221" t="str">
        <f>VLOOKUP($R428,Table_9.6.1_2019[],I$345,FALSE)</f>
        <v>REQ</v>
      </c>
      <c r="J428" s="221" t="str">
        <f>VLOOKUP($R428,Table_9.6.1_2019[],J$345,FALSE)</f>
        <v>NA</v>
      </c>
      <c r="K428" s="221" t="str">
        <f>VLOOKUP($R428,Table_9.6.1_2019[],K$345,FALSE)</f>
        <v>ADD2</v>
      </c>
      <c r="L428" s="221" t="str">
        <f>VLOOKUP($R428,Table_9.6.1_2019[],L$345,FALSE)</f>
        <v>ADD2</v>
      </c>
      <c r="M428" s="221" t="str">
        <f>VLOOKUP($R428,Table_9.6.1_2019[],M$345,FALSE)</f>
        <v>NA</v>
      </c>
      <c r="N428" s="221" t="str">
        <f>VLOOKUP($R428,Table_9.6.1_2019[],N$345,FALSE)</f>
        <v>NA</v>
      </c>
      <c r="O428" s="221" t="str">
        <f>VLOOKUP($R428,Table_9.6.1_2019[],O$345,FALSE)</f>
        <v>NA</v>
      </c>
      <c r="P428" s="221" t="str">
        <f>VLOOKUP($R428,Table_9.6.1_2019[],P$345,FALSE)</f>
        <v>NA</v>
      </c>
      <c r="Q428" s="731">
        <v>5</v>
      </c>
      <c r="R428" s="652" t="s">
        <v>366</v>
      </c>
      <c r="S428" s="986" t="str">
        <f>VLOOKUP($R428,Table_9.6.1_2019[],S$345,FALSE)</f>
        <v>REQ</v>
      </c>
      <c r="T428" s="986" t="str">
        <f>VLOOKUP($R428,Table_9.6.1_2019[],T$345,FALSE)</f>
        <v>ADD1</v>
      </c>
      <c r="U428" s="986" t="str">
        <f>VLOOKUP($R428,Table_9.6.1_2019[],U$345,FALSE)</f>
        <v>ADD1</v>
      </c>
      <c r="V428" s="986" t="str">
        <f>VLOOKUP($R428,Table_9.6.1_2019[],V$345,FALSE)</f>
        <v>REQ</v>
      </c>
      <c r="W428" s="986" t="s">
        <v>304</v>
      </c>
      <c r="X428" s="986" t="s">
        <v>304</v>
      </c>
      <c r="Y428" s="986" t="str">
        <f>VLOOKUP($R428,Table_9.6.1_2019[],Y$345,FALSE)</f>
        <v>NA</v>
      </c>
      <c r="Z428" s="986" t="str">
        <f>VLOOKUP($R428,Table_9.6.1_2019[],Z$345,FALSE)</f>
        <v>ADD2</v>
      </c>
      <c r="AA428" s="986" t="str">
        <f>VLOOKUP($R428,Table_9.6.1_2019[],AA$345,FALSE)</f>
        <v>ADD2</v>
      </c>
      <c r="AB428" s="986" t="str">
        <f>VLOOKUP($R428,Table_9.6.1_2019[],AB$345,FALSE)</f>
        <v>NA</v>
      </c>
      <c r="AC428" s="986" t="str">
        <f>VLOOKUP($R428,Table_9.6.1_2019[],AC$345,FALSE)</f>
        <v>NA</v>
      </c>
      <c r="AD428" s="986" t="str">
        <f>VLOOKUP($R428,Table_9.6.1_2019[],AD$345,FALSE)</f>
        <v>NA</v>
      </c>
      <c r="AE428" s="986" t="str">
        <f>VLOOKUP($R428,Table_9.6.1_2019[],AE$345,FALSE)</f>
        <v>NA</v>
      </c>
    </row>
    <row r="429" spans="1:31" x14ac:dyDescent="0.25">
      <c r="A429" s="664" t="s">
        <v>984</v>
      </c>
      <c r="B429" s="221">
        <v>1.1599999999999999</v>
      </c>
      <c r="C429" s="221">
        <f>VLOOKUP($R429,Table_9.6.1_2019[],C$345,FALSE)</f>
        <v>8</v>
      </c>
      <c r="D429" s="221" t="str">
        <f>VLOOKUP($R429,Table_9.6.1_2019[],D$345,FALSE)</f>
        <v>REQ</v>
      </c>
      <c r="E429" s="221" t="str">
        <f>VLOOKUP($R429,Table_9.6.1_2019[],E$345,FALSE)</f>
        <v>ADD1</v>
      </c>
      <c r="F429" s="221" t="str">
        <f>VLOOKUP($R429,Table_9.6.1_2019[],F$345,FALSE)</f>
        <v>ADD1</v>
      </c>
      <c r="G429" s="221" t="str">
        <f>VLOOKUP($R429,Table_9.6.1_2019[],G$345,FALSE)</f>
        <v>REQ</v>
      </c>
      <c r="H429" s="221" t="str">
        <f>VLOOKUP($R429,Table_9.6.1_2019[],H$345,FALSE)</f>
        <v>REQ</v>
      </c>
      <c r="I429" s="221" t="str">
        <f>VLOOKUP($R429,Table_9.6.1_2019[],I$345,FALSE)</f>
        <v>REQ</v>
      </c>
      <c r="J429" s="221" t="str">
        <f>VLOOKUP($R429,Table_9.6.1_2019[],J$345,FALSE)</f>
        <v>NA</v>
      </c>
      <c r="K429" s="221" t="str">
        <f>VLOOKUP($R429,Table_9.6.1_2019[],K$345,FALSE)</f>
        <v>ADD2</v>
      </c>
      <c r="L429" s="221" t="str">
        <f>VLOOKUP($R429,Table_9.6.1_2019[],L$345,FALSE)</f>
        <v>ADD2</v>
      </c>
      <c r="M429" s="221" t="str">
        <f>VLOOKUP($R429,Table_9.6.1_2019[],M$345,FALSE)</f>
        <v>NA</v>
      </c>
      <c r="N429" s="221" t="str">
        <f>VLOOKUP($R429,Table_9.6.1_2019[],N$345,FALSE)</f>
        <v>NA</v>
      </c>
      <c r="O429" s="221" t="str">
        <f>VLOOKUP($R429,Table_9.6.1_2019[],O$345,FALSE)</f>
        <v>NA</v>
      </c>
      <c r="P429" s="221" t="str">
        <f>VLOOKUP($R429,Table_9.6.1_2019[],P$345,FALSE)</f>
        <v>NA</v>
      </c>
      <c r="Q429" s="731" t="str">
        <f>VLOOKUP($R429,Table_9.6.1_2019[],Q$345,FALSE)</f>
        <v>NA</v>
      </c>
      <c r="R429" s="652" t="s">
        <v>322</v>
      </c>
      <c r="S429" s="986" t="str">
        <f>VLOOKUP($R429,Table_9.6.1_2019[],S$345,FALSE)</f>
        <v>REQ</v>
      </c>
      <c r="T429" s="986" t="str">
        <f>VLOOKUP($R429,Table_9.6.1_2019[],T$345,FALSE)</f>
        <v>ADD1</v>
      </c>
      <c r="U429" s="986" t="str">
        <f>VLOOKUP($R429,Table_9.6.1_2019[],U$345,FALSE)</f>
        <v>ADD1</v>
      </c>
      <c r="V429" s="986" t="str">
        <f>VLOOKUP($R429,Table_9.6.1_2019[],V$345,FALSE)</f>
        <v>REQ</v>
      </c>
      <c r="W429" s="986" t="s">
        <v>304</v>
      </c>
      <c r="X429" s="986" t="s">
        <v>304</v>
      </c>
      <c r="Y429" s="986" t="str">
        <f>VLOOKUP($R429,Table_9.6.1_2019[],Y$345,FALSE)</f>
        <v>NA</v>
      </c>
      <c r="Z429" s="986" t="str">
        <f>VLOOKUP($R429,Table_9.6.1_2019[],Z$345,FALSE)</f>
        <v>ADD2</v>
      </c>
      <c r="AA429" s="986" t="str">
        <f>VLOOKUP($R429,Table_9.6.1_2019[],AA$345,FALSE)</f>
        <v>ADD2</v>
      </c>
      <c r="AB429" s="986" t="str">
        <f>VLOOKUP($R429,Table_9.6.1_2019[],AB$345,FALSE)</f>
        <v>NA</v>
      </c>
      <c r="AC429" s="986" t="str">
        <f>VLOOKUP($R429,Table_9.6.1_2019[],AC$345,FALSE)</f>
        <v>NA</v>
      </c>
      <c r="AD429" s="986" t="str">
        <f>VLOOKUP($R429,Table_9.6.1_2019[],AD$345,FALSE)</f>
        <v>NA</v>
      </c>
      <c r="AE429" s="986" t="str">
        <f>VLOOKUP($R429,Table_9.6.1_2019[],AE$345,FALSE)</f>
        <v>NA</v>
      </c>
    </row>
    <row r="430" spans="1:31" x14ac:dyDescent="0.25">
      <c r="A430" s="148" t="s">
        <v>447</v>
      </c>
      <c r="B430" s="221">
        <v>0.41</v>
      </c>
      <c r="C430" s="221">
        <v>6</v>
      </c>
      <c r="D430" s="221" t="s">
        <v>305</v>
      </c>
      <c r="E430" s="221" t="s">
        <v>173</v>
      </c>
      <c r="F430" s="221" t="s">
        <v>173</v>
      </c>
      <c r="G430" s="221" t="s">
        <v>305</v>
      </c>
      <c r="H430" s="221" t="s">
        <v>305</v>
      </c>
      <c r="I430" s="221" t="s">
        <v>305</v>
      </c>
      <c r="J430" s="221" t="s">
        <v>304</v>
      </c>
      <c r="K430" s="221" t="s">
        <v>305</v>
      </c>
      <c r="L430" s="221" t="s">
        <v>304</v>
      </c>
      <c r="M430" s="221" t="s">
        <v>304</v>
      </c>
      <c r="N430" s="221" t="s">
        <v>304</v>
      </c>
      <c r="O430" s="221" t="s">
        <v>304</v>
      </c>
      <c r="P430" s="148" t="s">
        <v>304</v>
      </c>
      <c r="Q430" s="731" t="s">
        <v>304</v>
      </c>
      <c r="R430" s="663"/>
      <c r="S430" s="986" t="s">
        <v>305</v>
      </c>
      <c r="T430" s="986" t="s">
        <v>173</v>
      </c>
      <c r="U430" s="986" t="s">
        <v>173</v>
      </c>
      <c r="V430" s="986" t="s">
        <v>305</v>
      </c>
      <c r="W430" s="986" t="s">
        <v>304</v>
      </c>
      <c r="X430" s="986" t="s">
        <v>304</v>
      </c>
      <c r="Y430" s="986" t="s">
        <v>304</v>
      </c>
      <c r="Z430" s="986" t="s">
        <v>305</v>
      </c>
      <c r="AA430" s="986" t="s">
        <v>304</v>
      </c>
      <c r="AB430" s="986" t="s">
        <v>304</v>
      </c>
      <c r="AC430" s="986" t="s">
        <v>304</v>
      </c>
      <c r="AD430" s="986" t="s">
        <v>304</v>
      </c>
      <c r="AE430" s="148" t="s">
        <v>304</v>
      </c>
    </row>
    <row r="431" spans="1:31" x14ac:dyDescent="0.25">
      <c r="A431" s="664" t="s">
        <v>983</v>
      </c>
      <c r="B431" s="221">
        <v>1.25</v>
      </c>
      <c r="C431" s="221">
        <f>VLOOKUP($R431,Table_9.6.1_2019[],C$345,FALSE)</f>
        <v>6</v>
      </c>
      <c r="D431" s="221" t="str">
        <f>VLOOKUP($R431,Table_9.6.1_2019[],D$345,FALSE)</f>
        <v>REQ</v>
      </c>
      <c r="E431" s="221" t="str">
        <f>VLOOKUP($R431,Table_9.6.1_2019[],E$345,FALSE)</f>
        <v>NA</v>
      </c>
      <c r="F431" s="221" t="str">
        <f>VLOOKUP($R431,Table_9.6.1_2019[],F$345,FALSE)</f>
        <v>NA</v>
      </c>
      <c r="G431" s="221" t="str">
        <f>VLOOKUP($R431,Table_9.6.1_2019[],G$345,FALSE)</f>
        <v>NA</v>
      </c>
      <c r="H431" s="221" t="str">
        <f>VLOOKUP($R431,Table_9.6.1_2019[],H$345,FALSE)</f>
        <v>REQ</v>
      </c>
      <c r="I431" s="221" t="str">
        <f>VLOOKUP($R431,Table_9.6.1_2019[],I$345,FALSE)</f>
        <v>REQ</v>
      </c>
      <c r="J431" s="221" t="str">
        <f>VLOOKUP($R431,Table_9.6.1_2019[],J$345,FALSE)</f>
        <v>REQ</v>
      </c>
      <c r="K431" s="221" t="str">
        <f>VLOOKUP($R431,Table_9.6.1_2019[],K$345,FALSE)</f>
        <v>ADD2</v>
      </c>
      <c r="L431" s="221" t="str">
        <f>VLOOKUP($R431,Table_9.6.1_2019[],L$345,FALSE)</f>
        <v>ADD2</v>
      </c>
      <c r="M431" s="221" t="str">
        <f>VLOOKUP($R431,Table_9.6.1_2019[],M$345,FALSE)</f>
        <v>NA</v>
      </c>
      <c r="N431" s="221" t="str">
        <f>VLOOKUP($R431,Table_9.6.1_2019[],N$345,FALSE)</f>
        <v>NA</v>
      </c>
      <c r="O431" s="221" t="str">
        <f>VLOOKUP($R431,Table_9.6.1_2019[],O$345,FALSE)</f>
        <v>NA</v>
      </c>
      <c r="P431" s="221" t="str">
        <f>VLOOKUP($R431,Table_9.6.1_2019[],P$345,FALSE)</f>
        <v>NA</v>
      </c>
      <c r="Q431" s="731">
        <v>5</v>
      </c>
      <c r="R431" s="652" t="s">
        <v>420</v>
      </c>
      <c r="S431" s="986" t="str">
        <f>VLOOKUP($R431,Table_9.6.1_2019[],S$345,FALSE)</f>
        <v>REQ</v>
      </c>
      <c r="T431" s="986" t="str">
        <f>VLOOKUP($R431,Table_9.6.1_2019[],T$345,FALSE)</f>
        <v>NA</v>
      </c>
      <c r="U431" s="986" t="str">
        <f>VLOOKUP($R431,Table_9.6.1_2019[],U$345,FALSE)</f>
        <v>NA</v>
      </c>
      <c r="V431" s="986" t="str">
        <f>VLOOKUP($R431,Table_9.6.1_2019[],V$345,FALSE)</f>
        <v>NA</v>
      </c>
      <c r="W431" s="986" t="s">
        <v>304</v>
      </c>
      <c r="X431" s="986" t="s">
        <v>304</v>
      </c>
      <c r="Y431" s="986" t="str">
        <f>VLOOKUP($R431,Table_9.6.1_2019[],Y$345,FALSE)</f>
        <v>REQ</v>
      </c>
      <c r="Z431" s="986" t="str">
        <f>VLOOKUP($R431,Table_9.6.1_2019[],Z$345,FALSE)</f>
        <v>ADD2</v>
      </c>
      <c r="AA431" s="986" t="str">
        <f>VLOOKUP($R431,Table_9.6.1_2019[],AA$345,FALSE)</f>
        <v>ADD2</v>
      </c>
      <c r="AB431" s="986" t="str">
        <f>VLOOKUP($R431,Table_9.6.1_2019[],AB$345,FALSE)</f>
        <v>NA</v>
      </c>
      <c r="AC431" s="986" t="str">
        <f>VLOOKUP($R431,Table_9.6.1_2019[],AC$345,FALSE)</f>
        <v>NA</v>
      </c>
      <c r="AD431" s="986" t="str">
        <f>VLOOKUP($R431,Table_9.6.1_2019[],AD$345,FALSE)</f>
        <v>NA</v>
      </c>
      <c r="AE431" s="986" t="str">
        <f>VLOOKUP($R431,Table_9.6.1_2019[],AE$345,FALSE)</f>
        <v>NA</v>
      </c>
    </row>
    <row r="432" spans="1:31" x14ac:dyDescent="0.25">
      <c r="A432" s="652" t="s">
        <v>449</v>
      </c>
      <c r="B432" s="221">
        <v>1.66</v>
      </c>
      <c r="C432" s="221">
        <v>6</v>
      </c>
      <c r="D432" s="221" t="s">
        <v>305</v>
      </c>
      <c r="E432" s="221" t="s">
        <v>173</v>
      </c>
      <c r="F432" s="221" t="s">
        <v>173</v>
      </c>
      <c r="G432" s="221" t="s">
        <v>305</v>
      </c>
      <c r="H432" s="221" t="s">
        <v>305</v>
      </c>
      <c r="I432" s="221" t="s">
        <v>305</v>
      </c>
      <c r="J432" s="221" t="s">
        <v>304</v>
      </c>
      <c r="K432" s="221" t="s">
        <v>174</v>
      </c>
      <c r="L432" s="221" t="s">
        <v>174</v>
      </c>
      <c r="M432" s="221" t="s">
        <v>304</v>
      </c>
      <c r="N432" s="221" t="s">
        <v>304</v>
      </c>
      <c r="O432" s="221" t="s">
        <v>304</v>
      </c>
      <c r="P432" s="148" t="s">
        <v>304</v>
      </c>
      <c r="Q432" s="731" t="s">
        <v>304</v>
      </c>
      <c r="R432" s="663"/>
      <c r="S432" s="986" t="s">
        <v>305</v>
      </c>
      <c r="T432" s="986" t="s">
        <v>173</v>
      </c>
      <c r="U432" s="986" t="s">
        <v>173</v>
      </c>
      <c r="V432" s="986" t="s">
        <v>305</v>
      </c>
      <c r="W432" s="986" t="s">
        <v>304</v>
      </c>
      <c r="X432" s="986" t="s">
        <v>304</v>
      </c>
      <c r="Y432" s="986" t="s">
        <v>304</v>
      </c>
      <c r="Z432" s="986" t="s">
        <v>174</v>
      </c>
      <c r="AA432" s="986" t="s">
        <v>174</v>
      </c>
      <c r="AB432" s="986" t="s">
        <v>304</v>
      </c>
      <c r="AC432" s="986" t="s">
        <v>304</v>
      </c>
      <c r="AD432" s="986" t="s">
        <v>304</v>
      </c>
      <c r="AE432" s="148" t="s">
        <v>304</v>
      </c>
    </row>
    <row r="433" spans="1:31" x14ac:dyDescent="0.25">
      <c r="A433" s="148" t="s">
        <v>451</v>
      </c>
      <c r="B433" s="221">
        <v>0.76</v>
      </c>
      <c r="C433" s="221">
        <v>4</v>
      </c>
      <c r="D433" s="221" t="s">
        <v>305</v>
      </c>
      <c r="E433" s="221" t="s">
        <v>173</v>
      </c>
      <c r="F433" s="221" t="s">
        <v>173</v>
      </c>
      <c r="G433" s="221" t="s">
        <v>305</v>
      </c>
      <c r="H433" s="221" t="s">
        <v>305</v>
      </c>
      <c r="I433" s="221" t="s">
        <v>305</v>
      </c>
      <c r="J433" s="221" t="s">
        <v>305</v>
      </c>
      <c r="K433" s="221" t="s">
        <v>174</v>
      </c>
      <c r="L433" s="221" t="s">
        <v>174</v>
      </c>
      <c r="M433" s="221" t="s">
        <v>304</v>
      </c>
      <c r="N433" s="221" t="s">
        <v>304</v>
      </c>
      <c r="O433" s="221" t="s">
        <v>304</v>
      </c>
      <c r="P433" s="148" t="s">
        <v>304</v>
      </c>
      <c r="Q433" s="731" t="s">
        <v>304</v>
      </c>
      <c r="R433" s="663"/>
      <c r="S433" s="986" t="s">
        <v>305</v>
      </c>
      <c r="T433" s="986" t="s">
        <v>173</v>
      </c>
      <c r="U433" s="986" t="s">
        <v>173</v>
      </c>
      <c r="V433" s="986" t="s">
        <v>305</v>
      </c>
      <c r="W433" s="986" t="s">
        <v>304</v>
      </c>
      <c r="X433" s="986" t="s">
        <v>304</v>
      </c>
      <c r="Y433" s="986" t="s">
        <v>305</v>
      </c>
      <c r="Z433" s="986" t="s">
        <v>174</v>
      </c>
      <c r="AA433" s="986" t="s">
        <v>174</v>
      </c>
      <c r="AB433" s="986" t="s">
        <v>304</v>
      </c>
      <c r="AC433" s="986" t="s">
        <v>304</v>
      </c>
      <c r="AD433" s="986" t="s">
        <v>304</v>
      </c>
      <c r="AE433" s="148" t="s">
        <v>304</v>
      </c>
    </row>
    <row r="434" spans="1:31" x14ac:dyDescent="0.25">
      <c r="A434" s="148" t="s">
        <v>452</v>
      </c>
      <c r="B434" s="221">
        <v>1.77</v>
      </c>
      <c r="C434" s="221">
        <v>6</v>
      </c>
      <c r="D434" s="221" t="s">
        <v>305</v>
      </c>
      <c r="E434" s="221" t="s">
        <v>173</v>
      </c>
      <c r="F434" s="221" t="s">
        <v>173</v>
      </c>
      <c r="G434" s="221" t="s">
        <v>305</v>
      </c>
      <c r="H434" s="221" t="s">
        <v>305</v>
      </c>
      <c r="I434" s="221" t="s">
        <v>305</v>
      </c>
      <c r="J434" s="221" t="s">
        <v>304</v>
      </c>
      <c r="K434" s="221" t="s">
        <v>174</v>
      </c>
      <c r="L434" s="221" t="s">
        <v>174</v>
      </c>
      <c r="M434" s="221" t="s">
        <v>304</v>
      </c>
      <c r="N434" s="221" t="s">
        <v>304</v>
      </c>
      <c r="O434" s="221" t="s">
        <v>304</v>
      </c>
      <c r="P434" s="148" t="s">
        <v>304</v>
      </c>
      <c r="Q434" s="731" t="s">
        <v>304</v>
      </c>
      <c r="R434" s="663"/>
      <c r="S434" s="986" t="s">
        <v>305</v>
      </c>
      <c r="T434" s="986" t="s">
        <v>173</v>
      </c>
      <c r="U434" s="986" t="s">
        <v>173</v>
      </c>
      <c r="V434" s="986" t="s">
        <v>305</v>
      </c>
      <c r="W434" s="986" t="s">
        <v>304</v>
      </c>
      <c r="X434" s="986" t="s">
        <v>304</v>
      </c>
      <c r="Y434" s="986" t="s">
        <v>304</v>
      </c>
      <c r="Z434" s="986" t="s">
        <v>174</v>
      </c>
      <c r="AA434" s="986" t="s">
        <v>174</v>
      </c>
      <c r="AB434" s="986" t="s">
        <v>304</v>
      </c>
      <c r="AC434" s="986" t="s">
        <v>304</v>
      </c>
      <c r="AD434" s="986" t="s">
        <v>304</v>
      </c>
      <c r="AE434" s="148" t="s">
        <v>304</v>
      </c>
    </row>
    <row r="435" spans="1:31" x14ac:dyDescent="0.25">
      <c r="A435" s="664" t="s">
        <v>975</v>
      </c>
      <c r="B435" s="221">
        <v>0.72</v>
      </c>
      <c r="C435" s="221">
        <f>VLOOKUP($R435,Table_9.6.1_2019[],C$345,FALSE)</f>
        <v>4</v>
      </c>
      <c r="D435" s="221" t="str">
        <f>VLOOKUP($R435,Table_9.6.1_2019[],D$345,FALSE)</f>
        <v>REQ</v>
      </c>
      <c r="E435" s="221" t="str">
        <f>VLOOKUP($R435,Table_9.6.1_2019[],E$345,FALSE)</f>
        <v>ADD1</v>
      </c>
      <c r="F435" s="221" t="str">
        <f>VLOOKUP($R435,Table_9.6.1_2019[],F$345,FALSE)</f>
        <v>ADD1</v>
      </c>
      <c r="G435" s="221" t="str">
        <f>VLOOKUP($R435,Table_9.6.1_2019[],G$345,FALSE)</f>
        <v>REQ</v>
      </c>
      <c r="H435" s="221" t="str">
        <f>VLOOKUP($R435,Table_9.6.1_2019[],H$345,FALSE)</f>
        <v>REQ</v>
      </c>
      <c r="I435" s="221" t="str">
        <f>VLOOKUP($R435,Table_9.6.1_2019[],I$345,FALSE)</f>
        <v>REQ</v>
      </c>
      <c r="J435" s="221" t="str">
        <f>VLOOKUP($R435,Table_9.6.1_2019[],J$345,FALSE)</f>
        <v>NA</v>
      </c>
      <c r="K435" s="221" t="str">
        <f>VLOOKUP($R435,Table_9.6.1_2019[],K$345,FALSE)</f>
        <v>ADD2</v>
      </c>
      <c r="L435" s="221" t="str">
        <f>VLOOKUP($R435,Table_9.6.1_2019[],L$345,FALSE)</f>
        <v>ADD2</v>
      </c>
      <c r="M435" s="221" t="str">
        <f>VLOOKUP($R435,Table_9.6.1_2019[],M$345,FALSE)</f>
        <v>NA</v>
      </c>
      <c r="N435" s="221" t="str">
        <f>VLOOKUP($R435,Table_9.6.1_2019[],N$345,FALSE)</f>
        <v>NA</v>
      </c>
      <c r="O435" s="221" t="str">
        <f>VLOOKUP($R435,Table_9.6.1_2019[],O$345,FALSE)</f>
        <v>NA</v>
      </c>
      <c r="P435" s="221" t="str">
        <f>VLOOKUP($R435,Table_9.6.1_2019[],P$345,FALSE)</f>
        <v>NA</v>
      </c>
      <c r="Q435" s="731" t="str">
        <f>VLOOKUP($R435,Table_9.6.1_2019[],Q$345,FALSE)</f>
        <v>NA</v>
      </c>
      <c r="R435" s="652" t="s">
        <v>324</v>
      </c>
      <c r="S435" s="986" t="str">
        <f>VLOOKUP($R435,Table_9.6.1_2019[],S$345,FALSE)</f>
        <v>REQ</v>
      </c>
      <c r="T435" s="986" t="str">
        <f>VLOOKUP($R435,Table_9.6.1_2019[],T$345,FALSE)</f>
        <v>ADD1</v>
      </c>
      <c r="U435" s="986" t="str">
        <f>VLOOKUP($R435,Table_9.6.1_2019[],U$345,FALSE)</f>
        <v>ADD1</v>
      </c>
      <c r="V435" s="986" t="str">
        <f>VLOOKUP($R435,Table_9.6.1_2019[],V$345,FALSE)</f>
        <v>REQ</v>
      </c>
      <c r="W435" s="986" t="s">
        <v>304</v>
      </c>
      <c r="X435" s="986" t="s">
        <v>304</v>
      </c>
      <c r="Y435" s="986" t="str">
        <f>VLOOKUP($R435,Table_9.6.1_2019[],Y$345,FALSE)</f>
        <v>NA</v>
      </c>
      <c r="Z435" s="986" t="str">
        <f>VLOOKUP($R435,Table_9.6.1_2019[],Z$345,FALSE)</f>
        <v>ADD2</v>
      </c>
      <c r="AA435" s="986" t="str">
        <f>VLOOKUP($R435,Table_9.6.1_2019[],AA$345,FALSE)</f>
        <v>ADD2</v>
      </c>
      <c r="AB435" s="986" t="str">
        <f>VLOOKUP($R435,Table_9.6.1_2019[],AB$345,FALSE)</f>
        <v>NA</v>
      </c>
      <c r="AC435" s="986" t="str">
        <f>VLOOKUP($R435,Table_9.6.1_2019[],AC$345,FALSE)</f>
        <v>NA</v>
      </c>
      <c r="AD435" s="986" t="str">
        <f>VLOOKUP($R435,Table_9.6.1_2019[],AD$345,FALSE)</f>
        <v>NA</v>
      </c>
      <c r="AE435" s="986" t="str">
        <f>VLOOKUP($R435,Table_9.6.1_2019[],AE$345,FALSE)</f>
        <v>NA</v>
      </c>
    </row>
    <row r="436" spans="1:31" x14ac:dyDescent="0.25">
      <c r="A436" s="652" t="s">
        <v>453</v>
      </c>
      <c r="B436" s="221">
        <v>0.54</v>
      </c>
      <c r="C436" s="221">
        <v>4</v>
      </c>
      <c r="D436" s="221" t="s">
        <v>305</v>
      </c>
      <c r="E436" s="221" t="s">
        <v>173</v>
      </c>
      <c r="F436" s="221" t="s">
        <v>173</v>
      </c>
      <c r="G436" s="221" t="s">
        <v>305</v>
      </c>
      <c r="H436" s="221" t="s">
        <v>305</v>
      </c>
      <c r="I436" s="221" t="s">
        <v>305</v>
      </c>
      <c r="J436" s="221" t="s">
        <v>304</v>
      </c>
      <c r="K436" s="221" t="s">
        <v>174</v>
      </c>
      <c r="L436" s="221" t="s">
        <v>174</v>
      </c>
      <c r="M436" s="221" t="s">
        <v>304</v>
      </c>
      <c r="N436" s="221" t="s">
        <v>304</v>
      </c>
      <c r="O436" s="221" t="s">
        <v>304</v>
      </c>
      <c r="P436" s="148" t="s">
        <v>304</v>
      </c>
      <c r="Q436" s="731" t="s">
        <v>304</v>
      </c>
      <c r="R436" s="663"/>
      <c r="S436" s="986" t="s">
        <v>305</v>
      </c>
      <c r="T436" s="986" t="s">
        <v>173</v>
      </c>
      <c r="U436" s="986" t="s">
        <v>173</v>
      </c>
      <c r="V436" s="986" t="s">
        <v>305</v>
      </c>
      <c r="W436" s="986" t="s">
        <v>304</v>
      </c>
      <c r="X436" s="986" t="s">
        <v>304</v>
      </c>
      <c r="Y436" s="986" t="s">
        <v>304</v>
      </c>
      <c r="Z436" s="986" t="s">
        <v>174</v>
      </c>
      <c r="AA436" s="986" t="s">
        <v>174</v>
      </c>
      <c r="AB436" s="986" t="s">
        <v>304</v>
      </c>
      <c r="AC436" s="986" t="s">
        <v>304</v>
      </c>
      <c r="AD436" s="986" t="s">
        <v>304</v>
      </c>
      <c r="AE436" s="148" t="s">
        <v>304</v>
      </c>
    </row>
    <row r="437" spans="1:31" x14ac:dyDescent="0.25">
      <c r="A437" s="652" t="s">
        <v>455</v>
      </c>
      <c r="B437" s="221">
        <v>0.85</v>
      </c>
      <c r="C437" s="221">
        <v>4</v>
      </c>
      <c r="D437" s="221" t="s">
        <v>305</v>
      </c>
      <c r="E437" s="221" t="s">
        <v>173</v>
      </c>
      <c r="F437" s="221" t="s">
        <v>173</v>
      </c>
      <c r="G437" s="221" t="s">
        <v>305</v>
      </c>
      <c r="H437" s="221" t="s">
        <v>305</v>
      </c>
      <c r="I437" s="221" t="s">
        <v>305</v>
      </c>
      <c r="J437" s="221" t="s">
        <v>304</v>
      </c>
      <c r="K437" s="221" t="s">
        <v>174</v>
      </c>
      <c r="L437" s="221" t="s">
        <v>174</v>
      </c>
      <c r="M437" s="221" t="s">
        <v>304</v>
      </c>
      <c r="N437" s="221" t="s">
        <v>304</v>
      </c>
      <c r="O437" s="221" t="s">
        <v>304</v>
      </c>
      <c r="P437" s="148" t="s">
        <v>304</v>
      </c>
      <c r="Q437" s="731" t="s">
        <v>304</v>
      </c>
      <c r="R437" s="663"/>
      <c r="S437" s="986" t="s">
        <v>305</v>
      </c>
      <c r="T437" s="986" t="s">
        <v>173</v>
      </c>
      <c r="U437" s="986" t="s">
        <v>173</v>
      </c>
      <c r="V437" s="986" t="s">
        <v>305</v>
      </c>
      <c r="W437" s="986" t="s">
        <v>304</v>
      </c>
      <c r="X437" s="986" t="s">
        <v>304</v>
      </c>
      <c r="Y437" s="986" t="s">
        <v>304</v>
      </c>
      <c r="Z437" s="986" t="s">
        <v>174</v>
      </c>
      <c r="AA437" s="986" t="s">
        <v>174</v>
      </c>
      <c r="AB437" s="986" t="s">
        <v>304</v>
      </c>
      <c r="AC437" s="986" t="s">
        <v>304</v>
      </c>
      <c r="AD437" s="986" t="s">
        <v>304</v>
      </c>
      <c r="AE437" s="148" t="s">
        <v>304</v>
      </c>
    </row>
    <row r="438" spans="1:31" x14ac:dyDescent="0.25">
      <c r="A438" s="652" t="s">
        <v>45</v>
      </c>
      <c r="B438" s="221">
        <v>0.63</v>
      </c>
      <c r="C438" s="221">
        <v>8</v>
      </c>
      <c r="D438" s="221" t="s">
        <v>304</v>
      </c>
      <c r="E438" s="221" t="s">
        <v>304</v>
      </c>
      <c r="F438" s="221" t="s">
        <v>304</v>
      </c>
      <c r="G438" s="221" t="s">
        <v>304</v>
      </c>
      <c r="H438" s="221" t="s">
        <v>305</v>
      </c>
      <c r="I438" s="221" t="s">
        <v>305</v>
      </c>
      <c r="J438" s="221" t="s">
        <v>304</v>
      </c>
      <c r="K438" s="221" t="s">
        <v>305</v>
      </c>
      <c r="L438" s="221" t="s">
        <v>304</v>
      </c>
      <c r="M438" s="221" t="s">
        <v>304</v>
      </c>
      <c r="N438" s="221" t="s">
        <v>304</v>
      </c>
      <c r="O438" s="221" t="s">
        <v>304</v>
      </c>
      <c r="P438" s="148" t="s">
        <v>304</v>
      </c>
      <c r="Q438" s="731" t="s">
        <v>304</v>
      </c>
      <c r="R438" s="663"/>
      <c r="S438" s="986" t="s">
        <v>304</v>
      </c>
      <c r="T438" s="986" t="s">
        <v>304</v>
      </c>
      <c r="U438" s="986" t="s">
        <v>304</v>
      </c>
      <c r="V438" s="986" t="s">
        <v>304</v>
      </c>
      <c r="W438" s="986" t="s">
        <v>304</v>
      </c>
      <c r="X438" s="986" t="s">
        <v>304</v>
      </c>
      <c r="Y438" s="986" t="s">
        <v>304</v>
      </c>
      <c r="Z438" s="986" t="s">
        <v>305</v>
      </c>
      <c r="AA438" s="986" t="s">
        <v>304</v>
      </c>
      <c r="AB438" s="986" t="s">
        <v>304</v>
      </c>
      <c r="AC438" s="986" t="s">
        <v>304</v>
      </c>
      <c r="AD438" s="986" t="s">
        <v>304</v>
      </c>
      <c r="AE438" s="148" t="s">
        <v>304</v>
      </c>
    </row>
    <row r="439" spans="1:31" x14ac:dyDescent="0.25">
      <c r="A439" s="669" t="s">
        <v>458</v>
      </c>
      <c r="B439" s="221">
        <v>1.26</v>
      </c>
      <c r="C439" s="221">
        <v>8</v>
      </c>
      <c r="D439" s="221" t="s">
        <v>304</v>
      </c>
      <c r="E439" s="221" t="s">
        <v>304</v>
      </c>
      <c r="F439" s="221" t="s">
        <v>304</v>
      </c>
      <c r="G439" s="221" t="s">
        <v>304</v>
      </c>
      <c r="H439" s="221" t="s">
        <v>305</v>
      </c>
      <c r="I439" s="221" t="s">
        <v>305</v>
      </c>
      <c r="J439" s="221" t="s">
        <v>304</v>
      </c>
      <c r="K439" s="221" t="s">
        <v>305</v>
      </c>
      <c r="L439" s="221" t="s">
        <v>304</v>
      </c>
      <c r="M439" s="221" t="s">
        <v>304</v>
      </c>
      <c r="N439" s="221" t="s">
        <v>304</v>
      </c>
      <c r="O439" s="221" t="s">
        <v>304</v>
      </c>
      <c r="P439" s="148" t="s">
        <v>304</v>
      </c>
      <c r="Q439" s="731" t="s">
        <v>304</v>
      </c>
      <c r="R439" s="663"/>
      <c r="S439" s="986" t="s">
        <v>304</v>
      </c>
      <c r="T439" s="986" t="s">
        <v>304</v>
      </c>
      <c r="U439" s="986" t="s">
        <v>304</v>
      </c>
      <c r="V439" s="986" t="s">
        <v>304</v>
      </c>
      <c r="W439" s="986" t="s">
        <v>304</v>
      </c>
      <c r="X439" s="986" t="s">
        <v>304</v>
      </c>
      <c r="Y439" s="986" t="s">
        <v>304</v>
      </c>
      <c r="Z439" s="986" t="s">
        <v>305</v>
      </c>
      <c r="AA439" s="986" t="s">
        <v>304</v>
      </c>
      <c r="AB439" s="986" t="s">
        <v>304</v>
      </c>
      <c r="AC439" s="986" t="s">
        <v>304</v>
      </c>
      <c r="AD439" s="986" t="s">
        <v>304</v>
      </c>
      <c r="AE439" s="148" t="s">
        <v>304</v>
      </c>
    </row>
    <row r="440" spans="1:31" x14ac:dyDescent="0.25">
      <c r="A440" s="668" t="s">
        <v>459</v>
      </c>
      <c r="B440" s="221">
        <v>0.51</v>
      </c>
      <c r="C440" s="221">
        <v>8</v>
      </c>
      <c r="D440" s="221" t="s">
        <v>305</v>
      </c>
      <c r="E440" s="221" t="s">
        <v>173</v>
      </c>
      <c r="F440" s="221" t="s">
        <v>173</v>
      </c>
      <c r="G440" s="221" t="s">
        <v>305</v>
      </c>
      <c r="H440" s="221" t="s">
        <v>304</v>
      </c>
      <c r="I440" s="221" t="s">
        <v>305</v>
      </c>
      <c r="J440" s="221" t="s">
        <v>304</v>
      </c>
      <c r="K440" s="221" t="s">
        <v>305</v>
      </c>
      <c r="L440" s="221" t="s">
        <v>304</v>
      </c>
      <c r="M440" s="221" t="s">
        <v>304</v>
      </c>
      <c r="N440" s="221" t="s">
        <v>304</v>
      </c>
      <c r="O440" s="221" t="s">
        <v>304</v>
      </c>
      <c r="P440" s="148" t="s">
        <v>304</v>
      </c>
      <c r="Q440" s="731" t="s">
        <v>304</v>
      </c>
      <c r="R440" s="663"/>
      <c r="S440" s="986" t="s">
        <v>305</v>
      </c>
      <c r="T440" s="986" t="s">
        <v>173</v>
      </c>
      <c r="U440" s="986" t="s">
        <v>173</v>
      </c>
      <c r="V440" s="986" t="s">
        <v>305</v>
      </c>
      <c r="W440" s="986" t="s">
        <v>304</v>
      </c>
      <c r="X440" s="986" t="s">
        <v>304</v>
      </c>
      <c r="Y440" s="986" t="s">
        <v>304</v>
      </c>
      <c r="Z440" s="986" t="s">
        <v>305</v>
      </c>
      <c r="AA440" s="986" t="s">
        <v>304</v>
      </c>
      <c r="AB440" s="986" t="s">
        <v>304</v>
      </c>
      <c r="AC440" s="986" t="s">
        <v>304</v>
      </c>
      <c r="AD440" s="986" t="s">
        <v>304</v>
      </c>
      <c r="AE440" s="148" t="s">
        <v>304</v>
      </c>
    </row>
    <row r="441" spans="1:31" x14ac:dyDescent="0.25">
      <c r="A441" s="652" t="s">
        <v>461</v>
      </c>
      <c r="B441" s="221">
        <v>0.82</v>
      </c>
      <c r="C441" s="221">
        <v>4</v>
      </c>
      <c r="D441" s="221" t="s">
        <v>305</v>
      </c>
      <c r="E441" s="221" t="s">
        <v>173</v>
      </c>
      <c r="F441" s="221" t="s">
        <v>173</v>
      </c>
      <c r="G441" s="221" t="s">
        <v>305</v>
      </c>
      <c r="H441" s="221" t="s">
        <v>305</v>
      </c>
      <c r="I441" s="221" t="s">
        <v>305</v>
      </c>
      <c r="J441" s="221" t="s">
        <v>304</v>
      </c>
      <c r="K441" s="221" t="s">
        <v>174</v>
      </c>
      <c r="L441" s="221" t="s">
        <v>174</v>
      </c>
      <c r="M441" s="221" t="s">
        <v>304</v>
      </c>
      <c r="N441" s="221" t="s">
        <v>304</v>
      </c>
      <c r="O441" s="221" t="s">
        <v>304</v>
      </c>
      <c r="P441" s="148" t="s">
        <v>304</v>
      </c>
      <c r="Q441" s="731">
        <v>5</v>
      </c>
      <c r="R441" s="663"/>
      <c r="S441" s="986" t="s">
        <v>305</v>
      </c>
      <c r="T441" s="986" t="s">
        <v>173</v>
      </c>
      <c r="U441" s="986" t="s">
        <v>173</v>
      </c>
      <c r="V441" s="986" t="s">
        <v>305</v>
      </c>
      <c r="W441" s="986" t="s">
        <v>304</v>
      </c>
      <c r="X441" s="986" t="s">
        <v>304</v>
      </c>
      <c r="Y441" s="986" t="s">
        <v>304</v>
      </c>
      <c r="Z441" s="986" t="s">
        <v>174</v>
      </c>
      <c r="AA441" s="986" t="s">
        <v>174</v>
      </c>
      <c r="AB441" s="986" t="s">
        <v>304</v>
      </c>
      <c r="AC441" s="986" t="s">
        <v>304</v>
      </c>
      <c r="AD441" s="986" t="s">
        <v>304</v>
      </c>
      <c r="AE441" s="148" t="s">
        <v>304</v>
      </c>
    </row>
    <row r="442" spans="1:31" x14ac:dyDescent="0.25">
      <c r="A442" s="652" t="s">
        <v>47</v>
      </c>
      <c r="B442" s="221">
        <v>1.05</v>
      </c>
      <c r="C442" s="221">
        <v>6</v>
      </c>
      <c r="D442" s="221" t="s">
        <v>305</v>
      </c>
      <c r="E442" s="221" t="s">
        <v>173</v>
      </c>
      <c r="F442" s="221" t="s">
        <v>173</v>
      </c>
      <c r="G442" s="221" t="s">
        <v>305</v>
      </c>
      <c r="H442" s="221" t="s">
        <v>304</v>
      </c>
      <c r="I442" s="221" t="s">
        <v>305</v>
      </c>
      <c r="J442" s="221" t="s">
        <v>304</v>
      </c>
      <c r="K442" s="221" t="s">
        <v>174</v>
      </c>
      <c r="L442" s="221" t="s">
        <v>174</v>
      </c>
      <c r="M442" s="221" t="s">
        <v>304</v>
      </c>
      <c r="N442" s="221" t="s">
        <v>304</v>
      </c>
      <c r="O442" s="221" t="s">
        <v>304</v>
      </c>
      <c r="P442" s="148" t="s">
        <v>304</v>
      </c>
      <c r="Q442" s="731">
        <v>4</v>
      </c>
      <c r="R442" s="663"/>
      <c r="S442" s="986" t="s">
        <v>305</v>
      </c>
      <c r="T442" s="986" t="s">
        <v>173</v>
      </c>
      <c r="U442" s="986" t="s">
        <v>173</v>
      </c>
      <c r="V442" s="986" t="s">
        <v>305</v>
      </c>
      <c r="W442" s="986" t="s">
        <v>304</v>
      </c>
      <c r="X442" s="986" t="s">
        <v>304</v>
      </c>
      <c r="Y442" s="986" t="s">
        <v>304</v>
      </c>
      <c r="Z442" s="986" t="s">
        <v>174</v>
      </c>
      <c r="AA442" s="986" t="s">
        <v>174</v>
      </c>
      <c r="AB442" s="986" t="s">
        <v>304</v>
      </c>
      <c r="AC442" s="986" t="s">
        <v>304</v>
      </c>
      <c r="AD442" s="986" t="s">
        <v>304</v>
      </c>
      <c r="AE442" s="148" t="s">
        <v>304</v>
      </c>
    </row>
    <row r="443" spans="1:31" x14ac:dyDescent="0.25">
      <c r="A443" s="652" t="s">
        <v>465</v>
      </c>
      <c r="B443" s="221">
        <v>0.23</v>
      </c>
      <c r="C443" s="221">
        <v>4</v>
      </c>
      <c r="D443" s="221" t="s">
        <v>305</v>
      </c>
      <c r="E443" s="221" t="s">
        <v>173</v>
      </c>
      <c r="F443" s="221" t="s">
        <v>173</v>
      </c>
      <c r="G443" s="221" t="s">
        <v>304</v>
      </c>
      <c r="H443" s="221" t="s">
        <v>305</v>
      </c>
      <c r="I443" s="221" t="s">
        <v>305</v>
      </c>
      <c r="J443" s="221" t="s">
        <v>304</v>
      </c>
      <c r="K443" s="221" t="s">
        <v>174</v>
      </c>
      <c r="L443" s="221" t="s">
        <v>174</v>
      </c>
      <c r="M443" s="221" t="s">
        <v>304</v>
      </c>
      <c r="N443" s="221" t="s">
        <v>304</v>
      </c>
      <c r="O443" s="221" t="s">
        <v>304</v>
      </c>
      <c r="P443" s="148" t="s">
        <v>304</v>
      </c>
      <c r="Q443" s="731" t="s">
        <v>304</v>
      </c>
      <c r="R443" s="663"/>
      <c r="S443" s="986" t="s">
        <v>305</v>
      </c>
      <c r="T443" s="986" t="s">
        <v>173</v>
      </c>
      <c r="U443" s="986" t="s">
        <v>173</v>
      </c>
      <c r="V443" s="986" t="s">
        <v>304</v>
      </c>
      <c r="W443" s="986" t="s">
        <v>304</v>
      </c>
      <c r="X443" s="986" t="s">
        <v>304</v>
      </c>
      <c r="Y443" s="986" t="s">
        <v>304</v>
      </c>
      <c r="Z443" s="986" t="s">
        <v>174</v>
      </c>
      <c r="AA443" s="986" t="s">
        <v>174</v>
      </c>
      <c r="AB443" s="986" t="s">
        <v>304</v>
      </c>
      <c r="AC443" s="986" t="s">
        <v>304</v>
      </c>
      <c r="AD443" s="986" t="s">
        <v>304</v>
      </c>
      <c r="AE443" s="148" t="s">
        <v>304</v>
      </c>
    </row>
    <row r="444" spans="1:31" x14ac:dyDescent="0.25">
      <c r="A444" s="652" t="s">
        <v>976</v>
      </c>
      <c r="B444" s="221">
        <v>0.33</v>
      </c>
      <c r="C444" s="221">
        <v>4</v>
      </c>
      <c r="D444" s="221" t="s">
        <v>305</v>
      </c>
      <c r="E444" s="221" t="s">
        <v>173</v>
      </c>
      <c r="F444" s="221" t="s">
        <v>173</v>
      </c>
      <c r="G444" s="221" t="s">
        <v>304</v>
      </c>
      <c r="H444" s="221" t="s">
        <v>305</v>
      </c>
      <c r="I444" s="221" t="s">
        <v>305</v>
      </c>
      <c r="J444" s="221" t="s">
        <v>304</v>
      </c>
      <c r="K444" s="221" t="s">
        <v>174</v>
      </c>
      <c r="L444" s="221" t="s">
        <v>174</v>
      </c>
      <c r="M444" s="221" t="s">
        <v>304</v>
      </c>
      <c r="N444" s="221" t="s">
        <v>304</v>
      </c>
      <c r="O444" s="221" t="s">
        <v>304</v>
      </c>
      <c r="P444" s="148" t="s">
        <v>304</v>
      </c>
      <c r="Q444" s="731" t="s">
        <v>304</v>
      </c>
      <c r="R444" s="663"/>
      <c r="S444" s="986" t="s">
        <v>305</v>
      </c>
      <c r="T444" s="986" t="s">
        <v>173</v>
      </c>
      <c r="U444" s="986" t="s">
        <v>173</v>
      </c>
      <c r="V444" s="986" t="s">
        <v>304</v>
      </c>
      <c r="W444" s="986" t="s">
        <v>304</v>
      </c>
      <c r="X444" s="986" t="s">
        <v>304</v>
      </c>
      <c r="Y444" s="986" t="s">
        <v>304</v>
      </c>
      <c r="Z444" s="986" t="s">
        <v>174</v>
      </c>
      <c r="AA444" s="986" t="s">
        <v>174</v>
      </c>
      <c r="AB444" s="986" t="s">
        <v>304</v>
      </c>
      <c r="AC444" s="986" t="s">
        <v>304</v>
      </c>
      <c r="AD444" s="986" t="s">
        <v>304</v>
      </c>
      <c r="AE444" s="148" t="s">
        <v>304</v>
      </c>
    </row>
    <row r="445" spans="1:31" x14ac:dyDescent="0.25">
      <c r="A445" s="148" t="s">
        <v>467</v>
      </c>
      <c r="B445" s="221">
        <v>2.94</v>
      </c>
      <c r="C445" s="221">
        <v>4</v>
      </c>
      <c r="D445" s="221" t="s">
        <v>305</v>
      </c>
      <c r="E445" s="221" t="s">
        <v>173</v>
      </c>
      <c r="F445" s="221" t="s">
        <v>173</v>
      </c>
      <c r="G445" s="221" t="s">
        <v>305</v>
      </c>
      <c r="H445" s="221" t="s">
        <v>305</v>
      </c>
      <c r="I445" s="221" t="s">
        <v>305</v>
      </c>
      <c r="J445" s="221" t="s">
        <v>304</v>
      </c>
      <c r="K445" s="221" t="s">
        <v>174</v>
      </c>
      <c r="L445" s="221" t="s">
        <v>174</v>
      </c>
      <c r="M445" s="221" t="s">
        <v>304</v>
      </c>
      <c r="N445" s="221" t="s">
        <v>304</v>
      </c>
      <c r="O445" s="221" t="s">
        <v>304</v>
      </c>
      <c r="P445" s="148" t="s">
        <v>304</v>
      </c>
      <c r="Q445" s="731" t="s">
        <v>304</v>
      </c>
      <c r="R445" s="663"/>
      <c r="S445" s="986" t="s">
        <v>305</v>
      </c>
      <c r="T445" s="986" t="s">
        <v>173</v>
      </c>
      <c r="U445" s="986" t="s">
        <v>173</v>
      </c>
      <c r="V445" s="986" t="s">
        <v>305</v>
      </c>
      <c r="W445" s="986" t="s">
        <v>304</v>
      </c>
      <c r="X445" s="986" t="s">
        <v>304</v>
      </c>
      <c r="Y445" s="986" t="s">
        <v>304</v>
      </c>
      <c r="Z445" s="986" t="s">
        <v>174</v>
      </c>
      <c r="AA445" s="986" t="s">
        <v>174</v>
      </c>
      <c r="AB445" s="986" t="s">
        <v>304</v>
      </c>
      <c r="AC445" s="986" t="s">
        <v>304</v>
      </c>
      <c r="AD445" s="986" t="s">
        <v>304</v>
      </c>
      <c r="AE445" s="148" t="s">
        <v>304</v>
      </c>
    </row>
    <row r="446" spans="1:31" x14ac:dyDescent="0.25">
      <c r="A446" s="148" t="s">
        <v>469</v>
      </c>
      <c r="B446" s="221">
        <v>2.0099999999999998</v>
      </c>
      <c r="C446" s="221">
        <v>4</v>
      </c>
      <c r="D446" s="221" t="s">
        <v>305</v>
      </c>
      <c r="E446" s="221" t="s">
        <v>173</v>
      </c>
      <c r="F446" s="221" t="s">
        <v>173</v>
      </c>
      <c r="G446" s="221" t="s">
        <v>305</v>
      </c>
      <c r="H446" s="221" t="s">
        <v>305</v>
      </c>
      <c r="I446" s="221" t="s">
        <v>305</v>
      </c>
      <c r="J446" s="221" t="s">
        <v>304</v>
      </c>
      <c r="K446" s="221" t="s">
        <v>174</v>
      </c>
      <c r="L446" s="221" t="s">
        <v>174</v>
      </c>
      <c r="M446" s="221" t="s">
        <v>304</v>
      </c>
      <c r="N446" s="221" t="s">
        <v>304</v>
      </c>
      <c r="O446" s="221" t="s">
        <v>304</v>
      </c>
      <c r="P446" s="148" t="s">
        <v>304</v>
      </c>
      <c r="Q446" s="731" t="s">
        <v>304</v>
      </c>
      <c r="R446" s="663"/>
      <c r="S446" s="986" t="s">
        <v>305</v>
      </c>
      <c r="T446" s="986" t="s">
        <v>173</v>
      </c>
      <c r="U446" s="986" t="s">
        <v>173</v>
      </c>
      <c r="V446" s="986" t="s">
        <v>305</v>
      </c>
      <c r="W446" s="986" t="s">
        <v>304</v>
      </c>
      <c r="X446" s="986" t="s">
        <v>304</v>
      </c>
      <c r="Y446" s="986" t="s">
        <v>304</v>
      </c>
      <c r="Z446" s="986" t="s">
        <v>174</v>
      </c>
      <c r="AA446" s="986" t="s">
        <v>174</v>
      </c>
      <c r="AB446" s="986" t="s">
        <v>304</v>
      </c>
      <c r="AC446" s="986" t="s">
        <v>304</v>
      </c>
      <c r="AD446" s="986" t="s">
        <v>304</v>
      </c>
      <c r="AE446" s="148" t="s">
        <v>304</v>
      </c>
    </row>
    <row r="447" spans="1:31" x14ac:dyDescent="0.25">
      <c r="A447" s="148" t="s">
        <v>471</v>
      </c>
      <c r="B447" s="221">
        <v>1.3</v>
      </c>
      <c r="C447" s="221">
        <v>4</v>
      </c>
      <c r="D447" s="221" t="s">
        <v>305</v>
      </c>
      <c r="E447" s="221" t="s">
        <v>173</v>
      </c>
      <c r="F447" s="221" t="s">
        <v>173</v>
      </c>
      <c r="G447" s="221" t="s">
        <v>305</v>
      </c>
      <c r="H447" s="221" t="s">
        <v>305</v>
      </c>
      <c r="I447" s="221" t="s">
        <v>305</v>
      </c>
      <c r="J447" s="221" t="s">
        <v>304</v>
      </c>
      <c r="K447" s="221" t="s">
        <v>174</v>
      </c>
      <c r="L447" s="221" t="s">
        <v>174</v>
      </c>
      <c r="M447" s="221" t="s">
        <v>304</v>
      </c>
      <c r="N447" s="221" t="s">
        <v>304</v>
      </c>
      <c r="O447" s="221" t="s">
        <v>304</v>
      </c>
      <c r="P447" s="148" t="s">
        <v>304</v>
      </c>
      <c r="Q447" s="731" t="s">
        <v>304</v>
      </c>
      <c r="R447" s="663"/>
      <c r="S447" s="986" t="s">
        <v>305</v>
      </c>
      <c r="T447" s="986" t="s">
        <v>173</v>
      </c>
      <c r="U447" s="986" t="s">
        <v>173</v>
      </c>
      <c r="V447" s="986" t="s">
        <v>305</v>
      </c>
      <c r="W447" s="986" t="s">
        <v>304</v>
      </c>
      <c r="X447" s="986" t="s">
        <v>304</v>
      </c>
      <c r="Y447" s="986" t="s">
        <v>304</v>
      </c>
      <c r="Z447" s="986" t="s">
        <v>174</v>
      </c>
      <c r="AA447" s="986" t="s">
        <v>174</v>
      </c>
      <c r="AB447" s="986" t="s">
        <v>304</v>
      </c>
      <c r="AC447" s="986" t="s">
        <v>304</v>
      </c>
      <c r="AD447" s="986" t="s">
        <v>304</v>
      </c>
      <c r="AE447" s="148" t="s">
        <v>304</v>
      </c>
    </row>
    <row r="448" spans="1:31" x14ac:dyDescent="0.25">
      <c r="A448" s="148" t="s">
        <v>473</v>
      </c>
      <c r="B448" s="221">
        <v>0.86</v>
      </c>
      <c r="C448" s="221">
        <v>4</v>
      </c>
      <c r="D448" s="221" t="s">
        <v>305</v>
      </c>
      <c r="E448" s="221" t="s">
        <v>173</v>
      </c>
      <c r="F448" s="221" t="s">
        <v>173</v>
      </c>
      <c r="G448" s="221" t="s">
        <v>305</v>
      </c>
      <c r="H448" s="221" t="s">
        <v>305</v>
      </c>
      <c r="I448" s="221" t="s">
        <v>305</v>
      </c>
      <c r="J448" s="221" t="s">
        <v>304</v>
      </c>
      <c r="K448" s="221" t="s">
        <v>174</v>
      </c>
      <c r="L448" s="221" t="s">
        <v>174</v>
      </c>
      <c r="M448" s="221" t="s">
        <v>304</v>
      </c>
      <c r="N448" s="221" t="s">
        <v>304</v>
      </c>
      <c r="O448" s="221" t="s">
        <v>304</v>
      </c>
      <c r="P448" s="148" t="s">
        <v>304</v>
      </c>
      <c r="Q448" s="731" t="s">
        <v>304</v>
      </c>
      <c r="R448" s="663"/>
      <c r="S448" s="986" t="s">
        <v>305</v>
      </c>
      <c r="T448" s="986" t="s">
        <v>173</v>
      </c>
      <c r="U448" s="986" t="s">
        <v>173</v>
      </c>
      <c r="V448" s="986" t="s">
        <v>305</v>
      </c>
      <c r="W448" s="986" t="s">
        <v>304</v>
      </c>
      <c r="X448" s="986" t="s">
        <v>304</v>
      </c>
      <c r="Y448" s="986" t="s">
        <v>304</v>
      </c>
      <c r="Z448" s="986" t="s">
        <v>174</v>
      </c>
      <c r="AA448" s="986" t="s">
        <v>174</v>
      </c>
      <c r="AB448" s="986" t="s">
        <v>304</v>
      </c>
      <c r="AC448" s="986" t="s">
        <v>304</v>
      </c>
      <c r="AD448" s="986" t="s">
        <v>304</v>
      </c>
      <c r="AE448" s="148" t="s">
        <v>304</v>
      </c>
    </row>
    <row r="449" spans="1:31" x14ac:dyDescent="0.25">
      <c r="A449" s="652" t="s">
        <v>475</v>
      </c>
      <c r="B449" s="221">
        <v>0.49</v>
      </c>
      <c r="C449" s="221">
        <v>10</v>
      </c>
      <c r="D449" s="221" t="s">
        <v>304</v>
      </c>
      <c r="E449" s="221" t="s">
        <v>304</v>
      </c>
      <c r="F449" s="221" t="s">
        <v>304</v>
      </c>
      <c r="G449" s="221" t="s">
        <v>305</v>
      </c>
      <c r="H449" s="221" t="s">
        <v>305</v>
      </c>
      <c r="I449" s="221" t="s">
        <v>305</v>
      </c>
      <c r="J449" s="221" t="s">
        <v>305</v>
      </c>
      <c r="K449" s="221" t="s">
        <v>174</v>
      </c>
      <c r="L449" s="221" t="s">
        <v>174</v>
      </c>
      <c r="M449" s="221" t="s">
        <v>304</v>
      </c>
      <c r="N449" s="221" t="s">
        <v>304</v>
      </c>
      <c r="O449" s="221" t="s">
        <v>304</v>
      </c>
      <c r="P449" s="148" t="s">
        <v>304</v>
      </c>
      <c r="Q449" s="731">
        <v>5</v>
      </c>
      <c r="R449" s="663"/>
      <c r="S449" s="986" t="s">
        <v>304</v>
      </c>
      <c r="T449" s="986" t="s">
        <v>304</v>
      </c>
      <c r="U449" s="986" t="s">
        <v>304</v>
      </c>
      <c r="V449" s="986" t="s">
        <v>305</v>
      </c>
      <c r="W449" s="986" t="s">
        <v>304</v>
      </c>
      <c r="X449" s="986" t="s">
        <v>304</v>
      </c>
      <c r="Y449" s="986" t="s">
        <v>305</v>
      </c>
      <c r="Z449" s="986" t="s">
        <v>174</v>
      </c>
      <c r="AA449" s="986" t="s">
        <v>174</v>
      </c>
      <c r="AB449" s="986" t="s">
        <v>304</v>
      </c>
      <c r="AC449" s="986" t="s">
        <v>304</v>
      </c>
      <c r="AD449" s="986" t="s">
        <v>304</v>
      </c>
      <c r="AE449" s="148" t="s">
        <v>304</v>
      </c>
    </row>
    <row r="450" spans="1:31" x14ac:dyDescent="0.25">
      <c r="A450" s="652" t="s">
        <v>477</v>
      </c>
      <c r="B450" s="221">
        <v>0.51</v>
      </c>
      <c r="C450" s="221">
        <v>9</v>
      </c>
      <c r="D450" s="221" t="s">
        <v>305</v>
      </c>
      <c r="E450" s="221" t="s">
        <v>304</v>
      </c>
      <c r="F450" s="221" t="s">
        <v>304</v>
      </c>
      <c r="G450" s="221" t="s">
        <v>304</v>
      </c>
      <c r="H450" s="221" t="s">
        <v>304</v>
      </c>
      <c r="I450" s="221" t="s">
        <v>304</v>
      </c>
      <c r="J450" s="221" t="s">
        <v>304</v>
      </c>
      <c r="K450" s="221" t="s">
        <v>174</v>
      </c>
      <c r="L450" s="221" t="s">
        <v>174</v>
      </c>
      <c r="M450" s="221" t="s">
        <v>304</v>
      </c>
      <c r="N450" s="221" t="s">
        <v>304</v>
      </c>
      <c r="O450" s="221" t="s">
        <v>304</v>
      </c>
      <c r="P450" s="148" t="s">
        <v>304</v>
      </c>
      <c r="Q450" s="731" t="s">
        <v>304</v>
      </c>
      <c r="R450" s="663"/>
      <c r="S450" s="986" t="s">
        <v>305</v>
      </c>
      <c r="T450" s="986" t="s">
        <v>304</v>
      </c>
      <c r="U450" s="986" t="s">
        <v>304</v>
      </c>
      <c r="V450" s="986" t="s">
        <v>304</v>
      </c>
      <c r="W450" s="986" t="s">
        <v>304</v>
      </c>
      <c r="X450" s="986" t="s">
        <v>304</v>
      </c>
      <c r="Y450" s="986" t="s">
        <v>304</v>
      </c>
      <c r="Z450" s="986" t="s">
        <v>174</v>
      </c>
      <c r="AA450" s="986" t="s">
        <v>174</v>
      </c>
      <c r="AB450" s="986" t="s">
        <v>304</v>
      </c>
      <c r="AC450" s="986" t="s">
        <v>304</v>
      </c>
      <c r="AD450" s="986" t="s">
        <v>304</v>
      </c>
      <c r="AE450" s="148" t="s">
        <v>304</v>
      </c>
    </row>
    <row r="451" spans="1:31" x14ac:dyDescent="0.25">
      <c r="A451" s="652" t="s">
        <v>962</v>
      </c>
      <c r="B451" s="221">
        <v>0.38</v>
      </c>
      <c r="C451" s="221">
        <v>6</v>
      </c>
      <c r="D451" s="221" t="s">
        <v>305</v>
      </c>
      <c r="E451" s="221" t="s">
        <v>173</v>
      </c>
      <c r="F451" s="221" t="s">
        <v>173</v>
      </c>
      <c r="G451" s="221" t="s">
        <v>304</v>
      </c>
      <c r="H451" s="221" t="s">
        <v>305</v>
      </c>
      <c r="I451" s="221" t="s">
        <v>305</v>
      </c>
      <c r="J451" s="221" t="s">
        <v>304</v>
      </c>
      <c r="K451" s="221" t="s">
        <v>305</v>
      </c>
      <c r="L451" s="221" t="s">
        <v>304</v>
      </c>
      <c r="M451" s="221" t="s">
        <v>304</v>
      </c>
      <c r="N451" s="221" t="s">
        <v>304</v>
      </c>
      <c r="O451" s="221" t="s">
        <v>304</v>
      </c>
      <c r="P451" s="148" t="s">
        <v>304</v>
      </c>
      <c r="Q451" s="731" t="s">
        <v>304</v>
      </c>
      <c r="R451" s="663"/>
      <c r="S451" s="986" t="s">
        <v>305</v>
      </c>
      <c r="T451" s="986" t="s">
        <v>173</v>
      </c>
      <c r="U451" s="986" t="s">
        <v>173</v>
      </c>
      <c r="V451" s="986" t="s">
        <v>304</v>
      </c>
      <c r="W451" s="986" t="s">
        <v>304</v>
      </c>
      <c r="X451" s="986" t="s">
        <v>304</v>
      </c>
      <c r="Y451" s="986" t="s">
        <v>304</v>
      </c>
      <c r="Z451" s="986" t="s">
        <v>305</v>
      </c>
      <c r="AA451" s="986" t="s">
        <v>304</v>
      </c>
      <c r="AB451" s="986" t="s">
        <v>304</v>
      </c>
      <c r="AC451" s="986" t="s">
        <v>304</v>
      </c>
      <c r="AD451" s="986" t="s">
        <v>304</v>
      </c>
      <c r="AE451" s="148" t="s">
        <v>304</v>
      </c>
    </row>
    <row r="452" spans="1:31" x14ac:dyDescent="0.25">
      <c r="A452" s="652" t="s">
        <v>478</v>
      </c>
      <c r="B452" s="221">
        <v>0.25</v>
      </c>
      <c r="C452" s="221">
        <v>4</v>
      </c>
      <c r="D452" s="221" t="s">
        <v>305</v>
      </c>
      <c r="E452" s="221" t="s">
        <v>173</v>
      </c>
      <c r="F452" s="221" t="s">
        <v>173</v>
      </c>
      <c r="G452" s="221" t="s">
        <v>304</v>
      </c>
      <c r="H452" s="221" t="s">
        <v>305</v>
      </c>
      <c r="I452" s="221" t="s">
        <v>305</v>
      </c>
      <c r="J452" s="221" t="s">
        <v>304</v>
      </c>
      <c r="K452" s="221" t="s">
        <v>174</v>
      </c>
      <c r="L452" s="221" t="s">
        <v>174</v>
      </c>
      <c r="M452" s="221" t="s">
        <v>304</v>
      </c>
      <c r="N452" s="221" t="s">
        <v>304</v>
      </c>
      <c r="O452" s="221" t="s">
        <v>304</v>
      </c>
      <c r="P452" s="148" t="s">
        <v>304</v>
      </c>
      <c r="Q452" s="731" t="s">
        <v>304</v>
      </c>
      <c r="R452" s="663"/>
      <c r="S452" s="986" t="s">
        <v>305</v>
      </c>
      <c r="T452" s="986" t="s">
        <v>173</v>
      </c>
      <c r="U452" s="986" t="s">
        <v>173</v>
      </c>
      <c r="V452" s="986" t="s">
        <v>304</v>
      </c>
      <c r="W452" s="986" t="s">
        <v>304</v>
      </c>
      <c r="X452" s="986" t="s">
        <v>304</v>
      </c>
      <c r="Y452" s="986" t="s">
        <v>304</v>
      </c>
      <c r="Z452" s="986" t="s">
        <v>174</v>
      </c>
      <c r="AA452" s="986" t="s">
        <v>174</v>
      </c>
      <c r="AB452" s="986" t="s">
        <v>304</v>
      </c>
      <c r="AC452" s="986" t="s">
        <v>304</v>
      </c>
      <c r="AD452" s="986" t="s">
        <v>304</v>
      </c>
      <c r="AE452" s="148" t="s">
        <v>304</v>
      </c>
    </row>
    <row r="453" spans="1:31" x14ac:dyDescent="0.25">
      <c r="A453" s="652" t="s">
        <v>480</v>
      </c>
      <c r="B453" s="221">
        <v>0.39</v>
      </c>
      <c r="C453" s="221">
        <v>4</v>
      </c>
      <c r="D453" s="221" t="s">
        <v>305</v>
      </c>
      <c r="E453" s="221" t="s">
        <v>173</v>
      </c>
      <c r="F453" s="221" t="s">
        <v>173</v>
      </c>
      <c r="G453" s="221" t="s">
        <v>304</v>
      </c>
      <c r="H453" s="221" t="s">
        <v>305</v>
      </c>
      <c r="I453" s="221" t="s">
        <v>305</v>
      </c>
      <c r="J453" s="221" t="s">
        <v>304</v>
      </c>
      <c r="K453" s="221" t="s">
        <v>174</v>
      </c>
      <c r="L453" s="221" t="s">
        <v>174</v>
      </c>
      <c r="M453" s="221" t="s">
        <v>304</v>
      </c>
      <c r="N453" s="221" t="s">
        <v>304</v>
      </c>
      <c r="O453" s="221" t="s">
        <v>304</v>
      </c>
      <c r="P453" s="148" t="s">
        <v>304</v>
      </c>
      <c r="Q453" s="731" t="s">
        <v>304</v>
      </c>
      <c r="R453" s="663"/>
      <c r="S453" s="986" t="s">
        <v>305</v>
      </c>
      <c r="T453" s="986" t="s">
        <v>173</v>
      </c>
      <c r="U453" s="986" t="s">
        <v>173</v>
      </c>
      <c r="V453" s="986" t="s">
        <v>304</v>
      </c>
      <c r="W453" s="986" t="s">
        <v>304</v>
      </c>
      <c r="X453" s="986" t="s">
        <v>304</v>
      </c>
      <c r="Y453" s="986" t="s">
        <v>304</v>
      </c>
      <c r="Z453" s="986" t="s">
        <v>174</v>
      </c>
      <c r="AA453" s="986" t="s">
        <v>174</v>
      </c>
      <c r="AB453" s="986" t="s">
        <v>304</v>
      </c>
      <c r="AC453" s="986" t="s">
        <v>304</v>
      </c>
      <c r="AD453" s="986" t="s">
        <v>304</v>
      </c>
      <c r="AE453" s="148" t="s">
        <v>304</v>
      </c>
    </row>
    <row r="454" spans="1:31" x14ac:dyDescent="0.25">
      <c r="A454" s="662" t="s">
        <v>482</v>
      </c>
      <c r="B454" s="221">
        <v>0.51</v>
      </c>
      <c r="C454" s="221">
        <v>4</v>
      </c>
      <c r="D454" s="221" t="s">
        <v>305</v>
      </c>
      <c r="E454" s="221" t="s">
        <v>173</v>
      </c>
      <c r="F454" s="221" t="s">
        <v>173</v>
      </c>
      <c r="G454" s="221" t="s">
        <v>305</v>
      </c>
      <c r="H454" s="221" t="s">
        <v>305</v>
      </c>
      <c r="I454" s="221" t="s">
        <v>305</v>
      </c>
      <c r="J454" s="221" t="s">
        <v>304</v>
      </c>
      <c r="K454" s="221" t="s">
        <v>174</v>
      </c>
      <c r="L454" s="221" t="s">
        <v>174</v>
      </c>
      <c r="M454" s="221" t="s">
        <v>304</v>
      </c>
      <c r="N454" s="221" t="s">
        <v>304</v>
      </c>
      <c r="O454" s="221" t="s">
        <v>304</v>
      </c>
      <c r="P454" s="148" t="s">
        <v>304</v>
      </c>
      <c r="Q454" s="731" t="s">
        <v>304</v>
      </c>
      <c r="R454" s="663"/>
      <c r="S454" s="986" t="s">
        <v>305</v>
      </c>
      <c r="T454" s="986" t="s">
        <v>173</v>
      </c>
      <c r="U454" s="986" t="s">
        <v>173</v>
      </c>
      <c r="V454" s="986" t="s">
        <v>305</v>
      </c>
      <c r="W454" s="986" t="s">
        <v>304</v>
      </c>
      <c r="X454" s="986" t="s">
        <v>304</v>
      </c>
      <c r="Y454" s="986" t="s">
        <v>304</v>
      </c>
      <c r="Z454" s="986" t="s">
        <v>174</v>
      </c>
      <c r="AA454" s="986" t="s">
        <v>174</v>
      </c>
      <c r="AB454" s="986" t="s">
        <v>304</v>
      </c>
      <c r="AC454" s="986" t="s">
        <v>304</v>
      </c>
      <c r="AD454" s="986" t="s">
        <v>304</v>
      </c>
      <c r="AE454" s="148" t="s">
        <v>304</v>
      </c>
    </row>
    <row r="455" spans="1:31" x14ac:dyDescent="0.25">
      <c r="A455" s="652" t="s">
        <v>484</v>
      </c>
      <c r="B455" s="221">
        <v>0.6</v>
      </c>
      <c r="C455" s="221">
        <v>4</v>
      </c>
      <c r="D455" s="221" t="s">
        <v>305</v>
      </c>
      <c r="E455" s="221" t="s">
        <v>173</v>
      </c>
      <c r="F455" s="221" t="s">
        <v>173</v>
      </c>
      <c r="G455" s="221" t="s">
        <v>305</v>
      </c>
      <c r="H455" s="221" t="s">
        <v>305</v>
      </c>
      <c r="I455" s="221" t="s">
        <v>305</v>
      </c>
      <c r="J455" s="221" t="s">
        <v>304</v>
      </c>
      <c r="K455" s="221" t="s">
        <v>174</v>
      </c>
      <c r="L455" s="221" t="s">
        <v>174</v>
      </c>
      <c r="M455" s="221" t="s">
        <v>304</v>
      </c>
      <c r="N455" s="221" t="s">
        <v>304</v>
      </c>
      <c r="O455" s="221" t="s">
        <v>304</v>
      </c>
      <c r="P455" s="148" t="s">
        <v>304</v>
      </c>
      <c r="Q455" s="731" t="s">
        <v>304</v>
      </c>
      <c r="R455" s="663"/>
      <c r="S455" s="986" t="s">
        <v>305</v>
      </c>
      <c r="T455" s="986" t="s">
        <v>173</v>
      </c>
      <c r="U455" s="986" t="s">
        <v>173</v>
      </c>
      <c r="V455" s="986" t="s">
        <v>305</v>
      </c>
      <c r="W455" s="986" t="s">
        <v>304</v>
      </c>
      <c r="X455" s="986" t="s">
        <v>304</v>
      </c>
      <c r="Y455" s="986" t="s">
        <v>304</v>
      </c>
      <c r="Z455" s="986" t="s">
        <v>174</v>
      </c>
      <c r="AA455" s="986" t="s">
        <v>174</v>
      </c>
      <c r="AB455" s="986" t="s">
        <v>304</v>
      </c>
      <c r="AC455" s="986" t="s">
        <v>304</v>
      </c>
      <c r="AD455" s="986" t="s">
        <v>304</v>
      </c>
      <c r="AE455" s="148" t="s">
        <v>304</v>
      </c>
    </row>
    <row r="456" spans="1:31" x14ac:dyDescent="0.25">
      <c r="A456" s="148" t="s">
        <v>486</v>
      </c>
      <c r="B456" s="221">
        <v>0.33</v>
      </c>
      <c r="C456" s="221">
        <v>4</v>
      </c>
      <c r="D456" s="221" t="s">
        <v>305</v>
      </c>
      <c r="E456" s="221" t="s">
        <v>173</v>
      </c>
      <c r="F456" s="221" t="s">
        <v>173</v>
      </c>
      <c r="G456" s="221" t="s">
        <v>305</v>
      </c>
      <c r="H456" s="221" t="s">
        <v>305</v>
      </c>
      <c r="I456" s="221" t="s">
        <v>305</v>
      </c>
      <c r="J456" s="221" t="s">
        <v>305</v>
      </c>
      <c r="K456" s="221" t="s">
        <v>174</v>
      </c>
      <c r="L456" s="221" t="s">
        <v>174</v>
      </c>
      <c r="M456" s="221" t="s">
        <v>304</v>
      </c>
      <c r="N456" s="221" t="s">
        <v>304</v>
      </c>
      <c r="O456" s="221" t="s">
        <v>304</v>
      </c>
      <c r="P456" s="148" t="s">
        <v>304</v>
      </c>
      <c r="Q456" s="731" t="s">
        <v>304</v>
      </c>
      <c r="R456" s="663"/>
      <c r="S456" s="986" t="s">
        <v>305</v>
      </c>
      <c r="T456" s="986" t="s">
        <v>173</v>
      </c>
      <c r="U456" s="986" t="s">
        <v>173</v>
      </c>
      <c r="V456" s="986" t="s">
        <v>305</v>
      </c>
      <c r="W456" s="986" t="s">
        <v>304</v>
      </c>
      <c r="X456" s="986" t="s">
        <v>304</v>
      </c>
      <c r="Y456" s="986" t="s">
        <v>305</v>
      </c>
      <c r="Z456" s="986" t="s">
        <v>174</v>
      </c>
      <c r="AA456" s="986" t="s">
        <v>174</v>
      </c>
      <c r="AB456" s="986" t="s">
        <v>304</v>
      </c>
      <c r="AC456" s="986" t="s">
        <v>304</v>
      </c>
      <c r="AD456" s="986" t="s">
        <v>304</v>
      </c>
      <c r="AE456" s="148" t="s">
        <v>304</v>
      </c>
    </row>
    <row r="457" spans="1:31" x14ac:dyDescent="0.25">
      <c r="A457" s="148" t="s">
        <v>488</v>
      </c>
      <c r="B457" s="221">
        <v>0.69</v>
      </c>
      <c r="C457" s="221">
        <v>6</v>
      </c>
      <c r="D457" s="221" t="s">
        <v>305</v>
      </c>
      <c r="E457" s="221" t="s">
        <v>173</v>
      </c>
      <c r="F457" s="221" t="s">
        <v>173</v>
      </c>
      <c r="G457" s="221" t="s">
        <v>305</v>
      </c>
      <c r="H457" s="221" t="s">
        <v>305</v>
      </c>
      <c r="I457" s="221" t="s">
        <v>305</v>
      </c>
      <c r="J457" s="221" t="s">
        <v>305</v>
      </c>
      <c r="K457" s="221" t="s">
        <v>174</v>
      </c>
      <c r="L457" s="221" t="s">
        <v>174</v>
      </c>
      <c r="M457" s="221" t="s">
        <v>304</v>
      </c>
      <c r="N457" s="221" t="s">
        <v>304</v>
      </c>
      <c r="O457" s="221" t="s">
        <v>304</v>
      </c>
      <c r="P457" s="148" t="s">
        <v>304</v>
      </c>
      <c r="Q457" s="731" t="s">
        <v>304</v>
      </c>
      <c r="R457" s="663"/>
      <c r="S457" s="986" t="s">
        <v>305</v>
      </c>
      <c r="T457" s="986" t="s">
        <v>173</v>
      </c>
      <c r="U457" s="986" t="s">
        <v>173</v>
      </c>
      <c r="V457" s="986" t="s">
        <v>305</v>
      </c>
      <c r="W457" s="986" t="s">
        <v>304</v>
      </c>
      <c r="X457" s="986" t="s">
        <v>304</v>
      </c>
      <c r="Y457" s="986" t="s">
        <v>305</v>
      </c>
      <c r="Z457" s="986" t="s">
        <v>174</v>
      </c>
      <c r="AA457" s="986" t="s">
        <v>174</v>
      </c>
      <c r="AB457" s="986" t="s">
        <v>304</v>
      </c>
      <c r="AC457" s="986" t="s">
        <v>304</v>
      </c>
      <c r="AD457" s="986" t="s">
        <v>304</v>
      </c>
      <c r="AE457" s="148" t="s">
        <v>304</v>
      </c>
    </row>
    <row r="458" spans="1:31" x14ac:dyDescent="0.25">
      <c r="A458" s="652" t="s">
        <v>286</v>
      </c>
      <c r="B458" s="221">
        <v>1.26</v>
      </c>
      <c r="C458" s="221">
        <v>6</v>
      </c>
      <c r="D458" s="221" t="s">
        <v>305</v>
      </c>
      <c r="E458" s="221" t="s">
        <v>173</v>
      </c>
      <c r="F458" s="221" t="s">
        <v>173</v>
      </c>
      <c r="G458" s="221" t="s">
        <v>305</v>
      </c>
      <c r="H458" s="221" t="s">
        <v>305</v>
      </c>
      <c r="I458" s="221" t="s">
        <v>305</v>
      </c>
      <c r="J458" s="221" t="s">
        <v>304</v>
      </c>
      <c r="K458" s="221" t="s">
        <v>174</v>
      </c>
      <c r="L458" s="221" t="s">
        <v>174</v>
      </c>
      <c r="M458" s="221" t="s">
        <v>304</v>
      </c>
      <c r="N458" s="221" t="s">
        <v>304</v>
      </c>
      <c r="O458" s="221" t="s">
        <v>304</v>
      </c>
      <c r="P458" s="148" t="s">
        <v>304</v>
      </c>
      <c r="Q458" s="731" t="s">
        <v>304</v>
      </c>
      <c r="R458" s="663"/>
      <c r="S458" s="986" t="s">
        <v>305</v>
      </c>
      <c r="T458" s="986" t="s">
        <v>173</v>
      </c>
      <c r="U458" s="986" t="s">
        <v>173</v>
      </c>
      <c r="V458" s="986" t="s">
        <v>305</v>
      </c>
      <c r="W458" s="986" t="s">
        <v>304</v>
      </c>
      <c r="X458" s="986" t="s">
        <v>304</v>
      </c>
      <c r="Y458" s="986" t="s">
        <v>304</v>
      </c>
      <c r="Z458" s="986" t="s">
        <v>174</v>
      </c>
      <c r="AA458" s="986" t="s">
        <v>174</v>
      </c>
      <c r="AB458" s="986" t="s">
        <v>304</v>
      </c>
      <c r="AC458" s="986" t="s">
        <v>304</v>
      </c>
      <c r="AD458" s="986" t="s">
        <v>304</v>
      </c>
      <c r="AE458" s="148" t="s">
        <v>304</v>
      </c>
    </row>
    <row r="470" spans="1:34" x14ac:dyDescent="0.25">
      <c r="S470" s="221">
        <v>18</v>
      </c>
      <c r="T470" s="221">
        <v>19</v>
      </c>
      <c r="U470" s="221">
        <v>20</v>
      </c>
      <c r="V470" s="221">
        <v>21</v>
      </c>
      <c r="W470" s="221">
        <v>22</v>
      </c>
      <c r="X470" s="221">
        <v>23</v>
      </c>
      <c r="Y470" s="221">
        <v>24</v>
      </c>
      <c r="Z470" s="221">
        <v>25</v>
      </c>
      <c r="AA470" s="221">
        <v>26</v>
      </c>
      <c r="AB470" s="221">
        <v>27</v>
      </c>
    </row>
    <row r="472" spans="1:34" x14ac:dyDescent="0.25">
      <c r="A472" s="221">
        <v>1</v>
      </c>
      <c r="B472" s="221">
        <v>2</v>
      </c>
      <c r="C472" s="221">
        <v>3</v>
      </c>
      <c r="D472" s="221">
        <v>4</v>
      </c>
      <c r="E472" s="221">
        <v>5</v>
      </c>
      <c r="F472" s="221">
        <v>6</v>
      </c>
      <c r="G472" s="221">
        <v>7</v>
      </c>
      <c r="H472" s="221">
        <v>8</v>
      </c>
      <c r="I472" s="221">
        <v>9</v>
      </c>
      <c r="J472" s="221">
        <v>10</v>
      </c>
      <c r="K472" s="221">
        <v>11</v>
      </c>
      <c r="L472" s="685">
        <v>12</v>
      </c>
      <c r="M472" s="685">
        <v>13</v>
      </c>
      <c r="N472" s="685">
        <v>14</v>
      </c>
      <c r="O472" s="685">
        <v>15</v>
      </c>
      <c r="P472" s="685">
        <v>16</v>
      </c>
      <c r="Q472" s="986">
        <v>17</v>
      </c>
      <c r="R472" s="986">
        <v>18</v>
      </c>
      <c r="S472" s="986">
        <v>19</v>
      </c>
      <c r="T472" s="986">
        <v>20</v>
      </c>
      <c r="U472" s="986">
        <v>21</v>
      </c>
      <c r="V472" s="986">
        <v>22</v>
      </c>
      <c r="W472" s="986">
        <v>23</v>
      </c>
      <c r="X472" s="986">
        <v>24</v>
      </c>
      <c r="Y472" s="986">
        <v>25</v>
      </c>
      <c r="Z472" s="986">
        <v>26</v>
      </c>
      <c r="AA472" s="986">
        <v>27</v>
      </c>
      <c r="AB472" s="986">
        <v>28</v>
      </c>
      <c r="AC472" s="986">
        <v>29</v>
      </c>
      <c r="AD472" s="986">
        <v>30</v>
      </c>
      <c r="AE472" s="986">
        <v>31</v>
      </c>
    </row>
    <row r="473" spans="1:34" ht="102.5" x14ac:dyDescent="0.3">
      <c r="A473" s="242" t="s">
        <v>1004</v>
      </c>
      <c r="B473" s="661" t="s">
        <v>293</v>
      </c>
      <c r="C473" s="661" t="s">
        <v>294</v>
      </c>
      <c r="D473" s="661" t="s">
        <v>631</v>
      </c>
      <c r="E473" s="672" t="s">
        <v>296</v>
      </c>
      <c r="F473" s="672" t="s">
        <v>297</v>
      </c>
      <c r="G473" s="672" t="s">
        <v>298</v>
      </c>
      <c r="H473" s="672" t="s">
        <v>300</v>
      </c>
      <c r="I473" s="672" t="s">
        <v>301</v>
      </c>
      <c r="J473" s="672" t="s">
        <v>302</v>
      </c>
      <c r="K473" s="672" t="s">
        <v>1009</v>
      </c>
      <c r="L473" s="672" t="s">
        <v>1010</v>
      </c>
      <c r="M473" s="672" t="s">
        <v>1136</v>
      </c>
      <c r="N473" s="965" t="s">
        <v>1137</v>
      </c>
      <c r="O473" s="965" t="s">
        <v>1135</v>
      </c>
      <c r="P473" s="689" t="s">
        <v>1011</v>
      </c>
      <c r="Q473" s="698" t="s">
        <v>1007</v>
      </c>
      <c r="R473" s="698" t="s">
        <v>982</v>
      </c>
      <c r="S473" s="1035" t="s">
        <v>1180</v>
      </c>
      <c r="T473" s="1035" t="s">
        <v>1181</v>
      </c>
      <c r="U473" s="1035" t="s">
        <v>1182</v>
      </c>
      <c r="V473" s="1035" t="s">
        <v>1183</v>
      </c>
      <c r="W473" s="1035" t="s">
        <v>1184</v>
      </c>
      <c r="X473" s="1035" t="s">
        <v>1185</v>
      </c>
      <c r="Y473" s="1035" t="s">
        <v>1186</v>
      </c>
      <c r="Z473" s="1035" t="s">
        <v>1187</v>
      </c>
      <c r="AA473" s="1035" t="s">
        <v>1188</v>
      </c>
      <c r="AB473" s="1035" t="s">
        <v>1189</v>
      </c>
      <c r="AC473" s="1035" t="s">
        <v>1190</v>
      </c>
      <c r="AD473" s="1035" t="s">
        <v>1191</v>
      </c>
      <c r="AE473" s="1035" t="s">
        <v>1192</v>
      </c>
      <c r="AH473" s="658" t="s">
        <v>998</v>
      </c>
    </row>
    <row r="474" spans="1:34" ht="75" x14ac:dyDescent="0.25">
      <c r="A474" s="695" t="s">
        <v>1004</v>
      </c>
      <c r="B474" s="686" t="s">
        <v>293</v>
      </c>
      <c r="C474" s="686" t="s">
        <v>294</v>
      </c>
      <c r="D474" s="1031" t="str">
        <f>_Table_9.6.1_2010[[#Headers],[9.4.1.1 Automatic Lighting Shutoff]]</f>
        <v>9.4.1.1 Automatic Lighting Shutoff</v>
      </c>
      <c r="E474" s="1031" t="s">
        <v>296</v>
      </c>
      <c r="F474" s="1031" t="s">
        <v>297</v>
      </c>
      <c r="G474" s="1031" t="s">
        <v>298</v>
      </c>
      <c r="H474" s="1031" t="s">
        <v>1194</v>
      </c>
      <c r="I474" s="1031" t="s">
        <v>1195</v>
      </c>
      <c r="J474" s="1031" t="s">
        <v>302</v>
      </c>
      <c r="K474" s="1031" t="s">
        <v>1009</v>
      </c>
      <c r="L474" s="1031" t="s">
        <v>1009</v>
      </c>
      <c r="M474" s="1030" t="s">
        <v>1136</v>
      </c>
      <c r="N474" s="1031" t="s">
        <v>1137</v>
      </c>
      <c r="O474" s="1031" t="s">
        <v>1135</v>
      </c>
      <c r="P474" s="1031" t="s">
        <v>1011</v>
      </c>
      <c r="Q474" s="686" t="s">
        <v>304</v>
      </c>
      <c r="R474" s="686"/>
      <c r="S474" s="1031" t="str">
        <f>_Table_9.6.1_2010[[#Headers],[9.4.1.1 Automatic Lighting Shutoff]]</f>
        <v>9.4.1.1 Automatic Lighting Shutoff</v>
      </c>
      <c r="T474" s="1031" t="s">
        <v>296</v>
      </c>
      <c r="U474" s="1031" t="s">
        <v>297</v>
      </c>
      <c r="V474" s="1031" t="s">
        <v>298</v>
      </c>
      <c r="W474" s="1031" t="s">
        <v>1193</v>
      </c>
      <c r="X474" s="1031" t="s">
        <v>301</v>
      </c>
      <c r="Y474" s="1031" t="s">
        <v>302</v>
      </c>
      <c r="Z474" s="1031" t="s">
        <v>1009</v>
      </c>
      <c r="AA474" s="1031" t="s">
        <v>1009</v>
      </c>
      <c r="AB474" s="1031" t="s">
        <v>1136</v>
      </c>
      <c r="AC474" s="1031" t="s">
        <v>1137</v>
      </c>
      <c r="AD474" s="1031" t="s">
        <v>1135</v>
      </c>
      <c r="AE474" s="1031" t="s">
        <v>1011</v>
      </c>
      <c r="AH474" s="695" t="s">
        <v>998</v>
      </c>
    </row>
    <row r="475" spans="1:34" x14ac:dyDescent="0.25">
      <c r="A475" s="695" t="s">
        <v>303</v>
      </c>
      <c r="B475" s="671">
        <v>0.03</v>
      </c>
      <c r="C475" s="671" t="s">
        <v>304</v>
      </c>
      <c r="D475" s="671" t="s">
        <v>305</v>
      </c>
      <c r="E475" s="671" t="s">
        <v>304</v>
      </c>
      <c r="F475" s="671" t="s">
        <v>304</v>
      </c>
      <c r="G475" s="671" t="s">
        <v>305</v>
      </c>
      <c r="H475" s="671" t="s">
        <v>305</v>
      </c>
      <c r="I475" s="671" t="s">
        <v>305</v>
      </c>
      <c r="J475" s="671" t="s">
        <v>999</v>
      </c>
      <c r="K475" s="671" t="s">
        <v>304</v>
      </c>
      <c r="L475" s="671" t="s">
        <v>304</v>
      </c>
      <c r="M475" s="243" t="s">
        <v>304</v>
      </c>
      <c r="N475" s="688" t="s">
        <v>304</v>
      </c>
      <c r="O475" s="688" t="s">
        <v>304</v>
      </c>
      <c r="P475" s="671" t="s">
        <v>304</v>
      </c>
      <c r="Q475" s="686">
        <v>5</v>
      </c>
      <c r="R475" s="686"/>
      <c r="S475" s="671" t="s">
        <v>305</v>
      </c>
      <c r="T475" s="671" t="s">
        <v>304</v>
      </c>
      <c r="U475" s="671" t="s">
        <v>304</v>
      </c>
      <c r="V475" s="671" t="s">
        <v>304</v>
      </c>
      <c r="W475" s="671" t="s">
        <v>304</v>
      </c>
      <c r="X475" s="671" t="s">
        <v>304</v>
      </c>
      <c r="Y475" s="671" t="s">
        <v>304</v>
      </c>
      <c r="Z475" s="671" t="s">
        <v>304</v>
      </c>
      <c r="AA475" s="671" t="s">
        <v>304</v>
      </c>
      <c r="AB475" s="243" t="s">
        <v>304</v>
      </c>
      <c r="AC475" s="688" t="s">
        <v>304</v>
      </c>
      <c r="AD475" s="688" t="s">
        <v>304</v>
      </c>
      <c r="AE475" s="671" t="s">
        <v>304</v>
      </c>
      <c r="AH475" s="690" t="s">
        <v>306</v>
      </c>
    </row>
    <row r="476" spans="1:34" x14ac:dyDescent="0.25">
      <c r="A476" s="695" t="s">
        <v>309</v>
      </c>
      <c r="B476" s="671">
        <v>0.03</v>
      </c>
      <c r="C476" s="671" t="s">
        <v>304</v>
      </c>
      <c r="D476" s="671" t="s">
        <v>305</v>
      </c>
      <c r="E476" s="671" t="s">
        <v>304</v>
      </c>
      <c r="F476" s="671" t="s">
        <v>304</v>
      </c>
      <c r="G476" s="671" t="s">
        <v>305</v>
      </c>
      <c r="H476" s="671" t="s">
        <v>305</v>
      </c>
      <c r="I476" s="671" t="s">
        <v>305</v>
      </c>
      <c r="J476" s="671" t="s">
        <v>999</v>
      </c>
      <c r="K476" s="671" t="s">
        <v>304</v>
      </c>
      <c r="L476" s="671" t="s">
        <v>304</v>
      </c>
      <c r="M476" s="243" t="s">
        <v>304</v>
      </c>
      <c r="N476" s="688" t="s">
        <v>304</v>
      </c>
      <c r="O476" s="688" t="s">
        <v>304</v>
      </c>
      <c r="P476" s="671" t="s">
        <v>304</v>
      </c>
      <c r="Q476" s="686">
        <v>5</v>
      </c>
      <c r="R476" s="686"/>
      <c r="S476" s="671" t="s">
        <v>305</v>
      </c>
      <c r="T476" s="671" t="s">
        <v>304</v>
      </c>
      <c r="U476" s="671" t="s">
        <v>304</v>
      </c>
      <c r="V476" s="671" t="s">
        <v>304</v>
      </c>
      <c r="W476" s="671" t="s">
        <v>304</v>
      </c>
      <c r="X476" s="671" t="s">
        <v>304</v>
      </c>
      <c r="Y476" s="671" t="s">
        <v>304</v>
      </c>
      <c r="Z476" s="671" t="s">
        <v>304</v>
      </c>
      <c r="AA476" s="671" t="s">
        <v>304</v>
      </c>
      <c r="AB476" s="243" t="s">
        <v>304</v>
      </c>
      <c r="AC476" s="688" t="s">
        <v>304</v>
      </c>
      <c r="AD476" s="688" t="s">
        <v>304</v>
      </c>
      <c r="AE476" s="671" t="s">
        <v>304</v>
      </c>
      <c r="AH476" s="690" t="s">
        <v>306</v>
      </c>
    </row>
    <row r="477" spans="1:34" x14ac:dyDescent="0.25">
      <c r="A477" s="695" t="s">
        <v>310</v>
      </c>
      <c r="B477" s="671">
        <v>0.02</v>
      </c>
      <c r="C477" s="671" t="s">
        <v>304</v>
      </c>
      <c r="D477" s="671" t="s">
        <v>305</v>
      </c>
      <c r="E477" s="671" t="s">
        <v>304</v>
      </c>
      <c r="F477" s="671" t="s">
        <v>304</v>
      </c>
      <c r="G477" s="671" t="s">
        <v>305</v>
      </c>
      <c r="H477" s="671" t="s">
        <v>305</v>
      </c>
      <c r="I477" s="671" t="s">
        <v>305</v>
      </c>
      <c r="J477" s="671" t="s">
        <v>999</v>
      </c>
      <c r="K477" s="671" t="s">
        <v>304</v>
      </c>
      <c r="L477" s="671" t="s">
        <v>304</v>
      </c>
      <c r="M477" s="243" t="s">
        <v>304</v>
      </c>
      <c r="N477" s="688" t="s">
        <v>304</v>
      </c>
      <c r="O477" s="688" t="s">
        <v>304</v>
      </c>
      <c r="P477" s="671" t="s">
        <v>304</v>
      </c>
      <c r="Q477" s="686">
        <v>5</v>
      </c>
      <c r="R477" s="686"/>
      <c r="S477" s="671" t="s">
        <v>305</v>
      </c>
      <c r="T477" s="671" t="s">
        <v>304</v>
      </c>
      <c r="U477" s="671" t="s">
        <v>304</v>
      </c>
      <c r="V477" s="671" t="s">
        <v>304</v>
      </c>
      <c r="W477" s="671" t="s">
        <v>304</v>
      </c>
      <c r="X477" s="671" t="s">
        <v>304</v>
      </c>
      <c r="Y477" s="671" t="s">
        <v>304</v>
      </c>
      <c r="Z477" s="671" t="s">
        <v>304</v>
      </c>
      <c r="AA477" s="671" t="s">
        <v>304</v>
      </c>
      <c r="AB477" s="243" t="s">
        <v>304</v>
      </c>
      <c r="AC477" s="688" t="s">
        <v>304</v>
      </c>
      <c r="AD477" s="688" t="s">
        <v>304</v>
      </c>
      <c r="AE477" s="671" t="s">
        <v>304</v>
      </c>
      <c r="AH477" s="690" t="s">
        <v>306</v>
      </c>
    </row>
    <row r="478" spans="1:34" x14ac:dyDescent="0.25">
      <c r="A478" s="695" t="s">
        <v>312</v>
      </c>
      <c r="B478" s="671">
        <v>0.79</v>
      </c>
      <c r="C478" s="671">
        <v>6</v>
      </c>
      <c r="D478" s="671" t="s">
        <v>305</v>
      </c>
      <c r="E478" s="671" t="s">
        <v>305</v>
      </c>
      <c r="F478" s="671" t="s">
        <v>304</v>
      </c>
      <c r="G478" s="671" t="s">
        <v>305</v>
      </c>
      <c r="H478" s="671" t="s">
        <v>305</v>
      </c>
      <c r="I478" s="671" t="s">
        <v>305</v>
      </c>
      <c r="J478" s="671" t="s">
        <v>999</v>
      </c>
      <c r="K478" s="671" t="s">
        <v>304</v>
      </c>
      <c r="L478" s="671" t="s">
        <v>304</v>
      </c>
      <c r="M478" s="243" t="s">
        <v>304</v>
      </c>
      <c r="N478" s="688" t="s">
        <v>304</v>
      </c>
      <c r="O478" s="688" t="s">
        <v>304</v>
      </c>
      <c r="P478" s="671" t="s">
        <v>304</v>
      </c>
      <c r="Q478" s="671" t="s">
        <v>304</v>
      </c>
      <c r="R478" s="686"/>
      <c r="S478" s="671" t="s">
        <v>305</v>
      </c>
      <c r="T478" s="671" t="s">
        <v>304</v>
      </c>
      <c r="U478" s="671" t="s">
        <v>304</v>
      </c>
      <c r="V478" s="671" t="s">
        <v>304</v>
      </c>
      <c r="W478" s="671" t="s">
        <v>304</v>
      </c>
      <c r="X478" s="671" t="s">
        <v>304</v>
      </c>
      <c r="Y478" s="671" t="s">
        <v>304</v>
      </c>
      <c r="Z478" s="671" t="s">
        <v>304</v>
      </c>
      <c r="AA478" s="671" t="s">
        <v>304</v>
      </c>
      <c r="AB478" s="243" t="s">
        <v>304</v>
      </c>
      <c r="AC478" s="688" t="s">
        <v>304</v>
      </c>
      <c r="AD478" s="688" t="s">
        <v>304</v>
      </c>
      <c r="AE478" s="671" t="s">
        <v>304</v>
      </c>
      <c r="AH478" s="690" t="s">
        <v>304</v>
      </c>
    </row>
    <row r="479" spans="1:34" x14ac:dyDescent="0.25">
      <c r="A479" s="695" t="s">
        <v>314</v>
      </c>
      <c r="B479" s="671">
        <v>0.82</v>
      </c>
      <c r="C479" s="671">
        <v>4</v>
      </c>
      <c r="D479" s="671" t="s">
        <v>305</v>
      </c>
      <c r="E479" s="671" t="s">
        <v>305</v>
      </c>
      <c r="F479" s="671" t="s">
        <v>304</v>
      </c>
      <c r="G479" s="671" t="s">
        <v>305</v>
      </c>
      <c r="H479" s="671" t="s">
        <v>305</v>
      </c>
      <c r="I479" s="671" t="s">
        <v>305</v>
      </c>
      <c r="J479" s="671" t="s">
        <v>999</v>
      </c>
      <c r="K479" s="671" t="s">
        <v>304</v>
      </c>
      <c r="L479" s="671" t="s">
        <v>304</v>
      </c>
      <c r="M479" s="243" t="s">
        <v>304</v>
      </c>
      <c r="N479" s="688" t="s">
        <v>304</v>
      </c>
      <c r="O479" s="688" t="s">
        <v>304</v>
      </c>
      <c r="P479" s="671" t="s">
        <v>304</v>
      </c>
      <c r="Q479" s="671" t="s">
        <v>304</v>
      </c>
      <c r="R479" s="686"/>
      <c r="S479" s="671" t="s">
        <v>305</v>
      </c>
      <c r="T479" s="671" t="s">
        <v>304</v>
      </c>
      <c r="U479" s="671" t="s">
        <v>304</v>
      </c>
      <c r="V479" s="671" t="s">
        <v>304</v>
      </c>
      <c r="W479" s="671" t="s">
        <v>304</v>
      </c>
      <c r="X479" s="671" t="s">
        <v>304</v>
      </c>
      <c r="Y479" s="671" t="s">
        <v>304</v>
      </c>
      <c r="Z479" s="671" t="s">
        <v>304</v>
      </c>
      <c r="AA479" s="671" t="s">
        <v>304</v>
      </c>
      <c r="AB479" s="243" t="s">
        <v>304</v>
      </c>
      <c r="AC479" s="688" t="s">
        <v>304</v>
      </c>
      <c r="AD479" s="688" t="s">
        <v>304</v>
      </c>
      <c r="AE479" s="671" t="s">
        <v>304</v>
      </c>
      <c r="AH479" s="690" t="s">
        <v>304</v>
      </c>
    </row>
    <row r="480" spans="1:34" x14ac:dyDescent="0.25">
      <c r="A480" s="695" t="s">
        <v>316</v>
      </c>
      <c r="B480" s="671">
        <v>0.43</v>
      </c>
      <c r="C480" s="671">
        <v>6</v>
      </c>
      <c r="D480" s="671" t="s">
        <v>305</v>
      </c>
      <c r="E480" s="671" t="s">
        <v>305</v>
      </c>
      <c r="F480" s="671" t="s">
        <v>304</v>
      </c>
      <c r="G480" s="671" t="s">
        <v>305</v>
      </c>
      <c r="H480" s="671" t="s">
        <v>305</v>
      </c>
      <c r="I480" s="671" t="s">
        <v>305</v>
      </c>
      <c r="J480" s="671" t="s">
        <v>999</v>
      </c>
      <c r="K480" s="671" t="s">
        <v>304</v>
      </c>
      <c r="L480" s="671" t="s">
        <v>304</v>
      </c>
      <c r="M480" s="243" t="s">
        <v>304</v>
      </c>
      <c r="N480" s="688" t="s">
        <v>304</v>
      </c>
      <c r="O480" s="688" t="s">
        <v>304</v>
      </c>
      <c r="P480" s="671" t="s">
        <v>304</v>
      </c>
      <c r="Q480" s="671" t="s">
        <v>304</v>
      </c>
      <c r="R480" s="686"/>
      <c r="S480" s="671" t="s">
        <v>305</v>
      </c>
      <c r="T480" s="671" t="s">
        <v>304</v>
      </c>
      <c r="U480" s="671" t="s">
        <v>304</v>
      </c>
      <c r="V480" s="671" t="s">
        <v>304</v>
      </c>
      <c r="W480" s="671" t="s">
        <v>304</v>
      </c>
      <c r="X480" s="671" t="s">
        <v>304</v>
      </c>
      <c r="Y480" s="671" t="s">
        <v>304</v>
      </c>
      <c r="Z480" s="671" t="s">
        <v>304</v>
      </c>
      <c r="AA480" s="671" t="s">
        <v>304</v>
      </c>
      <c r="AB480" s="243" t="s">
        <v>304</v>
      </c>
      <c r="AC480" s="688" t="s">
        <v>304</v>
      </c>
      <c r="AD480" s="688" t="s">
        <v>304</v>
      </c>
      <c r="AE480" s="671" t="s">
        <v>304</v>
      </c>
      <c r="AH480" s="690" t="s">
        <v>304</v>
      </c>
    </row>
    <row r="481" spans="1:34" x14ac:dyDescent="0.25">
      <c r="A481" s="695" t="s">
        <v>318</v>
      </c>
      <c r="B481" s="671">
        <v>1.1399999999999999</v>
      </c>
      <c r="C481" s="671">
        <v>4</v>
      </c>
      <c r="D481" s="671" t="s">
        <v>305</v>
      </c>
      <c r="E481" s="671" t="s">
        <v>305</v>
      </c>
      <c r="F481" s="671" t="s">
        <v>304</v>
      </c>
      <c r="G481" s="671" t="s">
        <v>305</v>
      </c>
      <c r="H481" s="671" t="s">
        <v>305</v>
      </c>
      <c r="I481" s="671" t="s">
        <v>305</v>
      </c>
      <c r="J481" s="671" t="s">
        <v>999</v>
      </c>
      <c r="K481" s="671" t="s">
        <v>304</v>
      </c>
      <c r="L481" s="671" t="s">
        <v>304</v>
      </c>
      <c r="M481" s="243" t="s">
        <v>304</v>
      </c>
      <c r="N481" s="688" t="s">
        <v>304</v>
      </c>
      <c r="O481" s="688" t="s">
        <v>304</v>
      </c>
      <c r="P481" s="671" t="s">
        <v>304</v>
      </c>
      <c r="Q481" s="671" t="s">
        <v>304</v>
      </c>
      <c r="R481" s="686"/>
      <c r="S481" s="671" t="s">
        <v>305</v>
      </c>
      <c r="T481" s="671" t="s">
        <v>304</v>
      </c>
      <c r="U481" s="671" t="s">
        <v>304</v>
      </c>
      <c r="V481" s="671" t="s">
        <v>304</v>
      </c>
      <c r="W481" s="671" t="s">
        <v>304</v>
      </c>
      <c r="X481" s="671" t="s">
        <v>304</v>
      </c>
      <c r="Y481" s="671" t="s">
        <v>304</v>
      </c>
      <c r="Z481" s="671" t="s">
        <v>304</v>
      </c>
      <c r="AA481" s="671" t="s">
        <v>304</v>
      </c>
      <c r="AB481" s="243" t="s">
        <v>304</v>
      </c>
      <c r="AC481" s="688" t="s">
        <v>304</v>
      </c>
      <c r="AD481" s="688" t="s">
        <v>304</v>
      </c>
      <c r="AE481" s="671" t="s">
        <v>304</v>
      </c>
      <c r="AH481" s="690" t="s">
        <v>304</v>
      </c>
    </row>
    <row r="482" spans="1:34" x14ac:dyDescent="0.25">
      <c r="A482" s="695" t="s">
        <v>320</v>
      </c>
      <c r="B482" s="671">
        <v>0.43</v>
      </c>
      <c r="C482" s="671">
        <v>4</v>
      </c>
      <c r="D482" s="671" t="s">
        <v>305</v>
      </c>
      <c r="E482" s="671" t="s">
        <v>304</v>
      </c>
      <c r="F482" s="671" t="s">
        <v>304</v>
      </c>
      <c r="G482" s="671" t="s">
        <v>305</v>
      </c>
      <c r="H482" s="671" t="s">
        <v>305</v>
      </c>
      <c r="I482" s="671" t="s">
        <v>305</v>
      </c>
      <c r="J482" s="671" t="s">
        <v>999</v>
      </c>
      <c r="K482" s="671" t="s">
        <v>304</v>
      </c>
      <c r="L482" s="671" t="s">
        <v>304</v>
      </c>
      <c r="M482" s="243" t="s">
        <v>304</v>
      </c>
      <c r="N482" s="688" t="s">
        <v>304</v>
      </c>
      <c r="O482" s="688" t="s">
        <v>304</v>
      </c>
      <c r="P482" s="671" t="s">
        <v>304</v>
      </c>
      <c r="Q482" s="671" t="s">
        <v>304</v>
      </c>
      <c r="R482" s="686"/>
      <c r="S482" s="671" t="s">
        <v>305</v>
      </c>
      <c r="T482" s="671" t="s">
        <v>304</v>
      </c>
      <c r="U482" s="671" t="s">
        <v>304</v>
      </c>
      <c r="V482" s="671" t="s">
        <v>304</v>
      </c>
      <c r="W482" s="671" t="s">
        <v>304</v>
      </c>
      <c r="X482" s="671" t="s">
        <v>304</v>
      </c>
      <c r="Y482" s="671" t="s">
        <v>304</v>
      </c>
      <c r="Z482" s="671" t="s">
        <v>304</v>
      </c>
      <c r="AA482" s="671" t="s">
        <v>304</v>
      </c>
      <c r="AB482" s="243" t="s">
        <v>304</v>
      </c>
      <c r="AC482" s="688" t="s">
        <v>304</v>
      </c>
      <c r="AD482" s="688" t="s">
        <v>304</v>
      </c>
      <c r="AE482" s="671" t="s">
        <v>304</v>
      </c>
      <c r="AH482" s="690" t="s">
        <v>304</v>
      </c>
    </row>
    <row r="483" spans="1:34" x14ac:dyDescent="0.25">
      <c r="A483" s="695" t="s">
        <v>322</v>
      </c>
      <c r="B483" s="671">
        <v>2.4300000000000002</v>
      </c>
      <c r="C483" s="671">
        <v>8</v>
      </c>
      <c r="D483" s="671" t="s">
        <v>305</v>
      </c>
      <c r="E483" s="671" t="s">
        <v>305</v>
      </c>
      <c r="F483" s="671" t="s">
        <v>304</v>
      </c>
      <c r="G483" s="671" t="s">
        <v>305</v>
      </c>
      <c r="H483" s="671" t="s">
        <v>305</v>
      </c>
      <c r="I483" s="671" t="s">
        <v>305</v>
      </c>
      <c r="J483" s="671" t="s">
        <v>999</v>
      </c>
      <c r="K483" s="671" t="s">
        <v>304</v>
      </c>
      <c r="L483" s="671" t="s">
        <v>304</v>
      </c>
      <c r="M483" s="243" t="s">
        <v>304</v>
      </c>
      <c r="N483" s="688" t="s">
        <v>304</v>
      </c>
      <c r="O483" s="688" t="s">
        <v>304</v>
      </c>
      <c r="P483" s="671" t="s">
        <v>304</v>
      </c>
      <c r="Q483" s="671" t="s">
        <v>304</v>
      </c>
      <c r="R483" s="686"/>
      <c r="S483" s="671" t="s">
        <v>305</v>
      </c>
      <c r="T483" s="671" t="s">
        <v>304</v>
      </c>
      <c r="U483" s="671" t="s">
        <v>304</v>
      </c>
      <c r="V483" s="671" t="s">
        <v>304</v>
      </c>
      <c r="W483" s="671" t="s">
        <v>304</v>
      </c>
      <c r="X483" s="671" t="s">
        <v>304</v>
      </c>
      <c r="Y483" s="671" t="s">
        <v>304</v>
      </c>
      <c r="Z483" s="671" t="s">
        <v>304</v>
      </c>
      <c r="AA483" s="671" t="s">
        <v>304</v>
      </c>
      <c r="AB483" s="243" t="s">
        <v>304</v>
      </c>
      <c r="AC483" s="688" t="s">
        <v>304</v>
      </c>
      <c r="AD483" s="688" t="s">
        <v>304</v>
      </c>
      <c r="AE483" s="671" t="s">
        <v>304</v>
      </c>
      <c r="AH483" s="690" t="s">
        <v>304</v>
      </c>
    </row>
    <row r="484" spans="1:34" x14ac:dyDescent="0.25">
      <c r="A484" s="695" t="s">
        <v>324</v>
      </c>
      <c r="B484" s="671">
        <v>1.53</v>
      </c>
      <c r="C484" s="671">
        <v>4</v>
      </c>
      <c r="D484" s="671" t="s">
        <v>305</v>
      </c>
      <c r="E484" s="671" t="s">
        <v>305</v>
      </c>
      <c r="F484" s="671" t="s">
        <v>304</v>
      </c>
      <c r="G484" s="671" t="s">
        <v>305</v>
      </c>
      <c r="H484" s="671" t="s">
        <v>305</v>
      </c>
      <c r="I484" s="671" t="s">
        <v>305</v>
      </c>
      <c r="J484" s="671" t="s">
        <v>999</v>
      </c>
      <c r="K484" s="671" t="s">
        <v>304</v>
      </c>
      <c r="L484" s="671" t="s">
        <v>304</v>
      </c>
      <c r="M484" s="243" t="s">
        <v>304</v>
      </c>
      <c r="N484" s="688" t="s">
        <v>304</v>
      </c>
      <c r="O484" s="688" t="s">
        <v>304</v>
      </c>
      <c r="P484" s="671" t="s">
        <v>304</v>
      </c>
      <c r="Q484" s="671" t="s">
        <v>304</v>
      </c>
      <c r="R484" s="686"/>
      <c r="S484" s="671" t="s">
        <v>305</v>
      </c>
      <c r="T484" s="671" t="s">
        <v>304</v>
      </c>
      <c r="U484" s="671" t="s">
        <v>304</v>
      </c>
      <c r="V484" s="671" t="s">
        <v>304</v>
      </c>
      <c r="W484" s="671" t="s">
        <v>304</v>
      </c>
      <c r="X484" s="671" t="s">
        <v>304</v>
      </c>
      <c r="Y484" s="671" t="s">
        <v>304</v>
      </c>
      <c r="Z484" s="671" t="s">
        <v>304</v>
      </c>
      <c r="AA484" s="671" t="s">
        <v>304</v>
      </c>
      <c r="AB484" s="243" t="s">
        <v>304</v>
      </c>
      <c r="AC484" s="688" t="s">
        <v>304</v>
      </c>
      <c r="AD484" s="688" t="s">
        <v>304</v>
      </c>
      <c r="AE484" s="671" t="s">
        <v>304</v>
      </c>
      <c r="AH484" s="690" t="s">
        <v>304</v>
      </c>
    </row>
    <row r="485" spans="1:34" x14ac:dyDescent="0.25">
      <c r="A485" s="695" t="s">
        <v>326</v>
      </c>
      <c r="B485" s="671">
        <v>0.43</v>
      </c>
      <c r="C485" s="671">
        <v>4</v>
      </c>
      <c r="D485" s="671" t="s">
        <v>305</v>
      </c>
      <c r="E485" s="671" t="s">
        <v>304</v>
      </c>
      <c r="F485" s="671" t="s">
        <v>304</v>
      </c>
      <c r="G485" s="671" t="s">
        <v>305</v>
      </c>
      <c r="H485" s="671" t="s">
        <v>305</v>
      </c>
      <c r="I485" s="671" t="s">
        <v>305</v>
      </c>
      <c r="J485" s="671" t="s">
        <v>999</v>
      </c>
      <c r="K485" s="671" t="s">
        <v>304</v>
      </c>
      <c r="L485" s="671" t="s">
        <v>304</v>
      </c>
      <c r="M485" s="243" t="s">
        <v>304</v>
      </c>
      <c r="N485" s="688" t="s">
        <v>304</v>
      </c>
      <c r="O485" s="688" t="s">
        <v>304</v>
      </c>
      <c r="P485" s="671" t="s">
        <v>304</v>
      </c>
      <c r="Q485" s="671" t="s">
        <v>304</v>
      </c>
      <c r="R485" s="686"/>
      <c r="S485" s="671" t="s">
        <v>305</v>
      </c>
      <c r="T485" s="671" t="s">
        <v>304</v>
      </c>
      <c r="U485" s="671" t="s">
        <v>304</v>
      </c>
      <c r="V485" s="671" t="s">
        <v>304</v>
      </c>
      <c r="W485" s="671" t="s">
        <v>304</v>
      </c>
      <c r="X485" s="671" t="s">
        <v>304</v>
      </c>
      <c r="Y485" s="671" t="s">
        <v>304</v>
      </c>
      <c r="Z485" s="671" t="s">
        <v>304</v>
      </c>
      <c r="AA485" s="671" t="s">
        <v>304</v>
      </c>
      <c r="AB485" s="243" t="s">
        <v>304</v>
      </c>
      <c r="AC485" s="688" t="s">
        <v>304</v>
      </c>
      <c r="AD485" s="688" t="s">
        <v>304</v>
      </c>
      <c r="AE485" s="671" t="s">
        <v>304</v>
      </c>
      <c r="AH485" s="690" t="s">
        <v>304</v>
      </c>
    </row>
    <row r="486" spans="1:34" x14ac:dyDescent="0.25">
      <c r="A486" s="695" t="s">
        <v>994</v>
      </c>
      <c r="B486" s="686">
        <v>0.54</v>
      </c>
      <c r="C486" s="686">
        <v>4</v>
      </c>
      <c r="D486" s="671" t="s">
        <v>305</v>
      </c>
      <c r="E486" s="671" t="s">
        <v>304</v>
      </c>
      <c r="F486" s="671" t="s">
        <v>304</v>
      </c>
      <c r="G486" s="671" t="s">
        <v>305</v>
      </c>
      <c r="H486" s="671" t="s">
        <v>305</v>
      </c>
      <c r="I486" s="671" t="s">
        <v>305</v>
      </c>
      <c r="J486" s="671" t="s">
        <v>999</v>
      </c>
      <c r="K486" s="671" t="s">
        <v>304</v>
      </c>
      <c r="L486" s="671" t="s">
        <v>304</v>
      </c>
      <c r="M486" s="243" t="s">
        <v>304</v>
      </c>
      <c r="N486" s="688" t="s">
        <v>304</v>
      </c>
      <c r="O486" s="688" t="s">
        <v>304</v>
      </c>
      <c r="P486" s="671" t="s">
        <v>304</v>
      </c>
      <c r="Q486" s="671" t="s">
        <v>304</v>
      </c>
      <c r="R486" s="686"/>
      <c r="S486" s="671" t="s">
        <v>305</v>
      </c>
      <c r="T486" s="671" t="s">
        <v>304</v>
      </c>
      <c r="U486" s="671" t="s">
        <v>304</v>
      </c>
      <c r="V486" s="671" t="s">
        <v>304</v>
      </c>
      <c r="W486" s="671" t="s">
        <v>304</v>
      </c>
      <c r="X486" s="671" t="s">
        <v>304</v>
      </c>
      <c r="Y486" s="671" t="s">
        <v>304</v>
      </c>
      <c r="Z486" s="671" t="s">
        <v>304</v>
      </c>
      <c r="AA486" s="671" t="s">
        <v>304</v>
      </c>
      <c r="AB486" s="243" t="s">
        <v>304</v>
      </c>
      <c r="AC486" s="688" t="s">
        <v>304</v>
      </c>
      <c r="AD486" s="688" t="s">
        <v>304</v>
      </c>
      <c r="AE486" s="671" t="s">
        <v>304</v>
      </c>
      <c r="AH486" s="690" t="s">
        <v>304</v>
      </c>
    </row>
    <row r="487" spans="1:34" x14ac:dyDescent="0.25">
      <c r="A487" s="695" t="s">
        <v>961</v>
      </c>
      <c r="B487" s="671">
        <v>1.38</v>
      </c>
      <c r="C487" s="671">
        <v>6</v>
      </c>
      <c r="D487" s="671" t="s">
        <v>305</v>
      </c>
      <c r="E487" s="671" t="s">
        <v>305</v>
      </c>
      <c r="F487" s="671" t="s">
        <v>304</v>
      </c>
      <c r="G487" s="671" t="s">
        <v>305</v>
      </c>
      <c r="H487" s="671" t="s">
        <v>305</v>
      </c>
      <c r="I487" s="671" t="s">
        <v>305</v>
      </c>
      <c r="J487" s="671" t="s">
        <v>999</v>
      </c>
      <c r="K487" s="671" t="s">
        <v>304</v>
      </c>
      <c r="L487" s="671" t="s">
        <v>304</v>
      </c>
      <c r="M487" s="243" t="s">
        <v>304</v>
      </c>
      <c r="N487" s="688" t="s">
        <v>304</v>
      </c>
      <c r="O487" s="688" t="s">
        <v>304</v>
      </c>
      <c r="P487" s="671" t="s">
        <v>304</v>
      </c>
      <c r="Q487" s="671" t="s">
        <v>304</v>
      </c>
      <c r="R487" s="686"/>
      <c r="S487" s="671" t="s">
        <v>305</v>
      </c>
      <c r="T487" s="671" t="s">
        <v>304</v>
      </c>
      <c r="U487" s="671" t="s">
        <v>304</v>
      </c>
      <c r="V487" s="671" t="s">
        <v>304</v>
      </c>
      <c r="W487" s="671" t="s">
        <v>304</v>
      </c>
      <c r="X487" s="671" t="s">
        <v>304</v>
      </c>
      <c r="Y487" s="671" t="s">
        <v>304</v>
      </c>
      <c r="Z487" s="671" t="s">
        <v>304</v>
      </c>
      <c r="AA487" s="671" t="s">
        <v>304</v>
      </c>
      <c r="AB487" s="243" t="s">
        <v>304</v>
      </c>
      <c r="AC487" s="688" t="s">
        <v>304</v>
      </c>
      <c r="AD487" s="688" t="s">
        <v>304</v>
      </c>
      <c r="AE487" s="671" t="s">
        <v>304</v>
      </c>
      <c r="AH487" s="690" t="s">
        <v>304</v>
      </c>
    </row>
    <row r="488" spans="1:34" x14ac:dyDescent="0.25">
      <c r="A488" s="695" t="s">
        <v>963</v>
      </c>
      <c r="B488" s="671">
        <v>1.24</v>
      </c>
      <c r="C488" s="671">
        <v>4</v>
      </c>
      <c r="D488" s="671" t="s">
        <v>305</v>
      </c>
      <c r="E488" s="671" t="s">
        <v>305</v>
      </c>
      <c r="F488" s="671" t="s">
        <v>305</v>
      </c>
      <c r="G488" s="671" t="s">
        <v>304</v>
      </c>
      <c r="H488" s="671" t="s">
        <v>305</v>
      </c>
      <c r="I488" s="671" t="s">
        <v>305</v>
      </c>
      <c r="J488" s="671" t="s">
        <v>999</v>
      </c>
      <c r="K488" s="671" t="s">
        <v>304</v>
      </c>
      <c r="L488" s="671" t="s">
        <v>304</v>
      </c>
      <c r="M488" s="243" t="s">
        <v>304</v>
      </c>
      <c r="N488" s="688" t="s">
        <v>304</v>
      </c>
      <c r="O488" s="688" t="s">
        <v>304</v>
      </c>
      <c r="P488" s="671" t="s">
        <v>304</v>
      </c>
      <c r="Q488" s="686">
        <v>3</v>
      </c>
      <c r="R488" s="686"/>
      <c r="S488" s="671" t="s">
        <v>305</v>
      </c>
      <c r="T488" s="671" t="s">
        <v>304</v>
      </c>
      <c r="U488" s="671" t="s">
        <v>304</v>
      </c>
      <c r="V488" s="671" t="s">
        <v>304</v>
      </c>
      <c r="W488" s="671" t="s">
        <v>304</v>
      </c>
      <c r="X488" s="671" t="s">
        <v>304</v>
      </c>
      <c r="Y488" s="671" t="s">
        <v>304</v>
      </c>
      <c r="Z488" s="671" t="s">
        <v>304</v>
      </c>
      <c r="AA488" s="671" t="s">
        <v>304</v>
      </c>
      <c r="AB488" s="243" t="s">
        <v>304</v>
      </c>
      <c r="AC488" s="688" t="s">
        <v>304</v>
      </c>
      <c r="AD488" s="688" t="s">
        <v>304</v>
      </c>
      <c r="AE488" s="671" t="s">
        <v>304</v>
      </c>
      <c r="AH488" s="690" t="s">
        <v>332</v>
      </c>
    </row>
    <row r="489" spans="1:34" x14ac:dyDescent="0.25">
      <c r="A489" s="695" t="s">
        <v>334</v>
      </c>
      <c r="B489" s="671">
        <v>1.34</v>
      </c>
      <c r="C489" s="671">
        <v>4</v>
      </c>
      <c r="D489" s="671" t="s">
        <v>305</v>
      </c>
      <c r="E489" s="671" t="s">
        <v>305</v>
      </c>
      <c r="F489" s="671" t="s">
        <v>305</v>
      </c>
      <c r="G489" s="671" t="s">
        <v>304</v>
      </c>
      <c r="H489" s="671" t="s">
        <v>305</v>
      </c>
      <c r="I489" s="671" t="s">
        <v>305</v>
      </c>
      <c r="J489" s="671" t="s">
        <v>999</v>
      </c>
      <c r="K489" s="671" t="s">
        <v>304</v>
      </c>
      <c r="L489" s="671" t="s">
        <v>304</v>
      </c>
      <c r="M489" s="243" t="s">
        <v>304</v>
      </c>
      <c r="N489" s="688" t="s">
        <v>304</v>
      </c>
      <c r="O489" s="688" t="s">
        <v>304</v>
      </c>
      <c r="P489" s="671" t="s">
        <v>304</v>
      </c>
      <c r="Q489" s="686">
        <v>3</v>
      </c>
      <c r="R489" s="686"/>
      <c r="S489" s="671" t="s">
        <v>305</v>
      </c>
      <c r="T489" s="671" t="s">
        <v>304</v>
      </c>
      <c r="U489" s="671" t="s">
        <v>304</v>
      </c>
      <c r="V489" s="671" t="s">
        <v>304</v>
      </c>
      <c r="W489" s="671" t="s">
        <v>304</v>
      </c>
      <c r="X489" s="671" t="s">
        <v>304</v>
      </c>
      <c r="Y489" s="671" t="s">
        <v>304</v>
      </c>
      <c r="Z489" s="671" t="s">
        <v>304</v>
      </c>
      <c r="AA489" s="671" t="s">
        <v>304</v>
      </c>
      <c r="AB489" s="243" t="s">
        <v>304</v>
      </c>
      <c r="AC489" s="688" t="s">
        <v>304</v>
      </c>
      <c r="AD489" s="688" t="s">
        <v>304</v>
      </c>
      <c r="AE489" s="671" t="s">
        <v>304</v>
      </c>
      <c r="AH489" s="690" t="s">
        <v>332</v>
      </c>
    </row>
    <row r="490" spans="1:34" x14ac:dyDescent="0.25">
      <c r="A490" s="695" t="s">
        <v>337</v>
      </c>
      <c r="B490" s="671">
        <v>1.23</v>
      </c>
      <c r="C490" s="671">
        <v>6</v>
      </c>
      <c r="D490" s="671" t="s">
        <v>305</v>
      </c>
      <c r="E490" s="671" t="s">
        <v>305</v>
      </c>
      <c r="F490" s="671" t="s">
        <v>305</v>
      </c>
      <c r="G490" s="671" t="s">
        <v>304</v>
      </c>
      <c r="H490" s="671" t="s">
        <v>305</v>
      </c>
      <c r="I490" s="671" t="s">
        <v>305</v>
      </c>
      <c r="J490" s="671" t="s">
        <v>999</v>
      </c>
      <c r="K490" s="671" t="s">
        <v>304</v>
      </c>
      <c r="L490" s="671" t="s">
        <v>304</v>
      </c>
      <c r="M490" s="243" t="s">
        <v>304</v>
      </c>
      <c r="N490" s="688" t="s">
        <v>304</v>
      </c>
      <c r="O490" s="688" t="s">
        <v>304</v>
      </c>
      <c r="P490" s="671" t="s">
        <v>304</v>
      </c>
      <c r="Q490" s="686">
        <v>3</v>
      </c>
      <c r="R490" s="686"/>
      <c r="S490" s="671" t="s">
        <v>305</v>
      </c>
      <c r="T490" s="671" t="s">
        <v>304</v>
      </c>
      <c r="U490" s="671" t="s">
        <v>304</v>
      </c>
      <c r="V490" s="671" t="s">
        <v>304</v>
      </c>
      <c r="W490" s="671" t="s">
        <v>304</v>
      </c>
      <c r="X490" s="671" t="s">
        <v>304</v>
      </c>
      <c r="Y490" s="671" t="s">
        <v>304</v>
      </c>
      <c r="Z490" s="671" t="s">
        <v>304</v>
      </c>
      <c r="AA490" s="671" t="s">
        <v>304</v>
      </c>
      <c r="AB490" s="243" t="s">
        <v>304</v>
      </c>
      <c r="AC490" s="688" t="s">
        <v>304</v>
      </c>
      <c r="AD490" s="688" t="s">
        <v>304</v>
      </c>
      <c r="AE490" s="671" t="s">
        <v>304</v>
      </c>
      <c r="AH490" s="690" t="s">
        <v>332</v>
      </c>
    </row>
    <row r="491" spans="1:34" x14ac:dyDescent="0.25">
      <c r="A491" s="695" t="s">
        <v>339</v>
      </c>
      <c r="B491" s="671">
        <v>1.1000000000000001</v>
      </c>
      <c r="C491" s="671">
        <v>6</v>
      </c>
      <c r="D491" s="671" t="s">
        <v>305</v>
      </c>
      <c r="E491" s="671" t="s">
        <v>305</v>
      </c>
      <c r="F491" s="671" t="s">
        <v>304</v>
      </c>
      <c r="G491" s="671" t="s">
        <v>305</v>
      </c>
      <c r="H491" s="671" t="s">
        <v>305</v>
      </c>
      <c r="I491" s="671" t="s">
        <v>305</v>
      </c>
      <c r="J491" s="671" t="s">
        <v>999</v>
      </c>
      <c r="K491" s="671" t="s">
        <v>304</v>
      </c>
      <c r="L491" s="671" t="s">
        <v>304</v>
      </c>
      <c r="M491" s="243" t="s">
        <v>304</v>
      </c>
      <c r="N491" s="688" t="s">
        <v>304</v>
      </c>
      <c r="O491" s="688" t="s">
        <v>304</v>
      </c>
      <c r="P491" s="671" t="s">
        <v>304</v>
      </c>
      <c r="Q491" s="686" t="s">
        <v>304</v>
      </c>
      <c r="R491" s="686"/>
      <c r="S491" s="671" t="s">
        <v>305</v>
      </c>
      <c r="T491" s="671" t="s">
        <v>304</v>
      </c>
      <c r="U491" s="671" t="s">
        <v>304</v>
      </c>
      <c r="V491" s="671" t="s">
        <v>304</v>
      </c>
      <c r="W491" s="671" t="s">
        <v>304</v>
      </c>
      <c r="X491" s="671" t="s">
        <v>304</v>
      </c>
      <c r="Y491" s="671" t="s">
        <v>304</v>
      </c>
      <c r="Z491" s="671" t="s">
        <v>304</v>
      </c>
      <c r="AA491" s="671" t="s">
        <v>304</v>
      </c>
      <c r="AB491" s="243" t="s">
        <v>304</v>
      </c>
      <c r="AC491" s="688" t="s">
        <v>304</v>
      </c>
      <c r="AD491" s="688" t="s">
        <v>304</v>
      </c>
      <c r="AE491" s="671" t="s">
        <v>304</v>
      </c>
      <c r="AH491" s="690" t="s">
        <v>304</v>
      </c>
    </row>
    <row r="492" spans="1:34" x14ac:dyDescent="0.25">
      <c r="A492" s="695" t="s">
        <v>341</v>
      </c>
      <c r="B492" s="671">
        <v>1.45</v>
      </c>
      <c r="C492" s="671">
        <v>4</v>
      </c>
      <c r="D492" s="671" t="s">
        <v>305</v>
      </c>
      <c r="E492" s="671" t="s">
        <v>305</v>
      </c>
      <c r="F492" s="671" t="s">
        <v>304</v>
      </c>
      <c r="G492" s="671" t="s">
        <v>305</v>
      </c>
      <c r="H492" s="671" t="s">
        <v>305</v>
      </c>
      <c r="I492" s="671" t="s">
        <v>305</v>
      </c>
      <c r="J492" s="671" t="s">
        <v>999</v>
      </c>
      <c r="K492" s="671" t="s">
        <v>304</v>
      </c>
      <c r="L492" s="671" t="s">
        <v>304</v>
      </c>
      <c r="M492" s="243" t="s">
        <v>304</v>
      </c>
      <c r="N492" s="688" t="s">
        <v>304</v>
      </c>
      <c r="O492" s="688" t="s">
        <v>304</v>
      </c>
      <c r="P492" s="671" t="s">
        <v>304</v>
      </c>
      <c r="Q492" s="686" t="s">
        <v>304</v>
      </c>
      <c r="R492" s="686"/>
      <c r="S492" s="671" t="s">
        <v>305</v>
      </c>
      <c r="T492" s="671" t="s">
        <v>304</v>
      </c>
      <c r="U492" s="671" t="s">
        <v>304</v>
      </c>
      <c r="V492" s="671" t="s">
        <v>304</v>
      </c>
      <c r="W492" s="671" t="s">
        <v>304</v>
      </c>
      <c r="X492" s="671" t="s">
        <v>304</v>
      </c>
      <c r="Y492" s="671" t="s">
        <v>304</v>
      </c>
      <c r="Z492" s="671" t="s">
        <v>304</v>
      </c>
      <c r="AA492" s="671" t="s">
        <v>304</v>
      </c>
      <c r="AB492" s="243" t="s">
        <v>304</v>
      </c>
      <c r="AC492" s="688" t="s">
        <v>304</v>
      </c>
      <c r="AD492" s="688" t="s">
        <v>304</v>
      </c>
      <c r="AE492" s="671" t="s">
        <v>304</v>
      </c>
      <c r="AH492" s="690" t="s">
        <v>304</v>
      </c>
    </row>
    <row r="493" spans="1:34" x14ac:dyDescent="0.25">
      <c r="A493" s="695" t="s">
        <v>343</v>
      </c>
      <c r="B493" s="671">
        <v>0.66</v>
      </c>
      <c r="C493" s="671" t="s">
        <v>346</v>
      </c>
      <c r="D493" s="671" t="s">
        <v>305</v>
      </c>
      <c r="E493" s="671" t="s">
        <v>304</v>
      </c>
      <c r="F493" s="671" t="s">
        <v>304</v>
      </c>
      <c r="G493" s="671" t="s">
        <v>305</v>
      </c>
      <c r="H493" s="671" t="s">
        <v>305</v>
      </c>
      <c r="I493" s="671" t="s">
        <v>305</v>
      </c>
      <c r="J493" s="671" t="s">
        <v>999</v>
      </c>
      <c r="K493" s="671" t="s">
        <v>304</v>
      </c>
      <c r="L493" s="671" t="s">
        <v>304</v>
      </c>
      <c r="M493" s="243" t="s">
        <v>304</v>
      </c>
      <c r="N493" s="688" t="s">
        <v>304</v>
      </c>
      <c r="O493" s="688" t="s">
        <v>304</v>
      </c>
      <c r="P493" s="671" t="s">
        <v>304</v>
      </c>
      <c r="Q493" s="686">
        <v>5</v>
      </c>
      <c r="R493" s="686"/>
      <c r="S493" s="671" t="s">
        <v>305</v>
      </c>
      <c r="T493" s="671" t="s">
        <v>304</v>
      </c>
      <c r="U493" s="671" t="s">
        <v>304</v>
      </c>
      <c r="V493" s="671" t="s">
        <v>304</v>
      </c>
      <c r="W493" s="671" t="s">
        <v>304</v>
      </c>
      <c r="X493" s="671" t="s">
        <v>304</v>
      </c>
      <c r="Y493" s="671" t="s">
        <v>304</v>
      </c>
      <c r="Z493" s="671" t="s">
        <v>304</v>
      </c>
      <c r="AA493" s="671" t="s">
        <v>304</v>
      </c>
      <c r="AB493" s="243" t="s">
        <v>304</v>
      </c>
      <c r="AC493" s="688" t="s">
        <v>304</v>
      </c>
      <c r="AD493" s="688" t="s">
        <v>304</v>
      </c>
      <c r="AE493" s="671" t="s">
        <v>304</v>
      </c>
      <c r="AH493" s="690" t="s">
        <v>306</v>
      </c>
    </row>
    <row r="494" spans="1:34" x14ac:dyDescent="0.25">
      <c r="A494" s="695" t="s">
        <v>348</v>
      </c>
      <c r="B494" s="671">
        <v>0.89</v>
      </c>
      <c r="C494" s="671" t="s">
        <v>346</v>
      </c>
      <c r="D494" s="671" t="s">
        <v>305</v>
      </c>
      <c r="E494" s="671" t="s">
        <v>304</v>
      </c>
      <c r="F494" s="671" t="s">
        <v>304</v>
      </c>
      <c r="G494" s="671" t="s">
        <v>305</v>
      </c>
      <c r="H494" s="671" t="s">
        <v>305</v>
      </c>
      <c r="I494" s="671" t="s">
        <v>305</v>
      </c>
      <c r="J494" s="671" t="s">
        <v>999</v>
      </c>
      <c r="K494" s="671" t="s">
        <v>304</v>
      </c>
      <c r="L494" s="671" t="s">
        <v>304</v>
      </c>
      <c r="M494" s="243" t="s">
        <v>304</v>
      </c>
      <c r="N494" s="688" t="s">
        <v>304</v>
      </c>
      <c r="O494" s="688" t="s">
        <v>304</v>
      </c>
      <c r="P494" s="671" t="s">
        <v>304</v>
      </c>
      <c r="Q494" s="686">
        <v>5</v>
      </c>
      <c r="R494" s="686"/>
      <c r="S494" s="671" t="s">
        <v>305</v>
      </c>
      <c r="T494" s="671" t="s">
        <v>304</v>
      </c>
      <c r="U494" s="671" t="s">
        <v>304</v>
      </c>
      <c r="V494" s="671" t="s">
        <v>304</v>
      </c>
      <c r="W494" s="671" t="s">
        <v>304</v>
      </c>
      <c r="X494" s="671" t="s">
        <v>304</v>
      </c>
      <c r="Y494" s="671" t="s">
        <v>304</v>
      </c>
      <c r="Z494" s="671" t="s">
        <v>304</v>
      </c>
      <c r="AA494" s="671" t="s">
        <v>304</v>
      </c>
      <c r="AB494" s="243" t="s">
        <v>304</v>
      </c>
      <c r="AC494" s="688" t="s">
        <v>304</v>
      </c>
      <c r="AD494" s="688" t="s">
        <v>304</v>
      </c>
      <c r="AE494" s="671" t="s">
        <v>304</v>
      </c>
      <c r="AH494" s="690" t="s">
        <v>306</v>
      </c>
    </row>
    <row r="495" spans="1:34" x14ac:dyDescent="0.25">
      <c r="A495" s="695" t="s">
        <v>350</v>
      </c>
      <c r="B495" s="671">
        <v>0.41</v>
      </c>
      <c r="C495" s="671" t="s">
        <v>346</v>
      </c>
      <c r="D495" s="671" t="s">
        <v>305</v>
      </c>
      <c r="E495" s="671" t="s">
        <v>304</v>
      </c>
      <c r="F495" s="671" t="s">
        <v>304</v>
      </c>
      <c r="G495" s="671" t="s">
        <v>305</v>
      </c>
      <c r="H495" s="671" t="s">
        <v>305</v>
      </c>
      <c r="I495" s="671" t="s">
        <v>305</v>
      </c>
      <c r="J495" s="671" t="s">
        <v>999</v>
      </c>
      <c r="K495" s="671" t="s">
        <v>304</v>
      </c>
      <c r="L495" s="671" t="s">
        <v>304</v>
      </c>
      <c r="M495" s="243" t="s">
        <v>304</v>
      </c>
      <c r="N495" s="688" t="s">
        <v>304</v>
      </c>
      <c r="O495" s="688" t="s">
        <v>304</v>
      </c>
      <c r="P495" s="671" t="s">
        <v>304</v>
      </c>
      <c r="Q495" s="686">
        <v>5</v>
      </c>
      <c r="R495" s="686"/>
      <c r="S495" s="671" t="s">
        <v>305</v>
      </c>
      <c r="T495" s="671" t="s">
        <v>304</v>
      </c>
      <c r="U495" s="671" t="s">
        <v>304</v>
      </c>
      <c r="V495" s="671" t="s">
        <v>304</v>
      </c>
      <c r="W495" s="671" t="s">
        <v>304</v>
      </c>
      <c r="X495" s="671" t="s">
        <v>304</v>
      </c>
      <c r="Y495" s="671" t="s">
        <v>304</v>
      </c>
      <c r="Z495" s="671" t="s">
        <v>304</v>
      </c>
      <c r="AA495" s="671" t="s">
        <v>304</v>
      </c>
      <c r="AB495" s="243" t="s">
        <v>304</v>
      </c>
      <c r="AC495" s="688" t="s">
        <v>304</v>
      </c>
      <c r="AD495" s="688" t="s">
        <v>304</v>
      </c>
      <c r="AE495" s="671" t="s">
        <v>304</v>
      </c>
      <c r="AH495" s="690" t="s">
        <v>306</v>
      </c>
    </row>
    <row r="496" spans="1:34" x14ac:dyDescent="0.25">
      <c r="A496" s="695" t="s">
        <v>354</v>
      </c>
      <c r="B496" s="671">
        <v>1.72</v>
      </c>
      <c r="C496" s="671">
        <v>6</v>
      </c>
      <c r="D496" s="671" t="s">
        <v>305</v>
      </c>
      <c r="E496" s="671" t="s">
        <v>305</v>
      </c>
      <c r="F496" s="671" t="s">
        <v>304</v>
      </c>
      <c r="G496" s="671" t="s">
        <v>305</v>
      </c>
      <c r="H496" s="671" t="s">
        <v>305</v>
      </c>
      <c r="I496" s="671" t="s">
        <v>305</v>
      </c>
      <c r="J496" s="671" t="s">
        <v>999</v>
      </c>
      <c r="K496" s="671" t="s">
        <v>304</v>
      </c>
      <c r="L496" s="671" t="s">
        <v>304</v>
      </c>
      <c r="M496" s="243" t="s">
        <v>304</v>
      </c>
      <c r="N496" s="688" t="s">
        <v>304</v>
      </c>
      <c r="O496" s="688" t="s">
        <v>304</v>
      </c>
      <c r="P496" s="671" t="s">
        <v>304</v>
      </c>
      <c r="Q496" s="686" t="s">
        <v>304</v>
      </c>
      <c r="R496" s="686"/>
      <c r="S496" s="671" t="s">
        <v>305</v>
      </c>
      <c r="T496" s="671" t="s">
        <v>304</v>
      </c>
      <c r="U496" s="671" t="s">
        <v>304</v>
      </c>
      <c r="V496" s="671" t="s">
        <v>304</v>
      </c>
      <c r="W496" s="671" t="s">
        <v>304</v>
      </c>
      <c r="X496" s="671" t="s">
        <v>304</v>
      </c>
      <c r="Y496" s="671" t="s">
        <v>304</v>
      </c>
      <c r="Z496" s="671" t="s">
        <v>304</v>
      </c>
      <c r="AA496" s="671" t="s">
        <v>304</v>
      </c>
      <c r="AB496" s="243" t="s">
        <v>304</v>
      </c>
      <c r="AC496" s="688" t="s">
        <v>304</v>
      </c>
      <c r="AD496" s="688" t="s">
        <v>304</v>
      </c>
      <c r="AE496" s="671" t="s">
        <v>304</v>
      </c>
      <c r="AH496" s="690" t="s">
        <v>304</v>
      </c>
    </row>
    <row r="497" spans="1:34" x14ac:dyDescent="0.25">
      <c r="A497" s="695" t="s">
        <v>356</v>
      </c>
      <c r="B497" s="671">
        <v>0.65</v>
      </c>
      <c r="C497" s="671">
        <v>4</v>
      </c>
      <c r="D497" s="671" t="s">
        <v>305</v>
      </c>
      <c r="E497" s="671" t="s">
        <v>305</v>
      </c>
      <c r="F497" s="671" t="s">
        <v>304</v>
      </c>
      <c r="G497" s="671" t="s">
        <v>305</v>
      </c>
      <c r="H497" s="671" t="s">
        <v>305</v>
      </c>
      <c r="I497" s="671" t="s">
        <v>305</v>
      </c>
      <c r="J497" s="671" t="s">
        <v>999</v>
      </c>
      <c r="K497" s="671" t="s">
        <v>304</v>
      </c>
      <c r="L497" s="671" t="s">
        <v>304</v>
      </c>
      <c r="M497" s="243" t="s">
        <v>304</v>
      </c>
      <c r="N497" s="688" t="s">
        <v>304</v>
      </c>
      <c r="O497" s="688" t="s">
        <v>304</v>
      </c>
      <c r="P497" s="671" t="s">
        <v>304</v>
      </c>
      <c r="Q497" s="686">
        <v>5</v>
      </c>
      <c r="R497" s="686"/>
      <c r="S497" s="671" t="s">
        <v>305</v>
      </c>
      <c r="T497" s="671" t="s">
        <v>304</v>
      </c>
      <c r="U497" s="671" t="s">
        <v>304</v>
      </c>
      <c r="V497" s="671" t="s">
        <v>304</v>
      </c>
      <c r="W497" s="671" t="s">
        <v>304</v>
      </c>
      <c r="X497" s="671" t="s">
        <v>304</v>
      </c>
      <c r="Y497" s="671" t="s">
        <v>304</v>
      </c>
      <c r="Z497" s="671" t="s">
        <v>304</v>
      </c>
      <c r="AA497" s="671" t="s">
        <v>304</v>
      </c>
      <c r="AB497" s="243" t="s">
        <v>304</v>
      </c>
      <c r="AC497" s="688" t="s">
        <v>304</v>
      </c>
      <c r="AD497" s="688" t="s">
        <v>304</v>
      </c>
      <c r="AE497" s="671" t="s">
        <v>304</v>
      </c>
      <c r="AH497" s="690" t="s">
        <v>306</v>
      </c>
    </row>
    <row r="498" spans="1:34" x14ac:dyDescent="0.25">
      <c r="A498" s="695" t="s">
        <v>358</v>
      </c>
      <c r="B498" s="671">
        <v>1.31</v>
      </c>
      <c r="C498" s="671">
        <v>4</v>
      </c>
      <c r="D498" s="671" t="s">
        <v>305</v>
      </c>
      <c r="E498" s="671" t="s">
        <v>305</v>
      </c>
      <c r="F498" s="671" t="s">
        <v>304</v>
      </c>
      <c r="G498" s="671" t="s">
        <v>305</v>
      </c>
      <c r="H498" s="671" t="s">
        <v>305</v>
      </c>
      <c r="I498" s="671" t="s">
        <v>305</v>
      </c>
      <c r="J498" s="671" t="s">
        <v>999</v>
      </c>
      <c r="K498" s="671" t="s">
        <v>304</v>
      </c>
      <c r="L498" s="671" t="s">
        <v>304</v>
      </c>
      <c r="M498" s="243" t="s">
        <v>304</v>
      </c>
      <c r="N498" s="688" t="s">
        <v>304</v>
      </c>
      <c r="O498" s="688" t="s">
        <v>304</v>
      </c>
      <c r="P498" s="671" t="s">
        <v>304</v>
      </c>
      <c r="Q498" s="686">
        <v>5</v>
      </c>
      <c r="R498" s="686"/>
      <c r="S498" s="671" t="s">
        <v>305</v>
      </c>
      <c r="T498" s="671" t="s">
        <v>304</v>
      </c>
      <c r="U498" s="671" t="s">
        <v>304</v>
      </c>
      <c r="V498" s="671" t="s">
        <v>304</v>
      </c>
      <c r="W498" s="671" t="s">
        <v>304</v>
      </c>
      <c r="X498" s="671" t="s">
        <v>304</v>
      </c>
      <c r="Y498" s="671" t="s">
        <v>304</v>
      </c>
      <c r="Z498" s="671" t="s">
        <v>304</v>
      </c>
      <c r="AA498" s="671" t="s">
        <v>304</v>
      </c>
      <c r="AB498" s="243" t="s">
        <v>304</v>
      </c>
      <c r="AC498" s="688" t="s">
        <v>304</v>
      </c>
      <c r="AD498" s="688" t="s">
        <v>304</v>
      </c>
      <c r="AE498" s="671" t="s">
        <v>304</v>
      </c>
      <c r="AH498" s="690" t="s">
        <v>306</v>
      </c>
    </row>
    <row r="499" spans="1:34" x14ac:dyDescent="0.25">
      <c r="A499" s="695" t="s">
        <v>363</v>
      </c>
      <c r="B499" s="671">
        <v>0.89</v>
      </c>
      <c r="C499" s="671">
        <v>4</v>
      </c>
      <c r="D499" s="671" t="s">
        <v>305</v>
      </c>
      <c r="E499" s="671" t="s">
        <v>305</v>
      </c>
      <c r="F499" s="671" t="s">
        <v>304</v>
      </c>
      <c r="G499" s="671" t="s">
        <v>305</v>
      </c>
      <c r="H499" s="671" t="s">
        <v>305</v>
      </c>
      <c r="I499" s="671" t="s">
        <v>305</v>
      </c>
      <c r="J499" s="671" t="s">
        <v>999</v>
      </c>
      <c r="K499" s="671" t="s">
        <v>304</v>
      </c>
      <c r="L499" s="671" t="s">
        <v>304</v>
      </c>
      <c r="M499" s="243" t="s">
        <v>304</v>
      </c>
      <c r="N499" s="688" t="s">
        <v>304</v>
      </c>
      <c r="O499" s="688" t="s">
        <v>304</v>
      </c>
      <c r="P499" s="671" t="s">
        <v>304</v>
      </c>
      <c r="Q499" s="686">
        <v>5</v>
      </c>
      <c r="R499" s="686"/>
      <c r="S499" s="671" t="s">
        <v>305</v>
      </c>
      <c r="T499" s="671" t="s">
        <v>304</v>
      </c>
      <c r="U499" s="671" t="s">
        <v>304</v>
      </c>
      <c r="V499" s="671" t="s">
        <v>304</v>
      </c>
      <c r="W499" s="671" t="s">
        <v>304</v>
      </c>
      <c r="X499" s="671" t="s">
        <v>304</v>
      </c>
      <c r="Y499" s="671" t="s">
        <v>304</v>
      </c>
      <c r="Z499" s="671" t="s">
        <v>304</v>
      </c>
      <c r="AA499" s="671" t="s">
        <v>304</v>
      </c>
      <c r="AB499" s="243" t="s">
        <v>304</v>
      </c>
      <c r="AC499" s="688" t="s">
        <v>304</v>
      </c>
      <c r="AD499" s="688" t="s">
        <v>304</v>
      </c>
      <c r="AE499" s="671" t="s">
        <v>304</v>
      </c>
      <c r="AH499" s="690" t="s">
        <v>306</v>
      </c>
    </row>
    <row r="500" spans="1:34" x14ac:dyDescent="0.25">
      <c r="A500" s="695" t="s">
        <v>989</v>
      </c>
      <c r="B500" s="686">
        <v>0.82</v>
      </c>
      <c r="C500" s="686">
        <v>4</v>
      </c>
      <c r="D500" s="671" t="s">
        <v>305</v>
      </c>
      <c r="E500" s="671" t="s">
        <v>305</v>
      </c>
      <c r="F500" s="671" t="s">
        <v>304</v>
      </c>
      <c r="G500" s="671" t="s">
        <v>305</v>
      </c>
      <c r="H500" s="671" t="s">
        <v>305</v>
      </c>
      <c r="I500" s="671" t="s">
        <v>305</v>
      </c>
      <c r="J500" s="671" t="s">
        <v>999</v>
      </c>
      <c r="K500" s="671" t="s">
        <v>304</v>
      </c>
      <c r="L500" s="671" t="s">
        <v>304</v>
      </c>
      <c r="M500" s="243" t="s">
        <v>304</v>
      </c>
      <c r="N500" s="688" t="s">
        <v>304</v>
      </c>
      <c r="O500" s="688" t="s">
        <v>304</v>
      </c>
      <c r="P500" s="671" t="s">
        <v>304</v>
      </c>
      <c r="Q500" s="686">
        <v>5</v>
      </c>
      <c r="R500" s="686"/>
      <c r="S500" s="671" t="s">
        <v>305</v>
      </c>
      <c r="T500" s="671" t="s">
        <v>304</v>
      </c>
      <c r="U500" s="671" t="s">
        <v>304</v>
      </c>
      <c r="V500" s="671" t="s">
        <v>304</v>
      </c>
      <c r="W500" s="671" t="s">
        <v>304</v>
      </c>
      <c r="X500" s="671" t="s">
        <v>304</v>
      </c>
      <c r="Y500" s="671" t="s">
        <v>304</v>
      </c>
      <c r="Z500" s="671" t="s">
        <v>304</v>
      </c>
      <c r="AA500" s="671" t="s">
        <v>304</v>
      </c>
      <c r="AB500" s="243" t="s">
        <v>304</v>
      </c>
      <c r="AC500" s="688" t="s">
        <v>304</v>
      </c>
      <c r="AD500" s="688" t="s">
        <v>304</v>
      </c>
      <c r="AE500" s="671" t="s">
        <v>304</v>
      </c>
      <c r="AH500" s="690" t="s">
        <v>306</v>
      </c>
    </row>
    <row r="501" spans="1:34" x14ac:dyDescent="0.25">
      <c r="A501" s="695" t="s">
        <v>991</v>
      </c>
      <c r="B501" s="686">
        <v>0.88</v>
      </c>
      <c r="C501" s="686">
        <v>4</v>
      </c>
      <c r="D501" s="671" t="s">
        <v>305</v>
      </c>
      <c r="E501" s="671" t="s">
        <v>305</v>
      </c>
      <c r="F501" s="671" t="s">
        <v>304</v>
      </c>
      <c r="G501" s="671" t="s">
        <v>305</v>
      </c>
      <c r="H501" s="671" t="s">
        <v>305</v>
      </c>
      <c r="I501" s="671" t="s">
        <v>305</v>
      </c>
      <c r="J501" s="671" t="s">
        <v>999</v>
      </c>
      <c r="K501" s="671" t="s">
        <v>304</v>
      </c>
      <c r="L501" s="671" t="s">
        <v>304</v>
      </c>
      <c r="M501" s="243" t="s">
        <v>304</v>
      </c>
      <c r="N501" s="688" t="s">
        <v>304</v>
      </c>
      <c r="O501" s="688" t="s">
        <v>304</v>
      </c>
      <c r="P501" s="671" t="s">
        <v>304</v>
      </c>
      <c r="Q501" s="686">
        <v>5</v>
      </c>
      <c r="R501" s="686"/>
      <c r="S501" s="671" t="s">
        <v>305</v>
      </c>
      <c r="T501" s="671" t="s">
        <v>304</v>
      </c>
      <c r="U501" s="671" t="s">
        <v>304</v>
      </c>
      <c r="V501" s="671" t="s">
        <v>304</v>
      </c>
      <c r="W501" s="671" t="s">
        <v>304</v>
      </c>
      <c r="X501" s="671" t="s">
        <v>304</v>
      </c>
      <c r="Y501" s="671" t="s">
        <v>304</v>
      </c>
      <c r="Z501" s="671" t="s">
        <v>304</v>
      </c>
      <c r="AA501" s="671" t="s">
        <v>304</v>
      </c>
      <c r="AB501" s="243" t="s">
        <v>304</v>
      </c>
      <c r="AC501" s="688" t="s">
        <v>304</v>
      </c>
      <c r="AD501" s="688" t="s">
        <v>304</v>
      </c>
      <c r="AE501" s="671" t="s">
        <v>304</v>
      </c>
      <c r="AH501" s="690" t="s">
        <v>306</v>
      </c>
    </row>
    <row r="502" spans="1:34" x14ac:dyDescent="0.25">
      <c r="A502" s="695" t="s">
        <v>366</v>
      </c>
      <c r="B502" s="671">
        <v>1.07</v>
      </c>
      <c r="C502" s="671">
        <v>6</v>
      </c>
      <c r="D502" s="671" t="s">
        <v>305</v>
      </c>
      <c r="E502" s="671" t="s">
        <v>305</v>
      </c>
      <c r="F502" s="671" t="s">
        <v>304</v>
      </c>
      <c r="G502" s="671" t="s">
        <v>305</v>
      </c>
      <c r="H502" s="671" t="s">
        <v>305</v>
      </c>
      <c r="I502" s="671" t="s">
        <v>305</v>
      </c>
      <c r="J502" s="671" t="s">
        <v>999</v>
      </c>
      <c r="K502" s="671" t="s">
        <v>304</v>
      </c>
      <c r="L502" s="671" t="s">
        <v>304</v>
      </c>
      <c r="M502" s="243" t="s">
        <v>304</v>
      </c>
      <c r="N502" s="688" t="s">
        <v>304</v>
      </c>
      <c r="O502" s="688" t="s">
        <v>304</v>
      </c>
      <c r="P502" s="671" t="s">
        <v>304</v>
      </c>
      <c r="Q502" s="686">
        <v>5</v>
      </c>
      <c r="R502" s="686"/>
      <c r="S502" s="671" t="s">
        <v>305</v>
      </c>
      <c r="T502" s="671" t="s">
        <v>304</v>
      </c>
      <c r="U502" s="671" t="s">
        <v>304</v>
      </c>
      <c r="V502" s="671" t="s">
        <v>304</v>
      </c>
      <c r="W502" s="671" t="s">
        <v>304</v>
      </c>
      <c r="X502" s="671" t="s">
        <v>304</v>
      </c>
      <c r="Y502" s="671" t="s">
        <v>304</v>
      </c>
      <c r="Z502" s="671" t="s">
        <v>304</v>
      </c>
      <c r="AA502" s="671" t="s">
        <v>304</v>
      </c>
      <c r="AB502" s="243" t="s">
        <v>304</v>
      </c>
      <c r="AC502" s="688" t="s">
        <v>304</v>
      </c>
      <c r="AD502" s="688" t="s">
        <v>304</v>
      </c>
      <c r="AE502" s="671" t="s">
        <v>304</v>
      </c>
      <c r="AH502" s="690" t="s">
        <v>306</v>
      </c>
    </row>
    <row r="503" spans="1:34" x14ac:dyDescent="0.25">
      <c r="A503" s="695" t="s">
        <v>368</v>
      </c>
      <c r="B503" s="671">
        <v>0.38</v>
      </c>
      <c r="C503" s="671">
        <v>8</v>
      </c>
      <c r="D503" s="671" t="s">
        <v>305</v>
      </c>
      <c r="E503" s="671" t="s">
        <v>304</v>
      </c>
      <c r="F503" s="671" t="s">
        <v>304</v>
      </c>
      <c r="G503" s="671" t="s">
        <v>305</v>
      </c>
      <c r="H503" s="671" t="s">
        <v>305</v>
      </c>
      <c r="I503" s="671" t="s">
        <v>305</v>
      </c>
      <c r="J503" s="671" t="s">
        <v>999</v>
      </c>
      <c r="K503" s="671" t="s">
        <v>304</v>
      </c>
      <c r="L503" s="671" t="s">
        <v>304</v>
      </c>
      <c r="M503" s="243" t="s">
        <v>304</v>
      </c>
      <c r="N503" s="688" t="s">
        <v>304</v>
      </c>
      <c r="O503" s="688" t="s">
        <v>304</v>
      </c>
      <c r="P503" s="671" t="s">
        <v>304</v>
      </c>
      <c r="Q503" s="686" t="s">
        <v>304</v>
      </c>
      <c r="R503" s="686"/>
      <c r="S503" s="671" t="s">
        <v>305</v>
      </c>
      <c r="T503" s="671" t="s">
        <v>304</v>
      </c>
      <c r="U503" s="671" t="s">
        <v>304</v>
      </c>
      <c r="V503" s="671" t="s">
        <v>304</v>
      </c>
      <c r="W503" s="671" t="s">
        <v>304</v>
      </c>
      <c r="X503" s="671" t="s">
        <v>304</v>
      </c>
      <c r="Y503" s="671" t="s">
        <v>304</v>
      </c>
      <c r="Z503" s="671" t="s">
        <v>304</v>
      </c>
      <c r="AA503" s="671" t="s">
        <v>304</v>
      </c>
      <c r="AB503" s="243" t="s">
        <v>304</v>
      </c>
      <c r="AC503" s="688" t="s">
        <v>304</v>
      </c>
      <c r="AD503" s="688" t="s">
        <v>304</v>
      </c>
      <c r="AE503" s="671" t="s">
        <v>304</v>
      </c>
      <c r="AH503" s="690" t="s">
        <v>304</v>
      </c>
    </row>
    <row r="504" spans="1:34" x14ac:dyDescent="0.25">
      <c r="A504" s="695" t="s">
        <v>369</v>
      </c>
      <c r="B504" s="671">
        <v>0.95</v>
      </c>
      <c r="C504" s="671">
        <v>6</v>
      </c>
      <c r="D504" s="671" t="s">
        <v>305</v>
      </c>
      <c r="E504" s="671" t="s">
        <v>304</v>
      </c>
      <c r="F504" s="671" t="s">
        <v>304</v>
      </c>
      <c r="G504" s="671" t="s">
        <v>305</v>
      </c>
      <c r="H504" s="671" t="s">
        <v>305</v>
      </c>
      <c r="I504" s="671" t="s">
        <v>305</v>
      </c>
      <c r="J504" s="671" t="s">
        <v>999</v>
      </c>
      <c r="K504" s="671" t="s">
        <v>304</v>
      </c>
      <c r="L504" s="671" t="s">
        <v>304</v>
      </c>
      <c r="M504" s="243" t="s">
        <v>304</v>
      </c>
      <c r="N504" s="688" t="s">
        <v>304</v>
      </c>
      <c r="O504" s="688" t="s">
        <v>304</v>
      </c>
      <c r="P504" s="671" t="s">
        <v>304</v>
      </c>
      <c r="Q504" s="686" t="s">
        <v>304</v>
      </c>
      <c r="R504" s="686"/>
      <c r="S504" s="671" t="s">
        <v>305</v>
      </c>
      <c r="T504" s="671" t="s">
        <v>304</v>
      </c>
      <c r="U504" s="671" t="s">
        <v>304</v>
      </c>
      <c r="V504" s="671" t="s">
        <v>304</v>
      </c>
      <c r="W504" s="671" t="s">
        <v>304</v>
      </c>
      <c r="X504" s="671" t="s">
        <v>304</v>
      </c>
      <c r="Y504" s="671" t="s">
        <v>304</v>
      </c>
      <c r="Z504" s="671" t="s">
        <v>304</v>
      </c>
      <c r="AA504" s="671" t="s">
        <v>304</v>
      </c>
      <c r="AB504" s="243" t="s">
        <v>304</v>
      </c>
      <c r="AC504" s="688" t="s">
        <v>304</v>
      </c>
      <c r="AD504" s="688" t="s">
        <v>304</v>
      </c>
      <c r="AE504" s="671" t="s">
        <v>304</v>
      </c>
      <c r="AH504" s="690" t="s">
        <v>304</v>
      </c>
    </row>
    <row r="505" spans="1:34" x14ac:dyDescent="0.25">
      <c r="A505" s="695" t="s">
        <v>371</v>
      </c>
      <c r="B505" s="671">
        <v>0.56000000000000005</v>
      </c>
      <c r="C505" s="671">
        <v>4</v>
      </c>
      <c r="D505" s="671" t="s">
        <v>305</v>
      </c>
      <c r="E505" s="671" t="s">
        <v>305</v>
      </c>
      <c r="F505" s="671" t="s">
        <v>304</v>
      </c>
      <c r="G505" s="671" t="s">
        <v>305</v>
      </c>
      <c r="H505" s="671" t="s">
        <v>305</v>
      </c>
      <c r="I505" s="671" t="s">
        <v>305</v>
      </c>
      <c r="J505" s="671" t="s">
        <v>999</v>
      </c>
      <c r="K505" s="671" t="s">
        <v>304</v>
      </c>
      <c r="L505" s="671" t="s">
        <v>304</v>
      </c>
      <c r="M505" s="243" t="s">
        <v>304</v>
      </c>
      <c r="N505" s="688" t="s">
        <v>304</v>
      </c>
      <c r="O505" s="688" t="s">
        <v>304</v>
      </c>
      <c r="P505" s="671" t="s">
        <v>304</v>
      </c>
      <c r="Q505" s="686" t="s">
        <v>304</v>
      </c>
      <c r="R505" s="686"/>
      <c r="S505" s="671" t="s">
        <v>305</v>
      </c>
      <c r="T505" s="671" t="s">
        <v>304</v>
      </c>
      <c r="U505" s="671" t="s">
        <v>304</v>
      </c>
      <c r="V505" s="671" t="s">
        <v>304</v>
      </c>
      <c r="W505" s="671" t="s">
        <v>304</v>
      </c>
      <c r="X505" s="671" t="s">
        <v>304</v>
      </c>
      <c r="Y505" s="671" t="s">
        <v>304</v>
      </c>
      <c r="Z505" s="671" t="s">
        <v>304</v>
      </c>
      <c r="AA505" s="671" t="s">
        <v>304</v>
      </c>
      <c r="AB505" s="243" t="s">
        <v>304</v>
      </c>
      <c r="AC505" s="688" t="s">
        <v>304</v>
      </c>
      <c r="AD505" s="688" t="s">
        <v>304</v>
      </c>
      <c r="AE505" s="671" t="s">
        <v>304</v>
      </c>
      <c r="AH505" s="690" t="s">
        <v>304</v>
      </c>
    </row>
    <row r="506" spans="1:34" x14ac:dyDescent="0.25">
      <c r="A506" s="695" t="s">
        <v>372</v>
      </c>
      <c r="B506" s="671">
        <v>0.25</v>
      </c>
      <c r="C506" s="671">
        <v>6</v>
      </c>
      <c r="D506" s="671" t="s">
        <v>305</v>
      </c>
      <c r="E506" s="671" t="s">
        <v>305</v>
      </c>
      <c r="F506" s="671" t="s">
        <v>304</v>
      </c>
      <c r="G506" s="671" t="s">
        <v>305</v>
      </c>
      <c r="H506" s="671" t="s">
        <v>305</v>
      </c>
      <c r="I506" s="671" t="s">
        <v>305</v>
      </c>
      <c r="J506" s="671" t="s">
        <v>999</v>
      </c>
      <c r="K506" s="671" t="s">
        <v>304</v>
      </c>
      <c r="L506" s="671" t="s">
        <v>304</v>
      </c>
      <c r="M506" s="243" t="s">
        <v>304</v>
      </c>
      <c r="N506" s="688" t="s">
        <v>304</v>
      </c>
      <c r="O506" s="688" t="s">
        <v>304</v>
      </c>
      <c r="P506" s="671" t="s">
        <v>304</v>
      </c>
      <c r="Q506" s="686" t="s">
        <v>304</v>
      </c>
      <c r="R506" s="686"/>
      <c r="S506" s="671" t="s">
        <v>305</v>
      </c>
      <c r="T506" s="671" t="s">
        <v>304</v>
      </c>
      <c r="U506" s="671" t="s">
        <v>304</v>
      </c>
      <c r="V506" s="671" t="s">
        <v>304</v>
      </c>
      <c r="W506" s="671" t="s">
        <v>304</v>
      </c>
      <c r="X506" s="671" t="s">
        <v>304</v>
      </c>
      <c r="Y506" s="671" t="s">
        <v>304</v>
      </c>
      <c r="Z506" s="671" t="s">
        <v>304</v>
      </c>
      <c r="AA506" s="671" t="s">
        <v>304</v>
      </c>
      <c r="AB506" s="243" t="s">
        <v>304</v>
      </c>
      <c r="AC506" s="688" t="s">
        <v>304</v>
      </c>
      <c r="AD506" s="688" t="s">
        <v>304</v>
      </c>
      <c r="AE506" s="671" t="s">
        <v>304</v>
      </c>
      <c r="AH506" s="690" t="s">
        <v>304</v>
      </c>
    </row>
    <row r="507" spans="1:34" x14ac:dyDescent="0.25">
      <c r="A507" s="695" t="s">
        <v>374</v>
      </c>
      <c r="B507" s="671">
        <v>0.99</v>
      </c>
      <c r="C507" s="671">
        <v>6</v>
      </c>
      <c r="D507" s="671" t="s">
        <v>305</v>
      </c>
      <c r="E507" s="671" t="s">
        <v>305</v>
      </c>
      <c r="F507" s="671" t="s">
        <v>304</v>
      </c>
      <c r="G507" s="671" t="s">
        <v>305</v>
      </c>
      <c r="H507" s="671" t="s">
        <v>305</v>
      </c>
      <c r="I507" s="671" t="s">
        <v>305</v>
      </c>
      <c r="J507" s="671" t="s">
        <v>999</v>
      </c>
      <c r="K507" s="671" t="s">
        <v>304</v>
      </c>
      <c r="L507" s="671" t="s">
        <v>304</v>
      </c>
      <c r="M507" s="243" t="s">
        <v>304</v>
      </c>
      <c r="N507" s="688" t="s">
        <v>304</v>
      </c>
      <c r="O507" s="688" t="s">
        <v>304</v>
      </c>
      <c r="P507" s="671" t="s">
        <v>304</v>
      </c>
      <c r="Q507" s="686" t="s">
        <v>304</v>
      </c>
      <c r="R507" s="686"/>
      <c r="S507" s="671" t="s">
        <v>305</v>
      </c>
      <c r="T507" s="671" t="s">
        <v>304</v>
      </c>
      <c r="U507" s="671" t="s">
        <v>304</v>
      </c>
      <c r="V507" s="671" t="s">
        <v>304</v>
      </c>
      <c r="W507" s="671" t="s">
        <v>304</v>
      </c>
      <c r="X507" s="671" t="s">
        <v>304</v>
      </c>
      <c r="Y507" s="671" t="s">
        <v>304</v>
      </c>
      <c r="Z507" s="671" t="s">
        <v>304</v>
      </c>
      <c r="AA507" s="671" t="s">
        <v>304</v>
      </c>
      <c r="AB507" s="243" t="s">
        <v>304</v>
      </c>
      <c r="AC507" s="688" t="s">
        <v>304</v>
      </c>
      <c r="AD507" s="688" t="s">
        <v>304</v>
      </c>
      <c r="AE507" s="671" t="s">
        <v>304</v>
      </c>
      <c r="AH507" s="690" t="s">
        <v>304</v>
      </c>
    </row>
    <row r="508" spans="1:34" x14ac:dyDescent="0.25">
      <c r="A508" s="695" t="s">
        <v>992</v>
      </c>
      <c r="B508" s="686">
        <v>1.1100000000000001</v>
      </c>
      <c r="C508" s="686">
        <v>6</v>
      </c>
      <c r="D508" s="671" t="s">
        <v>305</v>
      </c>
      <c r="E508" s="671" t="s">
        <v>305</v>
      </c>
      <c r="F508" s="671" t="s">
        <v>304</v>
      </c>
      <c r="G508" s="671" t="s">
        <v>305</v>
      </c>
      <c r="H508" s="671" t="s">
        <v>305</v>
      </c>
      <c r="I508" s="671" t="s">
        <v>305</v>
      </c>
      <c r="J508" s="686" t="s">
        <v>304</v>
      </c>
      <c r="K508" s="671" t="s">
        <v>304</v>
      </c>
      <c r="L508" s="671" t="s">
        <v>304</v>
      </c>
      <c r="M508" s="243" t="s">
        <v>304</v>
      </c>
      <c r="N508" s="688" t="s">
        <v>304</v>
      </c>
      <c r="O508" s="688" t="s">
        <v>304</v>
      </c>
      <c r="P508" s="671" t="s">
        <v>305</v>
      </c>
      <c r="Q508" s="686" t="s">
        <v>304</v>
      </c>
      <c r="R508" s="686"/>
      <c r="S508" s="671" t="s">
        <v>305</v>
      </c>
      <c r="T508" s="671" t="s">
        <v>304</v>
      </c>
      <c r="U508" s="671" t="s">
        <v>304</v>
      </c>
      <c r="V508" s="671" t="s">
        <v>304</v>
      </c>
      <c r="W508" s="671" t="s">
        <v>304</v>
      </c>
      <c r="X508" s="671" t="s">
        <v>304</v>
      </c>
      <c r="Y508" s="671" t="s">
        <v>304</v>
      </c>
      <c r="Z508" s="671" t="s">
        <v>304</v>
      </c>
      <c r="AA508" s="671" t="s">
        <v>304</v>
      </c>
      <c r="AB508" s="243" t="s">
        <v>304</v>
      </c>
      <c r="AC508" s="688" t="s">
        <v>304</v>
      </c>
      <c r="AD508" s="688" t="s">
        <v>304</v>
      </c>
      <c r="AE508" s="671" t="s">
        <v>305</v>
      </c>
      <c r="AH508" s="690"/>
    </row>
    <row r="509" spans="1:34" x14ac:dyDescent="0.25">
      <c r="A509" s="695" t="s">
        <v>993</v>
      </c>
      <c r="B509" s="686">
        <v>0.75</v>
      </c>
      <c r="C509" s="686">
        <v>6</v>
      </c>
      <c r="D509" s="671" t="s">
        <v>305</v>
      </c>
      <c r="E509" s="671" t="s">
        <v>305</v>
      </c>
      <c r="F509" s="671" t="s">
        <v>304</v>
      </c>
      <c r="G509" s="671" t="s">
        <v>305</v>
      </c>
      <c r="H509" s="671" t="s">
        <v>305</v>
      </c>
      <c r="I509" s="671" t="s">
        <v>305</v>
      </c>
      <c r="J509" s="686" t="s">
        <v>304</v>
      </c>
      <c r="K509" s="671" t="s">
        <v>304</v>
      </c>
      <c r="L509" s="671" t="s">
        <v>304</v>
      </c>
      <c r="M509" s="243" t="s">
        <v>304</v>
      </c>
      <c r="N509" s="688" t="s">
        <v>304</v>
      </c>
      <c r="O509" s="688" t="s">
        <v>304</v>
      </c>
      <c r="P509" s="671" t="s">
        <v>305</v>
      </c>
      <c r="Q509" s="686" t="s">
        <v>304</v>
      </c>
      <c r="R509" s="686"/>
      <c r="S509" s="671" t="s">
        <v>305</v>
      </c>
      <c r="T509" s="671" t="s">
        <v>304</v>
      </c>
      <c r="U509" s="671" t="s">
        <v>304</v>
      </c>
      <c r="V509" s="671" t="s">
        <v>304</v>
      </c>
      <c r="W509" s="671" t="s">
        <v>304</v>
      </c>
      <c r="X509" s="671" t="s">
        <v>304</v>
      </c>
      <c r="Y509" s="671" t="s">
        <v>304</v>
      </c>
      <c r="Z509" s="671" t="s">
        <v>304</v>
      </c>
      <c r="AA509" s="671" t="s">
        <v>304</v>
      </c>
      <c r="AB509" s="243" t="s">
        <v>304</v>
      </c>
      <c r="AC509" s="688" t="s">
        <v>304</v>
      </c>
      <c r="AD509" s="688" t="s">
        <v>304</v>
      </c>
      <c r="AE509" s="671" t="s">
        <v>305</v>
      </c>
      <c r="AH509" s="690"/>
    </row>
    <row r="510" spans="1:34" x14ac:dyDescent="0.25">
      <c r="A510" s="695" t="s">
        <v>379</v>
      </c>
      <c r="B510" s="671">
        <v>0.72</v>
      </c>
      <c r="C510" s="671">
        <v>4</v>
      </c>
      <c r="D510" s="671" t="s">
        <v>305</v>
      </c>
      <c r="E510" s="671" t="s">
        <v>305</v>
      </c>
      <c r="F510" s="671" t="s">
        <v>304</v>
      </c>
      <c r="G510" s="671" t="s">
        <v>305</v>
      </c>
      <c r="H510" s="671" t="s">
        <v>305</v>
      </c>
      <c r="I510" s="671" t="s">
        <v>305</v>
      </c>
      <c r="J510" s="671" t="s">
        <v>999</v>
      </c>
      <c r="K510" s="671" t="s">
        <v>304</v>
      </c>
      <c r="L510" s="671" t="s">
        <v>304</v>
      </c>
      <c r="M510" s="243" t="s">
        <v>304</v>
      </c>
      <c r="N510" s="688" t="s">
        <v>304</v>
      </c>
      <c r="O510" s="688" t="s">
        <v>304</v>
      </c>
      <c r="P510" s="671" t="s">
        <v>304</v>
      </c>
      <c r="Q510" s="686" t="s">
        <v>304</v>
      </c>
      <c r="R510" s="686"/>
      <c r="S510" s="671" t="s">
        <v>305</v>
      </c>
      <c r="T510" s="671" t="s">
        <v>304</v>
      </c>
      <c r="U510" s="671" t="s">
        <v>304</v>
      </c>
      <c r="V510" s="671" t="s">
        <v>304</v>
      </c>
      <c r="W510" s="671" t="s">
        <v>304</v>
      </c>
      <c r="X510" s="671" t="s">
        <v>304</v>
      </c>
      <c r="Y510" s="671" t="s">
        <v>304</v>
      </c>
      <c r="Z510" s="671" t="s">
        <v>304</v>
      </c>
      <c r="AA510" s="671" t="s">
        <v>304</v>
      </c>
      <c r="AB510" s="243" t="s">
        <v>304</v>
      </c>
      <c r="AC510" s="688" t="s">
        <v>304</v>
      </c>
      <c r="AD510" s="688" t="s">
        <v>304</v>
      </c>
      <c r="AE510" s="671" t="s">
        <v>304</v>
      </c>
      <c r="AH510" s="690" t="s">
        <v>306</v>
      </c>
    </row>
    <row r="511" spans="1:34" x14ac:dyDescent="0.25">
      <c r="A511" s="695" t="s">
        <v>381</v>
      </c>
      <c r="B511" s="671">
        <v>1.2</v>
      </c>
      <c r="C511" s="671">
        <v>4</v>
      </c>
      <c r="D511" s="671" t="s">
        <v>305</v>
      </c>
      <c r="E511" s="671" t="s">
        <v>305</v>
      </c>
      <c r="F511" s="671" t="s">
        <v>304</v>
      </c>
      <c r="G511" s="671" t="s">
        <v>305</v>
      </c>
      <c r="H511" s="671" t="s">
        <v>305</v>
      </c>
      <c r="I511" s="671" t="s">
        <v>305</v>
      </c>
      <c r="J511" s="671" t="s">
        <v>999</v>
      </c>
      <c r="K511" s="671" t="s">
        <v>304</v>
      </c>
      <c r="L511" s="671" t="s">
        <v>304</v>
      </c>
      <c r="M511" s="243" t="s">
        <v>304</v>
      </c>
      <c r="N511" s="688" t="s">
        <v>304</v>
      </c>
      <c r="O511" s="688" t="s">
        <v>304</v>
      </c>
      <c r="P511" s="671" t="s">
        <v>304</v>
      </c>
      <c r="Q511" s="686" t="s">
        <v>304</v>
      </c>
      <c r="R511" s="686"/>
      <c r="S511" s="671" t="s">
        <v>305</v>
      </c>
      <c r="T511" s="671" t="s">
        <v>304</v>
      </c>
      <c r="U511" s="671" t="s">
        <v>304</v>
      </c>
      <c r="V511" s="671" t="s">
        <v>304</v>
      </c>
      <c r="W511" s="671" t="s">
        <v>304</v>
      </c>
      <c r="X511" s="671" t="s">
        <v>304</v>
      </c>
      <c r="Y511" s="671" t="s">
        <v>304</v>
      </c>
      <c r="Z511" s="671" t="s">
        <v>304</v>
      </c>
      <c r="AA511" s="671" t="s">
        <v>304</v>
      </c>
      <c r="AB511" s="243" t="s">
        <v>304</v>
      </c>
      <c r="AC511" s="688" t="s">
        <v>304</v>
      </c>
      <c r="AD511" s="688" t="s">
        <v>304</v>
      </c>
      <c r="AE511" s="671" t="s">
        <v>304</v>
      </c>
      <c r="AH511" s="690" t="s">
        <v>306</v>
      </c>
    </row>
    <row r="512" spans="1:34" x14ac:dyDescent="0.25">
      <c r="A512" s="695" t="s">
        <v>988</v>
      </c>
      <c r="B512" s="686">
        <v>2.2599999999999998</v>
      </c>
      <c r="C512" s="686">
        <v>6</v>
      </c>
      <c r="D512" s="686" t="s">
        <v>304</v>
      </c>
      <c r="E512" s="671" t="s">
        <v>305</v>
      </c>
      <c r="F512" s="671" t="s">
        <v>304</v>
      </c>
      <c r="G512" s="671" t="s">
        <v>305</v>
      </c>
      <c r="H512" s="671" t="s">
        <v>305</v>
      </c>
      <c r="I512" s="671" t="s">
        <v>305</v>
      </c>
      <c r="J512" s="671" t="s">
        <v>999</v>
      </c>
      <c r="K512" s="671" t="s">
        <v>304</v>
      </c>
      <c r="L512" s="671" t="s">
        <v>304</v>
      </c>
      <c r="M512" s="243" t="s">
        <v>304</v>
      </c>
      <c r="N512" s="688" t="s">
        <v>304</v>
      </c>
      <c r="O512" s="688" t="s">
        <v>304</v>
      </c>
      <c r="P512" s="671" t="s">
        <v>304</v>
      </c>
      <c r="Q512" s="686" t="s">
        <v>304</v>
      </c>
      <c r="R512" s="686"/>
      <c r="S512" s="686" t="s">
        <v>304</v>
      </c>
      <c r="T512" s="671" t="s">
        <v>304</v>
      </c>
      <c r="U512" s="671" t="s">
        <v>304</v>
      </c>
      <c r="V512" s="671" t="s">
        <v>304</v>
      </c>
      <c r="W512" s="671" t="s">
        <v>304</v>
      </c>
      <c r="X512" s="671" t="s">
        <v>304</v>
      </c>
      <c r="Y512" s="671" t="s">
        <v>304</v>
      </c>
      <c r="Z512" s="671" t="s">
        <v>304</v>
      </c>
      <c r="AA512" s="671" t="s">
        <v>304</v>
      </c>
      <c r="AB512" s="243" t="s">
        <v>304</v>
      </c>
      <c r="AC512" s="688" t="s">
        <v>304</v>
      </c>
      <c r="AD512" s="688" t="s">
        <v>304</v>
      </c>
      <c r="AE512" s="671" t="s">
        <v>304</v>
      </c>
      <c r="AH512" s="690"/>
    </row>
    <row r="513" spans="1:34" x14ac:dyDescent="0.25">
      <c r="A513" s="695" t="s">
        <v>384</v>
      </c>
      <c r="B513" s="671">
        <v>1.66</v>
      </c>
      <c r="C513" s="671">
        <v>8</v>
      </c>
      <c r="D513" s="671" t="s">
        <v>304</v>
      </c>
      <c r="E513" s="671" t="s">
        <v>305</v>
      </c>
      <c r="F513" s="671" t="s">
        <v>304</v>
      </c>
      <c r="G513" s="671" t="s">
        <v>305</v>
      </c>
      <c r="H513" s="671" t="s">
        <v>305</v>
      </c>
      <c r="I513" s="671" t="s">
        <v>305</v>
      </c>
      <c r="J513" s="671" t="s">
        <v>999</v>
      </c>
      <c r="K513" s="671" t="s">
        <v>304</v>
      </c>
      <c r="L513" s="671" t="s">
        <v>304</v>
      </c>
      <c r="M513" s="243" t="s">
        <v>304</v>
      </c>
      <c r="N513" s="688" t="s">
        <v>304</v>
      </c>
      <c r="O513" s="688" t="s">
        <v>304</v>
      </c>
      <c r="P513" s="671" t="s">
        <v>304</v>
      </c>
      <c r="Q513" s="686" t="s">
        <v>304</v>
      </c>
      <c r="R513" s="686"/>
      <c r="S513" s="671" t="s">
        <v>304</v>
      </c>
      <c r="T513" s="671" t="s">
        <v>304</v>
      </c>
      <c r="U513" s="671" t="s">
        <v>304</v>
      </c>
      <c r="V513" s="671" t="s">
        <v>304</v>
      </c>
      <c r="W513" s="671" t="s">
        <v>304</v>
      </c>
      <c r="X513" s="671" t="s">
        <v>304</v>
      </c>
      <c r="Y513" s="671" t="s">
        <v>304</v>
      </c>
      <c r="Z513" s="671" t="s">
        <v>304</v>
      </c>
      <c r="AA513" s="671" t="s">
        <v>304</v>
      </c>
      <c r="AB513" s="243" t="s">
        <v>304</v>
      </c>
      <c r="AC513" s="688" t="s">
        <v>304</v>
      </c>
      <c r="AD513" s="688" t="s">
        <v>304</v>
      </c>
      <c r="AE513" s="671" t="s">
        <v>304</v>
      </c>
      <c r="AH513" s="690" t="s">
        <v>304</v>
      </c>
    </row>
    <row r="514" spans="1:34" x14ac:dyDescent="0.25">
      <c r="A514" s="695" t="s">
        <v>386</v>
      </c>
      <c r="B514" s="671">
        <v>1.32</v>
      </c>
      <c r="C514" s="671">
        <v>6</v>
      </c>
      <c r="D514" s="671" t="s">
        <v>305</v>
      </c>
      <c r="E514" s="671" t="s">
        <v>305</v>
      </c>
      <c r="F514" s="671" t="s">
        <v>304</v>
      </c>
      <c r="G514" s="671" t="s">
        <v>305</v>
      </c>
      <c r="H514" s="671" t="s">
        <v>305</v>
      </c>
      <c r="I514" s="671" t="s">
        <v>305</v>
      </c>
      <c r="J514" s="671" t="s">
        <v>999</v>
      </c>
      <c r="K514" s="671" t="s">
        <v>304</v>
      </c>
      <c r="L514" s="671" t="s">
        <v>304</v>
      </c>
      <c r="M514" s="243" t="s">
        <v>304</v>
      </c>
      <c r="N514" s="688" t="s">
        <v>304</v>
      </c>
      <c r="O514" s="688" t="s">
        <v>304</v>
      </c>
      <c r="P514" s="671" t="s">
        <v>304</v>
      </c>
      <c r="Q514" s="686" t="s">
        <v>304</v>
      </c>
      <c r="R514" s="686"/>
      <c r="S514" s="671" t="s">
        <v>305</v>
      </c>
      <c r="T514" s="671" t="s">
        <v>304</v>
      </c>
      <c r="U514" s="671" t="s">
        <v>304</v>
      </c>
      <c r="V514" s="671" t="s">
        <v>304</v>
      </c>
      <c r="W514" s="671" t="s">
        <v>304</v>
      </c>
      <c r="X514" s="671" t="s">
        <v>304</v>
      </c>
      <c r="Y514" s="671" t="s">
        <v>304</v>
      </c>
      <c r="Z514" s="671" t="s">
        <v>304</v>
      </c>
      <c r="AA514" s="671" t="s">
        <v>304</v>
      </c>
      <c r="AB514" s="243" t="s">
        <v>304</v>
      </c>
      <c r="AC514" s="688" t="s">
        <v>304</v>
      </c>
      <c r="AD514" s="688" t="s">
        <v>304</v>
      </c>
      <c r="AE514" s="671" t="s">
        <v>304</v>
      </c>
      <c r="AH514" s="690" t="s">
        <v>304</v>
      </c>
    </row>
    <row r="515" spans="1:34" x14ac:dyDescent="0.25">
      <c r="A515" s="695" t="s">
        <v>389</v>
      </c>
      <c r="B515" s="671">
        <v>0.63</v>
      </c>
      <c r="C515" s="671">
        <v>6</v>
      </c>
      <c r="D515" s="671" t="s">
        <v>305</v>
      </c>
      <c r="E515" s="671" t="s">
        <v>304</v>
      </c>
      <c r="F515" s="671" t="s">
        <v>305</v>
      </c>
      <c r="G515" s="671" t="s">
        <v>304</v>
      </c>
      <c r="H515" s="671" t="s">
        <v>305</v>
      </c>
      <c r="I515" s="671" t="s">
        <v>305</v>
      </c>
      <c r="J515" s="671" t="s">
        <v>999</v>
      </c>
      <c r="K515" s="671" t="s">
        <v>304</v>
      </c>
      <c r="L515" s="671" t="s">
        <v>304</v>
      </c>
      <c r="M515" s="243" t="s">
        <v>304</v>
      </c>
      <c r="N515" s="688" t="s">
        <v>304</v>
      </c>
      <c r="O515" s="688" t="s">
        <v>304</v>
      </c>
      <c r="P515" s="671" t="s">
        <v>304</v>
      </c>
      <c r="Q515" s="686" t="s">
        <v>304</v>
      </c>
      <c r="R515" s="686"/>
      <c r="S515" s="671" t="s">
        <v>305</v>
      </c>
      <c r="T515" s="671" t="s">
        <v>304</v>
      </c>
      <c r="U515" s="671" t="s">
        <v>304</v>
      </c>
      <c r="V515" s="671" t="s">
        <v>304</v>
      </c>
      <c r="W515" s="671" t="s">
        <v>304</v>
      </c>
      <c r="X515" s="671" t="s">
        <v>304</v>
      </c>
      <c r="Y515" s="671" t="s">
        <v>304</v>
      </c>
      <c r="Z515" s="671" t="s">
        <v>304</v>
      </c>
      <c r="AA515" s="671" t="s">
        <v>304</v>
      </c>
      <c r="AB515" s="243" t="s">
        <v>304</v>
      </c>
      <c r="AC515" s="688" t="s">
        <v>304</v>
      </c>
      <c r="AD515" s="688" t="s">
        <v>304</v>
      </c>
      <c r="AE515" s="671" t="s">
        <v>304</v>
      </c>
      <c r="AH515" s="690" t="s">
        <v>304</v>
      </c>
    </row>
    <row r="516" spans="1:34" x14ac:dyDescent="0.25">
      <c r="A516" s="695" t="s">
        <v>972</v>
      </c>
      <c r="B516" s="671">
        <v>0.63</v>
      </c>
      <c r="C516" s="671">
        <v>6</v>
      </c>
      <c r="D516" s="671" t="s">
        <v>305</v>
      </c>
      <c r="E516" s="671" t="s">
        <v>304</v>
      </c>
      <c r="F516" s="671" t="s">
        <v>305</v>
      </c>
      <c r="G516" s="671" t="s">
        <v>304</v>
      </c>
      <c r="H516" s="671" t="s">
        <v>305</v>
      </c>
      <c r="I516" s="671" t="s">
        <v>305</v>
      </c>
      <c r="J516" s="671" t="s">
        <v>999</v>
      </c>
      <c r="K516" s="671" t="s">
        <v>304</v>
      </c>
      <c r="L516" s="671" t="s">
        <v>304</v>
      </c>
      <c r="M516" s="243" t="s">
        <v>304</v>
      </c>
      <c r="N516" s="688" t="s">
        <v>304</v>
      </c>
      <c r="O516" s="688" t="s">
        <v>304</v>
      </c>
      <c r="P516" s="671" t="s">
        <v>304</v>
      </c>
      <c r="Q516" s="686" t="s">
        <v>304</v>
      </c>
      <c r="R516" s="686"/>
      <c r="S516" s="671" t="s">
        <v>305</v>
      </c>
      <c r="T516" s="671" t="s">
        <v>304</v>
      </c>
      <c r="U516" s="671" t="s">
        <v>304</v>
      </c>
      <c r="V516" s="671" t="s">
        <v>304</v>
      </c>
      <c r="W516" s="671" t="s">
        <v>304</v>
      </c>
      <c r="X516" s="671" t="s">
        <v>304</v>
      </c>
      <c r="Y516" s="671" t="s">
        <v>304</v>
      </c>
      <c r="Z516" s="671" t="s">
        <v>304</v>
      </c>
      <c r="AA516" s="671" t="s">
        <v>304</v>
      </c>
      <c r="AB516" s="243" t="s">
        <v>304</v>
      </c>
      <c r="AC516" s="688" t="s">
        <v>304</v>
      </c>
      <c r="AD516" s="688" t="s">
        <v>304</v>
      </c>
      <c r="AE516" s="671" t="s">
        <v>304</v>
      </c>
      <c r="AH516" s="690" t="s">
        <v>304</v>
      </c>
    </row>
    <row r="517" spans="1:34" x14ac:dyDescent="0.25">
      <c r="A517" s="695" t="s">
        <v>390</v>
      </c>
      <c r="B517" s="671">
        <v>0.87</v>
      </c>
      <c r="C517" s="671">
        <v>6</v>
      </c>
      <c r="D517" s="671" t="s">
        <v>305</v>
      </c>
      <c r="E517" s="671" t="s">
        <v>305</v>
      </c>
      <c r="F517" s="671" t="s">
        <v>304</v>
      </c>
      <c r="G517" s="671" t="s">
        <v>305</v>
      </c>
      <c r="H517" s="671" t="s">
        <v>305</v>
      </c>
      <c r="I517" s="671" t="s">
        <v>305</v>
      </c>
      <c r="J517" s="671" t="s">
        <v>999</v>
      </c>
      <c r="K517" s="671" t="s">
        <v>304</v>
      </c>
      <c r="L517" s="671" t="s">
        <v>304</v>
      </c>
      <c r="M517" s="243" t="s">
        <v>304</v>
      </c>
      <c r="N517" s="688" t="s">
        <v>304</v>
      </c>
      <c r="O517" s="688" t="s">
        <v>304</v>
      </c>
      <c r="P517" s="671" t="s">
        <v>304</v>
      </c>
      <c r="Q517" s="686" t="s">
        <v>304</v>
      </c>
      <c r="R517" s="686"/>
      <c r="S517" s="671" t="s">
        <v>305</v>
      </c>
      <c r="T517" s="671" t="s">
        <v>304</v>
      </c>
      <c r="U517" s="671" t="s">
        <v>304</v>
      </c>
      <c r="V517" s="671" t="s">
        <v>304</v>
      </c>
      <c r="W517" s="671" t="s">
        <v>304</v>
      </c>
      <c r="X517" s="671" t="s">
        <v>304</v>
      </c>
      <c r="Y517" s="671" t="s">
        <v>304</v>
      </c>
      <c r="Z517" s="671" t="s">
        <v>304</v>
      </c>
      <c r="AA517" s="671" t="s">
        <v>304</v>
      </c>
      <c r="AB517" s="243" t="s">
        <v>304</v>
      </c>
      <c r="AC517" s="688" t="s">
        <v>304</v>
      </c>
      <c r="AD517" s="688" t="s">
        <v>304</v>
      </c>
      <c r="AE517" s="671" t="s">
        <v>304</v>
      </c>
      <c r="AH517" s="690" t="s">
        <v>304</v>
      </c>
    </row>
    <row r="518" spans="1:34" x14ac:dyDescent="0.25">
      <c r="A518" s="695" t="s">
        <v>392</v>
      </c>
      <c r="B518" s="671">
        <v>0.88</v>
      </c>
      <c r="C518" s="671">
        <v>6</v>
      </c>
      <c r="D518" s="671" t="s">
        <v>304</v>
      </c>
      <c r="E518" s="671" t="s">
        <v>305</v>
      </c>
      <c r="F518" s="671" t="s">
        <v>304</v>
      </c>
      <c r="G518" s="671" t="s">
        <v>305</v>
      </c>
      <c r="H518" s="671" t="s">
        <v>305</v>
      </c>
      <c r="I518" s="671" t="s">
        <v>305</v>
      </c>
      <c r="J518" s="671" t="s">
        <v>999</v>
      </c>
      <c r="K518" s="671" t="s">
        <v>304</v>
      </c>
      <c r="L518" s="671" t="s">
        <v>304</v>
      </c>
      <c r="M518" s="243" t="s">
        <v>304</v>
      </c>
      <c r="N518" s="688" t="s">
        <v>304</v>
      </c>
      <c r="O518" s="688" t="s">
        <v>304</v>
      </c>
      <c r="P518" s="671" t="s">
        <v>304</v>
      </c>
      <c r="Q518" s="686" t="s">
        <v>304</v>
      </c>
      <c r="R518" s="686"/>
      <c r="S518" s="671" t="s">
        <v>304</v>
      </c>
      <c r="T518" s="671" t="s">
        <v>304</v>
      </c>
      <c r="U518" s="671" t="s">
        <v>304</v>
      </c>
      <c r="V518" s="671" t="s">
        <v>304</v>
      </c>
      <c r="W518" s="671" t="s">
        <v>304</v>
      </c>
      <c r="X518" s="671" t="s">
        <v>304</v>
      </c>
      <c r="Y518" s="671" t="s">
        <v>304</v>
      </c>
      <c r="Z518" s="671" t="s">
        <v>304</v>
      </c>
      <c r="AA518" s="671" t="s">
        <v>304</v>
      </c>
      <c r="AB518" s="243" t="s">
        <v>304</v>
      </c>
      <c r="AC518" s="688" t="s">
        <v>304</v>
      </c>
      <c r="AD518" s="688" t="s">
        <v>304</v>
      </c>
      <c r="AE518" s="671" t="s">
        <v>304</v>
      </c>
      <c r="AH518" s="690" t="s">
        <v>304</v>
      </c>
    </row>
    <row r="519" spans="1:34" x14ac:dyDescent="0.25">
      <c r="A519" s="695" t="s">
        <v>394</v>
      </c>
      <c r="B519" s="671">
        <v>1.89</v>
      </c>
      <c r="C519" s="671">
        <v>6</v>
      </c>
      <c r="D519" s="671" t="s">
        <v>304</v>
      </c>
      <c r="E519" s="671" t="s">
        <v>305</v>
      </c>
      <c r="F519" s="671" t="s">
        <v>304</v>
      </c>
      <c r="G519" s="671" t="s">
        <v>305</v>
      </c>
      <c r="H519" s="671" t="s">
        <v>305</v>
      </c>
      <c r="I519" s="671" t="s">
        <v>305</v>
      </c>
      <c r="J519" s="671" t="s">
        <v>999</v>
      </c>
      <c r="K519" s="671" t="s">
        <v>304</v>
      </c>
      <c r="L519" s="671" t="s">
        <v>304</v>
      </c>
      <c r="M519" s="243" t="s">
        <v>304</v>
      </c>
      <c r="N519" s="688" t="s">
        <v>304</v>
      </c>
      <c r="O519" s="688" t="s">
        <v>304</v>
      </c>
      <c r="P519" s="671" t="s">
        <v>304</v>
      </c>
      <c r="Q519" s="686" t="s">
        <v>304</v>
      </c>
      <c r="R519" s="686"/>
      <c r="S519" s="671" t="s">
        <v>304</v>
      </c>
      <c r="T519" s="671" t="s">
        <v>304</v>
      </c>
      <c r="U519" s="671" t="s">
        <v>304</v>
      </c>
      <c r="V519" s="671" t="s">
        <v>304</v>
      </c>
      <c r="W519" s="671" t="s">
        <v>304</v>
      </c>
      <c r="X519" s="671" t="s">
        <v>304</v>
      </c>
      <c r="Y519" s="671" t="s">
        <v>304</v>
      </c>
      <c r="Z519" s="671" t="s">
        <v>304</v>
      </c>
      <c r="AA519" s="671" t="s">
        <v>304</v>
      </c>
      <c r="AB519" s="243" t="s">
        <v>304</v>
      </c>
      <c r="AC519" s="688" t="s">
        <v>304</v>
      </c>
      <c r="AD519" s="688" t="s">
        <v>304</v>
      </c>
      <c r="AE519" s="671" t="s">
        <v>304</v>
      </c>
      <c r="AH519" s="690" t="s">
        <v>304</v>
      </c>
    </row>
    <row r="520" spans="1:34" x14ac:dyDescent="0.25">
      <c r="A520" s="695" t="s">
        <v>396</v>
      </c>
      <c r="B520" s="671">
        <v>0.62</v>
      </c>
      <c r="C520" s="671">
        <v>6</v>
      </c>
      <c r="D520" s="671" t="s">
        <v>304</v>
      </c>
      <c r="E520" s="671" t="s">
        <v>305</v>
      </c>
      <c r="F520" s="671" t="s">
        <v>304</v>
      </c>
      <c r="G520" s="671" t="s">
        <v>305</v>
      </c>
      <c r="H520" s="671" t="s">
        <v>305</v>
      </c>
      <c r="I520" s="671" t="s">
        <v>305</v>
      </c>
      <c r="J520" s="671" t="s">
        <v>999</v>
      </c>
      <c r="K520" s="671" t="s">
        <v>304</v>
      </c>
      <c r="L520" s="671" t="s">
        <v>304</v>
      </c>
      <c r="M520" s="243" t="s">
        <v>304</v>
      </c>
      <c r="N520" s="688" t="s">
        <v>304</v>
      </c>
      <c r="O520" s="688" t="s">
        <v>304</v>
      </c>
      <c r="P520" s="671" t="s">
        <v>304</v>
      </c>
      <c r="Q520" s="686" t="s">
        <v>304</v>
      </c>
      <c r="R520" s="686"/>
      <c r="S520" s="671" t="s">
        <v>304</v>
      </c>
      <c r="T520" s="671" t="s">
        <v>304</v>
      </c>
      <c r="U520" s="671" t="s">
        <v>304</v>
      </c>
      <c r="V520" s="671" t="s">
        <v>304</v>
      </c>
      <c r="W520" s="671" t="s">
        <v>304</v>
      </c>
      <c r="X520" s="671" t="s">
        <v>304</v>
      </c>
      <c r="Y520" s="671" t="s">
        <v>304</v>
      </c>
      <c r="Z520" s="671" t="s">
        <v>304</v>
      </c>
      <c r="AA520" s="671" t="s">
        <v>304</v>
      </c>
      <c r="AB520" s="243" t="s">
        <v>304</v>
      </c>
      <c r="AC520" s="688" t="s">
        <v>304</v>
      </c>
      <c r="AD520" s="688" t="s">
        <v>304</v>
      </c>
      <c r="AE520" s="671" t="s">
        <v>304</v>
      </c>
      <c r="AH520" s="690" t="s">
        <v>304</v>
      </c>
    </row>
    <row r="521" spans="1:34" x14ac:dyDescent="0.25">
      <c r="A521" s="695" t="s">
        <v>398</v>
      </c>
      <c r="B521" s="671">
        <v>0.91</v>
      </c>
      <c r="C521" s="671">
        <v>6</v>
      </c>
      <c r="D521" s="671" t="s">
        <v>304</v>
      </c>
      <c r="E521" s="671" t="s">
        <v>305</v>
      </c>
      <c r="F521" s="671" t="s">
        <v>304</v>
      </c>
      <c r="G521" s="671" t="s">
        <v>305</v>
      </c>
      <c r="H521" s="671" t="s">
        <v>305</v>
      </c>
      <c r="I521" s="671" t="s">
        <v>305</v>
      </c>
      <c r="J521" s="671" t="s">
        <v>999</v>
      </c>
      <c r="K521" s="671" t="s">
        <v>304</v>
      </c>
      <c r="L521" s="671" t="s">
        <v>304</v>
      </c>
      <c r="M521" s="243" t="s">
        <v>304</v>
      </c>
      <c r="N521" s="688" t="s">
        <v>304</v>
      </c>
      <c r="O521" s="688" t="s">
        <v>304</v>
      </c>
      <c r="P521" s="671" t="s">
        <v>304</v>
      </c>
      <c r="Q521" s="686" t="s">
        <v>304</v>
      </c>
      <c r="R521" s="686"/>
      <c r="S521" s="671" t="s">
        <v>304</v>
      </c>
      <c r="T521" s="671" t="s">
        <v>304</v>
      </c>
      <c r="U521" s="671" t="s">
        <v>304</v>
      </c>
      <c r="V521" s="671" t="s">
        <v>304</v>
      </c>
      <c r="W521" s="671" t="s">
        <v>304</v>
      </c>
      <c r="X521" s="671" t="s">
        <v>304</v>
      </c>
      <c r="Y521" s="671" t="s">
        <v>304</v>
      </c>
      <c r="Z521" s="671" t="s">
        <v>304</v>
      </c>
      <c r="AA521" s="671" t="s">
        <v>304</v>
      </c>
      <c r="AB521" s="243" t="s">
        <v>304</v>
      </c>
      <c r="AC521" s="688" t="s">
        <v>304</v>
      </c>
      <c r="AD521" s="688" t="s">
        <v>304</v>
      </c>
      <c r="AE521" s="671" t="s">
        <v>304</v>
      </c>
      <c r="AH521" s="690" t="s">
        <v>304</v>
      </c>
    </row>
    <row r="522" spans="1:34" x14ac:dyDescent="0.25">
      <c r="A522" s="695" t="s">
        <v>400</v>
      </c>
      <c r="B522" s="671">
        <v>1.1499999999999999</v>
      </c>
      <c r="C522" s="671">
        <v>6</v>
      </c>
      <c r="D522" s="671" t="s">
        <v>304</v>
      </c>
      <c r="E522" s="671" t="s">
        <v>305</v>
      </c>
      <c r="F522" s="671" t="s">
        <v>304</v>
      </c>
      <c r="G522" s="671" t="s">
        <v>305</v>
      </c>
      <c r="H522" s="671" t="s">
        <v>305</v>
      </c>
      <c r="I522" s="671" t="s">
        <v>305</v>
      </c>
      <c r="J522" s="671" t="s">
        <v>999</v>
      </c>
      <c r="K522" s="671" t="s">
        <v>304</v>
      </c>
      <c r="L522" s="671" t="s">
        <v>304</v>
      </c>
      <c r="M522" s="243" t="s">
        <v>304</v>
      </c>
      <c r="N522" s="688" t="s">
        <v>304</v>
      </c>
      <c r="O522" s="688" t="s">
        <v>304</v>
      </c>
      <c r="P522" s="671" t="s">
        <v>304</v>
      </c>
      <c r="Q522" s="686" t="s">
        <v>304</v>
      </c>
      <c r="R522" s="686"/>
      <c r="S522" s="671" t="s">
        <v>304</v>
      </c>
      <c r="T522" s="671" t="s">
        <v>304</v>
      </c>
      <c r="U522" s="671" t="s">
        <v>304</v>
      </c>
      <c r="V522" s="671" t="s">
        <v>304</v>
      </c>
      <c r="W522" s="671" t="s">
        <v>304</v>
      </c>
      <c r="X522" s="671" t="s">
        <v>304</v>
      </c>
      <c r="Y522" s="671" t="s">
        <v>304</v>
      </c>
      <c r="Z522" s="671" t="s">
        <v>304</v>
      </c>
      <c r="AA522" s="671" t="s">
        <v>304</v>
      </c>
      <c r="AB522" s="243" t="s">
        <v>304</v>
      </c>
      <c r="AC522" s="688" t="s">
        <v>304</v>
      </c>
      <c r="AD522" s="688" t="s">
        <v>304</v>
      </c>
      <c r="AE522" s="671" t="s">
        <v>304</v>
      </c>
      <c r="AH522" s="690" t="s">
        <v>304</v>
      </c>
    </row>
    <row r="523" spans="1:34" x14ac:dyDescent="0.25">
      <c r="A523" s="695" t="s">
        <v>777</v>
      </c>
      <c r="B523" s="686">
        <v>1.17</v>
      </c>
      <c r="C523" s="686">
        <v>8</v>
      </c>
      <c r="D523" s="671" t="s">
        <v>305</v>
      </c>
      <c r="E523" s="671" t="s">
        <v>305</v>
      </c>
      <c r="F523" s="671" t="s">
        <v>305</v>
      </c>
      <c r="G523" s="671" t="s">
        <v>304</v>
      </c>
      <c r="H523" s="671" t="s">
        <v>305</v>
      </c>
      <c r="I523" s="671" t="s">
        <v>305</v>
      </c>
      <c r="J523" s="671" t="s">
        <v>999</v>
      </c>
      <c r="K523" s="671" t="s">
        <v>304</v>
      </c>
      <c r="L523" s="671" t="s">
        <v>304</v>
      </c>
      <c r="M523" s="243" t="s">
        <v>304</v>
      </c>
      <c r="N523" s="688" t="s">
        <v>304</v>
      </c>
      <c r="O523" s="688" t="s">
        <v>304</v>
      </c>
      <c r="P523" s="671" t="s">
        <v>304</v>
      </c>
      <c r="Q523" s="686">
        <v>2</v>
      </c>
      <c r="R523" s="686"/>
      <c r="S523" s="671" t="s">
        <v>305</v>
      </c>
      <c r="T523" s="671" t="s">
        <v>304</v>
      </c>
      <c r="U523" s="671" t="s">
        <v>304</v>
      </c>
      <c r="V523" s="671" t="s">
        <v>304</v>
      </c>
      <c r="W523" s="671" t="s">
        <v>304</v>
      </c>
      <c r="X523" s="671" t="s">
        <v>304</v>
      </c>
      <c r="Y523" s="671" t="s">
        <v>304</v>
      </c>
      <c r="Z523" s="671" t="s">
        <v>304</v>
      </c>
      <c r="AA523" s="671" t="s">
        <v>304</v>
      </c>
      <c r="AB523" s="243" t="s">
        <v>304</v>
      </c>
      <c r="AC523" s="688" t="s">
        <v>304</v>
      </c>
      <c r="AD523" s="688" t="s">
        <v>304</v>
      </c>
      <c r="AE523" s="671" t="s">
        <v>304</v>
      </c>
      <c r="AH523" s="690" t="s">
        <v>353</v>
      </c>
    </row>
    <row r="524" spans="1:34" x14ac:dyDescent="0.25">
      <c r="A524" s="695" t="s">
        <v>37</v>
      </c>
      <c r="B524" s="671">
        <v>1.81</v>
      </c>
      <c r="C524" s="671">
        <v>6</v>
      </c>
      <c r="D524" s="671" t="s">
        <v>305</v>
      </c>
      <c r="E524" s="671" t="s">
        <v>305</v>
      </c>
      <c r="F524" s="671" t="s">
        <v>304</v>
      </c>
      <c r="G524" s="671" t="s">
        <v>305</v>
      </c>
      <c r="H524" s="671" t="s">
        <v>305</v>
      </c>
      <c r="I524" s="671" t="s">
        <v>305</v>
      </c>
      <c r="J524" s="671" t="s">
        <v>999</v>
      </c>
      <c r="K524" s="671" t="s">
        <v>304</v>
      </c>
      <c r="L524" s="671" t="s">
        <v>304</v>
      </c>
      <c r="M524" s="243" t="s">
        <v>304</v>
      </c>
      <c r="N524" s="688" t="s">
        <v>304</v>
      </c>
      <c r="O524" s="688" t="s">
        <v>304</v>
      </c>
      <c r="P524" s="671" t="s">
        <v>304</v>
      </c>
      <c r="Q524" s="686" t="s">
        <v>304</v>
      </c>
      <c r="R524" s="686"/>
      <c r="S524" s="671" t="s">
        <v>305</v>
      </c>
      <c r="T524" s="671" t="s">
        <v>304</v>
      </c>
      <c r="U524" s="671" t="s">
        <v>304</v>
      </c>
      <c r="V524" s="671" t="s">
        <v>304</v>
      </c>
      <c r="W524" s="671" t="s">
        <v>304</v>
      </c>
      <c r="X524" s="671" t="s">
        <v>304</v>
      </c>
      <c r="Y524" s="671" t="s">
        <v>304</v>
      </c>
      <c r="Z524" s="671" t="s">
        <v>304</v>
      </c>
      <c r="AA524" s="671" t="s">
        <v>304</v>
      </c>
      <c r="AB524" s="243" t="s">
        <v>304</v>
      </c>
      <c r="AC524" s="688" t="s">
        <v>304</v>
      </c>
      <c r="AD524" s="688" t="s">
        <v>304</v>
      </c>
      <c r="AE524" s="671" t="s">
        <v>304</v>
      </c>
      <c r="AH524" s="690" t="s">
        <v>304</v>
      </c>
    </row>
    <row r="525" spans="1:34" x14ac:dyDescent="0.25">
      <c r="A525" s="695" t="s">
        <v>403</v>
      </c>
      <c r="B525" s="671">
        <v>1.28</v>
      </c>
      <c r="C525" s="671">
        <v>6</v>
      </c>
      <c r="D525" s="671" t="s">
        <v>305</v>
      </c>
      <c r="E525" s="671" t="s">
        <v>305</v>
      </c>
      <c r="F525" s="671" t="s">
        <v>304</v>
      </c>
      <c r="G525" s="671" t="s">
        <v>305</v>
      </c>
      <c r="H525" s="671" t="s">
        <v>305</v>
      </c>
      <c r="I525" s="671" t="s">
        <v>305</v>
      </c>
      <c r="J525" s="671" t="s">
        <v>999</v>
      </c>
      <c r="K525" s="671" t="s">
        <v>304</v>
      </c>
      <c r="L525" s="671" t="s">
        <v>304</v>
      </c>
      <c r="M525" s="243" t="s">
        <v>304</v>
      </c>
      <c r="N525" s="688" t="s">
        <v>304</v>
      </c>
      <c r="O525" s="688" t="s">
        <v>304</v>
      </c>
      <c r="P525" s="671" t="s">
        <v>304</v>
      </c>
      <c r="Q525" s="686">
        <v>3</v>
      </c>
      <c r="R525" s="686"/>
      <c r="S525" s="671" t="s">
        <v>305</v>
      </c>
      <c r="T525" s="671" t="s">
        <v>304</v>
      </c>
      <c r="U525" s="671" t="s">
        <v>304</v>
      </c>
      <c r="V525" s="671" t="s">
        <v>304</v>
      </c>
      <c r="W525" s="671" t="s">
        <v>304</v>
      </c>
      <c r="X525" s="671" t="s">
        <v>304</v>
      </c>
      <c r="Y525" s="671" t="s">
        <v>304</v>
      </c>
      <c r="Z525" s="671" t="s">
        <v>304</v>
      </c>
      <c r="AA525" s="671" t="s">
        <v>304</v>
      </c>
      <c r="AB525" s="243" t="s">
        <v>304</v>
      </c>
      <c r="AC525" s="688" t="s">
        <v>304</v>
      </c>
      <c r="AD525" s="688" t="s">
        <v>304</v>
      </c>
      <c r="AE525" s="671" t="s">
        <v>304</v>
      </c>
      <c r="AH525" s="690" t="s">
        <v>332</v>
      </c>
    </row>
    <row r="526" spans="1:34" x14ac:dyDescent="0.25">
      <c r="A526" s="695" t="s">
        <v>405</v>
      </c>
      <c r="B526" s="671">
        <v>0.6</v>
      </c>
      <c r="C526" s="671">
        <v>4</v>
      </c>
      <c r="D526" s="671" t="s">
        <v>305</v>
      </c>
      <c r="E526" s="671" t="s">
        <v>305</v>
      </c>
      <c r="F526" s="671" t="s">
        <v>304</v>
      </c>
      <c r="G526" s="671" t="s">
        <v>305</v>
      </c>
      <c r="H526" s="671" t="s">
        <v>305</v>
      </c>
      <c r="I526" s="671" t="s">
        <v>305</v>
      </c>
      <c r="J526" s="671" t="s">
        <v>999</v>
      </c>
      <c r="K526" s="671" t="s">
        <v>304</v>
      </c>
      <c r="L526" s="671" t="s">
        <v>304</v>
      </c>
      <c r="M526" s="243" t="s">
        <v>304</v>
      </c>
      <c r="N526" s="688" t="s">
        <v>304</v>
      </c>
      <c r="O526" s="688" t="s">
        <v>304</v>
      </c>
      <c r="P526" s="671" t="s">
        <v>304</v>
      </c>
      <c r="Q526" s="686" t="s">
        <v>304</v>
      </c>
      <c r="R526" s="686"/>
      <c r="S526" s="671" t="s">
        <v>305</v>
      </c>
      <c r="T526" s="671" t="s">
        <v>304</v>
      </c>
      <c r="U526" s="671" t="s">
        <v>304</v>
      </c>
      <c r="V526" s="671" t="s">
        <v>304</v>
      </c>
      <c r="W526" s="671" t="s">
        <v>304</v>
      </c>
      <c r="X526" s="671" t="s">
        <v>304</v>
      </c>
      <c r="Y526" s="671" t="s">
        <v>304</v>
      </c>
      <c r="Z526" s="671" t="s">
        <v>304</v>
      </c>
      <c r="AA526" s="671" t="s">
        <v>304</v>
      </c>
      <c r="AB526" s="243" t="s">
        <v>304</v>
      </c>
      <c r="AC526" s="688" t="s">
        <v>304</v>
      </c>
      <c r="AD526" s="688" t="s">
        <v>304</v>
      </c>
      <c r="AE526" s="671" t="s">
        <v>304</v>
      </c>
      <c r="AH526" s="690" t="s">
        <v>304</v>
      </c>
    </row>
    <row r="527" spans="1:34" x14ac:dyDescent="0.25">
      <c r="A527" s="695" t="s">
        <v>990</v>
      </c>
      <c r="B527" s="686">
        <v>0.72</v>
      </c>
      <c r="C527" s="686">
        <v>4</v>
      </c>
      <c r="D527" s="671" t="s">
        <v>305</v>
      </c>
      <c r="E527" s="671" t="s">
        <v>305</v>
      </c>
      <c r="F527" s="671" t="s">
        <v>304</v>
      </c>
      <c r="G527" s="671" t="s">
        <v>305</v>
      </c>
      <c r="H527" s="671" t="s">
        <v>305</v>
      </c>
      <c r="I527" s="671" t="s">
        <v>305</v>
      </c>
      <c r="J527" s="671" t="s">
        <v>999</v>
      </c>
      <c r="K527" s="671" t="s">
        <v>304</v>
      </c>
      <c r="L527" s="671" t="s">
        <v>304</v>
      </c>
      <c r="M527" s="243" t="s">
        <v>304</v>
      </c>
      <c r="N527" s="688" t="s">
        <v>304</v>
      </c>
      <c r="O527" s="688" t="s">
        <v>304</v>
      </c>
      <c r="P527" s="671" t="s">
        <v>304</v>
      </c>
      <c r="Q527" s="686" t="s">
        <v>304</v>
      </c>
      <c r="R527" s="686"/>
      <c r="S527" s="671" t="s">
        <v>305</v>
      </c>
      <c r="T527" s="671" t="s">
        <v>304</v>
      </c>
      <c r="U527" s="671" t="s">
        <v>304</v>
      </c>
      <c r="V527" s="671" t="s">
        <v>304</v>
      </c>
      <c r="W527" s="671" t="s">
        <v>304</v>
      </c>
      <c r="X527" s="671" t="s">
        <v>304</v>
      </c>
      <c r="Y527" s="671" t="s">
        <v>304</v>
      </c>
      <c r="Z527" s="671" t="s">
        <v>304</v>
      </c>
      <c r="AA527" s="671" t="s">
        <v>304</v>
      </c>
      <c r="AB527" s="243" t="s">
        <v>304</v>
      </c>
      <c r="AC527" s="688" t="s">
        <v>304</v>
      </c>
      <c r="AD527" s="688" t="s">
        <v>304</v>
      </c>
      <c r="AE527" s="671" t="s">
        <v>304</v>
      </c>
      <c r="AH527" s="690"/>
    </row>
    <row r="528" spans="1:34" x14ac:dyDescent="0.25">
      <c r="A528" s="695" t="s">
        <v>408</v>
      </c>
      <c r="B528" s="671">
        <v>0.93</v>
      </c>
      <c r="C528" s="671">
        <v>4</v>
      </c>
      <c r="D528" s="671" t="s">
        <v>305</v>
      </c>
      <c r="E528" s="671" t="s">
        <v>305</v>
      </c>
      <c r="F528" s="671" t="s">
        <v>304</v>
      </c>
      <c r="G528" s="671" t="s">
        <v>305</v>
      </c>
      <c r="H528" s="671" t="s">
        <v>305</v>
      </c>
      <c r="I528" s="671" t="s">
        <v>305</v>
      </c>
      <c r="J528" s="671" t="s">
        <v>999</v>
      </c>
      <c r="K528" s="671" t="s">
        <v>304</v>
      </c>
      <c r="L528" s="671" t="s">
        <v>304</v>
      </c>
      <c r="M528" s="243" t="s">
        <v>304</v>
      </c>
      <c r="N528" s="688" t="s">
        <v>304</v>
      </c>
      <c r="O528" s="688" t="s">
        <v>304</v>
      </c>
      <c r="P528" s="671" t="s">
        <v>304</v>
      </c>
      <c r="Q528" s="686" t="s">
        <v>304</v>
      </c>
      <c r="R528" s="686"/>
      <c r="S528" s="671" t="s">
        <v>305</v>
      </c>
      <c r="T528" s="671" t="s">
        <v>304</v>
      </c>
      <c r="U528" s="671" t="s">
        <v>304</v>
      </c>
      <c r="V528" s="671" t="s">
        <v>304</v>
      </c>
      <c r="W528" s="671" t="s">
        <v>304</v>
      </c>
      <c r="X528" s="671" t="s">
        <v>304</v>
      </c>
      <c r="Y528" s="671" t="s">
        <v>304</v>
      </c>
      <c r="Z528" s="671" t="s">
        <v>304</v>
      </c>
      <c r="AA528" s="671" t="s">
        <v>304</v>
      </c>
      <c r="AB528" s="243" t="s">
        <v>304</v>
      </c>
      <c r="AC528" s="688" t="s">
        <v>304</v>
      </c>
      <c r="AD528" s="688" t="s">
        <v>304</v>
      </c>
      <c r="AE528" s="671" t="s">
        <v>304</v>
      </c>
      <c r="AH528" s="690" t="s">
        <v>304</v>
      </c>
    </row>
    <row r="529" spans="1:34" x14ac:dyDescent="0.25">
      <c r="A529" s="695" t="s">
        <v>410</v>
      </c>
      <c r="B529" s="671">
        <v>1.71</v>
      </c>
      <c r="C529" s="671">
        <v>4</v>
      </c>
      <c r="D529" s="671" t="s">
        <v>305</v>
      </c>
      <c r="E529" s="671" t="s">
        <v>305</v>
      </c>
      <c r="F529" s="671" t="s">
        <v>304</v>
      </c>
      <c r="G529" s="671" t="s">
        <v>305</v>
      </c>
      <c r="H529" s="671" t="s">
        <v>305</v>
      </c>
      <c r="I529" s="671" t="s">
        <v>305</v>
      </c>
      <c r="J529" s="671" t="s">
        <v>999</v>
      </c>
      <c r="K529" s="671" t="s">
        <v>304</v>
      </c>
      <c r="L529" s="671" t="s">
        <v>304</v>
      </c>
      <c r="M529" s="243" t="s">
        <v>304</v>
      </c>
      <c r="N529" s="688" t="s">
        <v>304</v>
      </c>
      <c r="O529" s="688" t="s">
        <v>304</v>
      </c>
      <c r="P529" s="671" t="s">
        <v>304</v>
      </c>
      <c r="Q529" s="686" t="s">
        <v>304</v>
      </c>
      <c r="R529" s="686"/>
      <c r="S529" s="671" t="s">
        <v>305</v>
      </c>
      <c r="T529" s="671" t="s">
        <v>304</v>
      </c>
      <c r="U529" s="671" t="s">
        <v>304</v>
      </c>
      <c r="V529" s="671" t="s">
        <v>304</v>
      </c>
      <c r="W529" s="671" t="s">
        <v>304</v>
      </c>
      <c r="X529" s="671" t="s">
        <v>304</v>
      </c>
      <c r="Y529" s="671" t="s">
        <v>304</v>
      </c>
      <c r="Z529" s="671" t="s">
        <v>304</v>
      </c>
      <c r="AA529" s="671" t="s">
        <v>304</v>
      </c>
      <c r="AB529" s="243" t="s">
        <v>304</v>
      </c>
      <c r="AC529" s="688" t="s">
        <v>304</v>
      </c>
      <c r="AD529" s="688" t="s">
        <v>304</v>
      </c>
      <c r="AE529" s="671" t="s">
        <v>304</v>
      </c>
      <c r="AH529" s="690" t="s">
        <v>304</v>
      </c>
    </row>
    <row r="530" spans="1:34" x14ac:dyDescent="0.25">
      <c r="A530" s="695" t="s">
        <v>412</v>
      </c>
      <c r="B530" s="671">
        <v>0.9</v>
      </c>
      <c r="C530" s="671">
        <v>4</v>
      </c>
      <c r="D530" s="671" t="s">
        <v>305</v>
      </c>
      <c r="E530" s="671" t="s">
        <v>304</v>
      </c>
      <c r="F530" s="671" t="s">
        <v>304</v>
      </c>
      <c r="G530" s="671" t="s">
        <v>305</v>
      </c>
      <c r="H530" s="671" t="s">
        <v>305</v>
      </c>
      <c r="I530" s="671" t="s">
        <v>305</v>
      </c>
      <c r="J530" s="671" t="s">
        <v>999</v>
      </c>
      <c r="K530" s="671" t="s">
        <v>304</v>
      </c>
      <c r="L530" s="671" t="s">
        <v>304</v>
      </c>
      <c r="M530" s="243" t="s">
        <v>304</v>
      </c>
      <c r="N530" s="688" t="s">
        <v>304</v>
      </c>
      <c r="O530" s="688" t="s">
        <v>304</v>
      </c>
      <c r="P530" s="671" t="s">
        <v>304</v>
      </c>
      <c r="Q530" s="686">
        <v>5</v>
      </c>
      <c r="R530" s="686"/>
      <c r="S530" s="671" t="s">
        <v>305</v>
      </c>
      <c r="T530" s="671" t="s">
        <v>304</v>
      </c>
      <c r="U530" s="671" t="s">
        <v>304</v>
      </c>
      <c r="V530" s="671" t="s">
        <v>304</v>
      </c>
      <c r="W530" s="671" t="s">
        <v>304</v>
      </c>
      <c r="X530" s="671" t="s">
        <v>304</v>
      </c>
      <c r="Y530" s="671" t="s">
        <v>304</v>
      </c>
      <c r="Z530" s="671" t="s">
        <v>304</v>
      </c>
      <c r="AA530" s="671" t="s">
        <v>304</v>
      </c>
      <c r="AB530" s="243" t="s">
        <v>304</v>
      </c>
      <c r="AC530" s="688" t="s">
        <v>304</v>
      </c>
      <c r="AD530" s="688" t="s">
        <v>304</v>
      </c>
      <c r="AE530" s="671" t="s">
        <v>304</v>
      </c>
      <c r="AH530" s="690" t="s">
        <v>306</v>
      </c>
    </row>
    <row r="531" spans="1:34" x14ac:dyDescent="0.25">
      <c r="A531" s="695" t="s">
        <v>414</v>
      </c>
      <c r="B531" s="671">
        <v>0.64</v>
      </c>
      <c r="C531" s="671">
        <v>6</v>
      </c>
      <c r="D531" s="671" t="s">
        <v>305</v>
      </c>
      <c r="E531" s="671" t="s">
        <v>304</v>
      </c>
      <c r="F531" s="671" t="s">
        <v>304</v>
      </c>
      <c r="G531" s="671" t="s">
        <v>305</v>
      </c>
      <c r="H531" s="671" t="s">
        <v>305</v>
      </c>
      <c r="I531" s="671" t="s">
        <v>305</v>
      </c>
      <c r="J531" s="671" t="s">
        <v>999</v>
      </c>
      <c r="K531" s="671" t="s">
        <v>304</v>
      </c>
      <c r="L531" s="671" t="s">
        <v>304</v>
      </c>
      <c r="M531" s="243" t="s">
        <v>304</v>
      </c>
      <c r="N531" s="688" t="s">
        <v>304</v>
      </c>
      <c r="O531" s="688" t="s">
        <v>304</v>
      </c>
      <c r="P531" s="671" t="s">
        <v>304</v>
      </c>
      <c r="Q531" s="686">
        <v>5</v>
      </c>
      <c r="R531" s="686"/>
      <c r="S531" s="671" t="s">
        <v>305</v>
      </c>
      <c r="T531" s="671" t="s">
        <v>304</v>
      </c>
      <c r="U531" s="671" t="s">
        <v>304</v>
      </c>
      <c r="V531" s="671" t="s">
        <v>304</v>
      </c>
      <c r="W531" s="671" t="s">
        <v>304</v>
      </c>
      <c r="X531" s="671" t="s">
        <v>304</v>
      </c>
      <c r="Y531" s="671" t="s">
        <v>304</v>
      </c>
      <c r="Z531" s="671" t="s">
        <v>304</v>
      </c>
      <c r="AA531" s="671" t="s">
        <v>304</v>
      </c>
      <c r="AB531" s="243" t="s">
        <v>304</v>
      </c>
      <c r="AC531" s="688" t="s">
        <v>304</v>
      </c>
      <c r="AD531" s="688" t="s">
        <v>304</v>
      </c>
      <c r="AE531" s="671" t="s">
        <v>304</v>
      </c>
      <c r="AH531" s="690" t="s">
        <v>306</v>
      </c>
    </row>
    <row r="532" spans="1:34" x14ac:dyDescent="0.25">
      <c r="A532" s="695" t="s">
        <v>416</v>
      </c>
      <c r="B532" s="671">
        <v>1.06</v>
      </c>
      <c r="C532" s="671">
        <v>4</v>
      </c>
      <c r="D532" s="671" t="s">
        <v>305</v>
      </c>
      <c r="E532" s="671" t="s">
        <v>304</v>
      </c>
      <c r="F532" s="671" t="s">
        <v>304</v>
      </c>
      <c r="G532" s="671" t="s">
        <v>305</v>
      </c>
      <c r="H532" s="671" t="s">
        <v>305</v>
      </c>
      <c r="I532" s="671" t="s">
        <v>305</v>
      </c>
      <c r="J532" s="671" t="s">
        <v>999</v>
      </c>
      <c r="K532" s="671" t="s">
        <v>304</v>
      </c>
      <c r="L532" s="671" t="s">
        <v>304</v>
      </c>
      <c r="M532" s="243" t="s">
        <v>304</v>
      </c>
      <c r="N532" s="688" t="s">
        <v>304</v>
      </c>
      <c r="O532" s="688" t="s">
        <v>304</v>
      </c>
      <c r="P532" s="671" t="s">
        <v>304</v>
      </c>
      <c r="Q532" s="686">
        <v>5</v>
      </c>
      <c r="R532" s="686"/>
      <c r="S532" s="671" t="s">
        <v>305</v>
      </c>
      <c r="T532" s="671" t="s">
        <v>304</v>
      </c>
      <c r="U532" s="671" t="s">
        <v>304</v>
      </c>
      <c r="V532" s="671" t="s">
        <v>304</v>
      </c>
      <c r="W532" s="671" t="s">
        <v>304</v>
      </c>
      <c r="X532" s="671" t="s">
        <v>304</v>
      </c>
      <c r="Y532" s="671" t="s">
        <v>304</v>
      </c>
      <c r="Z532" s="671" t="s">
        <v>304</v>
      </c>
      <c r="AA532" s="671" t="s">
        <v>304</v>
      </c>
      <c r="AB532" s="243" t="s">
        <v>304</v>
      </c>
      <c r="AC532" s="688" t="s">
        <v>304</v>
      </c>
      <c r="AD532" s="688" t="s">
        <v>304</v>
      </c>
      <c r="AE532" s="671" t="s">
        <v>304</v>
      </c>
      <c r="AH532" s="690" t="s">
        <v>306</v>
      </c>
    </row>
    <row r="533" spans="1:34" x14ac:dyDescent="0.25">
      <c r="A533" s="695" t="s">
        <v>418</v>
      </c>
      <c r="B533" s="671">
        <v>0.52</v>
      </c>
      <c r="C533" s="671">
        <v>4</v>
      </c>
      <c r="D533" s="671" t="s">
        <v>305</v>
      </c>
      <c r="E533" s="671" t="s">
        <v>304</v>
      </c>
      <c r="F533" s="671" t="s">
        <v>304</v>
      </c>
      <c r="G533" s="671" t="s">
        <v>305</v>
      </c>
      <c r="H533" s="671" t="s">
        <v>305</v>
      </c>
      <c r="I533" s="671" t="s">
        <v>305</v>
      </c>
      <c r="J533" s="671" t="s">
        <v>999</v>
      </c>
      <c r="K533" s="671" t="s">
        <v>304</v>
      </c>
      <c r="L533" s="671" t="s">
        <v>304</v>
      </c>
      <c r="M533" s="243" t="s">
        <v>304</v>
      </c>
      <c r="N533" s="688" t="s">
        <v>304</v>
      </c>
      <c r="O533" s="688" t="s">
        <v>304</v>
      </c>
      <c r="P533" s="671" t="s">
        <v>304</v>
      </c>
      <c r="Q533" s="686">
        <v>5</v>
      </c>
      <c r="R533" s="686"/>
      <c r="S533" s="671" t="s">
        <v>305</v>
      </c>
      <c r="T533" s="671" t="s">
        <v>304</v>
      </c>
      <c r="U533" s="671" t="s">
        <v>304</v>
      </c>
      <c r="V533" s="671" t="s">
        <v>304</v>
      </c>
      <c r="W533" s="671" t="s">
        <v>304</v>
      </c>
      <c r="X533" s="671" t="s">
        <v>304</v>
      </c>
      <c r="Y533" s="671" t="s">
        <v>304</v>
      </c>
      <c r="Z533" s="671" t="s">
        <v>304</v>
      </c>
      <c r="AA533" s="671" t="s">
        <v>304</v>
      </c>
      <c r="AB533" s="243" t="s">
        <v>304</v>
      </c>
      <c r="AC533" s="688" t="s">
        <v>304</v>
      </c>
      <c r="AD533" s="688" t="s">
        <v>304</v>
      </c>
      <c r="AE533" s="671" t="s">
        <v>304</v>
      </c>
      <c r="AH533" s="690" t="s">
        <v>306</v>
      </c>
    </row>
    <row r="534" spans="1:34" x14ac:dyDescent="0.25">
      <c r="A534" s="695" t="s">
        <v>420</v>
      </c>
      <c r="B534" s="671">
        <v>2</v>
      </c>
      <c r="C534" s="671">
        <v>6</v>
      </c>
      <c r="D534" s="671" t="s">
        <v>305</v>
      </c>
      <c r="E534" s="671" t="s">
        <v>304</v>
      </c>
      <c r="F534" s="671" t="s">
        <v>304</v>
      </c>
      <c r="G534" s="671" t="s">
        <v>305</v>
      </c>
      <c r="H534" s="671" t="s">
        <v>305</v>
      </c>
      <c r="I534" s="671" t="s">
        <v>305</v>
      </c>
      <c r="J534" s="671" t="s">
        <v>999</v>
      </c>
      <c r="K534" s="671" t="s">
        <v>304</v>
      </c>
      <c r="L534" s="671" t="s">
        <v>304</v>
      </c>
      <c r="M534" s="243" t="s">
        <v>304</v>
      </c>
      <c r="N534" s="688" t="s">
        <v>304</v>
      </c>
      <c r="O534" s="688" t="s">
        <v>304</v>
      </c>
      <c r="P534" s="671" t="s">
        <v>304</v>
      </c>
      <c r="Q534" s="686">
        <v>5</v>
      </c>
      <c r="R534" s="686"/>
      <c r="S534" s="671" t="s">
        <v>305</v>
      </c>
      <c r="T534" s="671" t="s">
        <v>304</v>
      </c>
      <c r="U534" s="671" t="s">
        <v>304</v>
      </c>
      <c r="V534" s="671" t="s">
        <v>304</v>
      </c>
      <c r="W534" s="671" t="s">
        <v>304</v>
      </c>
      <c r="X534" s="671" t="s">
        <v>304</v>
      </c>
      <c r="Y534" s="671" t="s">
        <v>304</v>
      </c>
      <c r="Z534" s="671" t="s">
        <v>304</v>
      </c>
      <c r="AA534" s="671" t="s">
        <v>304</v>
      </c>
      <c r="AB534" s="243" t="s">
        <v>304</v>
      </c>
      <c r="AC534" s="688" t="s">
        <v>304</v>
      </c>
      <c r="AD534" s="688" t="s">
        <v>304</v>
      </c>
      <c r="AE534" s="671" t="s">
        <v>304</v>
      </c>
      <c r="AH534" s="690" t="s">
        <v>306</v>
      </c>
    </row>
    <row r="535" spans="1:34" x14ac:dyDescent="0.25">
      <c r="A535" s="695" t="s">
        <v>422</v>
      </c>
      <c r="B535" s="671">
        <v>0.75</v>
      </c>
      <c r="C535" s="671">
        <v>6</v>
      </c>
      <c r="D535" s="671" t="s">
        <v>305</v>
      </c>
      <c r="E535" s="671" t="s">
        <v>305</v>
      </c>
      <c r="F535" s="671" t="s">
        <v>305</v>
      </c>
      <c r="G535" s="671" t="s">
        <v>304</v>
      </c>
      <c r="H535" s="671" t="s">
        <v>305</v>
      </c>
      <c r="I535" s="671" t="s">
        <v>305</v>
      </c>
      <c r="J535" s="671" t="s">
        <v>999</v>
      </c>
      <c r="K535" s="671" t="s">
        <v>304</v>
      </c>
      <c r="L535" s="671" t="s">
        <v>304</v>
      </c>
      <c r="M535" s="243" t="s">
        <v>304</v>
      </c>
      <c r="N535" s="688" t="s">
        <v>304</v>
      </c>
      <c r="O535" s="688" t="s">
        <v>304</v>
      </c>
      <c r="P535" s="671" t="s">
        <v>304</v>
      </c>
      <c r="Q535" s="686" t="s">
        <v>304</v>
      </c>
      <c r="R535" s="686"/>
      <c r="S535" s="671" t="s">
        <v>305</v>
      </c>
      <c r="T535" s="671" t="s">
        <v>304</v>
      </c>
      <c r="U535" s="671" t="s">
        <v>304</v>
      </c>
      <c r="V535" s="671" t="s">
        <v>304</v>
      </c>
      <c r="W535" s="671" t="s">
        <v>304</v>
      </c>
      <c r="X535" s="671" t="s">
        <v>304</v>
      </c>
      <c r="Y535" s="671" t="s">
        <v>304</v>
      </c>
      <c r="Z535" s="671" t="s">
        <v>304</v>
      </c>
      <c r="AA535" s="671" t="s">
        <v>304</v>
      </c>
      <c r="AB535" s="243" t="s">
        <v>304</v>
      </c>
      <c r="AC535" s="688" t="s">
        <v>304</v>
      </c>
      <c r="AD535" s="688" t="s">
        <v>304</v>
      </c>
      <c r="AE535" s="671" t="s">
        <v>304</v>
      </c>
      <c r="AH535" s="690" t="s">
        <v>304</v>
      </c>
    </row>
    <row r="536" spans="1:34" x14ac:dyDescent="0.25">
      <c r="A536" s="695" t="s">
        <v>423</v>
      </c>
      <c r="B536" s="671">
        <v>0.73</v>
      </c>
      <c r="C536" s="671">
        <v>4</v>
      </c>
      <c r="D536" s="671" t="s">
        <v>305</v>
      </c>
      <c r="E536" s="671" t="s">
        <v>305</v>
      </c>
      <c r="F536" s="671" t="s">
        <v>305</v>
      </c>
      <c r="G536" s="671" t="s">
        <v>304</v>
      </c>
      <c r="H536" s="671" t="s">
        <v>305</v>
      </c>
      <c r="I536" s="671" t="s">
        <v>305</v>
      </c>
      <c r="J536" s="671" t="s">
        <v>999</v>
      </c>
      <c r="K536" s="671" t="s">
        <v>304</v>
      </c>
      <c r="L536" s="671" t="s">
        <v>304</v>
      </c>
      <c r="M536" s="243" t="s">
        <v>304</v>
      </c>
      <c r="N536" s="688" t="s">
        <v>304</v>
      </c>
      <c r="O536" s="688" t="s">
        <v>304</v>
      </c>
      <c r="P536" s="671" t="s">
        <v>304</v>
      </c>
      <c r="Q536" s="686" t="s">
        <v>304</v>
      </c>
      <c r="R536" s="686"/>
      <c r="S536" s="671" t="s">
        <v>305</v>
      </c>
      <c r="T536" s="671" t="s">
        <v>304</v>
      </c>
      <c r="U536" s="671" t="s">
        <v>304</v>
      </c>
      <c r="V536" s="671" t="s">
        <v>304</v>
      </c>
      <c r="W536" s="671" t="s">
        <v>304</v>
      </c>
      <c r="X536" s="671" t="s">
        <v>304</v>
      </c>
      <c r="Y536" s="671" t="s">
        <v>304</v>
      </c>
      <c r="Z536" s="671" t="s">
        <v>304</v>
      </c>
      <c r="AA536" s="671" t="s">
        <v>304</v>
      </c>
      <c r="AB536" s="243" t="s">
        <v>304</v>
      </c>
      <c r="AC536" s="688" t="s">
        <v>304</v>
      </c>
      <c r="AD536" s="688" t="s">
        <v>304</v>
      </c>
      <c r="AE536" s="671" t="s">
        <v>304</v>
      </c>
      <c r="AH536" s="690" t="s">
        <v>304</v>
      </c>
    </row>
    <row r="537" spans="1:34" x14ac:dyDescent="0.25">
      <c r="A537" s="695" t="s">
        <v>425</v>
      </c>
      <c r="B537" s="671">
        <v>1.07</v>
      </c>
      <c r="C537" s="671">
        <v>6</v>
      </c>
      <c r="D537" s="671" t="s">
        <v>305</v>
      </c>
      <c r="E537" s="671" t="s">
        <v>305</v>
      </c>
      <c r="F537" s="671" t="s">
        <v>305</v>
      </c>
      <c r="G537" s="671" t="s">
        <v>304</v>
      </c>
      <c r="H537" s="671" t="s">
        <v>305</v>
      </c>
      <c r="I537" s="671" t="s">
        <v>305</v>
      </c>
      <c r="J537" s="671" t="s">
        <v>999</v>
      </c>
      <c r="K537" s="671" t="s">
        <v>304</v>
      </c>
      <c r="L537" s="671" t="s">
        <v>304</v>
      </c>
      <c r="M537" s="243" t="s">
        <v>304</v>
      </c>
      <c r="N537" s="688" t="s">
        <v>304</v>
      </c>
      <c r="O537" s="688" t="s">
        <v>304</v>
      </c>
      <c r="P537" s="671" t="s">
        <v>304</v>
      </c>
      <c r="Q537" s="686" t="s">
        <v>304</v>
      </c>
      <c r="R537" s="686"/>
      <c r="S537" s="671" t="s">
        <v>305</v>
      </c>
      <c r="T537" s="671" t="s">
        <v>304</v>
      </c>
      <c r="U537" s="671" t="s">
        <v>304</v>
      </c>
      <c r="V537" s="671" t="s">
        <v>304</v>
      </c>
      <c r="W537" s="671" t="s">
        <v>304</v>
      </c>
      <c r="X537" s="671" t="s">
        <v>304</v>
      </c>
      <c r="Y537" s="671" t="s">
        <v>304</v>
      </c>
      <c r="Z537" s="671" t="s">
        <v>304</v>
      </c>
      <c r="AA537" s="671" t="s">
        <v>304</v>
      </c>
      <c r="AB537" s="243" t="s">
        <v>304</v>
      </c>
      <c r="AC537" s="688" t="s">
        <v>304</v>
      </c>
      <c r="AD537" s="688" t="s">
        <v>304</v>
      </c>
      <c r="AE537" s="671" t="s">
        <v>304</v>
      </c>
      <c r="AH537" s="690" t="s">
        <v>304</v>
      </c>
    </row>
    <row r="538" spans="1:34" x14ac:dyDescent="0.25">
      <c r="A538" s="695" t="s">
        <v>427</v>
      </c>
      <c r="B538" s="671">
        <v>1.29</v>
      </c>
      <c r="C538" s="671">
        <v>4</v>
      </c>
      <c r="D538" s="671" t="s">
        <v>305</v>
      </c>
      <c r="E538" s="671" t="s">
        <v>305</v>
      </c>
      <c r="F538" s="671" t="s">
        <v>304</v>
      </c>
      <c r="G538" s="671" t="s">
        <v>305</v>
      </c>
      <c r="H538" s="671" t="s">
        <v>305</v>
      </c>
      <c r="I538" s="671" t="s">
        <v>305</v>
      </c>
      <c r="J538" s="671" t="s">
        <v>999</v>
      </c>
      <c r="K538" s="671" t="s">
        <v>304</v>
      </c>
      <c r="L538" s="671" t="s">
        <v>304</v>
      </c>
      <c r="M538" s="243" t="s">
        <v>304</v>
      </c>
      <c r="N538" s="688" t="s">
        <v>304</v>
      </c>
      <c r="O538" s="688" t="s">
        <v>304</v>
      </c>
      <c r="P538" s="671" t="s">
        <v>304</v>
      </c>
      <c r="Q538" s="686" t="s">
        <v>304</v>
      </c>
      <c r="R538" s="686"/>
      <c r="S538" s="671" t="s">
        <v>305</v>
      </c>
      <c r="T538" s="671" t="s">
        <v>304</v>
      </c>
      <c r="U538" s="671" t="s">
        <v>304</v>
      </c>
      <c r="V538" s="671" t="s">
        <v>304</v>
      </c>
      <c r="W538" s="671" t="s">
        <v>304</v>
      </c>
      <c r="X538" s="671" t="s">
        <v>304</v>
      </c>
      <c r="Y538" s="671" t="s">
        <v>304</v>
      </c>
      <c r="Z538" s="671" t="s">
        <v>304</v>
      </c>
      <c r="AA538" s="671" t="s">
        <v>304</v>
      </c>
      <c r="AB538" s="243" t="s">
        <v>304</v>
      </c>
      <c r="AC538" s="688" t="s">
        <v>304</v>
      </c>
      <c r="AD538" s="688" t="s">
        <v>304</v>
      </c>
      <c r="AE538" s="671" t="s">
        <v>304</v>
      </c>
      <c r="AH538" s="690" t="s">
        <v>304</v>
      </c>
    </row>
    <row r="539" spans="1:34" x14ac:dyDescent="0.25">
      <c r="A539" s="695" t="s">
        <v>429</v>
      </c>
      <c r="B539" s="671">
        <v>0.95</v>
      </c>
      <c r="C539" s="671">
        <v>6</v>
      </c>
      <c r="D539" s="671" t="s">
        <v>305</v>
      </c>
      <c r="E539" s="671" t="s">
        <v>305</v>
      </c>
      <c r="F539" s="671" t="s">
        <v>304</v>
      </c>
      <c r="G539" s="671" t="s">
        <v>305</v>
      </c>
      <c r="H539" s="671" t="s">
        <v>305</v>
      </c>
      <c r="I539" s="671" t="s">
        <v>305</v>
      </c>
      <c r="J539" s="671" t="s">
        <v>999</v>
      </c>
      <c r="K539" s="671" t="s">
        <v>304</v>
      </c>
      <c r="L539" s="671" t="s">
        <v>304</v>
      </c>
      <c r="M539" s="243" t="s">
        <v>304</v>
      </c>
      <c r="N539" s="688" t="s">
        <v>304</v>
      </c>
      <c r="O539" s="688" t="s">
        <v>304</v>
      </c>
      <c r="P539" s="671" t="s">
        <v>304</v>
      </c>
      <c r="Q539" s="686" t="s">
        <v>304</v>
      </c>
      <c r="R539" s="686"/>
      <c r="S539" s="671" t="s">
        <v>305</v>
      </c>
      <c r="T539" s="671" t="s">
        <v>304</v>
      </c>
      <c r="U539" s="671" t="s">
        <v>304</v>
      </c>
      <c r="V539" s="671" t="s">
        <v>304</v>
      </c>
      <c r="W539" s="671" t="s">
        <v>304</v>
      </c>
      <c r="X539" s="671" t="s">
        <v>304</v>
      </c>
      <c r="Y539" s="671" t="s">
        <v>304</v>
      </c>
      <c r="Z539" s="671" t="s">
        <v>304</v>
      </c>
      <c r="AA539" s="671" t="s">
        <v>304</v>
      </c>
      <c r="AB539" s="243" t="s">
        <v>304</v>
      </c>
      <c r="AC539" s="688" t="s">
        <v>304</v>
      </c>
      <c r="AD539" s="688" t="s">
        <v>304</v>
      </c>
      <c r="AE539" s="671" t="s">
        <v>304</v>
      </c>
      <c r="AH539" s="690" t="s">
        <v>304</v>
      </c>
    </row>
    <row r="540" spans="1:34" x14ac:dyDescent="0.25">
      <c r="A540" s="695" t="s">
        <v>431</v>
      </c>
      <c r="B540" s="671">
        <v>1.05</v>
      </c>
      <c r="C540" s="671">
        <v>4</v>
      </c>
      <c r="D540" s="671" t="s">
        <v>305</v>
      </c>
      <c r="E540" s="671" t="s">
        <v>305</v>
      </c>
      <c r="F540" s="671" t="s">
        <v>304</v>
      </c>
      <c r="G540" s="671" t="s">
        <v>305</v>
      </c>
      <c r="H540" s="671" t="s">
        <v>305</v>
      </c>
      <c r="I540" s="671" t="s">
        <v>305</v>
      </c>
      <c r="J540" s="671" t="s">
        <v>999</v>
      </c>
      <c r="K540" s="671" t="s">
        <v>304</v>
      </c>
      <c r="L540" s="671" t="s">
        <v>304</v>
      </c>
      <c r="M540" s="243" t="s">
        <v>304</v>
      </c>
      <c r="N540" s="688" t="s">
        <v>304</v>
      </c>
      <c r="O540" s="688" t="s">
        <v>304</v>
      </c>
      <c r="P540" s="671" t="s">
        <v>304</v>
      </c>
      <c r="Q540" s="686" t="s">
        <v>304</v>
      </c>
      <c r="R540" s="686"/>
      <c r="S540" s="671" t="s">
        <v>305</v>
      </c>
      <c r="T540" s="671" t="s">
        <v>304</v>
      </c>
      <c r="U540" s="671" t="s">
        <v>304</v>
      </c>
      <c r="V540" s="671" t="s">
        <v>304</v>
      </c>
      <c r="W540" s="671" t="s">
        <v>304</v>
      </c>
      <c r="X540" s="671" t="s">
        <v>304</v>
      </c>
      <c r="Y540" s="671" t="s">
        <v>304</v>
      </c>
      <c r="Z540" s="671" t="s">
        <v>304</v>
      </c>
      <c r="AA540" s="671" t="s">
        <v>304</v>
      </c>
      <c r="AB540" s="243" t="s">
        <v>304</v>
      </c>
      <c r="AC540" s="688" t="s">
        <v>304</v>
      </c>
      <c r="AD540" s="688" t="s">
        <v>304</v>
      </c>
      <c r="AE540" s="671" t="s">
        <v>304</v>
      </c>
      <c r="AH540" s="690" t="s">
        <v>304</v>
      </c>
    </row>
    <row r="541" spans="1:34" x14ac:dyDescent="0.25">
      <c r="A541" s="695" t="s">
        <v>433</v>
      </c>
      <c r="B541" s="671">
        <v>1.23</v>
      </c>
      <c r="C541" s="671">
        <v>4</v>
      </c>
      <c r="D541" s="671" t="s">
        <v>305</v>
      </c>
      <c r="E541" s="671" t="s">
        <v>305</v>
      </c>
      <c r="F541" s="671" t="s">
        <v>304</v>
      </c>
      <c r="G541" s="671" t="s">
        <v>305</v>
      </c>
      <c r="H541" s="671" t="s">
        <v>305</v>
      </c>
      <c r="I541" s="671" t="s">
        <v>305</v>
      </c>
      <c r="J541" s="671" t="s">
        <v>999</v>
      </c>
      <c r="K541" s="671" t="s">
        <v>304</v>
      </c>
      <c r="L541" s="671" t="s">
        <v>304</v>
      </c>
      <c r="M541" s="243" t="s">
        <v>304</v>
      </c>
      <c r="N541" s="688" t="s">
        <v>304</v>
      </c>
      <c r="O541" s="688" t="s">
        <v>304</v>
      </c>
      <c r="P541" s="671" t="s">
        <v>304</v>
      </c>
      <c r="Q541" s="686" t="s">
        <v>304</v>
      </c>
      <c r="R541" s="686"/>
      <c r="S541" s="671" t="s">
        <v>305</v>
      </c>
      <c r="T541" s="671" t="s">
        <v>304</v>
      </c>
      <c r="U541" s="671" t="s">
        <v>304</v>
      </c>
      <c r="V541" s="671" t="s">
        <v>304</v>
      </c>
      <c r="W541" s="671" t="s">
        <v>304</v>
      </c>
      <c r="X541" s="671" t="s">
        <v>304</v>
      </c>
      <c r="Y541" s="671" t="s">
        <v>304</v>
      </c>
      <c r="Z541" s="671" t="s">
        <v>304</v>
      </c>
      <c r="AA541" s="671" t="s">
        <v>304</v>
      </c>
      <c r="AB541" s="243" t="s">
        <v>304</v>
      </c>
      <c r="AC541" s="688" t="s">
        <v>304</v>
      </c>
      <c r="AD541" s="688" t="s">
        <v>304</v>
      </c>
      <c r="AE541" s="671" t="s">
        <v>304</v>
      </c>
      <c r="AH541" s="690" t="s">
        <v>304</v>
      </c>
    </row>
    <row r="542" spans="1:34" x14ac:dyDescent="0.25">
      <c r="A542" s="695" t="s">
        <v>435</v>
      </c>
      <c r="B542" s="671">
        <v>1.19</v>
      </c>
      <c r="C542" s="671">
        <v>4</v>
      </c>
      <c r="D542" s="671" t="s">
        <v>305</v>
      </c>
      <c r="E542" s="671" t="s">
        <v>305</v>
      </c>
      <c r="F542" s="671" t="s">
        <v>304</v>
      </c>
      <c r="G542" s="671" t="s">
        <v>305</v>
      </c>
      <c r="H542" s="671" t="s">
        <v>305</v>
      </c>
      <c r="I542" s="671" t="s">
        <v>305</v>
      </c>
      <c r="J542" s="671" t="s">
        <v>999</v>
      </c>
      <c r="K542" s="671" t="s">
        <v>304</v>
      </c>
      <c r="L542" s="671" t="s">
        <v>304</v>
      </c>
      <c r="M542" s="243" t="s">
        <v>304</v>
      </c>
      <c r="N542" s="688" t="s">
        <v>304</v>
      </c>
      <c r="O542" s="688" t="s">
        <v>304</v>
      </c>
      <c r="P542" s="671" t="s">
        <v>304</v>
      </c>
      <c r="Q542" s="686" t="s">
        <v>304</v>
      </c>
      <c r="R542" s="686"/>
      <c r="S542" s="671" t="s">
        <v>305</v>
      </c>
      <c r="T542" s="671" t="s">
        <v>304</v>
      </c>
      <c r="U542" s="671" t="s">
        <v>304</v>
      </c>
      <c r="V542" s="671" t="s">
        <v>304</v>
      </c>
      <c r="W542" s="671" t="s">
        <v>304</v>
      </c>
      <c r="X542" s="671" t="s">
        <v>304</v>
      </c>
      <c r="Y542" s="671" t="s">
        <v>304</v>
      </c>
      <c r="Z542" s="671" t="s">
        <v>304</v>
      </c>
      <c r="AA542" s="671" t="s">
        <v>304</v>
      </c>
      <c r="AB542" s="243" t="s">
        <v>304</v>
      </c>
      <c r="AC542" s="688" t="s">
        <v>304</v>
      </c>
      <c r="AD542" s="688" t="s">
        <v>304</v>
      </c>
      <c r="AE542" s="671" t="s">
        <v>304</v>
      </c>
      <c r="AH542" s="690" t="s">
        <v>304</v>
      </c>
    </row>
    <row r="543" spans="1:34" x14ac:dyDescent="0.25">
      <c r="A543" s="695" t="s">
        <v>437</v>
      </c>
      <c r="B543" s="671">
        <v>1.05</v>
      </c>
      <c r="C543" s="671">
        <v>6</v>
      </c>
      <c r="D543" s="671" t="s">
        <v>305</v>
      </c>
      <c r="E543" s="671" t="s">
        <v>305</v>
      </c>
      <c r="F543" s="671" t="s">
        <v>304</v>
      </c>
      <c r="G543" s="671" t="s">
        <v>305</v>
      </c>
      <c r="H543" s="671" t="s">
        <v>305</v>
      </c>
      <c r="I543" s="671" t="s">
        <v>305</v>
      </c>
      <c r="J543" s="671" t="s">
        <v>999</v>
      </c>
      <c r="K543" s="671" t="s">
        <v>304</v>
      </c>
      <c r="L543" s="671" t="s">
        <v>304</v>
      </c>
      <c r="M543" s="243" t="s">
        <v>304</v>
      </c>
      <c r="N543" s="688" t="s">
        <v>304</v>
      </c>
      <c r="O543" s="688" t="s">
        <v>304</v>
      </c>
      <c r="P543" s="671" t="s">
        <v>304</v>
      </c>
      <c r="Q543" s="686" t="s">
        <v>304</v>
      </c>
      <c r="R543" s="686"/>
      <c r="S543" s="671" t="s">
        <v>305</v>
      </c>
      <c r="T543" s="671" t="s">
        <v>304</v>
      </c>
      <c r="U543" s="671" t="s">
        <v>304</v>
      </c>
      <c r="V543" s="671" t="s">
        <v>304</v>
      </c>
      <c r="W543" s="671" t="s">
        <v>304</v>
      </c>
      <c r="X543" s="671" t="s">
        <v>304</v>
      </c>
      <c r="Y543" s="671" t="s">
        <v>304</v>
      </c>
      <c r="Z543" s="671" t="s">
        <v>304</v>
      </c>
      <c r="AA543" s="671" t="s">
        <v>304</v>
      </c>
      <c r="AB543" s="243" t="s">
        <v>304</v>
      </c>
      <c r="AC543" s="688" t="s">
        <v>304</v>
      </c>
      <c r="AD543" s="688" t="s">
        <v>304</v>
      </c>
      <c r="AE543" s="671" t="s">
        <v>304</v>
      </c>
      <c r="AH543" s="690" t="s">
        <v>304</v>
      </c>
    </row>
    <row r="544" spans="1:34" x14ac:dyDescent="0.25">
      <c r="A544" s="695" t="s">
        <v>439</v>
      </c>
      <c r="B544" s="671">
        <v>1.02</v>
      </c>
      <c r="C544" s="671">
        <v>6</v>
      </c>
      <c r="D544" s="671" t="s">
        <v>305</v>
      </c>
      <c r="E544" s="671" t="s">
        <v>305</v>
      </c>
      <c r="F544" s="671" t="s">
        <v>304</v>
      </c>
      <c r="G544" s="671" t="s">
        <v>305</v>
      </c>
      <c r="H544" s="671" t="s">
        <v>305</v>
      </c>
      <c r="I544" s="671" t="s">
        <v>305</v>
      </c>
      <c r="J544" s="671" t="s">
        <v>999</v>
      </c>
      <c r="K544" s="671" t="s">
        <v>304</v>
      </c>
      <c r="L544" s="671" t="s">
        <v>304</v>
      </c>
      <c r="M544" s="243" t="s">
        <v>304</v>
      </c>
      <c r="N544" s="688" t="s">
        <v>304</v>
      </c>
      <c r="O544" s="688" t="s">
        <v>304</v>
      </c>
      <c r="P544" s="671" t="s">
        <v>304</v>
      </c>
      <c r="Q544" s="686" t="s">
        <v>304</v>
      </c>
      <c r="R544" s="686"/>
      <c r="S544" s="671" t="s">
        <v>305</v>
      </c>
      <c r="T544" s="671" t="s">
        <v>304</v>
      </c>
      <c r="U544" s="671" t="s">
        <v>304</v>
      </c>
      <c r="V544" s="671" t="s">
        <v>304</v>
      </c>
      <c r="W544" s="671" t="s">
        <v>304</v>
      </c>
      <c r="X544" s="671" t="s">
        <v>304</v>
      </c>
      <c r="Y544" s="671" t="s">
        <v>304</v>
      </c>
      <c r="Z544" s="671" t="s">
        <v>304</v>
      </c>
      <c r="AA544" s="671" t="s">
        <v>304</v>
      </c>
      <c r="AB544" s="243" t="s">
        <v>304</v>
      </c>
      <c r="AC544" s="688" t="s">
        <v>304</v>
      </c>
      <c r="AD544" s="688" t="s">
        <v>304</v>
      </c>
      <c r="AE544" s="671" t="s">
        <v>304</v>
      </c>
      <c r="AH544" s="690" t="s">
        <v>304</v>
      </c>
    </row>
    <row r="545" spans="1:34" x14ac:dyDescent="0.25">
      <c r="A545" s="695" t="s">
        <v>441</v>
      </c>
      <c r="B545" s="671">
        <v>1.1100000000000001</v>
      </c>
      <c r="C545" s="671">
        <v>8</v>
      </c>
      <c r="D545" s="671" t="s">
        <v>305</v>
      </c>
      <c r="E545" s="671" t="s">
        <v>305</v>
      </c>
      <c r="F545" s="671" t="s">
        <v>305</v>
      </c>
      <c r="G545" s="671" t="s">
        <v>304</v>
      </c>
      <c r="H545" s="671" t="s">
        <v>305</v>
      </c>
      <c r="I545" s="671" t="s">
        <v>305</v>
      </c>
      <c r="J545" s="671" t="s">
        <v>999</v>
      </c>
      <c r="K545" s="671" t="s">
        <v>304</v>
      </c>
      <c r="L545" s="671" t="s">
        <v>304</v>
      </c>
      <c r="M545" s="243" t="s">
        <v>304</v>
      </c>
      <c r="N545" s="688" t="s">
        <v>304</v>
      </c>
      <c r="O545" s="688" t="s">
        <v>304</v>
      </c>
      <c r="P545" s="671" t="s">
        <v>304</v>
      </c>
      <c r="Q545" s="686">
        <v>2</v>
      </c>
      <c r="R545" s="686"/>
      <c r="S545" s="671" t="s">
        <v>305</v>
      </c>
      <c r="T545" s="671" t="s">
        <v>304</v>
      </c>
      <c r="U545" s="671" t="s">
        <v>304</v>
      </c>
      <c r="V545" s="671" t="s">
        <v>304</v>
      </c>
      <c r="W545" s="671" t="s">
        <v>304</v>
      </c>
      <c r="X545" s="671" t="s">
        <v>304</v>
      </c>
      <c r="Y545" s="671" t="s">
        <v>304</v>
      </c>
      <c r="Z545" s="671" t="s">
        <v>304</v>
      </c>
      <c r="AA545" s="671" t="s">
        <v>304</v>
      </c>
      <c r="AB545" s="243" t="s">
        <v>304</v>
      </c>
      <c r="AC545" s="688" t="s">
        <v>304</v>
      </c>
      <c r="AD545" s="688" t="s">
        <v>304</v>
      </c>
      <c r="AE545" s="671" t="s">
        <v>304</v>
      </c>
      <c r="AH545" s="690" t="s">
        <v>353</v>
      </c>
    </row>
    <row r="546" spans="1:34" x14ac:dyDescent="0.25">
      <c r="A546" s="695" t="s">
        <v>40</v>
      </c>
      <c r="B546" s="671">
        <v>1.1100000000000001</v>
      </c>
      <c r="C546" s="671">
        <v>8</v>
      </c>
      <c r="D546" s="671" t="s">
        <v>305</v>
      </c>
      <c r="E546" s="671" t="s">
        <v>305</v>
      </c>
      <c r="F546" s="671" t="s">
        <v>304</v>
      </c>
      <c r="G546" s="671" t="s">
        <v>305</v>
      </c>
      <c r="H546" s="671" t="s">
        <v>305</v>
      </c>
      <c r="I546" s="671" t="s">
        <v>305</v>
      </c>
      <c r="J546" s="671" t="s">
        <v>999</v>
      </c>
      <c r="K546" s="671" t="s">
        <v>304</v>
      </c>
      <c r="L546" s="671" t="s">
        <v>304</v>
      </c>
      <c r="M546" s="243" t="s">
        <v>304</v>
      </c>
      <c r="N546" s="688" t="s">
        <v>304</v>
      </c>
      <c r="O546" s="688" t="s">
        <v>304</v>
      </c>
      <c r="P546" s="671" t="s">
        <v>304</v>
      </c>
      <c r="Q546" s="686">
        <v>2</v>
      </c>
      <c r="R546" s="686"/>
      <c r="S546" s="671" t="s">
        <v>305</v>
      </c>
      <c r="T546" s="671" t="s">
        <v>304</v>
      </c>
      <c r="U546" s="671" t="s">
        <v>304</v>
      </c>
      <c r="V546" s="671" t="s">
        <v>304</v>
      </c>
      <c r="W546" s="671" t="s">
        <v>304</v>
      </c>
      <c r="X546" s="671" t="s">
        <v>304</v>
      </c>
      <c r="Y546" s="671" t="s">
        <v>304</v>
      </c>
      <c r="Z546" s="671" t="s">
        <v>304</v>
      </c>
      <c r="AA546" s="671" t="s">
        <v>304</v>
      </c>
      <c r="AB546" s="243" t="s">
        <v>304</v>
      </c>
      <c r="AC546" s="688" t="s">
        <v>304</v>
      </c>
      <c r="AD546" s="688" t="s">
        <v>304</v>
      </c>
      <c r="AE546" s="671" t="s">
        <v>304</v>
      </c>
      <c r="AH546" s="690" t="s">
        <v>353</v>
      </c>
    </row>
    <row r="547" spans="1:34" x14ac:dyDescent="0.25">
      <c r="A547" s="695" t="s">
        <v>43</v>
      </c>
      <c r="B547" s="671">
        <v>0.98</v>
      </c>
      <c r="C547" s="671">
        <v>4</v>
      </c>
      <c r="D547" s="671" t="s">
        <v>305</v>
      </c>
      <c r="E547" s="671" t="s">
        <v>305</v>
      </c>
      <c r="F547" s="671" t="s">
        <v>304</v>
      </c>
      <c r="G547" s="671" t="s">
        <v>305</v>
      </c>
      <c r="H547" s="671" t="s">
        <v>305</v>
      </c>
      <c r="I547" s="671" t="s">
        <v>305</v>
      </c>
      <c r="J547" s="671" t="s">
        <v>999</v>
      </c>
      <c r="K547" s="671" t="s">
        <v>304</v>
      </c>
      <c r="L547" s="671" t="s">
        <v>304</v>
      </c>
      <c r="M547" s="243" t="s">
        <v>304</v>
      </c>
      <c r="N547" s="688" t="s">
        <v>304</v>
      </c>
      <c r="O547" s="688" t="s">
        <v>304</v>
      </c>
      <c r="P547" s="671" t="s">
        <v>304</v>
      </c>
      <c r="Q547" s="686">
        <v>1</v>
      </c>
      <c r="R547" s="686"/>
      <c r="S547" s="671" t="s">
        <v>305</v>
      </c>
      <c r="T547" s="671" t="s">
        <v>304</v>
      </c>
      <c r="U547" s="671" t="s">
        <v>304</v>
      </c>
      <c r="V547" s="671" t="s">
        <v>304</v>
      </c>
      <c r="W547" s="671" t="s">
        <v>304</v>
      </c>
      <c r="X547" s="671" t="s">
        <v>304</v>
      </c>
      <c r="Y547" s="671" t="s">
        <v>304</v>
      </c>
      <c r="Z547" s="671" t="s">
        <v>304</v>
      </c>
      <c r="AA547" s="671" t="s">
        <v>304</v>
      </c>
      <c r="AB547" s="243" t="s">
        <v>304</v>
      </c>
      <c r="AC547" s="688" t="s">
        <v>304</v>
      </c>
      <c r="AD547" s="688" t="s">
        <v>304</v>
      </c>
      <c r="AE547" s="671" t="s">
        <v>304</v>
      </c>
      <c r="AH547" s="690" t="s">
        <v>443</v>
      </c>
    </row>
    <row r="548" spans="1:34" x14ac:dyDescent="0.25">
      <c r="A548" s="695" t="s">
        <v>445</v>
      </c>
      <c r="B548" s="671">
        <v>0.19</v>
      </c>
      <c r="C548" s="671">
        <v>4</v>
      </c>
      <c r="D548" s="671" t="s">
        <v>305</v>
      </c>
      <c r="E548" s="671" t="s">
        <v>304</v>
      </c>
      <c r="F548" s="671" t="s">
        <v>304</v>
      </c>
      <c r="G548" s="671" t="s">
        <v>304</v>
      </c>
      <c r="H548" s="671" t="s">
        <v>304</v>
      </c>
      <c r="I548" s="671" t="s">
        <v>304</v>
      </c>
      <c r="J548" s="671" t="s">
        <v>999</v>
      </c>
      <c r="K548" s="671" t="s">
        <v>304</v>
      </c>
      <c r="L548" s="671" t="s">
        <v>304</v>
      </c>
      <c r="M548" s="243" t="s">
        <v>305</v>
      </c>
      <c r="N548" s="243" t="s">
        <v>305</v>
      </c>
      <c r="O548" s="243" t="s">
        <v>305</v>
      </c>
      <c r="P548" s="671" t="s">
        <v>304</v>
      </c>
      <c r="Q548" s="686">
        <v>5</v>
      </c>
      <c r="R548" s="686"/>
      <c r="S548" s="671" t="s">
        <v>305</v>
      </c>
      <c r="T548" s="671" t="s">
        <v>304</v>
      </c>
      <c r="U548" s="671" t="s">
        <v>304</v>
      </c>
      <c r="V548" s="671" t="s">
        <v>304</v>
      </c>
      <c r="W548" s="671" t="s">
        <v>304</v>
      </c>
      <c r="X548" s="671" t="s">
        <v>304</v>
      </c>
      <c r="Y548" s="671" t="s">
        <v>304</v>
      </c>
      <c r="Z548" s="671" t="s">
        <v>304</v>
      </c>
      <c r="AA548" s="671" t="s">
        <v>304</v>
      </c>
      <c r="AB548" s="243" t="s">
        <v>305</v>
      </c>
      <c r="AC548" s="243" t="s">
        <v>305</v>
      </c>
      <c r="AD548" s="243" t="s">
        <v>305</v>
      </c>
      <c r="AE548" s="671" t="s">
        <v>304</v>
      </c>
      <c r="AH548" s="690" t="s">
        <v>306</v>
      </c>
    </row>
    <row r="549" spans="1:34" x14ac:dyDescent="0.25">
      <c r="A549" s="695" t="s">
        <v>447</v>
      </c>
      <c r="B549" s="671">
        <v>0.4</v>
      </c>
      <c r="C549" s="671">
        <v>6</v>
      </c>
      <c r="D549" s="671" t="s">
        <v>305</v>
      </c>
      <c r="E549" s="671" t="s">
        <v>304</v>
      </c>
      <c r="F549" s="671" t="s">
        <v>305</v>
      </c>
      <c r="G549" s="671" t="s">
        <v>304</v>
      </c>
      <c r="H549" s="671" t="s">
        <v>305</v>
      </c>
      <c r="I549" s="671" t="s">
        <v>305</v>
      </c>
      <c r="J549" s="671" t="s">
        <v>999</v>
      </c>
      <c r="K549" s="671" t="s">
        <v>304</v>
      </c>
      <c r="L549" s="671" t="s">
        <v>304</v>
      </c>
      <c r="M549" s="243" t="s">
        <v>304</v>
      </c>
      <c r="N549" s="688" t="s">
        <v>304</v>
      </c>
      <c r="O549" s="688" t="s">
        <v>304</v>
      </c>
      <c r="P549" s="671" t="s">
        <v>304</v>
      </c>
      <c r="Q549" s="686" t="s">
        <v>304</v>
      </c>
      <c r="R549" s="686"/>
      <c r="S549" s="671" t="s">
        <v>305</v>
      </c>
      <c r="T549" s="671" t="s">
        <v>304</v>
      </c>
      <c r="U549" s="671" t="s">
        <v>304</v>
      </c>
      <c r="V549" s="671" t="s">
        <v>304</v>
      </c>
      <c r="W549" s="671" t="s">
        <v>304</v>
      </c>
      <c r="X549" s="671" t="s">
        <v>304</v>
      </c>
      <c r="Y549" s="671" t="s">
        <v>304</v>
      </c>
      <c r="Z549" s="671" t="s">
        <v>304</v>
      </c>
      <c r="AA549" s="671" t="s">
        <v>304</v>
      </c>
      <c r="AB549" s="243" t="s">
        <v>304</v>
      </c>
      <c r="AC549" s="688" t="s">
        <v>304</v>
      </c>
      <c r="AD549" s="688" t="s">
        <v>304</v>
      </c>
      <c r="AE549" s="671" t="s">
        <v>304</v>
      </c>
      <c r="AH549" s="690" t="s">
        <v>304</v>
      </c>
    </row>
    <row r="550" spans="1:34" x14ac:dyDescent="0.25">
      <c r="A550" s="695" t="s">
        <v>449</v>
      </c>
      <c r="B550" s="671">
        <v>1.1399999999999999</v>
      </c>
      <c r="C550" s="671">
        <v>6</v>
      </c>
      <c r="D550" s="671" t="s">
        <v>305</v>
      </c>
      <c r="E550" s="671" t="s">
        <v>305</v>
      </c>
      <c r="F550" s="671" t="s">
        <v>304</v>
      </c>
      <c r="G550" s="671" t="s">
        <v>305</v>
      </c>
      <c r="H550" s="671" t="s">
        <v>305</v>
      </c>
      <c r="I550" s="671" t="s">
        <v>305</v>
      </c>
      <c r="J550" s="671" t="s">
        <v>999</v>
      </c>
      <c r="K550" s="671" t="s">
        <v>304</v>
      </c>
      <c r="L550" s="671" t="s">
        <v>304</v>
      </c>
      <c r="M550" s="243" t="s">
        <v>304</v>
      </c>
      <c r="N550" s="688" t="s">
        <v>304</v>
      </c>
      <c r="O550" s="688" t="s">
        <v>304</v>
      </c>
      <c r="P550" s="671" t="s">
        <v>304</v>
      </c>
      <c r="Q550" s="686" t="s">
        <v>304</v>
      </c>
      <c r="R550" s="686"/>
      <c r="S550" s="671" t="s">
        <v>305</v>
      </c>
      <c r="T550" s="671" t="s">
        <v>304</v>
      </c>
      <c r="U550" s="671" t="s">
        <v>304</v>
      </c>
      <c r="V550" s="671" t="s">
        <v>304</v>
      </c>
      <c r="W550" s="671" t="s">
        <v>304</v>
      </c>
      <c r="X550" s="671" t="s">
        <v>304</v>
      </c>
      <c r="Y550" s="671" t="s">
        <v>304</v>
      </c>
      <c r="Z550" s="671" t="s">
        <v>304</v>
      </c>
      <c r="AA550" s="671" t="s">
        <v>304</v>
      </c>
      <c r="AB550" s="243" t="s">
        <v>304</v>
      </c>
      <c r="AC550" s="688" t="s">
        <v>304</v>
      </c>
      <c r="AD550" s="688" t="s">
        <v>304</v>
      </c>
      <c r="AE550" s="671" t="s">
        <v>304</v>
      </c>
      <c r="AH550" s="690" t="s">
        <v>304</v>
      </c>
    </row>
    <row r="551" spans="1:34" x14ac:dyDescent="0.25">
      <c r="A551" s="695" t="s">
        <v>451</v>
      </c>
      <c r="B551" s="671">
        <v>0.94</v>
      </c>
      <c r="C551" s="671">
        <v>4</v>
      </c>
      <c r="D551" s="671" t="s">
        <v>305</v>
      </c>
      <c r="E551" s="671" t="s">
        <v>305</v>
      </c>
      <c r="F551" s="671" t="s">
        <v>304</v>
      </c>
      <c r="G551" s="671" t="s">
        <v>305</v>
      </c>
      <c r="H551" s="671" t="s">
        <v>305</v>
      </c>
      <c r="I551" s="671" t="s">
        <v>305</v>
      </c>
      <c r="J551" s="671" t="s">
        <v>999</v>
      </c>
      <c r="K551" s="671" t="s">
        <v>304</v>
      </c>
      <c r="L551" s="671" t="s">
        <v>304</v>
      </c>
      <c r="M551" s="243" t="s">
        <v>304</v>
      </c>
      <c r="N551" s="688" t="s">
        <v>304</v>
      </c>
      <c r="O551" s="688" t="s">
        <v>304</v>
      </c>
      <c r="P551" s="671" t="s">
        <v>304</v>
      </c>
      <c r="Q551" s="686" t="s">
        <v>304</v>
      </c>
      <c r="R551" s="686"/>
      <c r="S551" s="671" t="s">
        <v>305</v>
      </c>
      <c r="T551" s="671" t="s">
        <v>304</v>
      </c>
      <c r="U551" s="671" t="s">
        <v>304</v>
      </c>
      <c r="V551" s="671" t="s">
        <v>304</v>
      </c>
      <c r="W551" s="671" t="s">
        <v>304</v>
      </c>
      <c r="X551" s="671" t="s">
        <v>304</v>
      </c>
      <c r="Y551" s="671" t="s">
        <v>304</v>
      </c>
      <c r="Z551" s="671" t="s">
        <v>304</v>
      </c>
      <c r="AA551" s="671" t="s">
        <v>304</v>
      </c>
      <c r="AB551" s="243" t="s">
        <v>304</v>
      </c>
      <c r="AC551" s="688" t="s">
        <v>304</v>
      </c>
      <c r="AD551" s="688" t="s">
        <v>304</v>
      </c>
      <c r="AE551" s="671" t="s">
        <v>304</v>
      </c>
      <c r="AH551" s="690" t="s">
        <v>304</v>
      </c>
    </row>
    <row r="552" spans="1:34" x14ac:dyDescent="0.25">
      <c r="A552" s="695" t="s">
        <v>453</v>
      </c>
      <c r="B552" s="671">
        <v>0.64</v>
      </c>
      <c r="C552" s="671">
        <v>4</v>
      </c>
      <c r="D552" s="671" t="s">
        <v>305</v>
      </c>
      <c r="E552" s="671" t="s">
        <v>305</v>
      </c>
      <c r="F552" s="671" t="s">
        <v>304</v>
      </c>
      <c r="G552" s="671" t="s">
        <v>305</v>
      </c>
      <c r="H552" s="671" t="s">
        <v>305</v>
      </c>
      <c r="I552" s="671" t="s">
        <v>305</v>
      </c>
      <c r="J552" s="671" t="s">
        <v>999</v>
      </c>
      <c r="K552" s="671" t="s">
        <v>304</v>
      </c>
      <c r="L552" s="671" t="s">
        <v>304</v>
      </c>
      <c r="M552" s="243" t="s">
        <v>304</v>
      </c>
      <c r="N552" s="688" t="s">
        <v>304</v>
      </c>
      <c r="O552" s="688" t="s">
        <v>304</v>
      </c>
      <c r="P552" s="671" t="s">
        <v>304</v>
      </c>
      <c r="Q552" s="686" t="s">
        <v>304</v>
      </c>
      <c r="R552" s="686"/>
      <c r="S552" s="671" t="s">
        <v>305</v>
      </c>
      <c r="T552" s="671" t="s">
        <v>304</v>
      </c>
      <c r="U552" s="671" t="s">
        <v>304</v>
      </c>
      <c r="V552" s="671" t="s">
        <v>304</v>
      </c>
      <c r="W552" s="671" t="s">
        <v>304</v>
      </c>
      <c r="X552" s="671" t="s">
        <v>304</v>
      </c>
      <c r="Y552" s="671" t="s">
        <v>304</v>
      </c>
      <c r="Z552" s="671" t="s">
        <v>304</v>
      </c>
      <c r="AA552" s="671" t="s">
        <v>304</v>
      </c>
      <c r="AB552" s="243" t="s">
        <v>304</v>
      </c>
      <c r="AC552" s="688" t="s">
        <v>304</v>
      </c>
      <c r="AD552" s="688" t="s">
        <v>304</v>
      </c>
      <c r="AE552" s="671" t="s">
        <v>304</v>
      </c>
      <c r="AH552" s="690" t="s">
        <v>304</v>
      </c>
    </row>
    <row r="553" spans="1:34" x14ac:dyDescent="0.25">
      <c r="A553" s="695" t="s">
        <v>455</v>
      </c>
      <c r="B553" s="671">
        <v>1.53</v>
      </c>
      <c r="C553" s="671">
        <v>4</v>
      </c>
      <c r="D553" s="671" t="s">
        <v>305</v>
      </c>
      <c r="E553" s="671" t="s">
        <v>305</v>
      </c>
      <c r="F553" s="671" t="s">
        <v>304</v>
      </c>
      <c r="G553" s="671" t="s">
        <v>305</v>
      </c>
      <c r="H553" s="671" t="s">
        <v>305</v>
      </c>
      <c r="I553" s="671" t="s">
        <v>305</v>
      </c>
      <c r="J553" s="671" t="s">
        <v>999</v>
      </c>
      <c r="K553" s="671" t="s">
        <v>304</v>
      </c>
      <c r="L553" s="671" t="s">
        <v>304</v>
      </c>
      <c r="M553" s="243" t="s">
        <v>304</v>
      </c>
      <c r="N553" s="688" t="s">
        <v>304</v>
      </c>
      <c r="O553" s="688" t="s">
        <v>304</v>
      </c>
      <c r="P553" s="671" t="s">
        <v>304</v>
      </c>
      <c r="Q553" s="686" t="s">
        <v>304</v>
      </c>
      <c r="R553" s="686"/>
      <c r="S553" s="671" t="s">
        <v>305</v>
      </c>
      <c r="T553" s="671" t="s">
        <v>304</v>
      </c>
      <c r="U553" s="671" t="s">
        <v>304</v>
      </c>
      <c r="V553" s="671" t="s">
        <v>304</v>
      </c>
      <c r="W553" s="671" t="s">
        <v>304</v>
      </c>
      <c r="X553" s="671" t="s">
        <v>304</v>
      </c>
      <c r="Y553" s="671" t="s">
        <v>304</v>
      </c>
      <c r="Z553" s="671" t="s">
        <v>304</v>
      </c>
      <c r="AA553" s="671" t="s">
        <v>304</v>
      </c>
      <c r="AB553" s="243" t="s">
        <v>304</v>
      </c>
      <c r="AC553" s="688" t="s">
        <v>304</v>
      </c>
      <c r="AD553" s="688" t="s">
        <v>304</v>
      </c>
      <c r="AE553" s="671" t="s">
        <v>304</v>
      </c>
      <c r="AH553" s="690" t="s">
        <v>304</v>
      </c>
    </row>
    <row r="554" spans="1:34" x14ac:dyDescent="0.25">
      <c r="A554" s="695" t="s">
        <v>45</v>
      </c>
      <c r="B554" s="671">
        <v>0.98</v>
      </c>
      <c r="C554" s="671">
        <v>8</v>
      </c>
      <c r="D554" s="671" t="s">
        <v>305</v>
      </c>
      <c r="E554" s="671" t="s">
        <v>304</v>
      </c>
      <c r="F554" s="671" t="s">
        <v>305</v>
      </c>
      <c r="G554" s="671" t="s">
        <v>304</v>
      </c>
      <c r="H554" s="671" t="s">
        <v>305</v>
      </c>
      <c r="I554" s="671" t="s">
        <v>305</v>
      </c>
      <c r="J554" s="671" t="s">
        <v>999</v>
      </c>
      <c r="K554" s="671" t="s">
        <v>304</v>
      </c>
      <c r="L554" s="671" t="s">
        <v>304</v>
      </c>
      <c r="M554" s="243" t="s">
        <v>304</v>
      </c>
      <c r="N554" s="688" t="s">
        <v>304</v>
      </c>
      <c r="O554" s="688" t="s">
        <v>304</v>
      </c>
      <c r="P554" s="671" t="s">
        <v>304</v>
      </c>
      <c r="Q554" s="686" t="s">
        <v>304</v>
      </c>
      <c r="R554" s="686"/>
      <c r="S554" s="671" t="s">
        <v>305</v>
      </c>
      <c r="T554" s="671" t="s">
        <v>304</v>
      </c>
      <c r="U554" s="671" t="s">
        <v>304</v>
      </c>
      <c r="V554" s="671" t="s">
        <v>304</v>
      </c>
      <c r="W554" s="671" t="s">
        <v>304</v>
      </c>
      <c r="X554" s="671" t="s">
        <v>304</v>
      </c>
      <c r="Y554" s="671" t="s">
        <v>304</v>
      </c>
      <c r="Z554" s="671" t="s">
        <v>304</v>
      </c>
      <c r="AA554" s="671" t="s">
        <v>304</v>
      </c>
      <c r="AB554" s="243" t="s">
        <v>304</v>
      </c>
      <c r="AC554" s="688" t="s">
        <v>304</v>
      </c>
      <c r="AD554" s="688" t="s">
        <v>304</v>
      </c>
      <c r="AE554" s="671" t="s">
        <v>304</v>
      </c>
      <c r="AH554" s="690" t="s">
        <v>304</v>
      </c>
    </row>
    <row r="555" spans="1:34" x14ac:dyDescent="0.25">
      <c r="A555" s="695" t="s">
        <v>459</v>
      </c>
      <c r="B555" s="671">
        <v>0.87</v>
      </c>
      <c r="C555" s="671">
        <v>8</v>
      </c>
      <c r="D555" s="671" t="s">
        <v>305</v>
      </c>
      <c r="E555" s="671" t="s">
        <v>305</v>
      </c>
      <c r="F555" s="671" t="s">
        <v>305</v>
      </c>
      <c r="G555" s="671" t="s">
        <v>304</v>
      </c>
      <c r="H555" s="671" t="s">
        <v>304</v>
      </c>
      <c r="I555" s="671" t="s">
        <v>305</v>
      </c>
      <c r="J555" s="671" t="s">
        <v>999</v>
      </c>
      <c r="K555" s="671" t="s">
        <v>304</v>
      </c>
      <c r="L555" s="671" t="s">
        <v>304</v>
      </c>
      <c r="M555" s="243" t="s">
        <v>304</v>
      </c>
      <c r="N555" s="688" t="s">
        <v>304</v>
      </c>
      <c r="O555" s="688" t="s">
        <v>304</v>
      </c>
      <c r="P555" s="671" t="s">
        <v>304</v>
      </c>
      <c r="Q555" s="686" t="s">
        <v>304</v>
      </c>
      <c r="R555" s="686"/>
      <c r="S555" s="671" t="s">
        <v>305</v>
      </c>
      <c r="T555" s="671" t="s">
        <v>304</v>
      </c>
      <c r="U555" s="671" t="s">
        <v>304</v>
      </c>
      <c r="V555" s="671" t="s">
        <v>304</v>
      </c>
      <c r="W555" s="671" t="s">
        <v>304</v>
      </c>
      <c r="X555" s="671" t="s">
        <v>304</v>
      </c>
      <c r="Y555" s="671" t="s">
        <v>304</v>
      </c>
      <c r="Z555" s="671" t="s">
        <v>304</v>
      </c>
      <c r="AA555" s="671" t="s">
        <v>304</v>
      </c>
      <c r="AB555" s="243" t="s">
        <v>304</v>
      </c>
      <c r="AC555" s="688" t="s">
        <v>304</v>
      </c>
      <c r="AD555" s="688" t="s">
        <v>304</v>
      </c>
      <c r="AE555" s="671" t="s">
        <v>304</v>
      </c>
      <c r="AH555" s="690" t="s">
        <v>304</v>
      </c>
    </row>
    <row r="556" spans="1:34" x14ac:dyDescent="0.25">
      <c r="A556" s="695" t="s">
        <v>461</v>
      </c>
      <c r="B556" s="671">
        <v>1.1000000000000001</v>
      </c>
      <c r="C556" s="671">
        <v>4</v>
      </c>
      <c r="D556" s="671" t="s">
        <v>305</v>
      </c>
      <c r="E556" s="671" t="s">
        <v>304</v>
      </c>
      <c r="F556" s="671" t="s">
        <v>304</v>
      </c>
      <c r="G556" s="671" t="s">
        <v>305</v>
      </c>
      <c r="H556" s="671" t="s">
        <v>304</v>
      </c>
      <c r="I556" s="671" t="s">
        <v>305</v>
      </c>
      <c r="J556" s="671" t="s">
        <v>999</v>
      </c>
      <c r="K556" s="671" t="s">
        <v>304</v>
      </c>
      <c r="L556" s="671" t="s">
        <v>304</v>
      </c>
      <c r="M556" s="243" t="s">
        <v>304</v>
      </c>
      <c r="N556" s="688" t="s">
        <v>304</v>
      </c>
      <c r="O556" s="688" t="s">
        <v>304</v>
      </c>
      <c r="P556" s="671" t="s">
        <v>304</v>
      </c>
      <c r="Q556" s="686">
        <v>5</v>
      </c>
      <c r="R556" s="686"/>
      <c r="S556" s="671" t="s">
        <v>305</v>
      </c>
      <c r="T556" s="671" t="s">
        <v>304</v>
      </c>
      <c r="U556" s="671" t="s">
        <v>304</v>
      </c>
      <c r="V556" s="671" t="s">
        <v>304</v>
      </c>
      <c r="W556" s="671" t="s">
        <v>304</v>
      </c>
      <c r="X556" s="671" t="s">
        <v>304</v>
      </c>
      <c r="Y556" s="671" t="s">
        <v>304</v>
      </c>
      <c r="Z556" s="671" t="s">
        <v>304</v>
      </c>
      <c r="AA556" s="671" t="s">
        <v>304</v>
      </c>
      <c r="AB556" s="243" t="s">
        <v>304</v>
      </c>
      <c r="AC556" s="688" t="s">
        <v>304</v>
      </c>
      <c r="AD556" s="688" t="s">
        <v>304</v>
      </c>
      <c r="AE556" s="671" t="s">
        <v>304</v>
      </c>
      <c r="AH556" s="690" t="s">
        <v>306</v>
      </c>
    </row>
    <row r="557" spans="1:34" x14ac:dyDescent="0.25">
      <c r="A557" s="695" t="s">
        <v>47</v>
      </c>
      <c r="B557" s="671">
        <v>1.68</v>
      </c>
      <c r="C557" s="671">
        <v>6</v>
      </c>
      <c r="D557" s="671" t="s">
        <v>305</v>
      </c>
      <c r="E557" s="671" t="s">
        <v>305</v>
      </c>
      <c r="F557" s="671" t="s">
        <v>304</v>
      </c>
      <c r="G557" s="671" t="s">
        <v>305</v>
      </c>
      <c r="H557" s="671" t="s">
        <v>304</v>
      </c>
      <c r="I557" s="671" t="s">
        <v>305</v>
      </c>
      <c r="J557" s="671" t="s">
        <v>999</v>
      </c>
      <c r="K557" s="671" t="s">
        <v>304</v>
      </c>
      <c r="L557" s="671" t="s">
        <v>304</v>
      </c>
      <c r="M557" s="243" t="s">
        <v>304</v>
      </c>
      <c r="N557" s="688" t="s">
        <v>304</v>
      </c>
      <c r="O557" s="688" t="s">
        <v>304</v>
      </c>
      <c r="P557" s="671" t="s">
        <v>304</v>
      </c>
      <c r="Q557" s="686">
        <v>4</v>
      </c>
      <c r="R557" s="686"/>
      <c r="S557" s="671" t="s">
        <v>305</v>
      </c>
      <c r="T557" s="671" t="s">
        <v>304</v>
      </c>
      <c r="U557" s="671" t="s">
        <v>304</v>
      </c>
      <c r="V557" s="671" t="s">
        <v>304</v>
      </c>
      <c r="W557" s="671" t="s">
        <v>304</v>
      </c>
      <c r="X557" s="671" t="s">
        <v>304</v>
      </c>
      <c r="Y557" s="671" t="s">
        <v>304</v>
      </c>
      <c r="Z557" s="671" t="s">
        <v>304</v>
      </c>
      <c r="AA557" s="671" t="s">
        <v>304</v>
      </c>
      <c r="AB557" s="243" t="s">
        <v>304</v>
      </c>
      <c r="AC557" s="688" t="s">
        <v>304</v>
      </c>
      <c r="AD557" s="688" t="s">
        <v>304</v>
      </c>
      <c r="AE557" s="671" t="s">
        <v>304</v>
      </c>
      <c r="AH557" s="690" t="s">
        <v>463</v>
      </c>
    </row>
    <row r="558" spans="1:34" x14ac:dyDescent="0.25">
      <c r="A558" s="695" t="s">
        <v>467</v>
      </c>
      <c r="B558" s="671">
        <v>3.01</v>
      </c>
      <c r="C558" s="671">
        <v>4</v>
      </c>
      <c r="D558" s="671" t="s">
        <v>305</v>
      </c>
      <c r="E558" s="671" t="s">
        <v>305</v>
      </c>
      <c r="F558" s="671" t="s">
        <v>304</v>
      </c>
      <c r="G558" s="671" t="s">
        <v>305</v>
      </c>
      <c r="H558" s="671" t="s">
        <v>305</v>
      </c>
      <c r="I558" s="671" t="s">
        <v>305</v>
      </c>
      <c r="J558" s="671" t="s">
        <v>999</v>
      </c>
      <c r="K558" s="671" t="s">
        <v>304</v>
      </c>
      <c r="L558" s="671" t="s">
        <v>304</v>
      </c>
      <c r="M558" s="243" t="s">
        <v>304</v>
      </c>
      <c r="N558" s="688" t="s">
        <v>304</v>
      </c>
      <c r="O558" s="688" t="s">
        <v>304</v>
      </c>
      <c r="P558" s="671" t="s">
        <v>304</v>
      </c>
      <c r="Q558" s="686" t="s">
        <v>304</v>
      </c>
      <c r="R558" s="686"/>
      <c r="S558" s="671" t="s">
        <v>305</v>
      </c>
      <c r="T558" s="671" t="s">
        <v>304</v>
      </c>
      <c r="U558" s="671" t="s">
        <v>304</v>
      </c>
      <c r="V558" s="671" t="s">
        <v>304</v>
      </c>
      <c r="W558" s="671" t="s">
        <v>304</v>
      </c>
      <c r="X558" s="671" t="s">
        <v>304</v>
      </c>
      <c r="Y558" s="671" t="s">
        <v>304</v>
      </c>
      <c r="Z558" s="671" t="s">
        <v>304</v>
      </c>
      <c r="AA558" s="671" t="s">
        <v>304</v>
      </c>
      <c r="AB558" s="243" t="s">
        <v>304</v>
      </c>
      <c r="AC558" s="688" t="s">
        <v>304</v>
      </c>
      <c r="AD558" s="688" t="s">
        <v>304</v>
      </c>
      <c r="AE558" s="671" t="s">
        <v>304</v>
      </c>
      <c r="AH558" s="690" t="s">
        <v>304</v>
      </c>
    </row>
    <row r="559" spans="1:34" x14ac:dyDescent="0.25">
      <c r="A559" s="695" t="s">
        <v>469</v>
      </c>
      <c r="B559" s="671">
        <v>1.92</v>
      </c>
      <c r="C559" s="671">
        <v>4</v>
      </c>
      <c r="D559" s="671" t="s">
        <v>305</v>
      </c>
      <c r="E559" s="671" t="s">
        <v>305</v>
      </c>
      <c r="F559" s="671" t="s">
        <v>304</v>
      </c>
      <c r="G559" s="671" t="s">
        <v>305</v>
      </c>
      <c r="H559" s="671" t="s">
        <v>305</v>
      </c>
      <c r="I559" s="671" t="s">
        <v>305</v>
      </c>
      <c r="J559" s="671" t="s">
        <v>999</v>
      </c>
      <c r="K559" s="671" t="s">
        <v>304</v>
      </c>
      <c r="L559" s="671" t="s">
        <v>304</v>
      </c>
      <c r="M559" s="243" t="s">
        <v>304</v>
      </c>
      <c r="N559" s="688" t="s">
        <v>304</v>
      </c>
      <c r="O559" s="688" t="s">
        <v>304</v>
      </c>
      <c r="P559" s="671" t="s">
        <v>304</v>
      </c>
      <c r="Q559" s="686" t="s">
        <v>304</v>
      </c>
      <c r="R559" s="686"/>
      <c r="S559" s="671" t="s">
        <v>305</v>
      </c>
      <c r="T559" s="671" t="s">
        <v>304</v>
      </c>
      <c r="U559" s="671" t="s">
        <v>304</v>
      </c>
      <c r="V559" s="671" t="s">
        <v>304</v>
      </c>
      <c r="W559" s="671" t="s">
        <v>304</v>
      </c>
      <c r="X559" s="671" t="s">
        <v>304</v>
      </c>
      <c r="Y559" s="671" t="s">
        <v>304</v>
      </c>
      <c r="Z559" s="671" t="s">
        <v>304</v>
      </c>
      <c r="AA559" s="671" t="s">
        <v>304</v>
      </c>
      <c r="AB559" s="243" t="s">
        <v>304</v>
      </c>
      <c r="AC559" s="688" t="s">
        <v>304</v>
      </c>
      <c r="AD559" s="688" t="s">
        <v>304</v>
      </c>
      <c r="AE559" s="671" t="s">
        <v>304</v>
      </c>
      <c r="AH559" s="690" t="s">
        <v>304</v>
      </c>
    </row>
    <row r="560" spans="1:34" x14ac:dyDescent="0.25">
      <c r="A560" s="695" t="s">
        <v>471</v>
      </c>
      <c r="B560" s="671">
        <v>1.2</v>
      </c>
      <c r="C560" s="671">
        <v>4</v>
      </c>
      <c r="D560" s="671" t="s">
        <v>305</v>
      </c>
      <c r="E560" s="671" t="s">
        <v>305</v>
      </c>
      <c r="F560" s="671" t="s">
        <v>304</v>
      </c>
      <c r="G560" s="671" t="s">
        <v>305</v>
      </c>
      <c r="H560" s="671" t="s">
        <v>305</v>
      </c>
      <c r="I560" s="671" t="s">
        <v>305</v>
      </c>
      <c r="J560" s="671" t="s">
        <v>999</v>
      </c>
      <c r="K560" s="671" t="s">
        <v>304</v>
      </c>
      <c r="L560" s="671" t="s">
        <v>304</v>
      </c>
      <c r="M560" s="243" t="s">
        <v>304</v>
      </c>
      <c r="N560" s="688" t="s">
        <v>304</v>
      </c>
      <c r="O560" s="688" t="s">
        <v>304</v>
      </c>
      <c r="P560" s="671" t="s">
        <v>304</v>
      </c>
      <c r="Q560" s="686" t="s">
        <v>304</v>
      </c>
      <c r="R560" s="686"/>
      <c r="S560" s="671" t="s">
        <v>305</v>
      </c>
      <c r="T560" s="671" t="s">
        <v>304</v>
      </c>
      <c r="U560" s="671" t="s">
        <v>304</v>
      </c>
      <c r="V560" s="671" t="s">
        <v>304</v>
      </c>
      <c r="W560" s="671" t="s">
        <v>304</v>
      </c>
      <c r="X560" s="671" t="s">
        <v>304</v>
      </c>
      <c r="Y560" s="671" t="s">
        <v>304</v>
      </c>
      <c r="Z560" s="671" t="s">
        <v>304</v>
      </c>
      <c r="AA560" s="671" t="s">
        <v>304</v>
      </c>
      <c r="AB560" s="243" t="s">
        <v>304</v>
      </c>
      <c r="AC560" s="688" t="s">
        <v>304</v>
      </c>
      <c r="AD560" s="688" t="s">
        <v>304</v>
      </c>
      <c r="AE560" s="671" t="s">
        <v>304</v>
      </c>
      <c r="AH560" s="690" t="s">
        <v>304</v>
      </c>
    </row>
    <row r="561" spans="1:34" x14ac:dyDescent="0.25">
      <c r="A561" s="695" t="s">
        <v>473</v>
      </c>
      <c r="B561" s="671">
        <v>0.72</v>
      </c>
      <c r="C561" s="671">
        <v>4</v>
      </c>
      <c r="D561" s="671" t="s">
        <v>305</v>
      </c>
      <c r="E561" s="671" t="s">
        <v>305</v>
      </c>
      <c r="F561" s="671" t="s">
        <v>304</v>
      </c>
      <c r="G561" s="671" t="s">
        <v>305</v>
      </c>
      <c r="H561" s="671" t="s">
        <v>305</v>
      </c>
      <c r="I561" s="671" t="s">
        <v>305</v>
      </c>
      <c r="J561" s="671" t="s">
        <v>999</v>
      </c>
      <c r="K561" s="671" t="s">
        <v>304</v>
      </c>
      <c r="L561" s="671" t="s">
        <v>304</v>
      </c>
      <c r="M561" s="243" t="s">
        <v>304</v>
      </c>
      <c r="N561" s="688" t="s">
        <v>304</v>
      </c>
      <c r="O561" s="688" t="s">
        <v>304</v>
      </c>
      <c r="P561" s="671" t="s">
        <v>304</v>
      </c>
      <c r="Q561" s="686" t="s">
        <v>304</v>
      </c>
      <c r="R561" s="686"/>
      <c r="S561" s="671" t="s">
        <v>305</v>
      </c>
      <c r="T561" s="671" t="s">
        <v>304</v>
      </c>
      <c r="U561" s="671" t="s">
        <v>304</v>
      </c>
      <c r="V561" s="671" t="s">
        <v>304</v>
      </c>
      <c r="W561" s="671" t="s">
        <v>304</v>
      </c>
      <c r="X561" s="671" t="s">
        <v>304</v>
      </c>
      <c r="Y561" s="671" t="s">
        <v>304</v>
      </c>
      <c r="Z561" s="671" t="s">
        <v>304</v>
      </c>
      <c r="AA561" s="671" t="s">
        <v>304</v>
      </c>
      <c r="AB561" s="243" t="s">
        <v>304</v>
      </c>
      <c r="AC561" s="688" t="s">
        <v>304</v>
      </c>
      <c r="AD561" s="688" t="s">
        <v>304</v>
      </c>
      <c r="AE561" s="671" t="s">
        <v>304</v>
      </c>
      <c r="AH561" s="690" t="s">
        <v>304</v>
      </c>
    </row>
    <row r="562" spans="1:34" x14ac:dyDescent="0.25">
      <c r="A562" s="695" t="s">
        <v>475</v>
      </c>
      <c r="B562" s="671">
        <v>0.69</v>
      </c>
      <c r="C562" s="671">
        <v>10</v>
      </c>
      <c r="D562" s="671" t="s">
        <v>305</v>
      </c>
      <c r="E562" s="671" t="s">
        <v>304</v>
      </c>
      <c r="F562" s="671" t="s">
        <v>304</v>
      </c>
      <c r="G562" s="671" t="s">
        <v>305</v>
      </c>
      <c r="H562" s="671" t="s">
        <v>305</v>
      </c>
      <c r="I562" s="671" t="s">
        <v>305</v>
      </c>
      <c r="J562" s="671" t="s">
        <v>1000</v>
      </c>
      <c r="K562" s="671" t="s">
        <v>304</v>
      </c>
      <c r="L562" s="671" t="s">
        <v>304</v>
      </c>
      <c r="M562" s="243" t="s">
        <v>304</v>
      </c>
      <c r="N562" s="688" t="s">
        <v>304</v>
      </c>
      <c r="O562" s="688" t="s">
        <v>304</v>
      </c>
      <c r="P562" s="671" t="s">
        <v>304</v>
      </c>
      <c r="Q562" s="686">
        <v>5</v>
      </c>
      <c r="R562" s="686"/>
      <c r="S562" s="671" t="s">
        <v>305</v>
      </c>
      <c r="T562" s="671" t="s">
        <v>304</v>
      </c>
      <c r="U562" s="671" t="s">
        <v>304</v>
      </c>
      <c r="V562" s="671" t="s">
        <v>304</v>
      </c>
      <c r="W562" s="671" t="s">
        <v>304</v>
      </c>
      <c r="X562" s="671" t="s">
        <v>304</v>
      </c>
      <c r="Y562" s="671" t="s">
        <v>304</v>
      </c>
      <c r="Z562" s="671" t="s">
        <v>304</v>
      </c>
      <c r="AA562" s="671" t="s">
        <v>304</v>
      </c>
      <c r="AB562" s="243" t="s">
        <v>304</v>
      </c>
      <c r="AC562" s="688" t="s">
        <v>304</v>
      </c>
      <c r="AD562" s="688" t="s">
        <v>304</v>
      </c>
      <c r="AE562" s="671" t="s">
        <v>304</v>
      </c>
      <c r="AH562" s="690" t="s">
        <v>306</v>
      </c>
    </row>
    <row r="563" spans="1:34" x14ac:dyDescent="0.25">
      <c r="A563" s="695" t="s">
        <v>477</v>
      </c>
      <c r="B563" s="671">
        <v>0.63</v>
      </c>
      <c r="C563" s="671">
        <v>6</v>
      </c>
      <c r="D563" s="671" t="s">
        <v>305</v>
      </c>
      <c r="E563" s="671" t="s">
        <v>304</v>
      </c>
      <c r="F563" s="671" t="s">
        <v>305</v>
      </c>
      <c r="G563" s="671" t="s">
        <v>304</v>
      </c>
      <c r="H563" s="671" t="s">
        <v>305</v>
      </c>
      <c r="I563" s="671" t="s">
        <v>305</v>
      </c>
      <c r="J563" s="671" t="s">
        <v>999</v>
      </c>
      <c r="K563" s="671" t="s">
        <v>304</v>
      </c>
      <c r="L563" s="671" t="s">
        <v>304</v>
      </c>
      <c r="M563" s="243" t="s">
        <v>304</v>
      </c>
      <c r="N563" s="688" t="s">
        <v>304</v>
      </c>
      <c r="O563" s="688" t="s">
        <v>304</v>
      </c>
      <c r="P563" s="671" t="s">
        <v>304</v>
      </c>
      <c r="Q563" s="686" t="s">
        <v>304</v>
      </c>
      <c r="R563" s="686"/>
      <c r="S563" s="671" t="s">
        <v>305</v>
      </c>
      <c r="T563" s="671" t="s">
        <v>304</v>
      </c>
      <c r="U563" s="671" t="s">
        <v>304</v>
      </c>
      <c r="V563" s="671" t="s">
        <v>304</v>
      </c>
      <c r="W563" s="671" t="s">
        <v>304</v>
      </c>
      <c r="X563" s="671" t="s">
        <v>304</v>
      </c>
      <c r="Y563" s="671" t="s">
        <v>304</v>
      </c>
      <c r="Z563" s="671" t="s">
        <v>304</v>
      </c>
      <c r="AA563" s="671" t="s">
        <v>304</v>
      </c>
      <c r="AB563" s="243" t="s">
        <v>304</v>
      </c>
      <c r="AC563" s="688" t="s">
        <v>304</v>
      </c>
      <c r="AD563" s="688" t="s">
        <v>304</v>
      </c>
      <c r="AE563" s="671" t="s">
        <v>304</v>
      </c>
      <c r="AH563" s="690" t="s">
        <v>304</v>
      </c>
    </row>
    <row r="564" spans="1:34" x14ac:dyDescent="0.25">
      <c r="A564" s="695" t="s">
        <v>962</v>
      </c>
      <c r="B564" s="671">
        <v>0.63</v>
      </c>
      <c r="C564" s="671">
        <v>6</v>
      </c>
      <c r="D564" s="671" t="s">
        <v>305</v>
      </c>
      <c r="E564" s="671" t="s">
        <v>304</v>
      </c>
      <c r="F564" s="671" t="s">
        <v>305</v>
      </c>
      <c r="G564" s="671" t="s">
        <v>304</v>
      </c>
      <c r="H564" s="671" t="s">
        <v>305</v>
      </c>
      <c r="I564" s="671" t="s">
        <v>305</v>
      </c>
      <c r="J564" s="671" t="s">
        <v>999</v>
      </c>
      <c r="K564" s="671" t="s">
        <v>304</v>
      </c>
      <c r="L564" s="671" t="s">
        <v>304</v>
      </c>
      <c r="M564" s="243" t="s">
        <v>304</v>
      </c>
      <c r="N564" s="688" t="s">
        <v>304</v>
      </c>
      <c r="O564" s="688" t="s">
        <v>304</v>
      </c>
      <c r="P564" s="671" t="s">
        <v>304</v>
      </c>
      <c r="Q564" s="686" t="s">
        <v>304</v>
      </c>
      <c r="R564" s="686"/>
      <c r="S564" s="671" t="s">
        <v>305</v>
      </c>
      <c r="T564" s="671" t="s">
        <v>304</v>
      </c>
      <c r="U564" s="671" t="s">
        <v>304</v>
      </c>
      <c r="V564" s="671" t="s">
        <v>304</v>
      </c>
      <c r="W564" s="671" t="s">
        <v>304</v>
      </c>
      <c r="X564" s="671" t="s">
        <v>304</v>
      </c>
      <c r="Y564" s="671" t="s">
        <v>304</v>
      </c>
      <c r="Z564" s="671" t="s">
        <v>304</v>
      </c>
      <c r="AA564" s="671" t="s">
        <v>304</v>
      </c>
      <c r="AB564" s="243" t="s">
        <v>304</v>
      </c>
      <c r="AC564" s="688" t="s">
        <v>304</v>
      </c>
      <c r="AD564" s="688" t="s">
        <v>304</v>
      </c>
      <c r="AE564" s="671" t="s">
        <v>304</v>
      </c>
      <c r="AH564" s="690" t="s">
        <v>304</v>
      </c>
    </row>
    <row r="565" spans="1:34" x14ac:dyDescent="0.25">
      <c r="A565" s="695" t="s">
        <v>478</v>
      </c>
      <c r="B565" s="671">
        <v>0.36</v>
      </c>
      <c r="C565" s="671">
        <v>4</v>
      </c>
      <c r="D565" s="671" t="s">
        <v>305</v>
      </c>
      <c r="E565" s="671" t="s">
        <v>304</v>
      </c>
      <c r="F565" s="671" t="s">
        <v>304</v>
      </c>
      <c r="G565" s="671" t="s">
        <v>305</v>
      </c>
      <c r="H565" s="671" t="s">
        <v>305</v>
      </c>
      <c r="I565" s="671" t="s">
        <v>305</v>
      </c>
      <c r="J565" s="671" t="s">
        <v>999</v>
      </c>
      <c r="K565" s="671" t="s">
        <v>304</v>
      </c>
      <c r="L565" s="671" t="s">
        <v>304</v>
      </c>
      <c r="M565" s="243" t="s">
        <v>304</v>
      </c>
      <c r="N565" s="688" t="s">
        <v>304</v>
      </c>
      <c r="O565" s="688" t="s">
        <v>304</v>
      </c>
      <c r="P565" s="671" t="s">
        <v>304</v>
      </c>
      <c r="Q565" s="686" t="s">
        <v>304</v>
      </c>
      <c r="R565" s="686"/>
      <c r="S565" s="671" t="s">
        <v>305</v>
      </c>
      <c r="T565" s="671" t="s">
        <v>304</v>
      </c>
      <c r="U565" s="671" t="s">
        <v>304</v>
      </c>
      <c r="V565" s="671" t="s">
        <v>304</v>
      </c>
      <c r="W565" s="671" t="s">
        <v>304</v>
      </c>
      <c r="X565" s="671" t="s">
        <v>304</v>
      </c>
      <c r="Y565" s="671" t="s">
        <v>304</v>
      </c>
      <c r="Z565" s="671" t="s">
        <v>304</v>
      </c>
      <c r="AA565" s="671" t="s">
        <v>304</v>
      </c>
      <c r="AB565" s="243" t="s">
        <v>304</v>
      </c>
      <c r="AC565" s="688" t="s">
        <v>304</v>
      </c>
      <c r="AD565" s="688" t="s">
        <v>304</v>
      </c>
      <c r="AE565" s="671" t="s">
        <v>304</v>
      </c>
      <c r="AH565" s="690" t="s">
        <v>304</v>
      </c>
    </row>
    <row r="566" spans="1:34" x14ac:dyDescent="0.25">
      <c r="A566" s="695" t="s">
        <v>480</v>
      </c>
      <c r="B566" s="671">
        <v>0.76</v>
      </c>
      <c r="C566" s="671">
        <v>4</v>
      </c>
      <c r="D566" s="671" t="s">
        <v>305</v>
      </c>
      <c r="E566" s="671" t="s">
        <v>305</v>
      </c>
      <c r="F566" s="671" t="s">
        <v>304</v>
      </c>
      <c r="G566" s="671" t="s">
        <v>305</v>
      </c>
      <c r="H566" s="671" t="s">
        <v>305</v>
      </c>
      <c r="I566" s="671" t="s">
        <v>305</v>
      </c>
      <c r="J566" s="671" t="s">
        <v>999</v>
      </c>
      <c r="K566" s="671" t="s">
        <v>304</v>
      </c>
      <c r="L566" s="671" t="s">
        <v>304</v>
      </c>
      <c r="M566" s="243" t="s">
        <v>304</v>
      </c>
      <c r="N566" s="688" t="s">
        <v>304</v>
      </c>
      <c r="O566" s="688" t="s">
        <v>304</v>
      </c>
      <c r="P566" s="671" t="s">
        <v>304</v>
      </c>
      <c r="Q566" s="686" t="s">
        <v>304</v>
      </c>
      <c r="R566" s="686"/>
      <c r="S566" s="671" t="s">
        <v>305</v>
      </c>
      <c r="T566" s="671" t="s">
        <v>304</v>
      </c>
      <c r="U566" s="671" t="s">
        <v>304</v>
      </c>
      <c r="V566" s="671" t="s">
        <v>304</v>
      </c>
      <c r="W566" s="671" t="s">
        <v>304</v>
      </c>
      <c r="X566" s="671" t="s">
        <v>304</v>
      </c>
      <c r="Y566" s="671" t="s">
        <v>304</v>
      </c>
      <c r="Z566" s="671" t="s">
        <v>304</v>
      </c>
      <c r="AA566" s="671" t="s">
        <v>304</v>
      </c>
      <c r="AB566" s="243" t="s">
        <v>304</v>
      </c>
      <c r="AC566" s="688" t="s">
        <v>304</v>
      </c>
      <c r="AD566" s="688" t="s">
        <v>304</v>
      </c>
      <c r="AE566" s="671" t="s">
        <v>304</v>
      </c>
      <c r="AH566" s="690" t="s">
        <v>304</v>
      </c>
    </row>
    <row r="567" spans="1:34" x14ac:dyDescent="0.25">
      <c r="A567" s="695" t="s">
        <v>482</v>
      </c>
      <c r="B567" s="671">
        <v>1.08</v>
      </c>
      <c r="C567" s="671">
        <v>4</v>
      </c>
      <c r="D567" s="671" t="s">
        <v>305</v>
      </c>
      <c r="E567" s="671" t="s">
        <v>305</v>
      </c>
      <c r="F567" s="671" t="s">
        <v>304</v>
      </c>
      <c r="G567" s="671" t="s">
        <v>305</v>
      </c>
      <c r="H567" s="671" t="s">
        <v>305</v>
      </c>
      <c r="I567" s="671" t="s">
        <v>305</v>
      </c>
      <c r="J567" s="671" t="s">
        <v>999</v>
      </c>
      <c r="K567" s="671" t="s">
        <v>304</v>
      </c>
      <c r="L567" s="671" t="s">
        <v>304</v>
      </c>
      <c r="M567" s="243" t="s">
        <v>304</v>
      </c>
      <c r="N567" s="688" t="s">
        <v>304</v>
      </c>
      <c r="O567" s="688" t="s">
        <v>304</v>
      </c>
      <c r="P567" s="671" t="s">
        <v>304</v>
      </c>
      <c r="Q567" s="686" t="s">
        <v>304</v>
      </c>
      <c r="R567" s="686"/>
      <c r="S567" s="671" t="s">
        <v>305</v>
      </c>
      <c r="T567" s="671" t="s">
        <v>304</v>
      </c>
      <c r="U567" s="671" t="s">
        <v>304</v>
      </c>
      <c r="V567" s="671" t="s">
        <v>304</v>
      </c>
      <c r="W567" s="671" t="s">
        <v>304</v>
      </c>
      <c r="X567" s="671" t="s">
        <v>304</v>
      </c>
      <c r="Y567" s="671" t="s">
        <v>304</v>
      </c>
      <c r="Z567" s="671" t="s">
        <v>304</v>
      </c>
      <c r="AA567" s="671" t="s">
        <v>304</v>
      </c>
      <c r="AB567" s="243" t="s">
        <v>304</v>
      </c>
      <c r="AC567" s="688" t="s">
        <v>304</v>
      </c>
      <c r="AD567" s="688" t="s">
        <v>304</v>
      </c>
      <c r="AE567" s="671" t="s">
        <v>304</v>
      </c>
      <c r="AH567" s="690" t="s">
        <v>304</v>
      </c>
    </row>
    <row r="568" spans="1:34" x14ac:dyDescent="0.25">
      <c r="A568" s="695" t="s">
        <v>484</v>
      </c>
      <c r="B568" s="671">
        <v>0.67</v>
      </c>
      <c r="C568" s="671">
        <v>4</v>
      </c>
      <c r="D568" s="671" t="s">
        <v>305</v>
      </c>
      <c r="E568" s="671" t="s">
        <v>305</v>
      </c>
      <c r="F568" s="671" t="s">
        <v>304</v>
      </c>
      <c r="G568" s="671" t="s">
        <v>305</v>
      </c>
      <c r="H568" s="671" t="s">
        <v>305</v>
      </c>
      <c r="I568" s="671" t="s">
        <v>305</v>
      </c>
      <c r="J568" s="671" t="s">
        <v>999</v>
      </c>
      <c r="K568" s="671" t="s">
        <v>304</v>
      </c>
      <c r="L568" s="671" t="s">
        <v>304</v>
      </c>
      <c r="M568" s="243" t="s">
        <v>304</v>
      </c>
      <c r="N568" s="688" t="s">
        <v>304</v>
      </c>
      <c r="O568" s="688" t="s">
        <v>304</v>
      </c>
      <c r="P568" s="671" t="s">
        <v>304</v>
      </c>
      <c r="Q568" s="686" t="s">
        <v>304</v>
      </c>
      <c r="R568" s="686"/>
      <c r="S568" s="671" t="s">
        <v>305</v>
      </c>
      <c r="T568" s="671" t="s">
        <v>304</v>
      </c>
      <c r="U568" s="671" t="s">
        <v>304</v>
      </c>
      <c r="V568" s="671" t="s">
        <v>304</v>
      </c>
      <c r="W568" s="671" t="s">
        <v>304</v>
      </c>
      <c r="X568" s="671" t="s">
        <v>304</v>
      </c>
      <c r="Y568" s="671" t="s">
        <v>304</v>
      </c>
      <c r="Z568" s="671" t="s">
        <v>304</v>
      </c>
      <c r="AA568" s="671" t="s">
        <v>304</v>
      </c>
      <c r="AB568" s="243" t="s">
        <v>304</v>
      </c>
      <c r="AC568" s="688" t="s">
        <v>304</v>
      </c>
      <c r="AD568" s="688" t="s">
        <v>304</v>
      </c>
      <c r="AE568" s="671" t="s">
        <v>304</v>
      </c>
      <c r="AH568" s="690" t="s">
        <v>304</v>
      </c>
    </row>
    <row r="569" spans="1:34" x14ac:dyDescent="0.25">
      <c r="A569" s="695" t="s">
        <v>486</v>
      </c>
      <c r="B569" s="671">
        <v>0.57999999999999996</v>
      </c>
      <c r="C569" s="671">
        <v>4</v>
      </c>
      <c r="D569" s="671" t="s">
        <v>305</v>
      </c>
      <c r="E569" s="671" t="s">
        <v>304</v>
      </c>
      <c r="F569" s="671" t="s">
        <v>304</v>
      </c>
      <c r="G569" s="671" t="s">
        <v>305</v>
      </c>
      <c r="H569" s="671" t="s">
        <v>305</v>
      </c>
      <c r="I569" s="671" t="s">
        <v>305</v>
      </c>
      <c r="J569" s="671" t="s">
        <v>999</v>
      </c>
      <c r="K569" s="671" t="s">
        <v>304</v>
      </c>
      <c r="L569" s="671" t="s">
        <v>304</v>
      </c>
      <c r="M569" s="243" t="s">
        <v>304</v>
      </c>
      <c r="N569" s="688" t="s">
        <v>304</v>
      </c>
      <c r="O569" s="688" t="s">
        <v>304</v>
      </c>
      <c r="P569" s="671" t="s">
        <v>304</v>
      </c>
      <c r="Q569" s="686" t="s">
        <v>304</v>
      </c>
      <c r="R569" s="686"/>
      <c r="S569" s="671" t="s">
        <v>305</v>
      </c>
      <c r="T569" s="671" t="s">
        <v>304</v>
      </c>
      <c r="U569" s="671" t="s">
        <v>304</v>
      </c>
      <c r="V569" s="671" t="s">
        <v>304</v>
      </c>
      <c r="W569" s="671" t="s">
        <v>304</v>
      </c>
      <c r="X569" s="671" t="s">
        <v>304</v>
      </c>
      <c r="Y569" s="671" t="s">
        <v>304</v>
      </c>
      <c r="Z569" s="671" t="s">
        <v>304</v>
      </c>
      <c r="AA569" s="671" t="s">
        <v>304</v>
      </c>
      <c r="AB569" s="243" t="s">
        <v>304</v>
      </c>
      <c r="AC569" s="688" t="s">
        <v>304</v>
      </c>
      <c r="AD569" s="688" t="s">
        <v>304</v>
      </c>
      <c r="AE569" s="671" t="s">
        <v>304</v>
      </c>
      <c r="AH569" s="690" t="s">
        <v>304</v>
      </c>
    </row>
    <row r="570" spans="1:34" x14ac:dyDescent="0.25">
      <c r="A570" s="695" t="s">
        <v>488</v>
      </c>
      <c r="B570" s="671">
        <v>0.95</v>
      </c>
      <c r="C570" s="671">
        <v>6</v>
      </c>
      <c r="D570" s="671" t="s">
        <v>305</v>
      </c>
      <c r="E570" s="671" t="s">
        <v>305</v>
      </c>
      <c r="F570" s="671" t="s">
        <v>304</v>
      </c>
      <c r="G570" s="671" t="s">
        <v>305</v>
      </c>
      <c r="H570" s="671" t="s">
        <v>305</v>
      </c>
      <c r="I570" s="671" t="s">
        <v>305</v>
      </c>
      <c r="J570" s="671" t="s">
        <v>999</v>
      </c>
      <c r="K570" s="671" t="s">
        <v>304</v>
      </c>
      <c r="L570" s="671" t="s">
        <v>304</v>
      </c>
      <c r="M570" s="243" t="s">
        <v>304</v>
      </c>
      <c r="N570" s="688" t="s">
        <v>304</v>
      </c>
      <c r="O570" s="688" t="s">
        <v>304</v>
      </c>
      <c r="P570" s="671" t="s">
        <v>304</v>
      </c>
      <c r="Q570" s="686" t="s">
        <v>304</v>
      </c>
      <c r="R570" s="686"/>
      <c r="S570" s="671" t="s">
        <v>305</v>
      </c>
      <c r="T570" s="671" t="s">
        <v>304</v>
      </c>
      <c r="U570" s="671" t="s">
        <v>304</v>
      </c>
      <c r="V570" s="671" t="s">
        <v>304</v>
      </c>
      <c r="W570" s="671" t="s">
        <v>304</v>
      </c>
      <c r="X570" s="671" t="s">
        <v>304</v>
      </c>
      <c r="Y570" s="671" t="s">
        <v>304</v>
      </c>
      <c r="Z570" s="671" t="s">
        <v>304</v>
      </c>
      <c r="AA570" s="671" t="s">
        <v>304</v>
      </c>
      <c r="AB570" s="243" t="s">
        <v>304</v>
      </c>
      <c r="AC570" s="688" t="s">
        <v>304</v>
      </c>
      <c r="AD570" s="688" t="s">
        <v>304</v>
      </c>
      <c r="AE570" s="671" t="s">
        <v>304</v>
      </c>
      <c r="AH570" s="690" t="s">
        <v>304</v>
      </c>
    </row>
    <row r="571" spans="1:34" x14ac:dyDescent="0.25">
      <c r="A571" s="695" t="s">
        <v>286</v>
      </c>
      <c r="B571" s="671">
        <v>1.59</v>
      </c>
      <c r="C571" s="671">
        <v>6</v>
      </c>
      <c r="D571" s="671" t="s">
        <v>305</v>
      </c>
      <c r="E571" s="671" t="s">
        <v>305</v>
      </c>
      <c r="F571" s="671" t="s">
        <v>304</v>
      </c>
      <c r="G571" s="671" t="s">
        <v>305</v>
      </c>
      <c r="H571" s="671" t="s">
        <v>305</v>
      </c>
      <c r="I571" s="671" t="s">
        <v>305</v>
      </c>
      <c r="J571" s="671" t="s">
        <v>999</v>
      </c>
      <c r="K571" s="671" t="s">
        <v>304</v>
      </c>
      <c r="L571" s="671" t="s">
        <v>304</v>
      </c>
      <c r="M571" s="243" t="s">
        <v>304</v>
      </c>
      <c r="N571" s="688" t="s">
        <v>304</v>
      </c>
      <c r="O571" s="688" t="s">
        <v>304</v>
      </c>
      <c r="P571" s="671" t="s">
        <v>304</v>
      </c>
      <c r="Q571" s="686" t="s">
        <v>304</v>
      </c>
      <c r="R571" s="686"/>
      <c r="S571" s="671" t="s">
        <v>305</v>
      </c>
      <c r="T571" s="671" t="s">
        <v>304</v>
      </c>
      <c r="U571" s="671" t="s">
        <v>304</v>
      </c>
      <c r="V571" s="671" t="s">
        <v>304</v>
      </c>
      <c r="W571" s="671" t="s">
        <v>304</v>
      </c>
      <c r="X571" s="671" t="s">
        <v>304</v>
      </c>
      <c r="Y571" s="671" t="s">
        <v>304</v>
      </c>
      <c r="Z571" s="671" t="s">
        <v>304</v>
      </c>
      <c r="AA571" s="671" t="s">
        <v>304</v>
      </c>
      <c r="AB571" s="243" t="s">
        <v>304</v>
      </c>
      <c r="AC571" s="688" t="s">
        <v>304</v>
      </c>
      <c r="AD571" s="688" t="s">
        <v>304</v>
      </c>
      <c r="AE571" s="671" t="s">
        <v>304</v>
      </c>
      <c r="AH571" s="690" t="s">
        <v>304</v>
      </c>
    </row>
    <row r="576" spans="1:34" x14ac:dyDescent="0.25">
      <c r="T576" s="148">
        <v>20</v>
      </c>
    </row>
    <row r="578" spans="1:18" x14ac:dyDescent="0.25">
      <c r="P578" s="148">
        <v>14</v>
      </c>
    </row>
    <row r="579" spans="1:18" x14ac:dyDescent="0.25">
      <c r="D579" s="148">
        <v>4</v>
      </c>
      <c r="E579" s="148">
        <v>5</v>
      </c>
      <c r="F579" s="148">
        <v>6</v>
      </c>
      <c r="G579" s="148">
        <v>7</v>
      </c>
      <c r="H579" s="148">
        <v>8</v>
      </c>
      <c r="I579" s="148">
        <v>9</v>
      </c>
      <c r="J579" s="148">
        <v>10</v>
      </c>
      <c r="K579" s="148">
        <v>11</v>
      </c>
      <c r="L579" s="148">
        <v>12</v>
      </c>
      <c r="M579" s="148">
        <v>13</v>
      </c>
      <c r="N579" s="148">
        <v>13</v>
      </c>
      <c r="O579" s="148">
        <v>13</v>
      </c>
    </row>
    <row r="580" spans="1:18" ht="102" x14ac:dyDescent="0.3">
      <c r="A580" s="696" t="s">
        <v>1003</v>
      </c>
      <c r="B580" s="694" t="s">
        <v>293</v>
      </c>
      <c r="C580" s="694" t="s">
        <v>294</v>
      </c>
      <c r="D580" s="694" t="s">
        <v>295</v>
      </c>
      <c r="E580" s="692" t="s">
        <v>296</v>
      </c>
      <c r="F580" s="692" t="s">
        <v>297</v>
      </c>
      <c r="G580" s="692" t="s">
        <v>298</v>
      </c>
      <c r="H580" s="692" t="s">
        <v>300</v>
      </c>
      <c r="I580" s="692" t="s">
        <v>301</v>
      </c>
      <c r="J580" s="692" t="s">
        <v>302</v>
      </c>
      <c r="K580" s="692" t="s">
        <v>1009</v>
      </c>
      <c r="L580" s="692" t="s">
        <v>1009</v>
      </c>
      <c r="M580" s="692" t="s">
        <v>995</v>
      </c>
      <c r="N580" s="692" t="s">
        <v>996</v>
      </c>
      <c r="O580" s="692" t="s">
        <v>997</v>
      </c>
      <c r="P580" s="692" t="s">
        <v>968</v>
      </c>
      <c r="Q580" s="692" t="s">
        <v>292</v>
      </c>
      <c r="R580" s="693" t="s">
        <v>982</v>
      </c>
    </row>
    <row r="581" spans="1:18" ht="123" x14ac:dyDescent="0.3">
      <c r="A581" s="697" t="s">
        <v>1002</v>
      </c>
      <c r="B581" s="691" t="s">
        <v>290</v>
      </c>
      <c r="C581" s="691" t="s">
        <v>291</v>
      </c>
      <c r="D581" s="692" t="s">
        <v>925</v>
      </c>
      <c r="E581" s="692" t="s">
        <v>926</v>
      </c>
      <c r="F581" s="692" t="s">
        <v>927</v>
      </c>
      <c r="G581" s="692" t="s">
        <v>928</v>
      </c>
      <c r="H581" s="692" t="s">
        <v>929</v>
      </c>
      <c r="I581" s="692" t="s">
        <v>930</v>
      </c>
      <c r="J581" s="692" t="s">
        <v>931</v>
      </c>
      <c r="K581" s="692" t="s">
        <v>932</v>
      </c>
      <c r="L581" s="692" t="s">
        <v>933</v>
      </c>
      <c r="M581" s="692" t="s">
        <v>965</v>
      </c>
      <c r="N581" s="692" t="s">
        <v>966</v>
      </c>
      <c r="O581" s="692" t="s">
        <v>967</v>
      </c>
      <c r="P581" s="692" t="s">
        <v>968</v>
      </c>
      <c r="Q581" s="692" t="s">
        <v>958</v>
      </c>
      <c r="R581" s="693" t="s">
        <v>982</v>
      </c>
    </row>
    <row r="582" spans="1:18" ht="123" x14ac:dyDescent="0.3">
      <c r="A582" s="697" t="s">
        <v>1001</v>
      </c>
      <c r="B582" s="691" t="s">
        <v>947</v>
      </c>
      <c r="C582" s="691" t="s">
        <v>948</v>
      </c>
      <c r="D582" s="692" t="s">
        <v>949</v>
      </c>
      <c r="E582" s="692" t="s">
        <v>950</v>
      </c>
      <c r="F582" s="692" t="s">
        <v>951</v>
      </c>
      <c r="G582" s="692" t="s">
        <v>952</v>
      </c>
      <c r="H582" s="692" t="s">
        <v>953</v>
      </c>
      <c r="I582" s="692" t="s">
        <v>954</v>
      </c>
      <c r="J582" s="692" t="s">
        <v>955</v>
      </c>
      <c r="K582" s="692" t="s">
        <v>956</v>
      </c>
      <c r="L582" s="692" t="s">
        <v>957</v>
      </c>
      <c r="M582" s="692" t="s">
        <v>965</v>
      </c>
      <c r="N582" s="692" t="s">
        <v>966</v>
      </c>
      <c r="O582" s="692" t="s">
        <v>967</v>
      </c>
      <c r="P582" s="692" t="s">
        <v>1008</v>
      </c>
    </row>
  </sheetData>
  <sheetProtection sheet="1" objects="1" scenarios="1"/>
  <mergeCells count="25">
    <mergeCell ref="Q115:Q116"/>
    <mergeCell ref="C109:Q109"/>
    <mergeCell ref="C110:E117"/>
    <mergeCell ref="F110:Q110"/>
    <mergeCell ref="F111:Q111"/>
    <mergeCell ref="F112:Q112"/>
    <mergeCell ref="F113:Q113"/>
    <mergeCell ref="F114:Q114"/>
    <mergeCell ref="F115:F117"/>
    <mergeCell ref="G115:G117"/>
    <mergeCell ref="H115:H116"/>
    <mergeCell ref="I115:I116"/>
    <mergeCell ref="J115:J117"/>
    <mergeCell ref="K115:K117"/>
    <mergeCell ref="L115:L116"/>
    <mergeCell ref="P115:P116"/>
    <mergeCell ref="H334:J334"/>
    <mergeCell ref="C230:Q230"/>
    <mergeCell ref="C231:Q231"/>
    <mergeCell ref="C224:Q224"/>
    <mergeCell ref="C225:Q225"/>
    <mergeCell ref="C226:Q226"/>
    <mergeCell ref="C227:Q227"/>
    <mergeCell ref="C228:Q228"/>
    <mergeCell ref="C229:Q229"/>
  </mergeCells>
  <phoneticPr fontId="4" type="noConversion"/>
  <conditionalFormatting sqref="D3:P3">
    <cfRule type="containsText" dxfId="11" priority="13" operator="containsText" text="ADD">
      <formula>NOT(ISERROR(SEARCH("ADD",D3)))</formula>
    </cfRule>
    <cfRule type="cellIs" dxfId="10" priority="14" operator="equal">
      <formula>"REQ"</formula>
    </cfRule>
  </conditionalFormatting>
  <conditionalFormatting sqref="D4:P105">
    <cfRule type="cellIs" dxfId="8" priority="20" operator="equal">
      <formula>"REQ"</formula>
    </cfRule>
  </conditionalFormatting>
  <conditionalFormatting sqref="D347:Q347 D348:P350 D351:Q367 D368:P377 D378:Q383 D384:P386 D387:Q403 D404:P409 D410:Q421 D422:P424 D425:Q458">
    <cfRule type="containsText" dxfId="7" priority="17" operator="containsText" text="ADD">
      <formula>NOT(ISERROR(SEARCH("ADD",D347)))</formula>
    </cfRule>
    <cfRule type="cellIs" dxfId="6" priority="18" operator="equal">
      <formula>"REQ"</formula>
    </cfRule>
  </conditionalFormatting>
  <conditionalFormatting sqref="S2:AE3">
    <cfRule type="containsText" dxfId="5" priority="7" operator="containsText" text="ADD">
      <formula>NOT(ISERROR(SEARCH("ADD",S2)))</formula>
    </cfRule>
    <cfRule type="cellIs" dxfId="4" priority="8" operator="equal">
      <formula>"REQ"</formula>
    </cfRule>
  </conditionalFormatting>
  <conditionalFormatting sqref="S4:AE105">
    <cfRule type="cellIs" dxfId="2" priority="12" operator="equal">
      <formula>"REQ"</formula>
    </cfRule>
  </conditionalFormatting>
  <conditionalFormatting sqref="S346:AE458">
    <cfRule type="containsText" dxfId="1" priority="1" operator="containsText" text="ADD">
      <formula>NOT(ISERROR(SEARCH("ADD",S346)))</formula>
    </cfRule>
    <cfRule type="cellIs" dxfId="0" priority="2" operator="equal">
      <formula>"REQ"</formula>
    </cfRule>
  </conditionalFormatting>
  <dataValidations disablePrompts="1" count="2">
    <dataValidation type="list" allowBlank="1" showInputMessage="1" showErrorMessage="1" sqref="G334" xr:uid="{00000000-0002-0000-1400-000000000000}">
      <formula1>"2016,2019"</formula1>
    </dataValidation>
    <dataValidation type="list" allowBlank="1" showInputMessage="1" showErrorMessage="1" sqref="H334:J334" xr:uid="{00000000-0002-0000-1400-000001000000}">
      <formula1>_Space_Lookup</formula1>
    </dataValidation>
  </dataValidations>
  <pageMargins left="0.7" right="0.7" top="0.75" bottom="0.75" header="0.3" footer="0.3"/>
  <pageSetup orientation="portrait"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containsText" priority="19" operator="containsText" id="{BE226F41-BA85-4286-A1F8-B958AC30C99A}">
            <xm:f>NOT(ISERROR(SEARCH("ADD",D4)))</xm:f>
            <xm:f>"ADD"</xm:f>
            <x14:dxf>
              <font>
                <color rgb="FF9C5700"/>
              </font>
              <fill>
                <patternFill>
                  <bgColor rgb="FFFFEB9C"/>
                </patternFill>
              </fill>
            </x14:dxf>
          </x14:cfRule>
          <xm:sqref>D4:P105</xm:sqref>
        </x14:conditionalFormatting>
        <x14:conditionalFormatting xmlns:xm="http://schemas.microsoft.com/office/excel/2006/main">
          <x14:cfRule type="containsText" priority="11" operator="containsText" id="{1E1B2829-7234-44B8-A137-84551A3ABC0E}">
            <xm:f>NOT(ISERROR(SEARCH("ADD",S4)))</xm:f>
            <xm:f>"ADD"</xm:f>
            <x14:dxf>
              <font>
                <color rgb="FF9C5700"/>
              </font>
              <fill>
                <patternFill>
                  <bgColor rgb="FFFFEB9C"/>
                </patternFill>
              </fill>
            </x14:dxf>
          </x14:cfRule>
          <xm:sqref>S4:AE105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rgb="FFFF0000"/>
  </sheetPr>
  <dimension ref="B1:AE50"/>
  <sheetViews>
    <sheetView workbookViewId="0"/>
  </sheetViews>
  <sheetFormatPr defaultRowHeight="12.5" x14ac:dyDescent="0.25"/>
  <cols>
    <col min="1" max="1" width="2.54296875" customWidth="1"/>
    <col min="2" max="2" width="9.1796875" style="5" customWidth="1"/>
    <col min="3" max="3" width="54.54296875" style="6" customWidth="1"/>
    <col min="4" max="5" width="9.1796875" style="5" customWidth="1"/>
    <col min="6" max="6" width="18.453125" style="5" customWidth="1"/>
    <col min="7" max="7" width="9.1796875" style="5" customWidth="1"/>
    <col min="8" max="8" width="27.26953125" style="5" customWidth="1"/>
    <col min="9" max="10" width="2.54296875" customWidth="1"/>
    <col min="19" max="31" width="18" customWidth="1"/>
  </cols>
  <sheetData>
    <row r="1" spans="2:10" ht="13" thickBot="1" x14ac:dyDescent="0.3"/>
    <row r="2" spans="2:10" ht="13" thickTop="1" x14ac:dyDescent="0.25">
      <c r="B2" s="1863" t="s">
        <v>642</v>
      </c>
      <c r="C2" s="1864"/>
      <c r="D2" s="1864"/>
      <c r="E2" s="1864"/>
      <c r="F2" s="1864"/>
      <c r="G2" s="1864"/>
      <c r="H2" s="1865"/>
      <c r="I2" s="315"/>
      <c r="J2" s="315"/>
    </row>
    <row r="3" spans="2:10" ht="42" x14ac:dyDescent="0.25">
      <c r="B3" s="374" t="s">
        <v>643</v>
      </c>
      <c r="C3" s="375" t="s">
        <v>644</v>
      </c>
      <c r="D3" s="375" t="s">
        <v>443</v>
      </c>
      <c r="E3" s="375" t="s">
        <v>353</v>
      </c>
      <c r="F3" s="375" t="s">
        <v>332</v>
      </c>
      <c r="G3" s="375" t="s">
        <v>463</v>
      </c>
      <c r="H3" s="376" t="s">
        <v>306</v>
      </c>
      <c r="I3" s="307" t="s">
        <v>304</v>
      </c>
    </row>
    <row r="4" spans="2:10" ht="20.5" x14ac:dyDescent="0.25">
      <c r="B4" s="126" t="s">
        <v>645</v>
      </c>
      <c r="C4" s="377" t="s">
        <v>646</v>
      </c>
      <c r="D4" s="378">
        <v>0.05</v>
      </c>
      <c r="E4" s="378">
        <v>0.05</v>
      </c>
      <c r="F4" s="379">
        <v>0.1</v>
      </c>
      <c r="G4" s="378">
        <v>0.1</v>
      </c>
      <c r="H4" s="37">
        <v>0</v>
      </c>
      <c r="I4" s="306">
        <v>0</v>
      </c>
    </row>
    <row r="5" spans="2:10" x14ac:dyDescent="0.25">
      <c r="B5" s="126" t="s">
        <v>647</v>
      </c>
      <c r="C5" s="377" t="s">
        <v>648</v>
      </c>
      <c r="D5" s="378">
        <v>0.05</v>
      </c>
      <c r="E5" s="378">
        <v>0.05</v>
      </c>
      <c r="F5" s="379">
        <v>0.1</v>
      </c>
      <c r="G5" s="378">
        <v>0.1</v>
      </c>
      <c r="H5" s="37">
        <v>0.1</v>
      </c>
      <c r="I5" s="306">
        <v>0</v>
      </c>
    </row>
    <row r="6" spans="2:10" x14ac:dyDescent="0.25">
      <c r="B6" s="126" t="s">
        <v>649</v>
      </c>
      <c r="C6" s="377" t="s">
        <v>650</v>
      </c>
      <c r="D6" s="378">
        <v>0.05</v>
      </c>
      <c r="E6" s="378">
        <v>0.05</v>
      </c>
      <c r="F6" s="378">
        <v>0.05</v>
      </c>
      <c r="G6" s="378">
        <v>0</v>
      </c>
      <c r="H6" s="37">
        <v>0</v>
      </c>
      <c r="I6" s="306">
        <v>0</v>
      </c>
    </row>
    <row r="7" spans="2:10" ht="20.5" x14ac:dyDescent="0.25">
      <c r="B7" s="126" t="s">
        <v>651</v>
      </c>
      <c r="C7" s="380" t="s">
        <v>652</v>
      </c>
      <c r="D7" s="378">
        <v>0.25</v>
      </c>
      <c r="E7" s="378">
        <v>0</v>
      </c>
      <c r="F7" s="378">
        <v>0</v>
      </c>
      <c r="G7" s="378">
        <v>0</v>
      </c>
      <c r="H7" s="37">
        <v>0</v>
      </c>
      <c r="I7" s="306">
        <v>0</v>
      </c>
    </row>
    <row r="8" spans="2:10" ht="30.5" x14ac:dyDescent="0.25">
      <c r="B8" s="126" t="s">
        <v>653</v>
      </c>
      <c r="C8" s="381" t="s">
        <v>654</v>
      </c>
      <c r="D8" s="378">
        <v>0.3</v>
      </c>
      <c r="E8" s="378">
        <v>0</v>
      </c>
      <c r="F8" s="378">
        <v>0</v>
      </c>
      <c r="G8" s="378">
        <v>0</v>
      </c>
      <c r="H8" s="37">
        <v>0</v>
      </c>
      <c r="I8" s="306">
        <v>0</v>
      </c>
    </row>
    <row r="9" spans="2:10" ht="20.5" x14ac:dyDescent="0.25">
      <c r="B9" s="126" t="s">
        <v>655</v>
      </c>
      <c r="C9" s="382" t="s">
        <v>656</v>
      </c>
      <c r="D9" s="378">
        <v>0</v>
      </c>
      <c r="E9" s="378">
        <v>0</v>
      </c>
      <c r="F9" s="378">
        <v>0</v>
      </c>
      <c r="G9" s="378">
        <v>0.1</v>
      </c>
      <c r="H9" s="37">
        <v>0</v>
      </c>
      <c r="I9" s="306">
        <v>0</v>
      </c>
    </row>
    <row r="10" spans="2:10" ht="30.5" x14ac:dyDescent="0.25">
      <c r="B10" s="126" t="s">
        <v>657</v>
      </c>
      <c r="C10" s="382" t="s">
        <v>658</v>
      </c>
      <c r="D10" s="378">
        <v>0.1</v>
      </c>
      <c r="E10" s="378">
        <v>0.1</v>
      </c>
      <c r="F10" s="378">
        <v>0.1</v>
      </c>
      <c r="G10" s="378">
        <v>0.1</v>
      </c>
      <c r="H10" s="37">
        <v>0.1</v>
      </c>
      <c r="I10" s="306">
        <v>0</v>
      </c>
    </row>
    <row r="11" spans="2:10" ht="30.5" x14ac:dyDescent="0.25">
      <c r="B11" s="126" t="s">
        <v>659</v>
      </c>
      <c r="C11" s="382" t="s">
        <v>660</v>
      </c>
      <c r="D11" s="378">
        <v>0.2</v>
      </c>
      <c r="E11" s="378">
        <v>0.2</v>
      </c>
      <c r="F11" s="378">
        <v>0.2</v>
      </c>
      <c r="G11" s="378">
        <v>0.2</v>
      </c>
      <c r="H11" s="37">
        <v>0.2</v>
      </c>
      <c r="I11" s="306">
        <v>0</v>
      </c>
    </row>
    <row r="12" spans="2:10" ht="30.5" x14ac:dyDescent="0.25">
      <c r="B12" s="126" t="s">
        <v>661</v>
      </c>
      <c r="C12" s="382" t="s">
        <v>662</v>
      </c>
      <c r="D12" s="378">
        <v>0.1</v>
      </c>
      <c r="E12" s="378">
        <v>0.1</v>
      </c>
      <c r="F12" s="378">
        <v>0.1</v>
      </c>
      <c r="G12" s="378">
        <v>0.1</v>
      </c>
      <c r="H12" s="37">
        <v>0.1</v>
      </c>
      <c r="I12" s="306">
        <v>0</v>
      </c>
    </row>
    <row r="13" spans="2:10" ht="20.5" x14ac:dyDescent="0.25">
      <c r="B13" s="36">
        <v>10</v>
      </c>
      <c r="C13" s="382" t="s">
        <v>663</v>
      </c>
      <c r="D13" s="378">
        <v>0.1</v>
      </c>
      <c r="E13" s="378">
        <v>0.1</v>
      </c>
      <c r="F13" s="378">
        <v>0.1</v>
      </c>
      <c r="G13" s="378">
        <v>0.1</v>
      </c>
      <c r="H13" s="37">
        <v>0.1</v>
      </c>
      <c r="I13" s="306">
        <v>0</v>
      </c>
    </row>
    <row r="14" spans="2:10" ht="30.5" x14ac:dyDescent="0.25">
      <c r="B14" s="36">
        <v>11</v>
      </c>
      <c r="C14" s="377" t="s">
        <v>664</v>
      </c>
      <c r="D14" s="378">
        <v>0.2</v>
      </c>
      <c r="E14" s="378">
        <v>0.2</v>
      </c>
      <c r="F14" s="378">
        <v>0.2</v>
      </c>
      <c r="G14" s="378">
        <v>0.2</v>
      </c>
      <c r="H14" s="37">
        <v>0.2</v>
      </c>
      <c r="I14" s="306">
        <v>0</v>
      </c>
    </row>
    <row r="15" spans="2:10" ht="31" thickBot="1" x14ac:dyDescent="0.3">
      <c r="B15" s="38">
        <v>12</v>
      </c>
      <c r="C15" s="39" t="s">
        <v>665</v>
      </c>
      <c r="D15" s="40">
        <v>0.1</v>
      </c>
      <c r="E15" s="40">
        <v>0.1</v>
      </c>
      <c r="F15" s="40">
        <v>0.1</v>
      </c>
      <c r="G15" s="40">
        <v>0.1</v>
      </c>
      <c r="H15" s="41">
        <v>0.1</v>
      </c>
      <c r="I15" s="306">
        <v>0</v>
      </c>
    </row>
    <row r="16" spans="2:10" ht="13" thickTop="1" x14ac:dyDescent="0.25">
      <c r="D16" s="35"/>
      <c r="E16" s="35"/>
      <c r="F16" s="35"/>
      <c r="G16" s="35"/>
      <c r="H16" s="35"/>
    </row>
    <row r="17" spans="2:8" x14ac:dyDescent="0.25">
      <c r="B17" s="383" t="s">
        <v>666</v>
      </c>
      <c r="C17" s="377"/>
      <c r="D17" s="378"/>
      <c r="E17" s="378"/>
      <c r="F17" s="378"/>
      <c r="G17" s="378"/>
      <c r="H17" s="378"/>
    </row>
    <row r="18" spans="2:8" x14ac:dyDescent="0.25">
      <c r="B18" s="384">
        <v>1</v>
      </c>
      <c r="C18" s="1866" t="s">
        <v>667</v>
      </c>
      <c r="D18" s="1866"/>
      <c r="E18" s="1866"/>
      <c r="F18" s="1866"/>
      <c r="G18" s="1866"/>
      <c r="H18" s="1866"/>
    </row>
    <row r="19" spans="2:8" ht="76.5" customHeight="1" x14ac:dyDescent="0.25">
      <c r="B19" s="385">
        <v>2</v>
      </c>
      <c r="C19" s="1867" t="s">
        <v>668</v>
      </c>
      <c r="D19" s="1867"/>
      <c r="E19" s="1867"/>
      <c r="F19" s="1867"/>
      <c r="G19" s="1867"/>
      <c r="H19" s="1867"/>
    </row>
    <row r="20" spans="2:8" ht="24.75" customHeight="1" x14ac:dyDescent="0.25">
      <c r="B20" s="386">
        <v>3</v>
      </c>
      <c r="C20" s="1868" t="s">
        <v>669</v>
      </c>
      <c r="D20" s="1868"/>
      <c r="E20" s="1868"/>
      <c r="F20" s="1868"/>
      <c r="G20" s="1868"/>
      <c r="H20" s="1868"/>
    </row>
    <row r="21" spans="2:8" x14ac:dyDescent="0.25">
      <c r="B21" s="387">
        <v>4</v>
      </c>
      <c r="C21" s="1862" t="s">
        <v>670</v>
      </c>
      <c r="D21" s="1862"/>
      <c r="E21" s="1862"/>
      <c r="F21" s="1862"/>
      <c r="G21" s="1862"/>
      <c r="H21" s="1862"/>
    </row>
    <row r="22" spans="2:8" x14ac:dyDescent="0.25">
      <c r="D22" s="35"/>
      <c r="E22" s="35"/>
      <c r="F22" s="35"/>
      <c r="G22" s="35"/>
      <c r="H22" s="35"/>
    </row>
    <row r="23" spans="2:8" x14ac:dyDescent="0.25">
      <c r="D23" s="35"/>
      <c r="E23" s="35"/>
      <c r="F23" s="35"/>
      <c r="G23" s="35"/>
      <c r="H23" s="35"/>
    </row>
    <row r="24" spans="2:8" x14ac:dyDescent="0.25">
      <c r="D24" s="35"/>
      <c r="E24" s="35"/>
      <c r="F24" s="35"/>
      <c r="G24" s="35"/>
      <c r="H24" s="35"/>
    </row>
    <row r="25" spans="2:8" x14ac:dyDescent="0.25">
      <c r="D25" s="35"/>
      <c r="E25" s="35"/>
      <c r="F25" s="35"/>
      <c r="G25" s="35"/>
      <c r="H25" s="35"/>
    </row>
    <row r="26" spans="2:8" x14ac:dyDescent="0.25">
      <c r="C26" s="388" t="s">
        <v>443</v>
      </c>
      <c r="D26" s="389">
        <v>1</v>
      </c>
    </row>
    <row r="27" spans="2:8" x14ac:dyDescent="0.25">
      <c r="C27" s="388" t="s">
        <v>353</v>
      </c>
      <c r="D27" s="389">
        <v>2</v>
      </c>
    </row>
    <row r="28" spans="2:8" x14ac:dyDescent="0.25">
      <c r="C28" s="388" t="s">
        <v>332</v>
      </c>
      <c r="D28" s="389">
        <v>3</v>
      </c>
    </row>
    <row r="29" spans="2:8" x14ac:dyDescent="0.25">
      <c r="C29" s="388" t="s">
        <v>463</v>
      </c>
      <c r="D29" s="389">
        <v>4</v>
      </c>
    </row>
    <row r="30" spans="2:8" ht="20.5" x14ac:dyDescent="0.25">
      <c r="C30" s="388" t="s">
        <v>306</v>
      </c>
      <c r="D30" s="389">
        <v>5</v>
      </c>
    </row>
    <row r="31" spans="2:8" x14ac:dyDescent="0.25">
      <c r="C31" s="388" t="s">
        <v>304</v>
      </c>
      <c r="D31" s="389">
        <v>6</v>
      </c>
    </row>
    <row r="44" spans="19:31" x14ac:dyDescent="0.25">
      <c r="S44" s="390" t="s">
        <v>643</v>
      </c>
      <c r="T44" s="373">
        <v>1</v>
      </c>
      <c r="U44" s="373">
        <v>2</v>
      </c>
      <c r="V44" s="373">
        <v>3</v>
      </c>
      <c r="W44" s="373">
        <v>4</v>
      </c>
      <c r="X44" s="373">
        <v>5</v>
      </c>
      <c r="Y44" s="373">
        <v>6</v>
      </c>
      <c r="Z44" s="373">
        <v>7</v>
      </c>
      <c r="AA44" s="373">
        <v>8</v>
      </c>
      <c r="AB44" s="373">
        <v>9</v>
      </c>
      <c r="AC44" s="373">
        <v>10</v>
      </c>
      <c r="AD44" s="373">
        <v>11</v>
      </c>
      <c r="AE44" s="373">
        <v>12</v>
      </c>
    </row>
    <row r="45" spans="19:31" ht="100.5" x14ac:dyDescent="0.25">
      <c r="S45" s="391" t="s">
        <v>644</v>
      </c>
      <c r="T45" s="388" t="s">
        <v>646</v>
      </c>
      <c r="U45" s="388" t="s">
        <v>648</v>
      </c>
      <c r="V45" s="388" t="s">
        <v>650</v>
      </c>
      <c r="W45" s="388" t="s">
        <v>652</v>
      </c>
      <c r="X45" s="388" t="s">
        <v>654</v>
      </c>
      <c r="Y45" s="388" t="s">
        <v>656</v>
      </c>
      <c r="Z45" s="388" t="s">
        <v>658</v>
      </c>
      <c r="AA45" s="388" t="s">
        <v>660</v>
      </c>
      <c r="AB45" s="388" t="s">
        <v>662</v>
      </c>
      <c r="AC45" s="388" t="s">
        <v>663</v>
      </c>
      <c r="AD45" s="388" t="s">
        <v>664</v>
      </c>
      <c r="AE45" s="388" t="s">
        <v>665</v>
      </c>
    </row>
    <row r="46" spans="19:31" x14ac:dyDescent="0.25">
      <c r="S46" s="391" t="s">
        <v>443</v>
      </c>
      <c r="T46" s="392">
        <v>0.05</v>
      </c>
      <c r="U46" s="392">
        <v>0.05</v>
      </c>
      <c r="V46" s="392">
        <v>0.05</v>
      </c>
      <c r="W46" s="392">
        <v>0.25</v>
      </c>
      <c r="X46" s="392">
        <v>0.3</v>
      </c>
      <c r="Y46" s="392">
        <v>0</v>
      </c>
      <c r="Z46" s="392">
        <v>0.1</v>
      </c>
      <c r="AA46" s="392">
        <v>0.2</v>
      </c>
      <c r="AB46" s="392">
        <v>0.1</v>
      </c>
      <c r="AC46" s="392">
        <v>0.1</v>
      </c>
      <c r="AD46" s="392">
        <v>0.2</v>
      </c>
      <c r="AE46" s="392">
        <v>0.1</v>
      </c>
    </row>
    <row r="47" spans="19:31" x14ac:dyDescent="0.25">
      <c r="S47" s="391" t="s">
        <v>353</v>
      </c>
      <c r="T47" s="392">
        <v>0.05</v>
      </c>
      <c r="U47" s="392">
        <v>0.05</v>
      </c>
      <c r="V47" s="392">
        <v>0.05</v>
      </c>
      <c r="W47" s="392">
        <v>0</v>
      </c>
      <c r="X47" s="392">
        <v>0</v>
      </c>
      <c r="Y47" s="392">
        <v>0</v>
      </c>
      <c r="Z47" s="392">
        <v>0.1</v>
      </c>
      <c r="AA47" s="392">
        <v>0.2</v>
      </c>
      <c r="AB47" s="392">
        <v>0.1</v>
      </c>
      <c r="AC47" s="392">
        <v>0.1</v>
      </c>
      <c r="AD47" s="392">
        <v>0.2</v>
      </c>
      <c r="AE47" s="392">
        <v>0.1</v>
      </c>
    </row>
    <row r="48" spans="19:31" ht="42" x14ac:dyDescent="0.25">
      <c r="S48" s="391" t="s">
        <v>332</v>
      </c>
      <c r="T48" s="392">
        <v>0.1</v>
      </c>
      <c r="U48" s="392">
        <v>0.1</v>
      </c>
      <c r="V48" s="392">
        <v>0.05</v>
      </c>
      <c r="W48" s="392">
        <v>0</v>
      </c>
      <c r="X48" s="392">
        <v>0</v>
      </c>
      <c r="Y48" s="392">
        <v>0</v>
      </c>
      <c r="Z48" s="392">
        <v>0.1</v>
      </c>
      <c r="AA48" s="392">
        <v>0.2</v>
      </c>
      <c r="AB48" s="392">
        <v>0.1</v>
      </c>
      <c r="AC48" s="392">
        <v>0.1</v>
      </c>
      <c r="AD48" s="392">
        <v>0.2</v>
      </c>
      <c r="AE48" s="392">
        <v>0.1</v>
      </c>
    </row>
    <row r="49" spans="19:31" x14ac:dyDescent="0.25">
      <c r="S49" s="391" t="s">
        <v>463</v>
      </c>
      <c r="T49" s="392">
        <v>0.1</v>
      </c>
      <c r="U49" s="392">
        <v>0.1</v>
      </c>
      <c r="V49" s="392">
        <v>0</v>
      </c>
      <c r="W49" s="392">
        <v>0</v>
      </c>
      <c r="X49" s="392">
        <v>0</v>
      </c>
      <c r="Y49" s="392">
        <v>0.1</v>
      </c>
      <c r="Z49" s="392">
        <v>0.1</v>
      </c>
      <c r="AA49" s="392">
        <v>0.2</v>
      </c>
      <c r="AB49" s="392">
        <v>0.1</v>
      </c>
      <c r="AC49" s="392">
        <v>0.1</v>
      </c>
      <c r="AD49" s="392">
        <v>0.2</v>
      </c>
      <c r="AE49" s="392">
        <v>0.1</v>
      </c>
    </row>
    <row r="50" spans="19:31" ht="52.5" x14ac:dyDescent="0.25">
      <c r="S50" s="391" t="s">
        <v>306</v>
      </c>
      <c r="T50" s="392">
        <v>0</v>
      </c>
      <c r="U50" s="392">
        <v>0.1</v>
      </c>
      <c r="V50" s="392">
        <v>0</v>
      </c>
      <c r="W50" s="392">
        <v>0</v>
      </c>
      <c r="X50" s="392">
        <v>0</v>
      </c>
      <c r="Y50" s="392">
        <v>0</v>
      </c>
      <c r="Z50" s="392">
        <v>0.1</v>
      </c>
      <c r="AA50" s="392">
        <v>0.2</v>
      </c>
      <c r="AB50" s="392">
        <v>0.1</v>
      </c>
      <c r="AC50" s="392">
        <v>0.1</v>
      </c>
      <c r="AD50" s="392">
        <v>0.2</v>
      </c>
      <c r="AE50" s="392">
        <v>0.1</v>
      </c>
    </row>
  </sheetData>
  <sheetProtection sheet="1" objects="1" scenarios="1" selectLockedCells="1"/>
  <mergeCells count="5">
    <mergeCell ref="C21:H21"/>
    <mergeCell ref="B2:H2"/>
    <mergeCell ref="C18:H18"/>
    <mergeCell ref="C19:H19"/>
    <mergeCell ref="C20:H20"/>
  </mergeCells>
  <phoneticPr fontId="4" type="noConversion"/>
  <pageMargins left="0.75" right="0.75" top="1" bottom="1" header="0.5" footer="0.5"/>
  <pageSetup orientation="portrait" horizontalDpi="0" verticalDpi="0" r:id="rId1"/>
  <headerFooter alignWithMargins="0"/>
  <ignoredErrors>
    <ignoredError sqref="B4:B15" numberStoredAsText="1"/>
  </ignoredError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rgb="FFFF0000"/>
  </sheetPr>
  <dimension ref="B1:AE43"/>
  <sheetViews>
    <sheetView workbookViewId="0"/>
  </sheetViews>
  <sheetFormatPr defaultRowHeight="12.5" x14ac:dyDescent="0.25"/>
  <cols>
    <col min="1" max="1" width="2.54296875" customWidth="1"/>
    <col min="2" max="2" width="9.1796875" style="5" customWidth="1"/>
    <col min="3" max="3" width="54.54296875" style="6" customWidth="1"/>
    <col min="4" max="5" width="9.1796875" style="5" customWidth="1"/>
    <col min="6" max="6" width="18.453125" style="5" customWidth="1"/>
    <col min="7" max="7" width="9.1796875" style="5" customWidth="1"/>
    <col min="8" max="8" width="27.26953125" style="5" customWidth="1"/>
    <col min="9" max="10" width="2.54296875" customWidth="1"/>
    <col min="11" max="11" width="2.7265625" customWidth="1"/>
    <col min="19" max="31" width="18" customWidth="1"/>
  </cols>
  <sheetData>
    <row r="1" spans="2:12" ht="13" thickBot="1" x14ac:dyDescent="0.3"/>
    <row r="2" spans="2:12" ht="13" thickTop="1" x14ac:dyDescent="0.25">
      <c r="B2" s="1863" t="s">
        <v>1061</v>
      </c>
      <c r="C2" s="1864"/>
      <c r="D2" s="1864"/>
      <c r="E2" s="1864"/>
      <c r="F2" s="1864"/>
      <c r="G2" s="1864"/>
      <c r="H2" s="1865"/>
      <c r="I2" s="729"/>
      <c r="J2" s="729"/>
    </row>
    <row r="3" spans="2:12" ht="42" x14ac:dyDescent="0.25">
      <c r="B3" s="374" t="s">
        <v>643</v>
      </c>
      <c r="C3" s="375" t="s">
        <v>644</v>
      </c>
      <c r="D3" s="375" t="s">
        <v>443</v>
      </c>
      <c r="E3" s="375" t="s">
        <v>353</v>
      </c>
      <c r="F3" s="375" t="s">
        <v>332</v>
      </c>
      <c r="G3" s="375" t="s">
        <v>463</v>
      </c>
      <c r="H3" s="376" t="s">
        <v>306</v>
      </c>
      <c r="I3" s="307" t="s">
        <v>304</v>
      </c>
    </row>
    <row r="4" spans="2:12" x14ac:dyDescent="0.25">
      <c r="B4" s="374"/>
      <c r="C4" s="740"/>
      <c r="D4" s="740">
        <v>1</v>
      </c>
      <c r="E4" s="740">
        <v>2</v>
      </c>
      <c r="F4" s="740">
        <v>3</v>
      </c>
      <c r="G4" s="740">
        <v>4</v>
      </c>
      <c r="H4" s="376">
        <v>5</v>
      </c>
      <c r="I4" s="307"/>
    </row>
    <row r="5" spans="2:12" ht="20.5" x14ac:dyDescent="0.25">
      <c r="B5" s="126">
        <v>1</v>
      </c>
      <c r="C5" s="377" t="s">
        <v>646</v>
      </c>
      <c r="D5" s="378">
        <v>0.05</v>
      </c>
      <c r="E5" s="378">
        <v>0.05</v>
      </c>
      <c r="F5" s="392">
        <v>0.1</v>
      </c>
      <c r="G5" s="378">
        <v>0.1</v>
      </c>
      <c r="H5" s="37">
        <v>0</v>
      </c>
      <c r="I5" s="306">
        <v>0</v>
      </c>
      <c r="L5" t="s">
        <v>1062</v>
      </c>
    </row>
    <row r="6" spans="2:12" x14ac:dyDescent="0.25">
      <c r="B6" s="126">
        <v>2</v>
      </c>
      <c r="C6" s="377" t="s">
        <v>648</v>
      </c>
      <c r="D6" s="378">
        <v>0.05</v>
      </c>
      <c r="E6" s="378">
        <v>0.05</v>
      </c>
      <c r="F6" s="392">
        <v>0.1</v>
      </c>
      <c r="G6" s="378">
        <v>0.1</v>
      </c>
      <c r="H6" s="37">
        <v>0.1</v>
      </c>
      <c r="I6" s="306">
        <v>0</v>
      </c>
      <c r="L6" t="s">
        <v>1063</v>
      </c>
    </row>
    <row r="7" spans="2:12" ht="20.5" x14ac:dyDescent="0.25">
      <c r="B7" s="126">
        <v>3</v>
      </c>
      <c r="C7" s="388" t="s">
        <v>652</v>
      </c>
      <c r="D7" s="378">
        <v>0.25</v>
      </c>
      <c r="E7" s="378">
        <v>0</v>
      </c>
      <c r="F7" s="378">
        <v>0</v>
      </c>
      <c r="G7" s="378">
        <v>0</v>
      </c>
      <c r="H7" s="37">
        <v>0</v>
      </c>
      <c r="I7" s="306">
        <v>0</v>
      </c>
      <c r="J7" s="385" t="s">
        <v>510</v>
      </c>
      <c r="L7" t="s">
        <v>1062</v>
      </c>
    </row>
    <row r="8" spans="2:12" ht="30.5" x14ac:dyDescent="0.25">
      <c r="B8" s="126">
        <v>4</v>
      </c>
      <c r="C8" s="388" t="s">
        <v>654</v>
      </c>
      <c r="D8" s="378">
        <v>0.3</v>
      </c>
      <c r="E8" s="378">
        <v>0</v>
      </c>
      <c r="F8" s="378">
        <v>0</v>
      </c>
      <c r="G8" s="378">
        <v>0</v>
      </c>
      <c r="H8" s="37">
        <v>0</v>
      </c>
      <c r="I8" s="306">
        <v>0</v>
      </c>
      <c r="J8" s="385" t="s">
        <v>510</v>
      </c>
      <c r="K8" s="386" t="s">
        <v>511</v>
      </c>
      <c r="L8" t="s">
        <v>1062</v>
      </c>
    </row>
    <row r="9" spans="2:12" ht="20.5" x14ac:dyDescent="0.25">
      <c r="B9" s="126">
        <v>5</v>
      </c>
      <c r="C9" s="388" t="s">
        <v>663</v>
      </c>
      <c r="D9" s="378">
        <v>0.1</v>
      </c>
      <c r="E9" s="378">
        <v>0.1</v>
      </c>
      <c r="F9" s="378">
        <v>0.1</v>
      </c>
      <c r="G9" s="378">
        <v>0.1</v>
      </c>
      <c r="H9" s="37">
        <v>0.1</v>
      </c>
      <c r="I9" s="306">
        <v>0</v>
      </c>
      <c r="J9" s="387" t="s">
        <v>512</v>
      </c>
      <c r="L9" t="s">
        <v>1062</v>
      </c>
    </row>
    <row r="10" spans="2:12" x14ac:dyDescent="0.25">
      <c r="D10" s="733"/>
      <c r="E10" s="733"/>
      <c r="F10" s="733"/>
      <c r="G10" s="733"/>
      <c r="H10" s="733"/>
    </row>
    <row r="11" spans="2:12" x14ac:dyDescent="0.25">
      <c r="B11" s="383" t="s">
        <v>666</v>
      </c>
      <c r="C11" s="377"/>
      <c r="D11" s="378"/>
      <c r="E11" s="378"/>
      <c r="F11" s="378"/>
      <c r="G11" s="378"/>
      <c r="H11" s="378"/>
    </row>
    <row r="12" spans="2:12" ht="76.5" customHeight="1" x14ac:dyDescent="0.25">
      <c r="B12" s="385" t="s">
        <v>510</v>
      </c>
      <c r="C12" s="1867" t="s">
        <v>668</v>
      </c>
      <c r="D12" s="1867"/>
      <c r="E12" s="1867"/>
      <c r="F12" s="1867"/>
      <c r="G12" s="1867"/>
      <c r="H12" s="1867"/>
    </row>
    <row r="13" spans="2:12" ht="24.75" customHeight="1" x14ac:dyDescent="0.25">
      <c r="B13" s="386" t="s">
        <v>511</v>
      </c>
      <c r="C13" s="1868" t="s">
        <v>669</v>
      </c>
      <c r="D13" s="1868"/>
      <c r="E13" s="1868"/>
      <c r="F13" s="1868"/>
      <c r="G13" s="1868"/>
      <c r="H13" s="1868"/>
    </row>
    <row r="14" spans="2:12" x14ac:dyDescent="0.25">
      <c r="B14" s="387" t="s">
        <v>512</v>
      </c>
      <c r="C14" s="1862" t="s">
        <v>670</v>
      </c>
      <c r="D14" s="1862"/>
      <c r="E14" s="1862"/>
      <c r="F14" s="1862"/>
      <c r="G14" s="1862"/>
      <c r="H14" s="1862"/>
    </row>
    <row r="15" spans="2:12" x14ac:dyDescent="0.25">
      <c r="D15" s="733"/>
      <c r="E15" s="733"/>
      <c r="F15" s="733"/>
      <c r="G15" s="733"/>
      <c r="H15" s="733"/>
    </row>
    <row r="16" spans="2:12" x14ac:dyDescent="0.25">
      <c r="D16" s="733"/>
      <c r="E16" s="733"/>
      <c r="F16" s="733"/>
      <c r="G16" s="733"/>
      <c r="H16" s="733"/>
    </row>
    <row r="17" spans="3:8" x14ac:dyDescent="0.25">
      <c r="D17" s="733"/>
      <c r="E17" s="733"/>
      <c r="F17" s="733"/>
      <c r="G17" s="733"/>
      <c r="H17" s="733"/>
    </row>
    <row r="18" spans="3:8" x14ac:dyDescent="0.25">
      <c r="D18" s="733"/>
      <c r="E18" s="733"/>
      <c r="F18" s="733"/>
      <c r="G18" s="733"/>
      <c r="H18" s="733"/>
    </row>
    <row r="19" spans="3:8" x14ac:dyDescent="0.25">
      <c r="C19" s="388" t="s">
        <v>443</v>
      </c>
      <c r="D19" s="389">
        <v>1</v>
      </c>
      <c r="E19" s="738"/>
    </row>
    <row r="20" spans="3:8" x14ac:dyDescent="0.25">
      <c r="C20" s="388" t="s">
        <v>353</v>
      </c>
      <c r="D20" s="389">
        <v>2</v>
      </c>
      <c r="E20" s="738"/>
    </row>
    <row r="21" spans="3:8" x14ac:dyDescent="0.25">
      <c r="C21" s="388" t="s">
        <v>332</v>
      </c>
      <c r="D21" s="389">
        <v>3</v>
      </c>
      <c r="E21" s="738"/>
    </row>
    <row r="22" spans="3:8" x14ac:dyDescent="0.25">
      <c r="C22" s="388" t="s">
        <v>463</v>
      </c>
      <c r="D22" s="389">
        <v>4</v>
      </c>
      <c r="E22" s="738"/>
    </row>
    <row r="23" spans="3:8" ht="20.5" x14ac:dyDescent="0.25">
      <c r="C23" s="388" t="s">
        <v>306</v>
      </c>
      <c r="D23" s="389">
        <v>5</v>
      </c>
      <c r="E23" s="738"/>
    </row>
    <row r="24" spans="3:8" x14ac:dyDescent="0.25">
      <c r="C24" s="388" t="s">
        <v>304</v>
      </c>
      <c r="D24" s="389">
        <v>6</v>
      </c>
      <c r="E24" s="738"/>
    </row>
    <row r="37" spans="19:31" x14ac:dyDescent="0.25">
      <c r="S37" s="390" t="s">
        <v>643</v>
      </c>
      <c r="T37" s="373">
        <v>1</v>
      </c>
      <c r="U37" s="373">
        <v>2</v>
      </c>
      <c r="V37" s="373">
        <v>3</v>
      </c>
      <c r="W37" s="373">
        <v>4</v>
      </c>
      <c r="X37" s="373">
        <v>5</v>
      </c>
      <c r="Y37" s="373">
        <v>6</v>
      </c>
      <c r="Z37" s="373">
        <v>7</v>
      </c>
      <c r="AA37" s="373">
        <v>8</v>
      </c>
      <c r="AB37" s="373">
        <v>9</v>
      </c>
      <c r="AC37" s="373">
        <v>10</v>
      </c>
      <c r="AD37" s="373">
        <v>11</v>
      </c>
      <c r="AE37" s="373">
        <v>12</v>
      </c>
    </row>
    <row r="38" spans="19:31" ht="100.5" x14ac:dyDescent="0.25">
      <c r="S38" s="391" t="s">
        <v>644</v>
      </c>
      <c r="T38" s="388" t="s">
        <v>646</v>
      </c>
      <c r="U38" s="388" t="s">
        <v>648</v>
      </c>
      <c r="V38" s="388" t="s">
        <v>650</v>
      </c>
      <c r="W38" s="388" t="s">
        <v>652</v>
      </c>
      <c r="X38" s="388" t="s">
        <v>654</v>
      </c>
      <c r="Y38" s="388" t="s">
        <v>656</v>
      </c>
      <c r="Z38" s="388" t="s">
        <v>658</v>
      </c>
      <c r="AA38" s="388" t="s">
        <v>660</v>
      </c>
      <c r="AB38" s="388" t="s">
        <v>662</v>
      </c>
      <c r="AC38" s="388" t="s">
        <v>663</v>
      </c>
      <c r="AD38" s="388" t="s">
        <v>664</v>
      </c>
      <c r="AE38" s="388" t="s">
        <v>665</v>
      </c>
    </row>
    <row r="39" spans="19:31" x14ac:dyDescent="0.25">
      <c r="S39" s="391" t="s">
        <v>443</v>
      </c>
      <c r="T39" s="392">
        <v>0.05</v>
      </c>
      <c r="U39" s="392">
        <v>0.05</v>
      </c>
      <c r="V39" s="392">
        <v>0.05</v>
      </c>
      <c r="W39" s="392">
        <v>0.25</v>
      </c>
      <c r="X39" s="392">
        <v>0.3</v>
      </c>
      <c r="Y39" s="392">
        <v>0</v>
      </c>
      <c r="Z39" s="392">
        <v>0.1</v>
      </c>
      <c r="AA39" s="392">
        <v>0.2</v>
      </c>
      <c r="AB39" s="392">
        <v>0.1</v>
      </c>
      <c r="AC39" s="392">
        <v>0.1</v>
      </c>
      <c r="AD39" s="392">
        <v>0.2</v>
      </c>
      <c r="AE39" s="392">
        <v>0.1</v>
      </c>
    </row>
    <row r="40" spans="19:31" x14ac:dyDescent="0.25">
      <c r="S40" s="391" t="s">
        <v>353</v>
      </c>
      <c r="T40" s="392">
        <v>0.05</v>
      </c>
      <c r="U40" s="392">
        <v>0.05</v>
      </c>
      <c r="V40" s="392">
        <v>0.05</v>
      </c>
      <c r="W40" s="392">
        <v>0</v>
      </c>
      <c r="X40" s="392">
        <v>0</v>
      </c>
      <c r="Y40" s="392">
        <v>0</v>
      </c>
      <c r="Z40" s="392">
        <v>0.1</v>
      </c>
      <c r="AA40" s="392">
        <v>0.2</v>
      </c>
      <c r="AB40" s="392">
        <v>0.1</v>
      </c>
      <c r="AC40" s="392">
        <v>0.1</v>
      </c>
      <c r="AD40" s="392">
        <v>0.2</v>
      </c>
      <c r="AE40" s="392">
        <v>0.1</v>
      </c>
    </row>
    <row r="41" spans="19:31" ht="42" x14ac:dyDescent="0.25">
      <c r="S41" s="391" t="s">
        <v>332</v>
      </c>
      <c r="T41" s="392">
        <v>0.1</v>
      </c>
      <c r="U41" s="392">
        <v>0.1</v>
      </c>
      <c r="V41" s="392">
        <v>0.05</v>
      </c>
      <c r="W41" s="392">
        <v>0</v>
      </c>
      <c r="X41" s="392">
        <v>0</v>
      </c>
      <c r="Y41" s="392">
        <v>0</v>
      </c>
      <c r="Z41" s="392">
        <v>0.1</v>
      </c>
      <c r="AA41" s="392">
        <v>0.2</v>
      </c>
      <c r="AB41" s="392">
        <v>0.1</v>
      </c>
      <c r="AC41" s="392">
        <v>0.1</v>
      </c>
      <c r="AD41" s="392">
        <v>0.2</v>
      </c>
      <c r="AE41" s="392">
        <v>0.1</v>
      </c>
    </row>
    <row r="42" spans="19:31" x14ac:dyDescent="0.25">
      <c r="S42" s="391" t="s">
        <v>463</v>
      </c>
      <c r="T42" s="392">
        <v>0.1</v>
      </c>
      <c r="U42" s="392">
        <v>0.1</v>
      </c>
      <c r="V42" s="392">
        <v>0</v>
      </c>
      <c r="W42" s="392">
        <v>0</v>
      </c>
      <c r="X42" s="392">
        <v>0</v>
      </c>
      <c r="Y42" s="392">
        <v>0.1</v>
      </c>
      <c r="Z42" s="392">
        <v>0.1</v>
      </c>
      <c r="AA42" s="392">
        <v>0.2</v>
      </c>
      <c r="AB42" s="392">
        <v>0.1</v>
      </c>
      <c r="AC42" s="392">
        <v>0.1</v>
      </c>
      <c r="AD42" s="392">
        <v>0.2</v>
      </c>
      <c r="AE42" s="392">
        <v>0.1</v>
      </c>
    </row>
    <row r="43" spans="19:31" ht="52.5" x14ac:dyDescent="0.25">
      <c r="S43" s="391" t="s">
        <v>306</v>
      </c>
      <c r="T43" s="392">
        <v>0</v>
      </c>
      <c r="U43" s="392">
        <v>0.1</v>
      </c>
      <c r="V43" s="392">
        <v>0</v>
      </c>
      <c r="W43" s="392">
        <v>0</v>
      </c>
      <c r="X43" s="392">
        <v>0</v>
      </c>
      <c r="Y43" s="392">
        <v>0</v>
      </c>
      <c r="Z43" s="392">
        <v>0.1</v>
      </c>
      <c r="AA43" s="392">
        <v>0.2</v>
      </c>
      <c r="AB43" s="392">
        <v>0.1</v>
      </c>
      <c r="AC43" s="392">
        <v>0.1</v>
      </c>
      <c r="AD43" s="392">
        <v>0.2</v>
      </c>
      <c r="AE43" s="392">
        <v>0.1</v>
      </c>
    </row>
  </sheetData>
  <sheetProtection sheet="1" objects="1" scenarios="1" selectLockedCells="1"/>
  <mergeCells count="4">
    <mergeCell ref="B2:H2"/>
    <mergeCell ref="C12:H12"/>
    <mergeCell ref="C13:H13"/>
    <mergeCell ref="C14:H14"/>
  </mergeCells>
  <pageMargins left="0.75" right="0.75" top="1" bottom="1" header="0.5" footer="0.5"/>
  <pageSetup orientation="portrait" horizontalDpi="0" verticalDpi="0"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B1:X103"/>
  <sheetViews>
    <sheetView workbookViewId="0"/>
  </sheetViews>
  <sheetFormatPr defaultRowHeight="12.5" x14ac:dyDescent="0.25"/>
  <cols>
    <col min="3" max="3" width="49.1796875" style="4" customWidth="1"/>
    <col min="4" max="4" width="20.7265625" customWidth="1"/>
    <col min="5" max="6" width="15.7265625" customWidth="1"/>
    <col min="7" max="7" width="15.7265625" style="1113" customWidth="1"/>
    <col min="8" max="12" width="15.7265625" customWidth="1"/>
    <col min="14" max="14" width="50.7265625" style="1162" customWidth="1"/>
  </cols>
  <sheetData>
    <row r="1" spans="2:24" x14ac:dyDescent="0.25">
      <c r="C1" s="4">
        <v>1</v>
      </c>
      <c r="D1">
        <v>2</v>
      </c>
      <c r="E1" s="4">
        <v>3</v>
      </c>
      <c r="F1">
        <v>4</v>
      </c>
      <c r="G1" s="4">
        <v>5</v>
      </c>
      <c r="H1">
        <v>6</v>
      </c>
      <c r="I1" s="4">
        <v>7</v>
      </c>
      <c r="J1">
        <v>8</v>
      </c>
      <c r="K1" s="4">
        <v>9</v>
      </c>
      <c r="L1">
        <v>10</v>
      </c>
    </row>
    <row r="2" spans="2:24" x14ac:dyDescent="0.25">
      <c r="C2" s="4">
        <f>'9.3 Int Simplified'!L7</f>
        <v>0</v>
      </c>
      <c r="E2" s="1869" t="s">
        <v>1257</v>
      </c>
      <c r="F2" s="1869" t="s">
        <v>1290</v>
      </c>
      <c r="G2" s="1869" t="s">
        <v>1256</v>
      </c>
      <c r="H2" s="1869" t="s">
        <v>1258</v>
      </c>
      <c r="I2" s="1869" t="s">
        <v>1289</v>
      </c>
      <c r="J2" s="1869" t="s">
        <v>1287</v>
      </c>
      <c r="K2" s="1869" t="s">
        <v>1288</v>
      </c>
      <c r="L2" s="1869" t="s">
        <v>1267</v>
      </c>
      <c r="M2" s="4"/>
      <c r="N2"/>
      <c r="Q2" s="1126"/>
      <c r="X2" s="1162"/>
    </row>
    <row r="3" spans="2:24" x14ac:dyDescent="0.25">
      <c r="E3" s="1869"/>
      <c r="F3" s="1869"/>
      <c r="G3" s="1869"/>
      <c r="H3" s="1869"/>
      <c r="I3" s="1869"/>
      <c r="J3" s="1869"/>
      <c r="K3" s="1869"/>
      <c r="L3" s="1869"/>
      <c r="M3" s="4"/>
      <c r="N3"/>
      <c r="Q3" s="1126"/>
      <c r="X3" s="1162"/>
    </row>
    <row r="4" spans="2:24" x14ac:dyDescent="0.25">
      <c r="E4" s="1869"/>
      <c r="F4" s="1869"/>
      <c r="G4" s="1869"/>
      <c r="H4" s="1869"/>
      <c r="I4" s="1869"/>
      <c r="J4" s="1869"/>
      <c r="K4" s="1869"/>
      <c r="L4" s="1869"/>
      <c r="M4" s="4"/>
      <c r="N4"/>
      <c r="Q4" s="1126"/>
      <c r="X4" s="1162"/>
    </row>
    <row r="5" spans="2:24" ht="14.5" x14ac:dyDescent="0.25">
      <c r="C5" s="1159"/>
      <c r="E5" s="1869"/>
      <c r="F5" s="1869"/>
      <c r="G5" s="1869"/>
      <c r="H5" s="1869"/>
      <c r="I5" s="1869"/>
      <c r="J5" s="1869"/>
      <c r="K5" s="1869"/>
      <c r="L5" s="1869"/>
      <c r="M5" s="4"/>
      <c r="N5"/>
      <c r="Q5" s="1126"/>
      <c r="X5" s="1162"/>
    </row>
    <row r="6" spans="2:24" ht="13" x14ac:dyDescent="0.25">
      <c r="B6" s="1871" t="s">
        <v>1281</v>
      </c>
      <c r="C6" s="1157" t="str">
        <f>CONCATENATE("Table 9.3.1-2 Simplified Building Method for ",C2," Buildings")</f>
        <v>Table 9.3.1-2 Simplified Building Method for 0 Buildings</v>
      </c>
      <c r="D6" s="1148"/>
      <c r="E6" s="1869"/>
      <c r="F6" s="1869"/>
      <c r="G6" s="1869"/>
      <c r="H6" s="1869"/>
      <c r="I6" s="1869"/>
      <c r="J6" s="1869"/>
      <c r="K6" s="1869"/>
      <c r="L6" s="1869"/>
      <c r="M6" s="4"/>
      <c r="N6"/>
      <c r="Q6" s="1126"/>
      <c r="X6" s="1162"/>
    </row>
    <row r="7" spans="2:24" ht="26" x14ac:dyDescent="0.25">
      <c r="B7" s="1872"/>
      <c r="C7" s="1152" t="s">
        <v>1216</v>
      </c>
      <c r="D7" s="1131" t="s">
        <v>1217</v>
      </c>
      <c r="E7" s="1869"/>
      <c r="F7" s="1869"/>
      <c r="G7" s="1869"/>
      <c r="H7" s="1869"/>
      <c r="I7" s="1869"/>
      <c r="J7" s="1869"/>
      <c r="K7" s="1869"/>
      <c r="L7" s="1869"/>
      <c r="M7" s="4"/>
      <c r="N7"/>
      <c r="Q7" s="1126"/>
      <c r="X7" s="1162"/>
    </row>
    <row r="8" spans="2:24" x14ac:dyDescent="0.25">
      <c r="B8" s="1872"/>
      <c r="C8" s="1158" t="str">
        <f t="shared" ref="C8:L8" si="0">IF($C$2="Office",C29,IF($C$2="Retail",C50,IF($C$2="School",C69,"")))</f>
        <v/>
      </c>
      <c r="D8" s="1130" t="str">
        <f t="shared" si="0"/>
        <v/>
      </c>
      <c r="E8" s="1130" t="str">
        <f t="shared" si="0"/>
        <v/>
      </c>
      <c r="F8" s="1130" t="str">
        <f t="shared" si="0"/>
        <v/>
      </c>
      <c r="G8" s="1130" t="str">
        <f t="shared" si="0"/>
        <v/>
      </c>
      <c r="H8" s="1130" t="str">
        <f t="shared" si="0"/>
        <v/>
      </c>
      <c r="I8" s="1130" t="str">
        <f t="shared" si="0"/>
        <v/>
      </c>
      <c r="J8" s="1130" t="str">
        <f t="shared" si="0"/>
        <v/>
      </c>
      <c r="K8" s="1130" t="str">
        <f t="shared" si="0"/>
        <v/>
      </c>
      <c r="L8" s="1130" t="str">
        <f t="shared" si="0"/>
        <v/>
      </c>
      <c r="M8" s="4"/>
      <c r="N8"/>
      <c r="Q8" s="1126"/>
      <c r="X8" s="1162"/>
    </row>
    <row r="9" spans="2:24" x14ac:dyDescent="0.25">
      <c r="B9" s="1872"/>
      <c r="C9" s="1158" t="str">
        <f t="shared" ref="C9:L17" si="1">IF($C$2="Office",C30,IF($C$2="Retail",C51,IF($C$2="School",C70,"")))</f>
        <v/>
      </c>
      <c r="D9" s="1130" t="str">
        <f t="shared" si="1"/>
        <v/>
      </c>
      <c r="E9" s="1130" t="str">
        <f t="shared" si="1"/>
        <v/>
      </c>
      <c r="F9" s="1130" t="str">
        <f t="shared" si="1"/>
        <v/>
      </c>
      <c r="G9" s="1130" t="str">
        <f t="shared" si="1"/>
        <v/>
      </c>
      <c r="H9" s="1130" t="str">
        <f t="shared" si="1"/>
        <v/>
      </c>
      <c r="I9" s="1130" t="str">
        <f t="shared" si="1"/>
        <v/>
      </c>
      <c r="J9" s="1130" t="str">
        <f t="shared" si="1"/>
        <v/>
      </c>
      <c r="K9" s="1130" t="str">
        <f t="shared" si="1"/>
        <v/>
      </c>
      <c r="L9" s="1130" t="str">
        <f t="shared" si="1"/>
        <v/>
      </c>
      <c r="M9" s="4"/>
      <c r="N9"/>
      <c r="Q9" s="1126"/>
      <c r="X9" s="1162"/>
    </row>
    <row r="10" spans="2:24" x14ac:dyDescent="0.25">
      <c r="B10" s="1872"/>
      <c r="C10" s="1158" t="str">
        <f t="shared" si="1"/>
        <v/>
      </c>
      <c r="D10" s="1130" t="str">
        <f t="shared" si="1"/>
        <v/>
      </c>
      <c r="E10" s="1130" t="str">
        <f t="shared" si="1"/>
        <v/>
      </c>
      <c r="F10" s="1130" t="str">
        <f t="shared" si="1"/>
        <v/>
      </c>
      <c r="G10" s="1130" t="str">
        <f t="shared" si="1"/>
        <v/>
      </c>
      <c r="H10" s="1130" t="str">
        <f t="shared" si="1"/>
        <v/>
      </c>
      <c r="I10" s="1130" t="str">
        <f t="shared" si="1"/>
        <v/>
      </c>
      <c r="J10" s="1130" t="str">
        <f t="shared" si="1"/>
        <v/>
      </c>
      <c r="K10" s="1130" t="str">
        <f t="shared" si="1"/>
        <v/>
      </c>
      <c r="L10" s="1130" t="str">
        <f t="shared" si="1"/>
        <v/>
      </c>
      <c r="M10" s="4"/>
      <c r="N10"/>
      <c r="Q10" s="1126"/>
      <c r="X10" s="1162"/>
    </row>
    <row r="11" spans="2:24" x14ac:dyDescent="0.25">
      <c r="B11" s="1872"/>
      <c r="C11" s="1158" t="str">
        <f t="shared" si="1"/>
        <v/>
      </c>
      <c r="D11" s="1130" t="str">
        <f t="shared" si="1"/>
        <v/>
      </c>
      <c r="E11" s="1130" t="str">
        <f t="shared" si="1"/>
        <v/>
      </c>
      <c r="F11" s="1130" t="str">
        <f t="shared" si="1"/>
        <v/>
      </c>
      <c r="G11" s="1130" t="str">
        <f t="shared" si="1"/>
        <v/>
      </c>
      <c r="H11" s="1130" t="str">
        <f t="shared" si="1"/>
        <v/>
      </c>
      <c r="I11" s="1130" t="str">
        <f t="shared" si="1"/>
        <v/>
      </c>
      <c r="J11" s="1130" t="str">
        <f t="shared" si="1"/>
        <v/>
      </c>
      <c r="K11" s="1130" t="str">
        <f t="shared" si="1"/>
        <v/>
      </c>
      <c r="L11" s="1130" t="str">
        <f t="shared" si="1"/>
        <v/>
      </c>
      <c r="M11" s="4"/>
      <c r="N11"/>
      <c r="Q11" s="1126"/>
      <c r="X11" s="1162"/>
    </row>
    <row r="12" spans="2:24" x14ac:dyDescent="0.25">
      <c r="B12" s="1872"/>
      <c r="C12" s="1158" t="str">
        <f t="shared" si="1"/>
        <v/>
      </c>
      <c r="D12" s="1130" t="str">
        <f t="shared" si="1"/>
        <v/>
      </c>
      <c r="E12" s="1130" t="str">
        <f t="shared" si="1"/>
        <v/>
      </c>
      <c r="F12" s="1130" t="str">
        <f t="shared" si="1"/>
        <v/>
      </c>
      <c r="G12" s="1130" t="str">
        <f t="shared" si="1"/>
        <v/>
      </c>
      <c r="H12" s="1130" t="str">
        <f t="shared" si="1"/>
        <v/>
      </c>
      <c r="I12" s="1130" t="str">
        <f t="shared" si="1"/>
        <v/>
      </c>
      <c r="J12" s="1130" t="str">
        <f t="shared" si="1"/>
        <v/>
      </c>
      <c r="K12" s="1130" t="str">
        <f t="shared" si="1"/>
        <v/>
      </c>
      <c r="L12" s="1130" t="str">
        <f t="shared" si="1"/>
        <v/>
      </c>
      <c r="M12" s="4"/>
      <c r="N12"/>
      <c r="Q12" s="1126"/>
      <c r="X12" s="1162"/>
    </row>
    <row r="13" spans="2:24" x14ac:dyDescent="0.25">
      <c r="B13" s="1872"/>
      <c r="C13" s="1158" t="str">
        <f t="shared" si="1"/>
        <v/>
      </c>
      <c r="D13" s="1130" t="str">
        <f t="shared" si="1"/>
        <v/>
      </c>
      <c r="E13" s="1130" t="str">
        <f t="shared" si="1"/>
        <v/>
      </c>
      <c r="F13" s="1130" t="str">
        <f t="shared" si="1"/>
        <v/>
      </c>
      <c r="G13" s="1130" t="str">
        <f t="shared" si="1"/>
        <v/>
      </c>
      <c r="H13" s="1130" t="str">
        <f t="shared" si="1"/>
        <v/>
      </c>
      <c r="I13" s="1130" t="str">
        <f t="shared" si="1"/>
        <v/>
      </c>
      <c r="J13" s="1130" t="str">
        <f t="shared" si="1"/>
        <v/>
      </c>
      <c r="K13" s="1130" t="str">
        <f t="shared" si="1"/>
        <v/>
      </c>
      <c r="L13" s="1130" t="str">
        <f t="shared" si="1"/>
        <v/>
      </c>
      <c r="M13" s="4"/>
      <c r="N13"/>
      <c r="Q13" s="1126"/>
      <c r="X13" s="1162"/>
    </row>
    <row r="14" spans="2:24" x14ac:dyDescent="0.25">
      <c r="B14" s="1872"/>
      <c r="C14" s="1158" t="str">
        <f t="shared" si="1"/>
        <v/>
      </c>
      <c r="D14" s="1130" t="str">
        <f t="shared" si="1"/>
        <v/>
      </c>
      <c r="E14" s="1130" t="str">
        <f t="shared" si="1"/>
        <v/>
      </c>
      <c r="F14" s="1130" t="str">
        <f t="shared" si="1"/>
        <v/>
      </c>
      <c r="G14" s="1130" t="str">
        <f t="shared" si="1"/>
        <v/>
      </c>
      <c r="H14" s="1130" t="str">
        <f t="shared" si="1"/>
        <v/>
      </c>
      <c r="I14" s="1130" t="str">
        <f t="shared" si="1"/>
        <v/>
      </c>
      <c r="J14" s="1130" t="str">
        <f t="shared" si="1"/>
        <v/>
      </c>
      <c r="K14" s="1130" t="str">
        <f t="shared" si="1"/>
        <v/>
      </c>
      <c r="L14" s="1130" t="str">
        <f t="shared" si="1"/>
        <v/>
      </c>
      <c r="M14" s="4"/>
      <c r="N14"/>
      <c r="Q14" s="1126"/>
      <c r="X14" s="1162"/>
    </row>
    <row r="15" spans="2:24" x14ac:dyDescent="0.25">
      <c r="B15" s="1872"/>
      <c r="C15" s="1158" t="str">
        <f t="shared" si="1"/>
        <v/>
      </c>
      <c r="D15" s="1130" t="str">
        <f t="shared" si="1"/>
        <v/>
      </c>
      <c r="E15" s="1130" t="str">
        <f t="shared" si="1"/>
        <v/>
      </c>
      <c r="F15" s="1130" t="str">
        <f t="shared" si="1"/>
        <v/>
      </c>
      <c r="G15" s="1130" t="str">
        <f t="shared" si="1"/>
        <v/>
      </c>
      <c r="H15" s="1130" t="str">
        <f t="shared" si="1"/>
        <v/>
      </c>
      <c r="I15" s="1130" t="str">
        <f t="shared" si="1"/>
        <v/>
      </c>
      <c r="J15" s="1130" t="str">
        <f t="shared" si="1"/>
        <v/>
      </c>
      <c r="K15" s="1130" t="str">
        <f t="shared" si="1"/>
        <v/>
      </c>
      <c r="L15" s="1130" t="str">
        <f t="shared" si="1"/>
        <v/>
      </c>
      <c r="M15" s="4"/>
      <c r="N15"/>
      <c r="Q15" s="1126"/>
      <c r="X15" s="1162"/>
    </row>
    <row r="16" spans="2:24" x14ac:dyDescent="0.25">
      <c r="B16" s="1872"/>
      <c r="C16" s="1158" t="str">
        <f t="shared" si="1"/>
        <v/>
      </c>
      <c r="D16" s="1130" t="str">
        <f t="shared" si="1"/>
        <v/>
      </c>
      <c r="E16" s="1130" t="str">
        <f t="shared" si="1"/>
        <v/>
      </c>
      <c r="F16" s="1130" t="str">
        <f t="shared" si="1"/>
        <v/>
      </c>
      <c r="G16" s="1130" t="str">
        <f t="shared" si="1"/>
        <v/>
      </c>
      <c r="H16" s="1130" t="str">
        <f t="shared" si="1"/>
        <v/>
      </c>
      <c r="I16" s="1130" t="str">
        <f t="shared" si="1"/>
        <v/>
      </c>
      <c r="J16" s="1130" t="str">
        <f t="shared" si="1"/>
        <v/>
      </c>
      <c r="K16" s="1130" t="str">
        <f t="shared" si="1"/>
        <v/>
      </c>
      <c r="L16" s="1130" t="str">
        <f t="shared" si="1"/>
        <v/>
      </c>
      <c r="M16" s="4"/>
      <c r="N16"/>
      <c r="Q16" s="1126"/>
      <c r="X16" s="1162"/>
    </row>
    <row r="17" spans="2:24" x14ac:dyDescent="0.25">
      <c r="B17" s="1872"/>
      <c r="C17" s="1158" t="str">
        <f t="shared" si="1"/>
        <v/>
      </c>
      <c r="D17" s="1130" t="str">
        <f t="shared" si="1"/>
        <v/>
      </c>
      <c r="E17" s="1130" t="str">
        <f t="shared" si="1"/>
        <v/>
      </c>
      <c r="F17" s="1130" t="str">
        <f t="shared" si="1"/>
        <v/>
      </c>
      <c r="G17" s="1130" t="str">
        <f t="shared" si="1"/>
        <v/>
      </c>
      <c r="H17" s="1130" t="str">
        <f t="shared" si="1"/>
        <v/>
      </c>
      <c r="I17" s="1130" t="str">
        <f t="shared" si="1"/>
        <v/>
      </c>
      <c r="J17" s="1130" t="str">
        <f t="shared" si="1"/>
        <v/>
      </c>
      <c r="K17" s="1130" t="str">
        <f t="shared" si="1"/>
        <v/>
      </c>
      <c r="L17" s="1130" t="str">
        <f t="shared" si="1"/>
        <v/>
      </c>
      <c r="M17" s="4"/>
      <c r="N17"/>
      <c r="Q17" s="1126"/>
      <c r="X17" s="1162"/>
    </row>
    <row r="18" spans="2:24" x14ac:dyDescent="0.25">
      <c r="G18" s="1126"/>
    </row>
    <row r="19" spans="2:24" x14ac:dyDescent="0.25">
      <c r="G19" s="1126"/>
    </row>
    <row r="20" spans="2:24" x14ac:dyDescent="0.25">
      <c r="G20" s="1126"/>
    </row>
    <row r="23" spans="2:24" x14ac:dyDescent="0.25">
      <c r="E23" s="1869" t="s">
        <v>1257</v>
      </c>
      <c r="F23" s="1869" t="s">
        <v>1264</v>
      </c>
      <c r="G23" s="1869" t="s">
        <v>1256</v>
      </c>
      <c r="H23" s="1869" t="s">
        <v>1258</v>
      </c>
      <c r="I23" s="1869" t="s">
        <v>1265</v>
      </c>
      <c r="J23" s="1869"/>
    </row>
    <row r="24" spans="2:24" x14ac:dyDescent="0.25">
      <c r="E24" s="1869"/>
      <c r="F24" s="1869"/>
      <c r="G24" s="1869"/>
      <c r="H24" s="1869"/>
      <c r="I24" s="1869"/>
      <c r="J24" s="1869"/>
    </row>
    <row r="25" spans="2:24" x14ac:dyDescent="0.25">
      <c r="E25" s="1869"/>
      <c r="F25" s="1869"/>
      <c r="G25" s="1869"/>
      <c r="H25" s="1869"/>
      <c r="I25" s="1869"/>
      <c r="J25" s="1869"/>
    </row>
    <row r="26" spans="2:24" x14ac:dyDescent="0.25">
      <c r="C26" s="1155" t="s">
        <v>1231</v>
      </c>
      <c r="E26" s="1869"/>
      <c r="F26" s="1869"/>
      <c r="G26" s="1869"/>
      <c r="H26" s="1869"/>
      <c r="I26" s="1869"/>
      <c r="J26" s="1869"/>
    </row>
    <row r="27" spans="2:24" ht="13.5" thickBot="1" x14ac:dyDescent="0.3">
      <c r="C27" s="1151" t="s">
        <v>1215</v>
      </c>
      <c r="D27" s="1149"/>
      <c r="E27" s="1869"/>
      <c r="F27" s="1869"/>
      <c r="G27" s="1869"/>
      <c r="H27" s="1869"/>
      <c r="I27" s="1869"/>
      <c r="J27" s="1869"/>
      <c r="N27" s="1163"/>
    </row>
    <row r="28" spans="2:24" ht="26" x14ac:dyDescent="0.25">
      <c r="C28" s="1152" t="s">
        <v>1216</v>
      </c>
      <c r="D28" s="1131" t="s">
        <v>1217</v>
      </c>
      <c r="E28" s="1869"/>
      <c r="F28" s="1869"/>
      <c r="G28" s="1869"/>
      <c r="H28" s="1869"/>
      <c r="I28" s="1869"/>
      <c r="J28" s="1869"/>
      <c r="N28" s="1164" t="s">
        <v>1255</v>
      </c>
    </row>
    <row r="29" spans="2:24" x14ac:dyDescent="0.25">
      <c r="B29" s="70" t="s">
        <v>39</v>
      </c>
      <c r="C29" s="1153" t="s">
        <v>1253</v>
      </c>
      <c r="D29" s="790">
        <v>0.7</v>
      </c>
      <c r="E29" s="790" t="s">
        <v>305</v>
      </c>
      <c r="F29" s="790" t="s">
        <v>305</v>
      </c>
      <c r="G29" s="790" t="s">
        <v>305</v>
      </c>
      <c r="H29" s="1132" t="s">
        <v>304</v>
      </c>
      <c r="I29" s="1132" t="s">
        <v>304</v>
      </c>
      <c r="J29" s="1132" t="s">
        <v>304</v>
      </c>
      <c r="K29" s="1132" t="s">
        <v>304</v>
      </c>
      <c r="L29" s="1132" t="s">
        <v>304</v>
      </c>
      <c r="N29" s="1165" t="s">
        <v>1224</v>
      </c>
    </row>
    <row r="30" spans="2:24" x14ac:dyDescent="0.25">
      <c r="B30" s="70" t="s">
        <v>39</v>
      </c>
      <c r="C30" s="1153" t="s">
        <v>1282</v>
      </c>
      <c r="D30" s="790">
        <v>0.7</v>
      </c>
      <c r="E30" s="790" t="s">
        <v>305</v>
      </c>
      <c r="F30" s="790" t="s">
        <v>305</v>
      </c>
      <c r="G30" s="1123" t="s">
        <v>304</v>
      </c>
      <c r="H30" s="790" t="s">
        <v>305</v>
      </c>
      <c r="I30" s="1132" t="s">
        <v>304</v>
      </c>
      <c r="J30" s="1132" t="s">
        <v>304</v>
      </c>
      <c r="K30" s="1132" t="s">
        <v>304</v>
      </c>
      <c r="L30" s="1132" t="s">
        <v>304</v>
      </c>
      <c r="N30" s="1165" t="s">
        <v>1225</v>
      </c>
    </row>
    <row r="31" spans="2:24" x14ac:dyDescent="0.25">
      <c r="B31" s="70" t="s">
        <v>39</v>
      </c>
      <c r="C31" s="1153" t="s">
        <v>1259</v>
      </c>
      <c r="D31" s="790">
        <v>0.7</v>
      </c>
      <c r="E31" s="790" t="s">
        <v>305</v>
      </c>
      <c r="F31" s="790" t="s">
        <v>305</v>
      </c>
      <c r="G31" s="790" t="s">
        <v>305</v>
      </c>
      <c r="H31" s="1132" t="s">
        <v>304</v>
      </c>
      <c r="I31" s="1132" t="s">
        <v>304</v>
      </c>
      <c r="J31" s="1132" t="s">
        <v>304</v>
      </c>
      <c r="K31" s="1132" t="s">
        <v>304</v>
      </c>
      <c r="L31" s="1132" t="s">
        <v>304</v>
      </c>
      <c r="N31" s="1165" t="s">
        <v>1224</v>
      </c>
    </row>
    <row r="32" spans="2:24" x14ac:dyDescent="0.25">
      <c r="B32" s="70" t="s">
        <v>39</v>
      </c>
      <c r="C32" s="1153" t="s">
        <v>1260</v>
      </c>
      <c r="D32" s="790">
        <v>0.7</v>
      </c>
      <c r="E32" s="790" t="s">
        <v>305</v>
      </c>
      <c r="F32" s="790" t="s">
        <v>305</v>
      </c>
      <c r="G32" s="790" t="s">
        <v>305</v>
      </c>
      <c r="H32" s="1132" t="s">
        <v>304</v>
      </c>
      <c r="I32" s="1132" t="s">
        <v>304</v>
      </c>
      <c r="J32" s="1132" t="s">
        <v>304</v>
      </c>
      <c r="K32" s="1132" t="s">
        <v>304</v>
      </c>
      <c r="L32" s="1132" t="s">
        <v>304</v>
      </c>
      <c r="N32" s="1165" t="s">
        <v>1224</v>
      </c>
    </row>
    <row r="33" spans="2:14" x14ac:dyDescent="0.25">
      <c r="B33" s="70" t="s">
        <v>39</v>
      </c>
      <c r="C33" s="1153" t="s">
        <v>1254</v>
      </c>
      <c r="D33" s="790">
        <v>0.7</v>
      </c>
      <c r="E33" s="790" t="s">
        <v>305</v>
      </c>
      <c r="F33" s="790" t="s">
        <v>305</v>
      </c>
      <c r="G33" s="790" t="s">
        <v>305</v>
      </c>
      <c r="H33" s="1132" t="s">
        <v>304</v>
      </c>
      <c r="I33" s="1132" t="s">
        <v>304</v>
      </c>
      <c r="J33" s="1132" t="s">
        <v>304</v>
      </c>
      <c r="K33" s="1132" t="s">
        <v>304</v>
      </c>
      <c r="L33" s="1132" t="s">
        <v>304</v>
      </c>
      <c r="N33" s="1165" t="s">
        <v>1224</v>
      </c>
    </row>
    <row r="34" spans="2:14" x14ac:dyDescent="0.25">
      <c r="B34" s="70" t="s">
        <v>39</v>
      </c>
      <c r="C34" s="1153" t="s">
        <v>457</v>
      </c>
      <c r="D34" s="790">
        <v>0.7</v>
      </c>
      <c r="E34" s="790" t="s">
        <v>305</v>
      </c>
      <c r="F34" s="790" t="s">
        <v>305</v>
      </c>
      <c r="G34" s="1123" t="s">
        <v>304</v>
      </c>
      <c r="H34" s="790" t="s">
        <v>305</v>
      </c>
      <c r="I34" s="1132" t="s">
        <v>304</v>
      </c>
      <c r="J34" s="1132" t="s">
        <v>304</v>
      </c>
      <c r="K34" s="1132" t="s">
        <v>304</v>
      </c>
      <c r="L34" s="1132" t="s">
        <v>304</v>
      </c>
      <c r="N34" s="1165" t="s">
        <v>1225</v>
      </c>
    </row>
    <row r="35" spans="2:14" x14ac:dyDescent="0.25">
      <c r="B35" s="70" t="s">
        <v>39</v>
      </c>
      <c r="C35" s="1153" t="s">
        <v>1261</v>
      </c>
      <c r="D35" s="790">
        <v>0.7</v>
      </c>
      <c r="E35" s="790" t="s">
        <v>305</v>
      </c>
      <c r="F35" s="790" t="s">
        <v>304</v>
      </c>
      <c r="G35" s="1123" t="s">
        <v>304</v>
      </c>
      <c r="H35" s="790" t="s">
        <v>304</v>
      </c>
      <c r="I35" s="1132" t="s">
        <v>305</v>
      </c>
      <c r="J35" s="1132" t="s">
        <v>304</v>
      </c>
      <c r="K35" s="1132" t="s">
        <v>304</v>
      </c>
      <c r="L35" s="1132" t="s">
        <v>304</v>
      </c>
      <c r="N35" s="1165" t="s">
        <v>1225</v>
      </c>
    </row>
    <row r="36" spans="2:14" x14ac:dyDescent="0.25">
      <c r="B36" s="70" t="s">
        <v>39</v>
      </c>
      <c r="C36" s="1153" t="s">
        <v>1263</v>
      </c>
      <c r="D36" s="790">
        <v>0.7</v>
      </c>
      <c r="E36" s="790" t="s">
        <v>305</v>
      </c>
      <c r="F36" s="790" t="s">
        <v>305</v>
      </c>
      <c r="G36" s="1123" t="s">
        <v>304</v>
      </c>
      <c r="H36" s="790" t="s">
        <v>304</v>
      </c>
      <c r="I36" s="1132" t="s">
        <v>304</v>
      </c>
      <c r="J36" s="1132" t="s">
        <v>304</v>
      </c>
      <c r="K36" s="1132" t="s">
        <v>304</v>
      </c>
      <c r="L36" s="1132" t="s">
        <v>304</v>
      </c>
      <c r="N36" s="1165" t="s">
        <v>1227</v>
      </c>
    </row>
    <row r="37" spans="2:14" x14ac:dyDescent="0.25">
      <c r="B37" s="70" t="s">
        <v>39</v>
      </c>
      <c r="C37" s="1153" t="s">
        <v>1262</v>
      </c>
      <c r="D37" s="790">
        <v>0.7</v>
      </c>
      <c r="E37" s="790" t="s">
        <v>305</v>
      </c>
      <c r="F37" s="790" t="s">
        <v>304</v>
      </c>
      <c r="G37" s="1123" t="s">
        <v>304</v>
      </c>
      <c r="H37" s="790" t="s">
        <v>304</v>
      </c>
      <c r="I37" s="790" t="s">
        <v>305</v>
      </c>
      <c r="J37" s="1132" t="s">
        <v>304</v>
      </c>
      <c r="K37" s="1132" t="s">
        <v>304</v>
      </c>
      <c r="L37" s="1132" t="s">
        <v>304</v>
      </c>
      <c r="N37" s="1165" t="s">
        <v>1225</v>
      </c>
    </row>
    <row r="38" spans="2:14" x14ac:dyDescent="0.25">
      <c r="B38" s="70" t="s">
        <v>39</v>
      </c>
      <c r="C38" s="1154" t="s">
        <v>1219</v>
      </c>
      <c r="D38" s="790">
        <v>0.13</v>
      </c>
      <c r="E38" s="790" t="s">
        <v>305</v>
      </c>
      <c r="F38" s="790" t="s">
        <v>304</v>
      </c>
      <c r="G38" s="1123" t="s">
        <v>304</v>
      </c>
      <c r="H38" s="790" t="s">
        <v>304</v>
      </c>
      <c r="I38" s="790" t="s">
        <v>305</v>
      </c>
      <c r="J38" s="1132" t="s">
        <v>304</v>
      </c>
      <c r="K38" s="1132" t="s">
        <v>304</v>
      </c>
      <c r="L38" s="1132" t="s">
        <v>304</v>
      </c>
      <c r="N38" s="1165" t="s">
        <v>1226</v>
      </c>
    </row>
    <row r="39" spans="2:14" x14ac:dyDescent="0.25">
      <c r="C39" s="1156"/>
      <c r="N39" s="1165"/>
    </row>
    <row r="40" spans="2:14" x14ac:dyDescent="0.25">
      <c r="C40" s="1156"/>
      <c r="N40" s="1165"/>
    </row>
    <row r="41" spans="2:14" x14ac:dyDescent="0.25">
      <c r="C41" s="1156"/>
      <c r="N41" s="1165"/>
    </row>
    <row r="42" spans="2:14" x14ac:dyDescent="0.25">
      <c r="C42" s="1156"/>
      <c r="N42" s="1165"/>
    </row>
    <row r="43" spans="2:14" x14ac:dyDescent="0.25">
      <c r="N43" s="1165"/>
    </row>
    <row r="44" spans="2:14" x14ac:dyDescent="0.25">
      <c r="E44" s="1869" t="s">
        <v>1257</v>
      </c>
      <c r="F44" s="1869" t="s">
        <v>1264</v>
      </c>
      <c r="G44" s="1869" t="s">
        <v>1256</v>
      </c>
      <c r="H44" s="1869" t="s">
        <v>1258</v>
      </c>
      <c r="I44" s="1869" t="s">
        <v>1265</v>
      </c>
      <c r="J44" s="1869" t="s">
        <v>1266</v>
      </c>
      <c r="K44" s="1869" t="s">
        <v>1268</v>
      </c>
      <c r="L44" s="1869" t="s">
        <v>1267</v>
      </c>
      <c r="N44" s="1165"/>
    </row>
    <row r="45" spans="2:14" x14ac:dyDescent="0.25">
      <c r="E45" s="1869"/>
      <c r="F45" s="1869"/>
      <c r="G45" s="1869"/>
      <c r="H45" s="1869"/>
      <c r="I45" s="1869"/>
      <c r="J45" s="1869"/>
      <c r="K45" s="1869"/>
      <c r="L45" s="1869"/>
      <c r="N45" s="1165"/>
    </row>
    <row r="46" spans="2:14" x14ac:dyDescent="0.25">
      <c r="E46" s="1869"/>
      <c r="F46" s="1869"/>
      <c r="G46" s="1869"/>
      <c r="H46" s="1869"/>
      <c r="I46" s="1869"/>
      <c r="J46" s="1869"/>
      <c r="K46" s="1869"/>
      <c r="L46" s="1869"/>
      <c r="N46" s="1165"/>
    </row>
    <row r="47" spans="2:14" ht="24.5" x14ac:dyDescent="0.25">
      <c r="C47" s="1159" t="s">
        <v>1223</v>
      </c>
      <c r="E47" s="1869"/>
      <c r="F47" s="1869"/>
      <c r="G47" s="1869"/>
      <c r="H47" s="1869"/>
      <c r="I47" s="1869"/>
      <c r="J47" s="1869"/>
      <c r="K47" s="1869"/>
      <c r="L47" s="1869"/>
      <c r="N47" s="1165"/>
    </row>
    <row r="48" spans="2:14" ht="13" x14ac:dyDescent="0.25">
      <c r="C48" s="1157" t="s">
        <v>1221</v>
      </c>
      <c r="D48" s="1148"/>
      <c r="E48" s="1869"/>
      <c r="F48" s="1869"/>
      <c r="G48" s="1869"/>
      <c r="H48" s="1869"/>
      <c r="I48" s="1869"/>
      <c r="J48" s="1869"/>
      <c r="K48" s="1869"/>
      <c r="L48" s="1869"/>
      <c r="N48" s="1165"/>
    </row>
    <row r="49" spans="2:14" ht="26" x14ac:dyDescent="0.25">
      <c r="C49" s="1152" t="s">
        <v>1216</v>
      </c>
      <c r="D49" s="1131" t="s">
        <v>1217</v>
      </c>
      <c r="E49" s="1869"/>
      <c r="F49" s="1869"/>
      <c r="G49" s="1869"/>
      <c r="H49" s="1869"/>
      <c r="I49" s="1869"/>
      <c r="J49" s="1869"/>
      <c r="K49" s="1869"/>
      <c r="L49" s="1869"/>
      <c r="N49" s="1165" t="s">
        <v>1218</v>
      </c>
    </row>
    <row r="50" spans="2:14" x14ac:dyDescent="0.25">
      <c r="B50" s="70" t="s">
        <v>36</v>
      </c>
      <c r="C50" s="1158" t="s">
        <v>1222</v>
      </c>
      <c r="D50" s="1130">
        <v>1</v>
      </c>
      <c r="E50" s="1147" t="s">
        <v>305</v>
      </c>
      <c r="F50" s="1123" t="s">
        <v>304</v>
      </c>
      <c r="G50" s="1123" t="s">
        <v>304</v>
      </c>
      <c r="H50" s="1123" t="s">
        <v>304</v>
      </c>
      <c r="I50" s="1123" t="s">
        <v>304</v>
      </c>
      <c r="J50" s="1147" t="s">
        <v>305</v>
      </c>
      <c r="K50" s="1147" t="s">
        <v>305</v>
      </c>
      <c r="L50" s="1147" t="s">
        <v>305</v>
      </c>
      <c r="N50" s="1165" t="s">
        <v>1228</v>
      </c>
    </row>
    <row r="51" spans="2:14" x14ac:dyDescent="0.25">
      <c r="B51" s="70" t="s">
        <v>36</v>
      </c>
      <c r="C51" s="1158" t="s">
        <v>1277</v>
      </c>
      <c r="D51" s="1130">
        <v>1</v>
      </c>
      <c r="E51" s="1147" t="s">
        <v>305</v>
      </c>
      <c r="F51" s="1147" t="s">
        <v>305</v>
      </c>
      <c r="G51" s="1123" t="s">
        <v>304</v>
      </c>
      <c r="H51" s="1147" t="s">
        <v>305</v>
      </c>
      <c r="I51" s="1123" t="s">
        <v>304</v>
      </c>
      <c r="J51" s="1123" t="s">
        <v>304</v>
      </c>
      <c r="K51" s="1123" t="s">
        <v>304</v>
      </c>
      <c r="L51" s="1147" t="s">
        <v>305</v>
      </c>
      <c r="N51" s="1165" t="s">
        <v>1229</v>
      </c>
    </row>
    <row r="52" spans="2:14" x14ac:dyDescent="0.25">
      <c r="B52" s="70" t="s">
        <v>36</v>
      </c>
      <c r="C52" s="1158" t="s">
        <v>1269</v>
      </c>
      <c r="D52" s="1130">
        <v>1</v>
      </c>
      <c r="E52" s="1147" t="s">
        <v>305</v>
      </c>
      <c r="F52" s="1147" t="s">
        <v>305</v>
      </c>
      <c r="G52" s="1147" t="s">
        <v>305</v>
      </c>
      <c r="H52" s="1123" t="s">
        <v>304</v>
      </c>
      <c r="I52" s="1123" t="s">
        <v>304</v>
      </c>
      <c r="J52" s="1123" t="s">
        <v>304</v>
      </c>
      <c r="K52" s="1123" t="s">
        <v>304</v>
      </c>
      <c r="L52" s="1147" t="s">
        <v>305</v>
      </c>
      <c r="N52" s="1165" t="s">
        <v>1230</v>
      </c>
    </row>
    <row r="53" spans="2:14" x14ac:dyDescent="0.25">
      <c r="B53" s="70" t="s">
        <v>36</v>
      </c>
      <c r="C53" s="1153" t="s">
        <v>1270</v>
      </c>
      <c r="D53" s="1130">
        <v>1</v>
      </c>
      <c r="E53" s="1147" t="s">
        <v>305</v>
      </c>
      <c r="F53" s="1147" t="s">
        <v>305</v>
      </c>
      <c r="G53" s="1147" t="s">
        <v>305</v>
      </c>
      <c r="H53" s="1123" t="s">
        <v>304</v>
      </c>
      <c r="I53" s="1123" t="s">
        <v>304</v>
      </c>
      <c r="J53" s="1123" t="s">
        <v>304</v>
      </c>
      <c r="K53" s="1123" t="s">
        <v>304</v>
      </c>
      <c r="L53" s="1147" t="s">
        <v>305</v>
      </c>
      <c r="N53" s="1165" t="s">
        <v>1230</v>
      </c>
    </row>
    <row r="54" spans="2:14" x14ac:dyDescent="0.25">
      <c r="B54" s="70" t="s">
        <v>36</v>
      </c>
      <c r="C54" s="1158" t="s">
        <v>1271</v>
      </c>
      <c r="D54" s="1130">
        <v>1</v>
      </c>
      <c r="E54" s="1147" t="s">
        <v>305</v>
      </c>
      <c r="F54" s="1147" t="s">
        <v>305</v>
      </c>
      <c r="G54" s="1147" t="s">
        <v>305</v>
      </c>
      <c r="H54" s="1123" t="s">
        <v>304</v>
      </c>
      <c r="I54" s="1123" t="s">
        <v>304</v>
      </c>
      <c r="J54" s="1123" t="s">
        <v>304</v>
      </c>
      <c r="K54" s="1123" t="s">
        <v>304</v>
      </c>
      <c r="L54" s="1147" t="s">
        <v>305</v>
      </c>
      <c r="N54" s="1165" t="s">
        <v>1230</v>
      </c>
    </row>
    <row r="55" spans="2:14" x14ac:dyDescent="0.25">
      <c r="B55" s="70" t="s">
        <v>36</v>
      </c>
      <c r="C55" s="1158" t="s">
        <v>1261</v>
      </c>
      <c r="D55" s="1130">
        <v>1</v>
      </c>
      <c r="E55" s="1147" t="s">
        <v>305</v>
      </c>
      <c r="F55" s="790" t="s">
        <v>304</v>
      </c>
      <c r="G55" s="790" t="s">
        <v>304</v>
      </c>
      <c r="H55" s="790" t="s">
        <v>304</v>
      </c>
      <c r="I55" s="790" t="s">
        <v>305</v>
      </c>
      <c r="J55" s="1123" t="s">
        <v>304</v>
      </c>
      <c r="K55" s="1123" t="s">
        <v>304</v>
      </c>
      <c r="L55" s="1123" t="s">
        <v>304</v>
      </c>
      <c r="N55" s="1165" t="s">
        <v>1220</v>
      </c>
    </row>
    <row r="56" spans="2:14" x14ac:dyDescent="0.25">
      <c r="B56" s="70" t="s">
        <v>36</v>
      </c>
      <c r="C56" s="1153" t="s">
        <v>1263</v>
      </c>
      <c r="D56" s="1130">
        <v>1</v>
      </c>
      <c r="E56" s="1147" t="s">
        <v>305</v>
      </c>
      <c r="F56" s="1147" t="s">
        <v>305</v>
      </c>
      <c r="G56" s="1123" t="s">
        <v>304</v>
      </c>
      <c r="H56" s="1123" t="s">
        <v>304</v>
      </c>
      <c r="I56" s="1123" t="s">
        <v>304</v>
      </c>
      <c r="J56" s="1123" t="s">
        <v>304</v>
      </c>
      <c r="K56" s="1123" t="s">
        <v>304</v>
      </c>
      <c r="L56" s="1123" t="s">
        <v>304</v>
      </c>
      <c r="N56" s="1165" t="s">
        <v>1227</v>
      </c>
    </row>
    <row r="57" spans="2:14" x14ac:dyDescent="0.25">
      <c r="B57" s="70" t="s">
        <v>36</v>
      </c>
      <c r="C57" s="1153" t="s">
        <v>1262</v>
      </c>
      <c r="D57" s="1130">
        <v>1</v>
      </c>
      <c r="E57" s="790" t="s">
        <v>305</v>
      </c>
      <c r="F57" s="790" t="s">
        <v>304</v>
      </c>
      <c r="G57" s="1123" t="s">
        <v>304</v>
      </c>
      <c r="H57" s="790" t="s">
        <v>304</v>
      </c>
      <c r="I57" s="790" t="s">
        <v>305</v>
      </c>
      <c r="J57" s="1123" t="s">
        <v>304</v>
      </c>
      <c r="K57" s="1123" t="s">
        <v>304</v>
      </c>
      <c r="L57" s="1123" t="s">
        <v>304</v>
      </c>
      <c r="N57" s="1165" t="s">
        <v>1225</v>
      </c>
    </row>
    <row r="58" spans="2:14" x14ac:dyDescent="0.25">
      <c r="B58" s="70" t="s">
        <v>36</v>
      </c>
      <c r="C58" s="1154" t="s">
        <v>1219</v>
      </c>
      <c r="D58" s="790">
        <v>0.13</v>
      </c>
      <c r="E58" s="790" t="s">
        <v>305</v>
      </c>
      <c r="F58" s="790" t="s">
        <v>304</v>
      </c>
      <c r="G58" s="1123" t="s">
        <v>304</v>
      </c>
      <c r="H58" s="790" t="s">
        <v>304</v>
      </c>
      <c r="I58" s="790" t="s">
        <v>305</v>
      </c>
      <c r="J58" s="1123" t="s">
        <v>304</v>
      </c>
      <c r="K58" s="1123" t="s">
        <v>304</v>
      </c>
      <c r="L58" s="1123" t="s">
        <v>304</v>
      </c>
      <c r="N58" s="1165" t="s">
        <v>1226</v>
      </c>
    </row>
    <row r="59" spans="2:14" ht="14.5" x14ac:dyDescent="0.25">
      <c r="C59" s="83" t="s">
        <v>723</v>
      </c>
      <c r="D59" s="1129" t="s">
        <v>723</v>
      </c>
      <c r="E59" s="790" t="s">
        <v>304</v>
      </c>
      <c r="F59" s="790" t="s">
        <v>304</v>
      </c>
      <c r="G59" s="790" t="s">
        <v>304</v>
      </c>
      <c r="H59" s="790" t="s">
        <v>304</v>
      </c>
      <c r="I59" s="790" t="s">
        <v>304</v>
      </c>
      <c r="J59" s="790" t="s">
        <v>304</v>
      </c>
      <c r="K59" s="790" t="s">
        <v>304</v>
      </c>
      <c r="L59" s="790" t="s">
        <v>304</v>
      </c>
      <c r="N59" s="1165"/>
    </row>
    <row r="60" spans="2:14" x14ac:dyDescent="0.25">
      <c r="N60" s="1165"/>
    </row>
    <row r="61" spans="2:14" x14ac:dyDescent="0.25">
      <c r="G61" s="1126"/>
      <c r="N61" s="1165"/>
    </row>
    <row r="62" spans="2:14" x14ac:dyDescent="0.25">
      <c r="G62" s="1126"/>
      <c r="N62" s="1165"/>
    </row>
    <row r="63" spans="2:14" x14ac:dyDescent="0.25">
      <c r="E63" s="1869" t="s">
        <v>1257</v>
      </c>
      <c r="F63" s="1869" t="s">
        <v>1264</v>
      </c>
      <c r="G63" s="1869" t="s">
        <v>1256</v>
      </c>
      <c r="H63" s="1869" t="s">
        <v>1258</v>
      </c>
      <c r="I63" s="1869" t="s">
        <v>1265</v>
      </c>
      <c r="J63" s="1873"/>
      <c r="K63" s="1873"/>
      <c r="L63" s="1873"/>
      <c r="N63" s="1165"/>
    </row>
    <row r="64" spans="2:14" x14ac:dyDescent="0.25">
      <c r="E64" s="1869"/>
      <c r="F64" s="1869"/>
      <c r="G64" s="1869"/>
      <c r="H64" s="1869"/>
      <c r="I64" s="1869"/>
      <c r="J64" s="1873"/>
      <c r="K64" s="1873"/>
      <c r="L64" s="1873"/>
      <c r="N64" s="1165"/>
    </row>
    <row r="65" spans="2:14" x14ac:dyDescent="0.25">
      <c r="E65" s="1869"/>
      <c r="F65" s="1869"/>
      <c r="G65" s="1869"/>
      <c r="H65" s="1869"/>
      <c r="I65" s="1869"/>
      <c r="J65" s="1873"/>
      <c r="K65" s="1873"/>
      <c r="L65" s="1873"/>
      <c r="N65" s="1165"/>
    </row>
    <row r="66" spans="2:14" x14ac:dyDescent="0.25">
      <c r="E66" s="1869"/>
      <c r="F66" s="1869"/>
      <c r="G66" s="1869"/>
      <c r="H66" s="1869"/>
      <c r="I66" s="1869"/>
      <c r="J66" s="1873"/>
      <c r="K66" s="1873"/>
      <c r="L66" s="1873"/>
      <c r="N66" s="1165"/>
    </row>
    <row r="67" spans="2:14" ht="13" x14ac:dyDescent="0.3">
      <c r="C67" s="1160" t="s">
        <v>1232</v>
      </c>
      <c r="E67" s="1869"/>
      <c r="F67" s="1869"/>
      <c r="G67" s="1869"/>
      <c r="H67" s="1869"/>
      <c r="I67" s="1869"/>
      <c r="J67" s="1873"/>
      <c r="K67" s="1873"/>
      <c r="L67" s="1873"/>
      <c r="N67" s="1165"/>
    </row>
    <row r="68" spans="2:14" ht="26" x14ac:dyDescent="0.25">
      <c r="C68" s="1152" t="s">
        <v>1216</v>
      </c>
      <c r="D68" s="1131" t="s">
        <v>1217</v>
      </c>
      <c r="E68" s="1869"/>
      <c r="F68" s="1869"/>
      <c r="G68" s="1869"/>
      <c r="H68" s="1869"/>
      <c r="I68" s="1869"/>
      <c r="J68" s="1873"/>
      <c r="K68" s="1873"/>
      <c r="L68" s="1873"/>
      <c r="N68" s="1165" t="s">
        <v>1218</v>
      </c>
    </row>
    <row r="69" spans="2:14" x14ac:dyDescent="0.25">
      <c r="B69" s="70" t="s">
        <v>1280</v>
      </c>
      <c r="C69" s="1158" t="s">
        <v>1269</v>
      </c>
      <c r="D69" s="1130">
        <v>0.7</v>
      </c>
      <c r="E69" s="1147" t="s">
        <v>305</v>
      </c>
      <c r="F69" s="1147" t="s">
        <v>305</v>
      </c>
      <c r="G69" s="1123" t="s">
        <v>304</v>
      </c>
      <c r="H69" s="1147" t="s">
        <v>305</v>
      </c>
      <c r="I69" s="1123" t="s">
        <v>304</v>
      </c>
      <c r="J69" s="1123" t="s">
        <v>304</v>
      </c>
      <c r="K69" s="1123" t="s">
        <v>304</v>
      </c>
      <c r="L69" s="1123" t="s">
        <v>304</v>
      </c>
      <c r="N69" s="1165" t="s">
        <v>1225</v>
      </c>
    </row>
    <row r="70" spans="2:14" x14ac:dyDescent="0.25">
      <c r="C70" s="1153" t="s">
        <v>1272</v>
      </c>
      <c r="D70" s="1130">
        <v>0.7</v>
      </c>
      <c r="E70" s="790" t="s">
        <v>305</v>
      </c>
      <c r="F70" s="790" t="s">
        <v>305</v>
      </c>
      <c r="G70" s="1123" t="s">
        <v>304</v>
      </c>
      <c r="H70" s="790" t="s">
        <v>305</v>
      </c>
      <c r="I70" s="1132" t="s">
        <v>304</v>
      </c>
      <c r="J70" s="1123" t="s">
        <v>304</v>
      </c>
      <c r="K70" s="1123" t="s">
        <v>304</v>
      </c>
      <c r="L70" s="1123" t="s">
        <v>304</v>
      </c>
      <c r="N70" s="1165" t="s">
        <v>1224</v>
      </c>
    </row>
    <row r="71" spans="2:14" x14ac:dyDescent="0.25">
      <c r="C71" s="1153" t="s">
        <v>1260</v>
      </c>
      <c r="D71" s="1130">
        <v>0.7</v>
      </c>
      <c r="E71" s="790" t="s">
        <v>305</v>
      </c>
      <c r="F71" s="790" t="s">
        <v>305</v>
      </c>
      <c r="G71" s="1123" t="s">
        <v>304</v>
      </c>
      <c r="H71" s="790" t="s">
        <v>305</v>
      </c>
      <c r="I71" s="1132" t="s">
        <v>304</v>
      </c>
      <c r="J71" s="1123" t="s">
        <v>304</v>
      </c>
      <c r="K71" s="1123" t="s">
        <v>304</v>
      </c>
      <c r="L71" s="1123" t="s">
        <v>304</v>
      </c>
      <c r="N71" s="1165" t="s">
        <v>1224</v>
      </c>
    </row>
    <row r="72" spans="2:14" x14ac:dyDescent="0.25">
      <c r="C72" s="1153" t="s">
        <v>1273</v>
      </c>
      <c r="D72" s="1130">
        <v>0.7</v>
      </c>
      <c r="E72" s="1147" t="s">
        <v>305</v>
      </c>
      <c r="F72" s="1147" t="s">
        <v>305</v>
      </c>
      <c r="G72" s="1123" t="s">
        <v>304</v>
      </c>
      <c r="H72" s="1147" t="s">
        <v>305</v>
      </c>
      <c r="I72" s="1123" t="s">
        <v>304</v>
      </c>
      <c r="J72" s="1123" t="s">
        <v>304</v>
      </c>
      <c r="K72" s="1123" t="s">
        <v>304</v>
      </c>
      <c r="L72" s="1123" t="s">
        <v>304</v>
      </c>
      <c r="N72" s="1165" t="s">
        <v>1224</v>
      </c>
    </row>
    <row r="73" spans="2:14" x14ac:dyDescent="0.25">
      <c r="C73" s="1124" t="s">
        <v>1233</v>
      </c>
      <c r="D73" s="1130">
        <v>0.7</v>
      </c>
      <c r="E73" s="1147" t="s">
        <v>305</v>
      </c>
      <c r="F73" s="1147" t="s">
        <v>305</v>
      </c>
      <c r="G73" s="1123" t="s">
        <v>304</v>
      </c>
      <c r="H73" s="1147" t="s">
        <v>305</v>
      </c>
      <c r="I73" s="1123" t="s">
        <v>304</v>
      </c>
      <c r="J73" s="1123" t="s">
        <v>304</v>
      </c>
      <c r="K73" s="1123" t="s">
        <v>304</v>
      </c>
      <c r="L73" s="1123" t="s">
        <v>304</v>
      </c>
      <c r="N73" s="1165" t="s">
        <v>1235</v>
      </c>
    </row>
    <row r="74" spans="2:14" x14ac:dyDescent="0.25">
      <c r="C74" s="1124" t="s">
        <v>457</v>
      </c>
      <c r="D74" s="1130">
        <v>0.7</v>
      </c>
      <c r="E74" s="1147" t="s">
        <v>305</v>
      </c>
      <c r="F74" s="1147" t="s">
        <v>305</v>
      </c>
      <c r="G74" s="1123" t="s">
        <v>304</v>
      </c>
      <c r="H74" s="1147" t="s">
        <v>305</v>
      </c>
      <c r="I74" s="1123" t="s">
        <v>304</v>
      </c>
      <c r="J74" s="1123" t="s">
        <v>304</v>
      </c>
      <c r="K74" s="1123" t="s">
        <v>304</v>
      </c>
      <c r="L74" s="1123" t="s">
        <v>304</v>
      </c>
      <c r="N74" s="1165" t="s">
        <v>1235</v>
      </c>
    </row>
    <row r="75" spans="2:14" x14ac:dyDescent="0.25">
      <c r="C75" s="1158" t="s">
        <v>1261</v>
      </c>
      <c r="D75" s="1130">
        <v>0.7</v>
      </c>
      <c r="E75" s="1147" t="s">
        <v>305</v>
      </c>
      <c r="F75" s="790" t="s">
        <v>304</v>
      </c>
      <c r="G75" s="790" t="s">
        <v>304</v>
      </c>
      <c r="H75" s="790" t="s">
        <v>304</v>
      </c>
      <c r="I75" s="790" t="s">
        <v>305</v>
      </c>
      <c r="J75" s="1123" t="s">
        <v>304</v>
      </c>
      <c r="K75" s="1123" t="s">
        <v>304</v>
      </c>
      <c r="L75" s="1123" t="s">
        <v>304</v>
      </c>
      <c r="N75" s="1165" t="s">
        <v>1220</v>
      </c>
    </row>
    <row r="76" spans="2:14" x14ac:dyDescent="0.25">
      <c r="C76" s="1153" t="s">
        <v>1263</v>
      </c>
      <c r="D76" s="1130">
        <v>0.7</v>
      </c>
      <c r="E76" s="1147" t="s">
        <v>305</v>
      </c>
      <c r="F76" s="1147" t="s">
        <v>305</v>
      </c>
      <c r="G76" s="1123" t="s">
        <v>304</v>
      </c>
      <c r="H76" s="1123" t="s">
        <v>304</v>
      </c>
      <c r="I76" s="1123" t="s">
        <v>304</v>
      </c>
      <c r="J76" s="1123" t="s">
        <v>304</v>
      </c>
      <c r="K76" s="1123" t="s">
        <v>304</v>
      </c>
      <c r="L76" s="1123" t="s">
        <v>304</v>
      </c>
      <c r="N76" s="1165" t="s">
        <v>1234</v>
      </c>
    </row>
    <row r="77" spans="2:14" x14ac:dyDescent="0.25">
      <c r="C77" s="1153" t="s">
        <v>1262</v>
      </c>
      <c r="D77" s="1130">
        <v>0.7</v>
      </c>
      <c r="E77" s="790" t="s">
        <v>305</v>
      </c>
      <c r="F77" s="790" t="s">
        <v>304</v>
      </c>
      <c r="G77" s="1123" t="s">
        <v>304</v>
      </c>
      <c r="H77" s="790" t="s">
        <v>304</v>
      </c>
      <c r="I77" s="790" t="s">
        <v>305</v>
      </c>
      <c r="J77" s="1123" t="s">
        <v>304</v>
      </c>
      <c r="K77" s="1123" t="s">
        <v>304</v>
      </c>
      <c r="L77" s="1123" t="s">
        <v>304</v>
      </c>
      <c r="N77" s="1165" t="s">
        <v>1225</v>
      </c>
    </row>
    <row r="78" spans="2:14" x14ac:dyDescent="0.25">
      <c r="C78" s="1154" t="s">
        <v>1219</v>
      </c>
      <c r="D78" s="790">
        <v>0.13</v>
      </c>
      <c r="E78" s="790" t="s">
        <v>305</v>
      </c>
      <c r="F78" s="790" t="s">
        <v>304</v>
      </c>
      <c r="G78" s="1123" t="s">
        <v>304</v>
      </c>
      <c r="H78" s="790" t="s">
        <v>304</v>
      </c>
      <c r="I78" s="790" t="s">
        <v>305</v>
      </c>
      <c r="J78" s="1123" t="s">
        <v>304</v>
      </c>
      <c r="K78" s="1123" t="s">
        <v>304</v>
      </c>
      <c r="L78" s="1123" t="s">
        <v>304</v>
      </c>
      <c r="N78" s="1165" t="s">
        <v>1226</v>
      </c>
    </row>
    <row r="79" spans="2:14" x14ac:dyDescent="0.25">
      <c r="N79" s="1165"/>
    </row>
    <row r="80" spans="2:14" x14ac:dyDescent="0.25">
      <c r="N80" s="1165"/>
    </row>
    <row r="81" spans="3:15" x14ac:dyDescent="0.25">
      <c r="N81" s="1165"/>
    </row>
    <row r="82" spans="3:15" x14ac:dyDescent="0.25">
      <c r="G82" s="1126"/>
      <c r="N82" s="1165"/>
    </row>
    <row r="83" spans="3:15" x14ac:dyDescent="0.25">
      <c r="F83" s="1870" t="s">
        <v>1275</v>
      </c>
      <c r="G83" s="1870" t="s">
        <v>1274</v>
      </c>
      <c r="H83" s="1870" t="s">
        <v>1276</v>
      </c>
      <c r="N83"/>
      <c r="O83" s="1165"/>
    </row>
    <row r="84" spans="3:15" x14ac:dyDescent="0.25">
      <c r="F84" s="1870"/>
      <c r="G84" s="1870"/>
      <c r="H84" s="1870"/>
      <c r="N84"/>
      <c r="O84" s="1165"/>
    </row>
    <row r="85" spans="3:15" x14ac:dyDescent="0.25">
      <c r="E85" s="1126">
        <f>'9.3 Ext Simplified'!J11</f>
        <v>0</v>
      </c>
      <c r="F85" s="1870"/>
      <c r="G85" s="1870"/>
      <c r="H85" s="1870"/>
      <c r="N85"/>
      <c r="O85" s="1165"/>
    </row>
    <row r="86" spans="3:15" x14ac:dyDescent="0.25">
      <c r="F86" s="1870"/>
      <c r="G86" s="1870"/>
      <c r="H86" s="1870"/>
      <c r="N86"/>
      <c r="O86" s="1165"/>
    </row>
    <row r="87" spans="3:15" ht="13" x14ac:dyDescent="0.3">
      <c r="C87" s="1160" t="s">
        <v>1236</v>
      </c>
      <c r="F87" s="1870"/>
      <c r="G87" s="1870"/>
      <c r="H87" s="1870"/>
      <c r="N87"/>
      <c r="O87" s="1165"/>
    </row>
    <row r="88" spans="3:15" ht="26" x14ac:dyDescent="0.25">
      <c r="C88" s="1152" t="s">
        <v>1237</v>
      </c>
      <c r="D88" s="1131" t="s">
        <v>1239</v>
      </c>
      <c r="E88" s="1131" t="s">
        <v>1302</v>
      </c>
      <c r="F88" s="1870"/>
      <c r="G88" s="1870"/>
      <c r="H88" s="1870"/>
      <c r="N88" s="1165" t="s">
        <v>1238</v>
      </c>
    </row>
    <row r="89" spans="3:15" x14ac:dyDescent="0.25">
      <c r="C89" s="1150" t="s">
        <v>1240</v>
      </c>
      <c r="D89" s="790">
        <v>200</v>
      </c>
      <c r="E89" s="790">
        <f>IF($E$85=0,0,IF(OR(,$E$85="LZ1",$E$85="LZ2"),D89*0.8,IF(E85="LZ4",D89*1.25,D89)))</f>
        <v>0</v>
      </c>
      <c r="F89" s="790" t="s">
        <v>305</v>
      </c>
      <c r="G89" s="790" t="s">
        <v>305</v>
      </c>
      <c r="H89" s="790" t="s">
        <v>304</v>
      </c>
      <c r="I89" s="1197" t="s">
        <v>912</v>
      </c>
      <c r="N89" s="1165" t="s">
        <v>1244</v>
      </c>
    </row>
    <row r="90" spans="3:15" x14ac:dyDescent="0.25">
      <c r="C90" s="1153" t="s">
        <v>1294</v>
      </c>
      <c r="D90" s="790">
        <v>0.1</v>
      </c>
      <c r="E90" s="790">
        <f t="shared" ref="E90:E97" si="2">IF($E$85=0,0,IF(OR(,$E$85="LZ1",$E$85="LZ2"),D90*0.8,IF(E86="LZ4",D90*1.25,D90)))</f>
        <v>0</v>
      </c>
      <c r="F90" s="790" t="s">
        <v>305</v>
      </c>
      <c r="G90" s="790" t="s">
        <v>305</v>
      </c>
      <c r="H90" s="790" t="s">
        <v>304</v>
      </c>
      <c r="I90" s="1197" t="s">
        <v>1296</v>
      </c>
      <c r="N90" s="1165" t="s">
        <v>1244</v>
      </c>
    </row>
    <row r="91" spans="3:15" x14ac:dyDescent="0.25">
      <c r="C91" s="1153" t="s">
        <v>1295</v>
      </c>
      <c r="D91" s="790">
        <v>0.1</v>
      </c>
      <c r="E91" s="790">
        <f t="shared" si="2"/>
        <v>0</v>
      </c>
      <c r="F91" s="790" t="s">
        <v>305</v>
      </c>
      <c r="G91" s="790" t="s">
        <v>305</v>
      </c>
      <c r="H91" s="790" t="s">
        <v>304</v>
      </c>
      <c r="I91" s="1197" t="s">
        <v>1296</v>
      </c>
      <c r="N91" s="1165" t="s">
        <v>1244</v>
      </c>
    </row>
    <row r="92" spans="3:15" x14ac:dyDescent="0.25">
      <c r="C92" s="1153" t="s">
        <v>1278</v>
      </c>
      <c r="D92" s="790">
        <v>0.1</v>
      </c>
      <c r="E92" s="790">
        <f t="shared" si="2"/>
        <v>0</v>
      </c>
      <c r="F92" s="790" t="s">
        <v>305</v>
      </c>
      <c r="G92" s="790" t="s">
        <v>305</v>
      </c>
      <c r="H92" s="790" t="s">
        <v>304</v>
      </c>
      <c r="I92" s="1197" t="s">
        <v>1296</v>
      </c>
      <c r="N92" s="1165" t="s">
        <v>1244</v>
      </c>
    </row>
    <row r="93" spans="3:15" x14ac:dyDescent="0.25">
      <c r="C93" s="1150" t="s">
        <v>116</v>
      </c>
      <c r="D93" s="1132">
        <v>0.04</v>
      </c>
      <c r="E93" s="790">
        <f t="shared" si="2"/>
        <v>0</v>
      </c>
      <c r="F93" s="790" t="s">
        <v>305</v>
      </c>
      <c r="G93" s="790" t="s">
        <v>305</v>
      </c>
      <c r="H93" s="790" t="s">
        <v>304</v>
      </c>
      <c r="I93" s="1197" t="s">
        <v>1296</v>
      </c>
      <c r="N93" s="1165" t="s">
        <v>1244</v>
      </c>
    </row>
    <row r="94" spans="3:15" x14ac:dyDescent="0.25">
      <c r="C94" s="1150" t="s">
        <v>1298</v>
      </c>
      <c r="D94" s="1132">
        <v>14</v>
      </c>
      <c r="E94" s="790">
        <f t="shared" si="2"/>
        <v>0</v>
      </c>
      <c r="F94" s="790" t="s">
        <v>305</v>
      </c>
      <c r="G94" s="790" t="s">
        <v>305</v>
      </c>
      <c r="H94" s="790" t="s">
        <v>304</v>
      </c>
      <c r="I94" s="1197" t="s">
        <v>1297</v>
      </c>
      <c r="N94" s="1165" t="s">
        <v>1244</v>
      </c>
    </row>
    <row r="95" spans="3:15" x14ac:dyDescent="0.25">
      <c r="C95" s="1161" t="s">
        <v>1241</v>
      </c>
      <c r="D95" s="1132">
        <v>0.7</v>
      </c>
      <c r="E95" s="790">
        <f t="shared" si="2"/>
        <v>0</v>
      </c>
      <c r="F95" s="790" t="s">
        <v>305</v>
      </c>
      <c r="G95" s="790" t="s">
        <v>304</v>
      </c>
      <c r="H95" s="790" t="s">
        <v>304</v>
      </c>
      <c r="I95" s="1197" t="s">
        <v>1296</v>
      </c>
      <c r="N95" s="1165" t="s">
        <v>1245</v>
      </c>
    </row>
    <row r="96" spans="3:15" x14ac:dyDescent="0.25">
      <c r="C96" s="1161" t="s">
        <v>1242</v>
      </c>
      <c r="D96" s="1132">
        <v>0.05</v>
      </c>
      <c r="E96" s="790">
        <f t="shared" si="2"/>
        <v>0</v>
      </c>
      <c r="F96" s="790" t="s">
        <v>305</v>
      </c>
      <c r="G96" s="790" t="s">
        <v>304</v>
      </c>
      <c r="H96" s="790" t="s">
        <v>305</v>
      </c>
      <c r="I96" s="1197" t="s">
        <v>1296</v>
      </c>
      <c r="N96" s="1165" t="s">
        <v>1246</v>
      </c>
    </row>
    <row r="97" spans="3:14" x14ac:dyDescent="0.25">
      <c r="C97" s="1161" t="s">
        <v>1243</v>
      </c>
      <c r="D97" s="1132">
        <v>0.2</v>
      </c>
      <c r="E97" s="790">
        <f t="shared" si="2"/>
        <v>0</v>
      </c>
      <c r="F97" s="790" t="s">
        <v>305</v>
      </c>
      <c r="G97" s="790" t="s">
        <v>305</v>
      </c>
      <c r="H97" s="790" t="s">
        <v>304</v>
      </c>
      <c r="I97" s="1197" t="s">
        <v>1296</v>
      </c>
      <c r="N97" s="1165" t="s">
        <v>1244</v>
      </c>
    </row>
    <row r="98" spans="3:14" x14ac:dyDescent="0.25">
      <c r="C98" s="4" t="s">
        <v>1247</v>
      </c>
      <c r="N98" s="1165"/>
    </row>
    <row r="99" spans="3:14" x14ac:dyDescent="0.25">
      <c r="C99" s="4" t="s">
        <v>1248</v>
      </c>
      <c r="N99" s="1165"/>
    </row>
    <row r="100" spans="3:14" x14ac:dyDescent="0.25">
      <c r="C100" s="4" t="s">
        <v>1249</v>
      </c>
      <c r="N100" s="1165"/>
    </row>
    <row r="101" spans="3:14" x14ac:dyDescent="0.25">
      <c r="C101" s="4" t="s">
        <v>1250</v>
      </c>
      <c r="N101" s="1165"/>
    </row>
    <row r="102" spans="3:14" x14ac:dyDescent="0.25">
      <c r="C102" s="4" t="s">
        <v>1251</v>
      </c>
    </row>
    <row r="103" spans="3:14" x14ac:dyDescent="0.25">
      <c r="C103" s="4" t="s">
        <v>1252</v>
      </c>
    </row>
  </sheetData>
  <sheetProtection sheet="1" objects="1" scenarios="1"/>
  <mergeCells count="34">
    <mergeCell ref="K2:K7"/>
    <mergeCell ref="L2:L7"/>
    <mergeCell ref="B6:B17"/>
    <mergeCell ref="J63:J68"/>
    <mergeCell ref="K63:K68"/>
    <mergeCell ref="L63:L68"/>
    <mergeCell ref="H63:H68"/>
    <mergeCell ref="I63:I68"/>
    <mergeCell ref="H23:H28"/>
    <mergeCell ref="E23:E28"/>
    <mergeCell ref="E2:E7"/>
    <mergeCell ref="F2:F7"/>
    <mergeCell ref="G2:G7"/>
    <mergeCell ref="H2:H7"/>
    <mergeCell ref="I2:I7"/>
    <mergeCell ref="J2:J7"/>
    <mergeCell ref="G83:G88"/>
    <mergeCell ref="F83:F88"/>
    <mergeCell ref="H83:H88"/>
    <mergeCell ref="E63:E68"/>
    <mergeCell ref="F63:F68"/>
    <mergeCell ref="G63:G68"/>
    <mergeCell ref="F23:F28"/>
    <mergeCell ref="E44:E49"/>
    <mergeCell ref="F44:F49"/>
    <mergeCell ref="G44:G49"/>
    <mergeCell ref="H44:H49"/>
    <mergeCell ref="K44:K49"/>
    <mergeCell ref="L44:L49"/>
    <mergeCell ref="J23:J28"/>
    <mergeCell ref="G23:G28"/>
    <mergeCell ref="I23:I28"/>
    <mergeCell ref="I44:I49"/>
    <mergeCell ref="J44:J49"/>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0">
    <tabColor rgb="FFFF0000"/>
  </sheetPr>
  <dimension ref="A1:AI123"/>
  <sheetViews>
    <sheetView workbookViewId="0"/>
  </sheetViews>
  <sheetFormatPr defaultRowHeight="12.5" x14ac:dyDescent="0.25"/>
  <cols>
    <col min="5" max="5" width="26.453125" bestFit="1" customWidth="1"/>
    <col min="8" max="8" width="42.453125" bestFit="1" customWidth="1"/>
    <col min="11" max="11" width="33.81640625" style="2" bestFit="1" customWidth="1"/>
    <col min="12" max="12" width="27.54296875" style="2" bestFit="1" customWidth="1"/>
    <col min="13" max="13" width="51.26953125" bestFit="1" customWidth="1"/>
    <col min="14" max="14" width="51.26953125" customWidth="1"/>
    <col min="15" max="15" width="13.7265625" customWidth="1"/>
    <col min="19" max="19" width="78" bestFit="1" customWidth="1"/>
    <col min="23" max="23" width="32" style="4" customWidth="1"/>
    <col min="24" max="24" width="9.54296875" style="4" customWidth="1"/>
    <col min="25" max="31" width="9.1796875" style="2" customWidth="1"/>
  </cols>
  <sheetData>
    <row r="1" spans="1:35" ht="22" thickTop="1" x14ac:dyDescent="0.3">
      <c r="A1" t="s">
        <v>671</v>
      </c>
      <c r="E1" t="s">
        <v>672</v>
      </c>
      <c r="F1" t="s">
        <v>35</v>
      </c>
      <c r="H1" t="s">
        <v>673</v>
      </c>
      <c r="K1" s="81"/>
      <c r="L1" s="81"/>
      <c r="W1" s="52"/>
      <c r="X1" s="60" t="s">
        <v>215</v>
      </c>
      <c r="Y1" s="53" t="s">
        <v>674</v>
      </c>
      <c r="Z1" s="59" t="s">
        <v>209</v>
      </c>
      <c r="AA1" s="59" t="s">
        <v>210</v>
      </c>
      <c r="AB1" s="59" t="s">
        <v>211</v>
      </c>
      <c r="AC1" s="59" t="s">
        <v>212</v>
      </c>
      <c r="AD1" s="59" t="s">
        <v>213</v>
      </c>
      <c r="AE1" s="54" t="s">
        <v>215</v>
      </c>
      <c r="AF1" s="81">
        <v>1</v>
      </c>
      <c r="AI1" s="75" t="s">
        <v>675</v>
      </c>
    </row>
    <row r="2" spans="1:35" x14ac:dyDescent="0.25">
      <c r="A2" t="s">
        <v>676</v>
      </c>
      <c r="E2" s="393" t="s">
        <v>254</v>
      </c>
      <c r="F2" s="394">
        <v>0.82</v>
      </c>
      <c r="H2" s="310" t="s">
        <v>677</v>
      </c>
      <c r="K2" s="81"/>
      <c r="L2" s="81"/>
      <c r="N2" t="s">
        <v>646</v>
      </c>
      <c r="W2" s="55" t="s">
        <v>22</v>
      </c>
      <c r="X2" s="395"/>
      <c r="Y2" s="372" t="e">
        <f t="shared" ref="Y2:Y14" si="0">HLOOKUP(V$39,Z$1:AD$25,AF2,FALSE)</f>
        <v>#N/A</v>
      </c>
      <c r="Z2" s="372">
        <v>0</v>
      </c>
      <c r="AA2" s="372">
        <v>500</v>
      </c>
      <c r="AB2" s="372">
        <v>600</v>
      </c>
      <c r="AC2" s="372">
        <v>750</v>
      </c>
      <c r="AD2" s="372">
        <v>1300</v>
      </c>
      <c r="AE2" s="56" t="s">
        <v>216</v>
      </c>
      <c r="AF2" s="112">
        <v>2</v>
      </c>
      <c r="AI2" s="66" t="s">
        <v>678</v>
      </c>
    </row>
    <row r="3" spans="1:35" ht="13" x14ac:dyDescent="0.3">
      <c r="E3" s="393"/>
      <c r="F3" s="394"/>
      <c r="H3" s="310"/>
      <c r="J3" s="70" t="s">
        <v>69</v>
      </c>
      <c r="K3" s="81"/>
      <c r="L3" s="81"/>
      <c r="N3" t="s">
        <v>648</v>
      </c>
      <c r="W3" s="1877" t="s">
        <v>217</v>
      </c>
      <c r="X3" s="1822"/>
      <c r="Y3" s="1822"/>
      <c r="Z3" s="1822"/>
      <c r="AA3" s="1822"/>
      <c r="AB3" s="1822"/>
      <c r="AC3" s="1822"/>
      <c r="AD3" s="1822"/>
      <c r="AE3" s="1878"/>
      <c r="AF3" s="81">
        <v>3</v>
      </c>
      <c r="AI3" s="66" t="s">
        <v>679</v>
      </c>
    </row>
    <row r="4" spans="1:35" x14ac:dyDescent="0.25">
      <c r="A4" t="s">
        <v>680</v>
      </c>
      <c r="E4" s="393" t="s">
        <v>255</v>
      </c>
      <c r="F4" s="394">
        <v>1.08</v>
      </c>
      <c r="H4" s="310" t="s">
        <v>681</v>
      </c>
      <c r="J4" s="70" t="s">
        <v>15</v>
      </c>
      <c r="K4" s="81"/>
      <c r="L4" s="81"/>
      <c r="N4" t="s">
        <v>650</v>
      </c>
      <c r="W4" s="86" t="s">
        <v>219</v>
      </c>
      <c r="X4" s="396" t="s">
        <v>238</v>
      </c>
      <c r="Y4" s="372" t="e">
        <f t="shared" si="0"/>
        <v>#N/A</v>
      </c>
      <c r="Z4" s="372">
        <v>0</v>
      </c>
      <c r="AA4" s="372">
        <v>0.04</v>
      </c>
      <c r="AB4" s="372">
        <v>0.06</v>
      </c>
      <c r="AC4" s="372">
        <v>0.1</v>
      </c>
      <c r="AD4" s="372">
        <v>0.13</v>
      </c>
      <c r="AE4" s="56" t="s">
        <v>682</v>
      </c>
      <c r="AF4" s="112">
        <v>4</v>
      </c>
      <c r="AI4" s="66" t="s">
        <v>683</v>
      </c>
    </row>
    <row r="5" spans="1:35" x14ac:dyDescent="0.25">
      <c r="A5" t="s">
        <v>684</v>
      </c>
      <c r="E5" s="393" t="s">
        <v>256</v>
      </c>
      <c r="F5" s="394">
        <v>1.05</v>
      </c>
      <c r="H5" s="310" t="s">
        <v>685</v>
      </c>
      <c r="J5" s="70" t="s">
        <v>686</v>
      </c>
      <c r="K5" s="81"/>
      <c r="L5" s="81"/>
      <c r="N5" t="s">
        <v>652</v>
      </c>
      <c r="W5" s="86" t="s">
        <v>221</v>
      </c>
      <c r="X5" s="396" t="s">
        <v>687</v>
      </c>
      <c r="Y5" s="372" t="e">
        <f t="shared" si="0"/>
        <v>#N/A</v>
      </c>
      <c r="Z5" s="372">
        <v>0</v>
      </c>
      <c r="AA5" s="372">
        <v>0.7</v>
      </c>
      <c r="AB5" s="372">
        <v>0.7</v>
      </c>
      <c r="AC5" s="372">
        <v>0.8</v>
      </c>
      <c r="AD5" s="372">
        <v>1</v>
      </c>
      <c r="AE5" s="56" t="s">
        <v>688</v>
      </c>
      <c r="AF5" s="81">
        <v>5</v>
      </c>
      <c r="AI5" s="66" t="s">
        <v>689</v>
      </c>
    </row>
    <row r="6" spans="1:35" x14ac:dyDescent="0.25">
      <c r="A6" t="s">
        <v>3</v>
      </c>
      <c r="E6" s="393" t="s">
        <v>258</v>
      </c>
      <c r="F6" s="394">
        <v>0.99</v>
      </c>
      <c r="G6" s="7"/>
      <c r="H6" s="9" t="s">
        <v>690</v>
      </c>
      <c r="I6" s="7"/>
      <c r="J6" s="70" t="s">
        <v>304</v>
      </c>
      <c r="K6" s="81"/>
      <c r="L6" s="81"/>
      <c r="N6" t="s">
        <v>654</v>
      </c>
      <c r="W6" s="86" t="s">
        <v>222</v>
      </c>
      <c r="X6" s="396" t="s">
        <v>238</v>
      </c>
      <c r="Y6" s="372" t="e">
        <f t="shared" si="0"/>
        <v>#N/A</v>
      </c>
      <c r="Z6" s="372">
        <v>0</v>
      </c>
      <c r="AA6" s="372">
        <v>0.14000000000000001</v>
      </c>
      <c r="AB6" s="372">
        <v>0.14000000000000001</v>
      </c>
      <c r="AC6" s="372">
        <v>0.16</v>
      </c>
      <c r="AD6" s="372">
        <v>0.2</v>
      </c>
      <c r="AE6" s="56" t="s">
        <v>682</v>
      </c>
      <c r="AF6" s="112">
        <v>6</v>
      </c>
      <c r="AI6" s="66" t="s">
        <v>691</v>
      </c>
    </row>
    <row r="7" spans="1:35" x14ac:dyDescent="0.25">
      <c r="E7" s="393" t="s">
        <v>260</v>
      </c>
      <c r="F7" s="394">
        <v>0.9</v>
      </c>
      <c r="G7" s="7"/>
      <c r="H7" s="10" t="s">
        <v>692</v>
      </c>
      <c r="I7" s="7"/>
      <c r="K7" s="81"/>
      <c r="L7" s="81"/>
      <c r="N7" t="s">
        <v>656</v>
      </c>
      <c r="W7" s="86" t="s">
        <v>224</v>
      </c>
      <c r="X7" s="396" t="s">
        <v>238</v>
      </c>
      <c r="Y7" s="372" t="e">
        <f t="shared" si="0"/>
        <v>#N/A</v>
      </c>
      <c r="Z7" s="372">
        <v>0</v>
      </c>
      <c r="AA7" s="372">
        <v>0.75</v>
      </c>
      <c r="AB7" s="372">
        <v>1</v>
      </c>
      <c r="AC7" s="372">
        <v>1</v>
      </c>
      <c r="AD7" s="372">
        <v>1</v>
      </c>
      <c r="AE7" s="56" t="s">
        <v>682</v>
      </c>
      <c r="AF7" s="81">
        <v>7</v>
      </c>
      <c r="AI7" s="66" t="s">
        <v>693</v>
      </c>
    </row>
    <row r="8" spans="1:35" x14ac:dyDescent="0.25">
      <c r="A8" t="s">
        <v>694</v>
      </c>
      <c r="E8" s="393" t="s">
        <v>261</v>
      </c>
      <c r="F8" s="394">
        <v>0.89</v>
      </c>
      <c r="G8" s="7"/>
      <c r="H8" s="9" t="s">
        <v>695</v>
      </c>
      <c r="I8" s="7"/>
      <c r="K8" s="81"/>
      <c r="L8" s="81"/>
      <c r="N8" t="s">
        <v>658</v>
      </c>
      <c r="W8" s="86" t="s">
        <v>225</v>
      </c>
      <c r="X8" s="396" t="s">
        <v>238</v>
      </c>
      <c r="Y8" s="372" t="e">
        <f t="shared" si="0"/>
        <v>#N/A</v>
      </c>
      <c r="Z8" s="372">
        <v>0</v>
      </c>
      <c r="AA8" s="372">
        <v>0.15</v>
      </c>
      <c r="AB8" s="372">
        <v>0.15</v>
      </c>
      <c r="AC8" s="372">
        <v>0.2</v>
      </c>
      <c r="AD8" s="372">
        <v>0.3</v>
      </c>
      <c r="AE8" s="56" t="s">
        <v>682</v>
      </c>
      <c r="AF8" s="112">
        <v>8</v>
      </c>
      <c r="AI8" s="66" t="s">
        <v>696</v>
      </c>
    </row>
    <row r="9" spans="1:35" x14ac:dyDescent="0.25">
      <c r="A9" t="s">
        <v>640</v>
      </c>
      <c r="B9" t="s">
        <v>697</v>
      </c>
      <c r="E9" s="393" t="s">
        <v>262</v>
      </c>
      <c r="F9" s="394">
        <v>0.61</v>
      </c>
      <c r="G9" s="7"/>
      <c r="H9" s="11" t="s">
        <v>698</v>
      </c>
      <c r="I9" s="7"/>
      <c r="K9" s="81"/>
      <c r="L9" s="81"/>
      <c r="N9" t="s">
        <v>660</v>
      </c>
      <c r="W9" s="86" t="s">
        <v>226</v>
      </c>
      <c r="X9" s="396" t="s">
        <v>238</v>
      </c>
      <c r="Y9" s="372" t="e">
        <f t="shared" si="0"/>
        <v>#N/A</v>
      </c>
      <c r="Z9" s="372">
        <v>0</v>
      </c>
      <c r="AA9" s="372">
        <v>0.04</v>
      </c>
      <c r="AB9" s="372">
        <v>0.05</v>
      </c>
      <c r="AC9" s="372">
        <v>0.05</v>
      </c>
      <c r="AD9" s="372">
        <v>0.05</v>
      </c>
      <c r="AE9" s="56" t="s">
        <v>682</v>
      </c>
      <c r="AF9" s="81">
        <v>9</v>
      </c>
      <c r="AI9" s="66" t="s">
        <v>699</v>
      </c>
    </row>
    <row r="10" spans="1:35" x14ac:dyDescent="0.25">
      <c r="A10" t="s">
        <v>641</v>
      </c>
      <c r="B10" t="s">
        <v>700</v>
      </c>
      <c r="E10" s="393" t="s">
        <v>263</v>
      </c>
      <c r="F10" s="394">
        <v>0.88</v>
      </c>
      <c r="G10" s="7"/>
      <c r="H10" s="10" t="s">
        <v>701</v>
      </c>
      <c r="I10" s="7"/>
      <c r="K10" s="81"/>
      <c r="L10" s="81"/>
      <c r="N10" t="s">
        <v>662</v>
      </c>
      <c r="W10" s="86" t="s">
        <v>227</v>
      </c>
      <c r="X10" s="396" t="s">
        <v>687</v>
      </c>
      <c r="Y10" s="372" t="e">
        <f t="shared" si="0"/>
        <v>#N/A</v>
      </c>
      <c r="Z10" s="372">
        <v>0</v>
      </c>
      <c r="AA10" s="372">
        <v>20</v>
      </c>
      <c r="AB10" s="372">
        <v>20</v>
      </c>
      <c r="AC10" s="372">
        <v>30</v>
      </c>
      <c r="AD10" s="372">
        <v>30</v>
      </c>
      <c r="AE10" s="56" t="s">
        <v>688</v>
      </c>
      <c r="AF10" s="112">
        <v>10</v>
      </c>
      <c r="AI10" s="66" t="s">
        <v>192</v>
      </c>
    </row>
    <row r="11" spans="1:35" x14ac:dyDescent="0.25">
      <c r="E11" s="393" t="s">
        <v>264</v>
      </c>
      <c r="F11" s="394">
        <v>0.71</v>
      </c>
      <c r="G11" s="7"/>
      <c r="H11" s="11" t="s">
        <v>702</v>
      </c>
      <c r="I11" s="7"/>
      <c r="K11" s="81"/>
      <c r="L11" s="81"/>
      <c r="N11" t="s">
        <v>663</v>
      </c>
      <c r="W11" s="86" t="s">
        <v>229</v>
      </c>
      <c r="X11" s="396" t="s">
        <v>687</v>
      </c>
      <c r="Y11" s="372" t="e">
        <f t="shared" si="0"/>
        <v>#N/A</v>
      </c>
      <c r="Z11" s="372">
        <v>0</v>
      </c>
      <c r="AA11" s="372">
        <v>20</v>
      </c>
      <c r="AB11" s="372">
        <v>20</v>
      </c>
      <c r="AC11" s="372">
        <v>20</v>
      </c>
      <c r="AD11" s="372">
        <v>20</v>
      </c>
      <c r="AE11" s="56" t="s">
        <v>688</v>
      </c>
      <c r="AF11" s="81">
        <v>11</v>
      </c>
      <c r="AI11" s="66" t="s">
        <v>703</v>
      </c>
    </row>
    <row r="12" spans="1:35" x14ac:dyDescent="0.25">
      <c r="A12" t="s">
        <v>704</v>
      </c>
      <c r="E12" s="393" t="s">
        <v>265</v>
      </c>
      <c r="F12" s="394">
        <v>1</v>
      </c>
      <c r="G12" s="7"/>
      <c r="H12" s="9" t="s">
        <v>705</v>
      </c>
      <c r="I12" s="7"/>
      <c r="K12" s="81"/>
      <c r="L12" s="81"/>
      <c r="N12" t="s">
        <v>664</v>
      </c>
      <c r="W12" s="86" t="s">
        <v>230</v>
      </c>
      <c r="X12" s="396" t="s">
        <v>238</v>
      </c>
      <c r="Y12" s="372" t="e">
        <f t="shared" si="0"/>
        <v>#N/A</v>
      </c>
      <c r="Z12" s="372">
        <v>0</v>
      </c>
      <c r="AA12" s="372">
        <v>0.25</v>
      </c>
      <c r="AB12" s="372">
        <v>0.25</v>
      </c>
      <c r="AC12" s="372">
        <v>0.4</v>
      </c>
      <c r="AD12" s="372">
        <v>0.4</v>
      </c>
      <c r="AE12" s="56" t="s">
        <v>682</v>
      </c>
      <c r="AF12" s="112">
        <v>12</v>
      </c>
      <c r="AI12" s="66" t="s">
        <v>706</v>
      </c>
    </row>
    <row r="13" spans="1:35" x14ac:dyDescent="0.25">
      <c r="A13" s="81" t="s">
        <v>193</v>
      </c>
      <c r="E13" s="393" t="s">
        <v>42</v>
      </c>
      <c r="F13" s="394">
        <v>0.87</v>
      </c>
      <c r="G13" s="7"/>
      <c r="H13" s="11" t="s">
        <v>707</v>
      </c>
      <c r="I13" s="7"/>
      <c r="K13" s="81"/>
      <c r="L13" s="81"/>
      <c r="N13" t="s">
        <v>665</v>
      </c>
      <c r="W13" s="86" t="s">
        <v>232</v>
      </c>
      <c r="X13" s="396" t="s">
        <v>238</v>
      </c>
      <c r="Y13" s="372" t="e">
        <f t="shared" si="0"/>
        <v>#N/A</v>
      </c>
      <c r="Z13" s="372">
        <v>0</v>
      </c>
      <c r="AA13" s="372">
        <v>0.6</v>
      </c>
      <c r="AB13" s="372">
        <v>0.6</v>
      </c>
      <c r="AC13" s="372">
        <v>0.8</v>
      </c>
      <c r="AD13" s="372">
        <v>1</v>
      </c>
      <c r="AE13" s="56" t="s">
        <v>682</v>
      </c>
      <c r="AF13" s="81">
        <v>13</v>
      </c>
      <c r="AI13" s="66" t="s">
        <v>708</v>
      </c>
    </row>
    <row r="14" spans="1:35" x14ac:dyDescent="0.25">
      <c r="A14" s="81" t="s">
        <v>170</v>
      </c>
      <c r="E14" s="393" t="s">
        <v>266</v>
      </c>
      <c r="F14" s="394">
        <v>1.21</v>
      </c>
      <c r="G14" s="7"/>
      <c r="H14" s="11" t="s">
        <v>709</v>
      </c>
      <c r="I14" s="7"/>
      <c r="K14" s="81"/>
      <c r="L14" s="81"/>
      <c r="W14" s="86" t="s">
        <v>233</v>
      </c>
      <c r="X14" s="396" t="s">
        <v>238</v>
      </c>
      <c r="Y14" s="372" t="e">
        <f t="shared" si="0"/>
        <v>#N/A</v>
      </c>
      <c r="Z14" s="372">
        <v>0</v>
      </c>
      <c r="AA14" s="372">
        <v>0.25</v>
      </c>
      <c r="AB14" s="372">
        <v>0.25</v>
      </c>
      <c r="AC14" s="372">
        <v>0.5</v>
      </c>
      <c r="AD14" s="372">
        <v>0.7</v>
      </c>
      <c r="AE14" s="56" t="s">
        <v>682</v>
      </c>
      <c r="AF14" s="112">
        <v>14</v>
      </c>
      <c r="AI14" s="66" t="s">
        <v>710</v>
      </c>
    </row>
    <row r="15" spans="1:35" x14ac:dyDescent="0.25">
      <c r="E15" s="393" t="s">
        <v>267</v>
      </c>
      <c r="F15" s="394">
        <v>1</v>
      </c>
      <c r="G15" s="7"/>
      <c r="H15" s="11" t="s">
        <v>711</v>
      </c>
      <c r="I15" s="7"/>
      <c r="K15" s="81"/>
      <c r="L15" s="81"/>
      <c r="W15" s="86" t="s">
        <v>235</v>
      </c>
      <c r="X15" s="396" t="s">
        <v>687</v>
      </c>
      <c r="Y15" s="372" t="e">
        <f t="shared" ref="Y15:Y23" si="1">HLOOKUP(V$39,Z$1:AD$25,AF15,FALSE)</f>
        <v>#N/A</v>
      </c>
      <c r="Z15" s="372">
        <v>0</v>
      </c>
      <c r="AA15" s="372">
        <v>0</v>
      </c>
      <c r="AB15" s="372">
        <v>10</v>
      </c>
      <c r="AC15" s="372">
        <v>10</v>
      </c>
      <c r="AD15" s="372">
        <v>30</v>
      </c>
      <c r="AE15" s="56" t="s">
        <v>688</v>
      </c>
      <c r="AF15" s="81">
        <v>15</v>
      </c>
      <c r="AI15" s="66" t="s">
        <v>712</v>
      </c>
    </row>
    <row r="16" spans="1:35" ht="13" x14ac:dyDescent="0.3">
      <c r="A16" t="s">
        <v>713</v>
      </c>
      <c r="E16" s="393" t="s">
        <v>268</v>
      </c>
      <c r="F16" s="394">
        <v>1.18</v>
      </c>
      <c r="G16" s="7"/>
      <c r="H16" s="9" t="s">
        <v>714</v>
      </c>
      <c r="I16" s="7"/>
      <c r="K16" s="81"/>
      <c r="L16" s="81"/>
      <c r="W16" s="1877" t="s">
        <v>237</v>
      </c>
      <c r="X16" s="1822"/>
      <c r="Y16" s="1822"/>
      <c r="Z16" s="1822"/>
      <c r="AA16" s="1822"/>
      <c r="AB16" s="1822"/>
      <c r="AC16" s="1822"/>
      <c r="AD16" s="1822"/>
      <c r="AE16" s="1878"/>
      <c r="AF16" s="112">
        <v>16</v>
      </c>
      <c r="AI16" s="66" t="s">
        <v>715</v>
      </c>
    </row>
    <row r="17" spans="1:35" x14ac:dyDescent="0.25">
      <c r="A17" s="81" t="s">
        <v>193</v>
      </c>
      <c r="E17" s="393" t="s">
        <v>269</v>
      </c>
      <c r="F17" s="394">
        <v>1.1100000000000001</v>
      </c>
      <c r="G17" s="7"/>
      <c r="H17" s="9" t="s">
        <v>716</v>
      </c>
      <c r="I17" s="7"/>
      <c r="K17" s="81"/>
      <c r="L17" s="81"/>
      <c r="W17" s="86" t="s">
        <v>239</v>
      </c>
      <c r="X17" s="396" t="s">
        <v>238</v>
      </c>
      <c r="Y17" s="372" t="e">
        <f t="shared" si="1"/>
        <v>#N/A</v>
      </c>
      <c r="Z17" s="372">
        <v>0</v>
      </c>
      <c r="AA17" s="372">
        <v>0</v>
      </c>
      <c r="AB17" s="372">
        <v>0.1</v>
      </c>
      <c r="AC17" s="372">
        <v>0.15</v>
      </c>
      <c r="AD17" s="372">
        <v>0.2</v>
      </c>
      <c r="AE17" s="56" t="s">
        <v>682</v>
      </c>
      <c r="AF17" s="81">
        <v>17</v>
      </c>
      <c r="AI17" s="66" t="s">
        <v>717</v>
      </c>
    </row>
    <row r="18" spans="1:35" x14ac:dyDescent="0.25">
      <c r="A18" s="81" t="s">
        <v>170</v>
      </c>
      <c r="E18" s="393" t="s">
        <v>270</v>
      </c>
      <c r="F18" s="394">
        <v>0.88</v>
      </c>
      <c r="G18" s="7"/>
      <c r="H18" s="11" t="s">
        <v>718</v>
      </c>
      <c r="I18" s="7"/>
      <c r="K18" s="81"/>
      <c r="L18" s="81"/>
      <c r="W18" s="86" t="s">
        <v>240</v>
      </c>
      <c r="X18" s="396" t="s">
        <v>687</v>
      </c>
      <c r="Y18" s="372" t="e">
        <f t="shared" si="1"/>
        <v>#N/A</v>
      </c>
      <c r="Z18" s="372">
        <v>0</v>
      </c>
      <c r="AA18" s="372">
        <v>0</v>
      </c>
      <c r="AB18" s="372">
        <v>2.5</v>
      </c>
      <c r="AC18" s="372">
        <v>3.75</v>
      </c>
      <c r="AD18" s="372">
        <v>5</v>
      </c>
      <c r="AE18" s="56" t="s">
        <v>688</v>
      </c>
      <c r="AF18" s="112">
        <v>18</v>
      </c>
      <c r="AI18" s="66" t="s">
        <v>719</v>
      </c>
    </row>
    <row r="19" spans="1:35" x14ac:dyDescent="0.25">
      <c r="A19" s="81" t="s">
        <v>304</v>
      </c>
      <c r="E19" s="393" t="s">
        <v>271</v>
      </c>
      <c r="F19" s="394">
        <v>0.83</v>
      </c>
      <c r="G19" s="7"/>
      <c r="H19" s="11" t="s">
        <v>720</v>
      </c>
      <c r="I19" s="7"/>
      <c r="K19" s="81"/>
      <c r="L19" s="81"/>
      <c r="W19" s="86" t="s">
        <v>242</v>
      </c>
      <c r="X19" s="396" t="s">
        <v>721</v>
      </c>
      <c r="Y19" s="372" t="e">
        <f t="shared" si="1"/>
        <v>#N/A</v>
      </c>
      <c r="Z19" s="372">
        <v>0</v>
      </c>
      <c r="AA19" s="372">
        <v>270</v>
      </c>
      <c r="AB19" s="372">
        <v>270</v>
      </c>
      <c r="AC19" s="372">
        <v>270</v>
      </c>
      <c r="AD19" s="372">
        <v>270</v>
      </c>
      <c r="AE19" s="56" t="s">
        <v>216</v>
      </c>
      <c r="AF19" s="81">
        <v>19</v>
      </c>
      <c r="AI19" s="66" t="s">
        <v>722</v>
      </c>
    </row>
    <row r="20" spans="1:35" ht="25" x14ac:dyDescent="0.25">
      <c r="A20" s="3" t="s">
        <v>723</v>
      </c>
      <c r="E20" s="393" t="s">
        <v>272</v>
      </c>
      <c r="F20" s="394">
        <v>0.6</v>
      </c>
      <c r="G20" s="7"/>
      <c r="H20" s="11" t="s">
        <v>724</v>
      </c>
      <c r="I20" s="7"/>
      <c r="K20" s="81"/>
      <c r="L20" s="81"/>
      <c r="W20" s="86" t="s">
        <v>243</v>
      </c>
      <c r="X20" s="397" t="s">
        <v>725</v>
      </c>
      <c r="Y20" s="372" t="e">
        <f t="shared" si="1"/>
        <v>#N/A</v>
      </c>
      <c r="Z20" s="372">
        <v>0</v>
      </c>
      <c r="AA20" s="372">
        <v>90</v>
      </c>
      <c r="AB20" s="372">
        <v>90</v>
      </c>
      <c r="AC20" s="372">
        <v>90</v>
      </c>
      <c r="AD20" s="372">
        <v>90</v>
      </c>
      <c r="AE20" s="56" t="s">
        <v>216</v>
      </c>
      <c r="AF20" s="112">
        <v>20</v>
      </c>
      <c r="AI20" s="66" t="s">
        <v>726</v>
      </c>
    </row>
    <row r="21" spans="1:35" ht="37.5" x14ac:dyDescent="0.25">
      <c r="E21" s="393" t="s">
        <v>273</v>
      </c>
      <c r="F21" s="394">
        <v>1.06</v>
      </c>
      <c r="G21" s="7"/>
      <c r="H21" s="11" t="s">
        <v>727</v>
      </c>
      <c r="I21" s="7"/>
      <c r="K21" s="81"/>
      <c r="L21" s="81"/>
      <c r="W21" s="87" t="s">
        <v>244</v>
      </c>
      <c r="X21" s="397" t="s">
        <v>238</v>
      </c>
      <c r="Y21" s="372" t="e">
        <f t="shared" si="1"/>
        <v>#N/A</v>
      </c>
      <c r="Z21" s="372">
        <v>0</v>
      </c>
      <c r="AA21" s="372">
        <v>0.75</v>
      </c>
      <c r="AB21" s="372">
        <v>0.75</v>
      </c>
      <c r="AC21" s="372">
        <v>0.75</v>
      </c>
      <c r="AD21" s="372">
        <v>0.75</v>
      </c>
      <c r="AE21" s="56" t="s">
        <v>682</v>
      </c>
      <c r="AF21" s="81">
        <v>21</v>
      </c>
      <c r="AI21" s="66" t="s">
        <v>728</v>
      </c>
    </row>
    <row r="22" spans="1:35" ht="37.5" x14ac:dyDescent="0.25">
      <c r="A22" s="81" t="s">
        <v>729</v>
      </c>
      <c r="E22" s="393" t="s">
        <v>39</v>
      </c>
      <c r="F22" s="394">
        <v>0.9</v>
      </c>
      <c r="G22" s="7"/>
      <c r="H22" s="11" t="s">
        <v>730</v>
      </c>
      <c r="I22" s="7"/>
      <c r="K22" s="81"/>
      <c r="L22" s="81"/>
      <c r="W22" s="87" t="s">
        <v>245</v>
      </c>
      <c r="X22" s="397" t="s">
        <v>238</v>
      </c>
      <c r="Y22" s="372" t="e">
        <f t="shared" si="1"/>
        <v>#N/A</v>
      </c>
      <c r="Z22" s="372">
        <v>0</v>
      </c>
      <c r="AA22" s="372">
        <v>0.5</v>
      </c>
      <c r="AB22" s="372">
        <v>0.5</v>
      </c>
      <c r="AC22" s="372">
        <v>0.5</v>
      </c>
      <c r="AD22" s="372">
        <v>0.5</v>
      </c>
      <c r="AE22" s="56" t="s">
        <v>682</v>
      </c>
      <c r="AF22" s="112">
        <v>22</v>
      </c>
      <c r="AI22" s="66" t="s">
        <v>731</v>
      </c>
    </row>
    <row r="23" spans="1:35" ht="25" x14ac:dyDescent="0.25">
      <c r="E23" s="393" t="s">
        <v>274</v>
      </c>
      <c r="F23" s="394">
        <v>0.25</v>
      </c>
      <c r="G23" s="7"/>
      <c r="H23" s="11"/>
      <c r="I23" s="7"/>
      <c r="K23" s="81"/>
      <c r="L23" s="81"/>
      <c r="W23" s="87" t="s">
        <v>246</v>
      </c>
      <c r="X23" s="397" t="s">
        <v>732</v>
      </c>
      <c r="Y23" s="372" t="e">
        <f t="shared" si="1"/>
        <v>#N/A</v>
      </c>
      <c r="Z23" s="372">
        <v>0</v>
      </c>
      <c r="AA23" s="372">
        <v>400</v>
      </c>
      <c r="AB23" s="372">
        <v>400</v>
      </c>
      <c r="AC23" s="372">
        <v>400</v>
      </c>
      <c r="AD23" s="372">
        <v>400</v>
      </c>
      <c r="AE23" s="56" t="s">
        <v>216</v>
      </c>
      <c r="AF23" s="81">
        <v>23</v>
      </c>
      <c r="AI23" s="66" t="s">
        <v>733</v>
      </c>
    </row>
    <row r="24" spans="1:35" x14ac:dyDescent="0.25">
      <c r="E24" s="393" t="s">
        <v>275</v>
      </c>
      <c r="F24" s="394">
        <v>0.97</v>
      </c>
      <c r="G24" s="7"/>
      <c r="H24" s="8"/>
      <c r="I24" s="7"/>
      <c r="K24" s="81"/>
      <c r="L24" s="81"/>
      <c r="W24" s="86" t="s">
        <v>247</v>
      </c>
      <c r="X24" s="396" t="s">
        <v>734</v>
      </c>
      <c r="Y24" s="372" t="e">
        <f>HLOOKUP(V$39,Z$1:AD$25,AF24,FALSE)</f>
        <v>#N/A</v>
      </c>
      <c r="Z24" s="372">
        <v>0</v>
      </c>
      <c r="AA24" s="372">
        <v>800</v>
      </c>
      <c r="AB24" s="372">
        <v>800</v>
      </c>
      <c r="AC24" s="372">
        <v>800</v>
      </c>
      <c r="AD24" s="372">
        <v>800</v>
      </c>
      <c r="AE24" s="56" t="s">
        <v>216</v>
      </c>
      <c r="AF24" s="112">
        <v>24</v>
      </c>
      <c r="AI24" s="66" t="s">
        <v>735</v>
      </c>
    </row>
    <row r="25" spans="1:35" ht="50.5" thickBot="1" x14ac:dyDescent="0.3">
      <c r="E25" s="393" t="s">
        <v>276</v>
      </c>
      <c r="F25" s="394">
        <v>1.39</v>
      </c>
      <c r="G25" s="14"/>
      <c r="H25" s="14"/>
      <c r="I25" s="14"/>
      <c r="J25" s="14"/>
      <c r="K25" s="13"/>
      <c r="L25" s="13"/>
      <c r="M25" s="14"/>
      <c r="N25" s="14" t="s">
        <v>630</v>
      </c>
      <c r="O25" s="14" t="s">
        <v>35</v>
      </c>
      <c r="P25" s="14" t="s">
        <v>201</v>
      </c>
      <c r="Q25" s="71" t="s">
        <v>736</v>
      </c>
      <c r="R25" s="71" t="s">
        <v>737</v>
      </c>
      <c r="W25" s="88" t="s">
        <v>248</v>
      </c>
      <c r="X25" s="61" t="s">
        <v>721</v>
      </c>
      <c r="Y25" s="372" t="e">
        <f>HLOOKUP(V$39,Z$1:AD$25,AF25,FALSE)</f>
        <v>#N/A</v>
      </c>
      <c r="Z25" s="57">
        <v>60</v>
      </c>
      <c r="AA25" s="57">
        <v>0</v>
      </c>
      <c r="AB25" s="57">
        <v>0</v>
      </c>
      <c r="AC25" s="57">
        <v>0</v>
      </c>
      <c r="AD25" s="57">
        <v>0</v>
      </c>
      <c r="AE25" s="58" t="s">
        <v>216</v>
      </c>
      <c r="AF25" s="81">
        <v>25</v>
      </c>
    </row>
    <row r="26" spans="1:35" ht="13" thickTop="1" x14ac:dyDescent="0.25">
      <c r="E26" s="393" t="s">
        <v>738</v>
      </c>
      <c r="F26" s="394">
        <v>0.96</v>
      </c>
      <c r="G26" s="14"/>
      <c r="H26" s="16" t="s">
        <v>739</v>
      </c>
      <c r="I26" s="19" t="s">
        <v>740</v>
      </c>
      <c r="J26" s="14"/>
      <c r="K26" s="13"/>
      <c r="L26" s="13"/>
      <c r="M26" s="16"/>
      <c r="N26" s="14"/>
      <c r="O26" s="19"/>
      <c r="P26" s="21"/>
      <c r="Y26" s="81"/>
      <c r="Z26" s="81"/>
      <c r="AA26" s="81"/>
      <c r="AB26" s="81"/>
      <c r="AC26" s="81"/>
      <c r="AD26" s="81"/>
      <c r="AE26" s="81"/>
    </row>
    <row r="27" spans="1:35" x14ac:dyDescent="0.25">
      <c r="E27" s="393" t="s">
        <v>278</v>
      </c>
      <c r="F27" s="394">
        <v>0.87</v>
      </c>
      <c r="G27" s="14"/>
      <c r="H27" s="16" t="s">
        <v>741</v>
      </c>
      <c r="I27" s="19" t="s">
        <v>742</v>
      </c>
      <c r="J27" s="14"/>
      <c r="K27" s="83" t="s">
        <v>91</v>
      </c>
      <c r="L27" s="13"/>
      <c r="M27" s="141" t="s">
        <v>520</v>
      </c>
      <c r="N27" s="14" t="str">
        <f>"C-"&amp;M27</f>
        <v>C-Atrium</v>
      </c>
      <c r="O27" s="19" t="s">
        <v>743</v>
      </c>
      <c r="P27" s="21" t="s">
        <v>632</v>
      </c>
      <c r="Q27" s="70" t="s">
        <v>15</v>
      </c>
      <c r="R27" s="70" t="s">
        <v>15</v>
      </c>
      <c r="S27" t="s">
        <v>306</v>
      </c>
      <c r="Y27" s="81"/>
      <c r="Z27" s="81"/>
      <c r="AA27" s="81"/>
      <c r="AB27" s="81"/>
      <c r="AC27" s="81"/>
      <c r="AD27" s="81"/>
      <c r="AE27" s="81"/>
    </row>
    <row r="28" spans="1:35" ht="13.15" customHeight="1" thickBot="1" x14ac:dyDescent="0.3">
      <c r="E28" s="393" t="s">
        <v>744</v>
      </c>
      <c r="F28" s="394">
        <v>1.05</v>
      </c>
      <c r="G28" s="14"/>
      <c r="H28" s="16" t="s">
        <v>313</v>
      </c>
      <c r="I28" s="20">
        <v>0.79</v>
      </c>
      <c r="J28" s="14"/>
      <c r="K28" s="83" t="s">
        <v>745</v>
      </c>
      <c r="L28" s="13"/>
      <c r="M28" s="16" t="s">
        <v>313</v>
      </c>
      <c r="N28" s="14" t="str">
        <f t="shared" ref="N28:N42" si="2">"C-"&amp;M28</f>
        <v>C-Audience/Seating Area - Auditorium</v>
      </c>
      <c r="O28" s="20">
        <v>0.79</v>
      </c>
      <c r="P28" s="21">
        <v>6</v>
      </c>
      <c r="Q28" s="70" t="s">
        <v>69</v>
      </c>
      <c r="R28" s="70" t="s">
        <v>15</v>
      </c>
      <c r="S28" s="70" t="s">
        <v>304</v>
      </c>
      <c r="W28" s="1879" t="s">
        <v>746</v>
      </c>
      <c r="X28" s="1879"/>
      <c r="Y28" s="81"/>
      <c r="Z28" s="81"/>
      <c r="AA28" s="81"/>
      <c r="AB28" s="81"/>
      <c r="AC28" s="81"/>
      <c r="AD28" s="81"/>
      <c r="AE28" s="81"/>
    </row>
    <row r="29" spans="1:35" ht="13.5" thickTop="1" thickBot="1" x14ac:dyDescent="0.3">
      <c r="E29" s="393" t="s">
        <v>36</v>
      </c>
      <c r="F29" s="394">
        <v>1.4</v>
      </c>
      <c r="G29" s="14"/>
      <c r="H29" s="18" t="s">
        <v>319</v>
      </c>
      <c r="I29" s="398">
        <v>1.1399999999999999</v>
      </c>
      <c r="J29" s="14"/>
      <c r="K29" s="83" t="s">
        <v>747</v>
      </c>
      <c r="L29" s="13"/>
      <c r="M29" s="18" t="s">
        <v>319</v>
      </c>
      <c r="N29" s="14" t="str">
        <f t="shared" si="2"/>
        <v>C-Audience/Seating Area - Motion Picture Theater</v>
      </c>
      <c r="O29" s="398">
        <v>1.1399999999999999</v>
      </c>
      <c r="P29" s="399">
        <v>4</v>
      </c>
      <c r="Q29" s="70" t="s">
        <v>69</v>
      </c>
      <c r="R29" s="70" t="s">
        <v>15</v>
      </c>
      <c r="S29" s="70" t="s">
        <v>304</v>
      </c>
      <c r="W29" s="102" t="s">
        <v>208</v>
      </c>
      <c r="X29" s="102" t="s">
        <v>644</v>
      </c>
      <c r="Y29" s="81"/>
      <c r="Z29" s="81"/>
      <c r="AA29" s="81"/>
      <c r="AB29" s="81"/>
      <c r="AC29" s="81"/>
      <c r="AD29" s="81"/>
      <c r="AE29" s="81"/>
    </row>
    <row r="30" spans="1:35" ht="13.15" customHeight="1" thickTop="1" x14ac:dyDescent="0.25">
      <c r="E30" s="393" t="s">
        <v>280</v>
      </c>
      <c r="F30" s="394">
        <v>0.99</v>
      </c>
      <c r="G30" s="14"/>
      <c r="H30" s="18" t="s">
        <v>323</v>
      </c>
      <c r="I30" s="398">
        <v>2.4300000000000002</v>
      </c>
      <c r="J30" s="14"/>
      <c r="K30" s="83" t="s">
        <v>748</v>
      </c>
      <c r="L30" s="13"/>
      <c r="M30" s="18" t="s">
        <v>323</v>
      </c>
      <c r="N30" s="14" t="str">
        <f t="shared" si="2"/>
        <v>C-Audience/Seating Area - Performing Arts Theater</v>
      </c>
      <c r="O30" s="398">
        <v>2.4300000000000002</v>
      </c>
      <c r="P30" s="399">
        <v>8</v>
      </c>
      <c r="Q30" s="70" t="s">
        <v>69</v>
      </c>
      <c r="R30" s="70" t="s">
        <v>15</v>
      </c>
      <c r="S30" s="70" t="s">
        <v>304</v>
      </c>
      <c r="W30" s="1880">
        <v>0</v>
      </c>
      <c r="X30" s="1874" t="s">
        <v>749</v>
      </c>
      <c r="Y30" s="1874"/>
      <c r="Z30" s="1874"/>
      <c r="AA30" s="1874"/>
      <c r="AB30" s="1874"/>
      <c r="AC30" s="1874"/>
      <c r="AD30" s="1874"/>
      <c r="AE30" s="1874"/>
    </row>
    <row r="31" spans="1:35" x14ac:dyDescent="0.25">
      <c r="A31" s="4" t="s">
        <v>750</v>
      </c>
      <c r="E31" s="393" t="s">
        <v>281</v>
      </c>
      <c r="F31" s="394">
        <v>0.78</v>
      </c>
      <c r="G31" s="14"/>
      <c r="H31" s="18" t="s">
        <v>333</v>
      </c>
      <c r="I31" s="398">
        <v>1.24</v>
      </c>
      <c r="J31" s="14"/>
      <c r="K31" s="83" t="s">
        <v>751</v>
      </c>
      <c r="L31" s="13"/>
      <c r="M31" s="18" t="s">
        <v>333</v>
      </c>
      <c r="N31" s="14" t="str">
        <f t="shared" si="2"/>
        <v>C-Classroom/Lecture/Training</v>
      </c>
      <c r="O31" s="398">
        <v>1.24</v>
      </c>
      <c r="P31" s="399">
        <v>4</v>
      </c>
      <c r="Q31" s="70" t="s">
        <v>69</v>
      </c>
      <c r="R31" s="70" t="s">
        <v>69</v>
      </c>
      <c r="S31" t="s">
        <v>332</v>
      </c>
      <c r="W31" s="1876"/>
      <c r="X31" s="1874"/>
      <c r="Y31" s="1874"/>
      <c r="Z31" s="1874"/>
      <c r="AA31" s="1874"/>
      <c r="AB31" s="1874"/>
      <c r="AC31" s="1874"/>
      <c r="AD31" s="1874"/>
      <c r="AE31" s="1874"/>
    </row>
    <row r="32" spans="1:35" ht="12.75" customHeight="1" x14ac:dyDescent="0.25">
      <c r="A32">
        <v>1</v>
      </c>
      <c r="B32">
        <v>0.6</v>
      </c>
      <c r="E32" s="393" t="s">
        <v>283</v>
      </c>
      <c r="F32" s="394">
        <v>0.92</v>
      </c>
      <c r="G32" s="14"/>
      <c r="H32" s="18" t="s">
        <v>338</v>
      </c>
      <c r="I32" s="398">
        <v>1.23</v>
      </c>
      <c r="J32" s="14"/>
      <c r="K32" s="83" t="s">
        <v>752</v>
      </c>
      <c r="L32" s="13"/>
      <c r="M32" s="18" t="s">
        <v>338</v>
      </c>
      <c r="N32" s="14" t="str">
        <f t="shared" si="2"/>
        <v>C-Conference/Meeting/Multipurpose</v>
      </c>
      <c r="O32" s="398">
        <v>1.23</v>
      </c>
      <c r="P32" s="399">
        <v>6</v>
      </c>
      <c r="Q32" s="70" t="s">
        <v>69</v>
      </c>
      <c r="R32" s="70" t="s">
        <v>69</v>
      </c>
      <c r="S32" t="s">
        <v>332</v>
      </c>
      <c r="W32" s="336">
        <v>1</v>
      </c>
      <c r="X32" s="1874" t="s">
        <v>753</v>
      </c>
      <c r="Y32" s="1874"/>
      <c r="Z32" s="1874"/>
      <c r="AA32" s="1874"/>
      <c r="AB32" s="1874"/>
      <c r="AC32" s="1874"/>
      <c r="AD32" s="1874"/>
      <c r="AE32" s="1874"/>
    </row>
    <row r="33" spans="1:31" x14ac:dyDescent="0.25">
      <c r="A33">
        <v>2</v>
      </c>
      <c r="B33">
        <v>0.6</v>
      </c>
      <c r="E33" s="393" t="s">
        <v>284</v>
      </c>
      <c r="F33" s="394">
        <v>0.77</v>
      </c>
      <c r="G33" s="14"/>
      <c r="H33" s="18" t="s">
        <v>345</v>
      </c>
      <c r="I33" s="398">
        <v>0.66</v>
      </c>
      <c r="J33" s="14"/>
      <c r="K33" s="83" t="s">
        <v>754</v>
      </c>
      <c r="L33" s="13"/>
      <c r="M33" s="18" t="s">
        <v>345</v>
      </c>
      <c r="N33" s="14" t="str">
        <f t="shared" si="2"/>
        <v>C-Corridor/Transition</v>
      </c>
      <c r="O33" s="398">
        <v>0.66</v>
      </c>
      <c r="P33" s="399" t="s">
        <v>346</v>
      </c>
      <c r="Q33" s="70" t="s">
        <v>15</v>
      </c>
      <c r="R33" s="70" t="s">
        <v>15</v>
      </c>
      <c r="S33" t="s">
        <v>306</v>
      </c>
      <c r="W33" s="1876">
        <v>2</v>
      </c>
      <c r="X33" s="1874" t="s">
        <v>755</v>
      </c>
      <c r="Y33" s="1874"/>
      <c r="Z33" s="1874"/>
      <c r="AA33" s="1874"/>
      <c r="AB33" s="1874"/>
      <c r="AC33" s="1874"/>
      <c r="AD33" s="1874"/>
      <c r="AE33" s="1874"/>
    </row>
    <row r="34" spans="1:31" x14ac:dyDescent="0.25">
      <c r="A34">
        <v>3</v>
      </c>
      <c r="B34">
        <v>1.4</v>
      </c>
      <c r="E34" s="393" t="s">
        <v>285</v>
      </c>
      <c r="F34" s="394">
        <v>0.66</v>
      </c>
      <c r="G34" s="14"/>
      <c r="H34" s="18" t="s">
        <v>357</v>
      </c>
      <c r="I34" s="398">
        <v>0.65</v>
      </c>
      <c r="J34" s="14"/>
      <c r="K34" s="83" t="s">
        <v>756</v>
      </c>
      <c r="L34" s="13"/>
      <c r="M34" s="18" t="s">
        <v>357</v>
      </c>
      <c r="N34" s="14" t="str">
        <f t="shared" si="2"/>
        <v>C-Dining Area</v>
      </c>
      <c r="O34" s="398">
        <v>0.65</v>
      </c>
      <c r="P34" s="399">
        <v>4</v>
      </c>
      <c r="Q34" s="70" t="s">
        <v>69</v>
      </c>
      <c r="R34" s="70" t="s">
        <v>15</v>
      </c>
      <c r="S34" t="s">
        <v>306</v>
      </c>
      <c r="W34" s="1876"/>
      <c r="X34" s="1874"/>
      <c r="Y34" s="1874"/>
      <c r="Z34" s="1874"/>
      <c r="AA34" s="1874"/>
      <c r="AB34" s="1874"/>
      <c r="AC34" s="1874"/>
      <c r="AD34" s="1874"/>
      <c r="AE34" s="1874"/>
    </row>
    <row r="35" spans="1:31" ht="13" thickBot="1" x14ac:dyDescent="0.3">
      <c r="A35">
        <v>4</v>
      </c>
      <c r="B35">
        <v>2.5</v>
      </c>
      <c r="E35" s="400" t="s">
        <v>286</v>
      </c>
      <c r="F35" s="17">
        <v>1.2</v>
      </c>
      <c r="G35" s="14"/>
      <c r="H35" s="18" t="s">
        <v>359</v>
      </c>
      <c r="I35" s="398">
        <v>1.31</v>
      </c>
      <c r="J35" s="14"/>
      <c r="K35" s="83" t="s">
        <v>757</v>
      </c>
      <c r="L35" s="13"/>
      <c r="M35" s="18" t="s">
        <v>359</v>
      </c>
      <c r="N35" s="14" t="str">
        <f t="shared" si="2"/>
        <v>C-Dining Area - Bar Lounge/Leisure Dining</v>
      </c>
      <c r="O35" s="398">
        <v>1.31</v>
      </c>
      <c r="P35" s="399">
        <v>4</v>
      </c>
      <c r="Q35" s="70" t="s">
        <v>69</v>
      </c>
      <c r="R35" s="70" t="s">
        <v>15</v>
      </c>
      <c r="S35" t="s">
        <v>306</v>
      </c>
      <c r="W35" s="336">
        <v>3</v>
      </c>
      <c r="X35" s="1874" t="s">
        <v>758</v>
      </c>
      <c r="Y35" s="1874"/>
      <c r="Z35" s="1874"/>
      <c r="AA35" s="1874"/>
      <c r="AB35" s="1874"/>
      <c r="AC35" s="1874"/>
      <c r="AD35" s="1874"/>
      <c r="AE35" s="1874"/>
    </row>
    <row r="36" spans="1:31" ht="13.5" thickTop="1" thickBot="1" x14ac:dyDescent="0.3">
      <c r="G36" s="14"/>
      <c r="H36" s="18" t="s">
        <v>361</v>
      </c>
      <c r="I36" s="398">
        <v>0.89</v>
      </c>
      <c r="J36" s="14"/>
      <c r="K36" s="4" t="s">
        <v>759</v>
      </c>
      <c r="L36" s="13"/>
      <c r="M36" s="18" t="s">
        <v>361</v>
      </c>
      <c r="N36" s="14" t="str">
        <f t="shared" si="2"/>
        <v>C-Dining Area - Family Dining</v>
      </c>
      <c r="O36" s="398">
        <v>0.89</v>
      </c>
      <c r="P36" s="399">
        <v>4</v>
      </c>
      <c r="Q36" s="70" t="s">
        <v>69</v>
      </c>
      <c r="R36" s="70" t="s">
        <v>15</v>
      </c>
      <c r="S36" t="s">
        <v>306</v>
      </c>
      <c r="W36" s="103">
        <v>4</v>
      </c>
      <c r="X36" s="1875" t="s">
        <v>760</v>
      </c>
      <c r="Y36" s="1875"/>
      <c r="Z36" s="1875"/>
      <c r="AA36" s="1875"/>
      <c r="AB36" s="1875"/>
      <c r="AC36" s="1875"/>
      <c r="AD36" s="1875"/>
      <c r="AE36" s="1875"/>
    </row>
    <row r="37" spans="1:31" ht="13" thickTop="1" x14ac:dyDescent="0.25">
      <c r="A37" t="s">
        <v>761</v>
      </c>
      <c r="G37" s="14"/>
      <c r="H37" s="18" t="s">
        <v>448</v>
      </c>
      <c r="I37" s="398">
        <v>0.4</v>
      </c>
      <c r="J37" s="14"/>
      <c r="K37" s="13"/>
      <c r="L37" s="13"/>
      <c r="M37" s="18" t="s">
        <v>448</v>
      </c>
      <c r="N37" s="14" t="str">
        <f t="shared" si="2"/>
        <v>C-Dressing/Fitting Room - Performing Arts Theater</v>
      </c>
      <c r="O37" s="398">
        <v>0.4</v>
      </c>
      <c r="P37" s="399">
        <v>6</v>
      </c>
      <c r="Q37" s="70" t="s">
        <v>69</v>
      </c>
      <c r="R37" s="70" t="s">
        <v>69</v>
      </c>
      <c r="S37" s="70" t="s">
        <v>304</v>
      </c>
      <c r="Y37" s="81"/>
      <c r="Z37" s="81"/>
      <c r="AA37" s="81"/>
      <c r="AB37" s="81"/>
      <c r="AC37" s="81"/>
      <c r="AD37" s="81"/>
      <c r="AE37" s="81"/>
    </row>
    <row r="38" spans="1:31" x14ac:dyDescent="0.25">
      <c r="A38">
        <v>1</v>
      </c>
      <c r="C38" t="s">
        <v>762</v>
      </c>
      <c r="G38" s="14"/>
      <c r="H38" s="18" t="s">
        <v>369</v>
      </c>
      <c r="I38" s="398">
        <v>0.95</v>
      </c>
      <c r="J38" s="14"/>
      <c r="K38" s="81"/>
      <c r="L38" s="13"/>
      <c r="M38" s="18" t="s">
        <v>369</v>
      </c>
      <c r="N38" s="14" t="str">
        <f t="shared" si="2"/>
        <v>C-Electrical/Mechanical Room</v>
      </c>
      <c r="O38" s="398">
        <v>0.95</v>
      </c>
      <c r="P38" s="399">
        <v>6</v>
      </c>
      <c r="Q38" s="70" t="s">
        <v>15</v>
      </c>
      <c r="R38" s="70" t="s">
        <v>15</v>
      </c>
      <c r="S38" s="70" t="s">
        <v>304</v>
      </c>
      <c r="Y38" s="81"/>
      <c r="Z38" s="81"/>
      <c r="AA38" s="81"/>
      <c r="AB38" s="81"/>
      <c r="AC38" s="81"/>
      <c r="AD38" s="81"/>
      <c r="AE38" s="81"/>
    </row>
    <row r="39" spans="1:31" x14ac:dyDescent="0.25">
      <c r="A39">
        <v>2</v>
      </c>
      <c r="C39" t="s">
        <v>763</v>
      </c>
      <c r="G39" s="14"/>
      <c r="H39" s="18" t="s">
        <v>375</v>
      </c>
      <c r="I39" s="398">
        <v>0.99</v>
      </c>
      <c r="J39" s="14"/>
      <c r="K39" s="13"/>
      <c r="L39" s="13"/>
      <c r="M39" s="18" t="s">
        <v>375</v>
      </c>
      <c r="N39" s="14" t="str">
        <f t="shared" si="2"/>
        <v>C-Food Preperation</v>
      </c>
      <c r="O39" s="398">
        <v>0.99</v>
      </c>
      <c r="P39" s="399">
        <v>6</v>
      </c>
      <c r="Q39" s="70" t="s">
        <v>69</v>
      </c>
      <c r="R39" s="70" t="s">
        <v>15</v>
      </c>
      <c r="S39" s="70" t="s">
        <v>304</v>
      </c>
      <c r="V39" t="str">
        <f>LEFT(W39,3)</f>
        <v>Sel</v>
      </c>
      <c r="W39" s="4" t="str">
        <f>_Exterior_LZ</f>
        <v>Select</v>
      </c>
      <c r="Y39" s="81"/>
      <c r="Z39" s="81"/>
      <c r="AA39" s="81"/>
      <c r="AB39" s="81"/>
      <c r="AC39" s="81"/>
      <c r="AD39" s="81"/>
      <c r="AE39" s="81"/>
    </row>
    <row r="40" spans="1:31" x14ac:dyDescent="0.25">
      <c r="A40">
        <v>3</v>
      </c>
      <c r="C40" t="s">
        <v>764</v>
      </c>
      <c r="G40" s="14"/>
      <c r="H40" s="18" t="s">
        <v>404</v>
      </c>
      <c r="I40" s="398">
        <v>1.28</v>
      </c>
      <c r="J40" s="14"/>
      <c r="K40" s="13"/>
      <c r="L40" s="13"/>
      <c r="M40" s="18" t="s">
        <v>404</v>
      </c>
      <c r="N40" s="14" t="str">
        <f t="shared" si="2"/>
        <v>C-Laboratory - Classroom</v>
      </c>
      <c r="O40" s="398">
        <v>1.28</v>
      </c>
      <c r="P40" s="399">
        <v>6</v>
      </c>
      <c r="Q40" s="70" t="s">
        <v>69</v>
      </c>
      <c r="R40" s="70" t="s">
        <v>69</v>
      </c>
      <c r="S40" t="s">
        <v>332</v>
      </c>
      <c r="Y40" s="81"/>
      <c r="Z40" s="81"/>
      <c r="AA40" s="81"/>
      <c r="AB40" s="81"/>
      <c r="AC40" s="81"/>
      <c r="AD40" s="81"/>
      <c r="AE40" s="81"/>
    </row>
    <row r="41" spans="1:31" x14ac:dyDescent="0.25">
      <c r="A41">
        <v>4</v>
      </c>
      <c r="C41" t="s">
        <v>765</v>
      </c>
      <c r="G41" s="14"/>
      <c r="H41" s="18" t="s">
        <v>402</v>
      </c>
      <c r="I41" s="398">
        <v>1.81</v>
      </c>
      <c r="J41" s="14"/>
      <c r="K41" s="13"/>
      <c r="L41" s="13"/>
      <c r="M41" s="18" t="s">
        <v>402</v>
      </c>
      <c r="N41" s="14" t="str">
        <f t="shared" si="2"/>
        <v>C-Laboratory - Research</v>
      </c>
      <c r="O41" s="398">
        <v>1.81</v>
      </c>
      <c r="P41" s="399">
        <v>6</v>
      </c>
      <c r="Q41" s="70" t="s">
        <v>69</v>
      </c>
      <c r="R41" s="70" t="s">
        <v>15</v>
      </c>
      <c r="S41" s="70" t="s">
        <v>304</v>
      </c>
      <c r="V41" s="70" t="s">
        <v>209</v>
      </c>
      <c r="W41" s="216" t="s">
        <v>50</v>
      </c>
      <c r="Y41" s="81"/>
      <c r="Z41" s="81"/>
      <c r="AA41" s="81"/>
      <c r="AB41" s="81"/>
      <c r="AC41" s="81"/>
      <c r="AD41" s="81"/>
      <c r="AE41" s="81"/>
    </row>
    <row r="42" spans="1:31" x14ac:dyDescent="0.25">
      <c r="A42">
        <v>5</v>
      </c>
      <c r="C42" t="s">
        <v>766</v>
      </c>
      <c r="G42" s="14"/>
      <c r="H42" s="18" t="s">
        <v>413</v>
      </c>
      <c r="I42" s="398">
        <v>0.64</v>
      </c>
      <c r="J42" s="14"/>
      <c r="K42" s="13"/>
      <c r="L42" s="13"/>
      <c r="M42" s="18" t="s">
        <v>413</v>
      </c>
      <c r="N42" s="14" t="str">
        <f t="shared" si="2"/>
        <v>C-Lobby</v>
      </c>
      <c r="O42" s="398">
        <v>0.9</v>
      </c>
      <c r="P42" s="399">
        <v>4</v>
      </c>
      <c r="Q42" s="70" t="s">
        <v>15</v>
      </c>
      <c r="R42" s="70" t="s">
        <v>15</v>
      </c>
      <c r="S42" t="s">
        <v>306</v>
      </c>
      <c r="V42" s="70" t="s">
        <v>210</v>
      </c>
      <c r="W42" s="216" t="s">
        <v>51</v>
      </c>
      <c r="Y42" s="81"/>
      <c r="Z42" s="81"/>
      <c r="AA42" s="81"/>
      <c r="AB42" s="81"/>
      <c r="AC42" s="81"/>
      <c r="AD42" s="81"/>
      <c r="AE42" s="81"/>
    </row>
    <row r="43" spans="1:31" x14ac:dyDescent="0.25">
      <c r="A43">
        <v>6</v>
      </c>
      <c r="C43" t="s">
        <v>463</v>
      </c>
      <c r="G43" s="14"/>
      <c r="H43" s="18" t="s">
        <v>419</v>
      </c>
      <c r="I43" s="398">
        <v>0.52</v>
      </c>
      <c r="J43" s="14"/>
      <c r="K43" s="13"/>
      <c r="L43" s="13"/>
      <c r="M43" s="18" t="s">
        <v>419</v>
      </c>
      <c r="N43" s="14" t="s">
        <v>767</v>
      </c>
      <c r="O43" s="398">
        <v>0.64</v>
      </c>
      <c r="P43" s="399">
        <v>6</v>
      </c>
      <c r="Q43" s="70" t="s">
        <v>15</v>
      </c>
      <c r="R43" s="70" t="s">
        <v>15</v>
      </c>
      <c r="S43" t="s">
        <v>306</v>
      </c>
      <c r="V43" s="70" t="s">
        <v>211</v>
      </c>
      <c r="W43" s="216" t="s">
        <v>194</v>
      </c>
      <c r="Y43" s="81"/>
      <c r="Z43" s="81"/>
      <c r="AA43" s="81"/>
      <c r="AB43" s="81"/>
      <c r="AC43" s="81"/>
      <c r="AD43" s="81"/>
      <c r="AE43" s="81"/>
    </row>
    <row r="44" spans="1:31" x14ac:dyDescent="0.25">
      <c r="A44">
        <v>7</v>
      </c>
      <c r="C44" t="s">
        <v>413</v>
      </c>
      <c r="G44" s="14"/>
      <c r="H44" s="18" t="s">
        <v>421</v>
      </c>
      <c r="I44" s="398">
        <v>2</v>
      </c>
      <c r="J44" s="14"/>
      <c r="K44" s="13"/>
      <c r="L44" s="13"/>
      <c r="M44" s="18" t="s">
        <v>421</v>
      </c>
      <c r="N44" s="14" t="str">
        <f t="shared" ref="N44:N54" si="3">"C-"&amp;M43</f>
        <v>C-Lobby - Motion Picture Theater</v>
      </c>
      <c r="O44" s="398">
        <v>0.52</v>
      </c>
      <c r="P44" s="399">
        <v>4</v>
      </c>
      <c r="Q44" s="70" t="s">
        <v>15</v>
      </c>
      <c r="R44" s="70" t="s">
        <v>15</v>
      </c>
      <c r="S44" t="s">
        <v>306</v>
      </c>
      <c r="V44" s="70" t="s">
        <v>212</v>
      </c>
      <c r="W44" s="216" t="s">
        <v>54</v>
      </c>
      <c r="Y44" s="81"/>
      <c r="Z44" s="81"/>
      <c r="AA44" s="81"/>
      <c r="AB44" s="81"/>
      <c r="AC44" s="81"/>
      <c r="AD44" s="81"/>
      <c r="AE44" s="81"/>
    </row>
    <row r="45" spans="1:31" x14ac:dyDescent="0.25">
      <c r="A45">
        <v>8</v>
      </c>
      <c r="C45" t="s">
        <v>520</v>
      </c>
      <c r="G45" s="14"/>
      <c r="H45" s="18" t="s">
        <v>422</v>
      </c>
      <c r="I45" s="398">
        <v>0.75</v>
      </c>
      <c r="J45" s="14"/>
      <c r="K45" s="13"/>
      <c r="L45" s="13"/>
      <c r="M45" s="18" t="s">
        <v>422</v>
      </c>
      <c r="N45" s="14" t="str">
        <f t="shared" si="3"/>
        <v>C-Lobby - Performing Arts Theater</v>
      </c>
      <c r="O45" s="398">
        <v>2</v>
      </c>
      <c r="P45" s="399">
        <v>6</v>
      </c>
      <c r="Q45" s="70" t="s">
        <v>15</v>
      </c>
      <c r="R45" s="70" t="s">
        <v>15</v>
      </c>
      <c r="S45" t="s">
        <v>306</v>
      </c>
      <c r="V45" s="70" t="s">
        <v>213</v>
      </c>
      <c r="W45" s="216" t="s">
        <v>195</v>
      </c>
      <c r="Y45" s="81"/>
      <c r="Z45" s="81"/>
      <c r="AA45" s="81"/>
      <c r="AB45" s="81"/>
      <c r="AC45" s="81"/>
      <c r="AD45" s="81"/>
      <c r="AE45" s="81"/>
    </row>
    <row r="46" spans="1:31" x14ac:dyDescent="0.25">
      <c r="A46">
        <v>9</v>
      </c>
      <c r="C46" t="s">
        <v>357</v>
      </c>
      <c r="G46" s="14"/>
      <c r="H46" s="18" t="s">
        <v>424</v>
      </c>
      <c r="I46" s="398">
        <v>0.73</v>
      </c>
      <c r="J46" s="14"/>
      <c r="K46" s="13"/>
      <c r="L46" s="13"/>
      <c r="M46" s="18" t="s">
        <v>424</v>
      </c>
      <c r="N46" s="14" t="str">
        <f t="shared" si="3"/>
        <v>C-Locker Room</v>
      </c>
      <c r="O46" s="398">
        <v>0.75</v>
      </c>
      <c r="P46" s="399">
        <v>6</v>
      </c>
      <c r="Q46" s="70" t="s">
        <v>69</v>
      </c>
      <c r="R46" s="70" t="s">
        <v>69</v>
      </c>
      <c r="S46" s="70" t="s">
        <v>304</v>
      </c>
      <c r="Y46" s="81"/>
      <c r="Z46" s="81"/>
      <c r="AA46" s="81"/>
      <c r="AB46" s="81"/>
      <c r="AC46" s="81"/>
      <c r="AD46" s="81"/>
      <c r="AE46" s="81"/>
    </row>
    <row r="47" spans="1:31" x14ac:dyDescent="0.25">
      <c r="A47">
        <v>10</v>
      </c>
      <c r="C47" t="s">
        <v>224</v>
      </c>
      <c r="G47" s="14"/>
      <c r="H47" s="18" t="s">
        <v>442</v>
      </c>
      <c r="I47" s="398">
        <v>1.1100000000000001</v>
      </c>
      <c r="J47" s="14"/>
      <c r="K47" s="13"/>
      <c r="L47" s="13"/>
      <c r="M47" s="18" t="s">
        <v>442</v>
      </c>
      <c r="N47" s="14" t="str">
        <f t="shared" si="3"/>
        <v>C-Lounge/Recreation</v>
      </c>
      <c r="O47" s="398">
        <v>0.73</v>
      </c>
      <c r="P47" s="399">
        <v>4</v>
      </c>
      <c r="Q47" s="70" t="s">
        <v>69</v>
      </c>
      <c r="R47" s="70" t="s">
        <v>69</v>
      </c>
      <c r="S47" s="70" t="s">
        <v>304</v>
      </c>
      <c r="Y47" s="81"/>
      <c r="Z47" s="81"/>
      <c r="AA47" s="81"/>
      <c r="AB47" s="81"/>
      <c r="AC47" s="81"/>
      <c r="AD47" s="81"/>
      <c r="AE47" s="81"/>
    </row>
    <row r="48" spans="1:31" x14ac:dyDescent="0.25">
      <c r="A48">
        <v>11</v>
      </c>
      <c r="C48" t="s">
        <v>768</v>
      </c>
      <c r="G48" s="14"/>
      <c r="H48" s="18" t="s">
        <v>444</v>
      </c>
      <c r="I48" s="398">
        <v>0.98</v>
      </c>
      <c r="J48" s="14"/>
      <c r="K48" s="13"/>
      <c r="L48" s="13"/>
      <c r="M48" s="18" t="s">
        <v>444</v>
      </c>
      <c r="N48" s="14" t="str">
        <f t="shared" si="3"/>
        <v>C-Office-Enclosed</v>
      </c>
      <c r="O48" s="398">
        <v>1.1100000000000001</v>
      </c>
      <c r="P48" s="399">
        <v>8</v>
      </c>
      <c r="Q48" s="70" t="s">
        <v>69</v>
      </c>
      <c r="R48" s="70" t="s">
        <v>69</v>
      </c>
      <c r="S48" s="70" t="s">
        <v>353</v>
      </c>
      <c r="T48" s="70"/>
      <c r="Y48" s="81"/>
      <c r="Z48" s="81"/>
      <c r="AA48" s="81"/>
      <c r="AB48" s="81"/>
      <c r="AC48" s="81"/>
      <c r="AD48" s="81"/>
      <c r="AE48" s="81"/>
    </row>
    <row r="49" spans="1:20" x14ac:dyDescent="0.25">
      <c r="A49">
        <v>12</v>
      </c>
      <c r="C49" t="s">
        <v>769</v>
      </c>
      <c r="G49" s="14"/>
      <c r="H49" s="18" t="s">
        <v>457</v>
      </c>
      <c r="I49" s="398">
        <v>0.98</v>
      </c>
      <c r="J49" s="14"/>
      <c r="K49" s="13"/>
      <c r="L49" s="13"/>
      <c r="M49" s="18" t="s">
        <v>457</v>
      </c>
      <c r="N49" s="14" t="str">
        <f t="shared" si="3"/>
        <v>C-Office-Open</v>
      </c>
      <c r="O49" s="398">
        <v>0.98</v>
      </c>
      <c r="P49" s="399">
        <v>4</v>
      </c>
      <c r="Q49" s="70" t="s">
        <v>69</v>
      </c>
      <c r="R49" s="70" t="s">
        <v>15</v>
      </c>
      <c r="S49" s="70" t="s">
        <v>443</v>
      </c>
      <c r="T49" s="70"/>
    </row>
    <row r="50" spans="1:20" x14ac:dyDescent="0.25">
      <c r="C50" t="s">
        <v>770</v>
      </c>
      <c r="G50" s="14"/>
      <c r="H50" s="18" t="s">
        <v>47</v>
      </c>
      <c r="I50" s="398">
        <v>1.68</v>
      </c>
      <c r="J50" s="14"/>
      <c r="K50" s="13"/>
      <c r="L50" s="13"/>
      <c r="M50" s="18" t="s">
        <v>47</v>
      </c>
      <c r="N50" s="14" t="str">
        <f t="shared" si="3"/>
        <v>C-Restrooms</v>
      </c>
      <c r="O50" s="398">
        <v>0.98</v>
      </c>
      <c r="P50" s="399">
        <v>8</v>
      </c>
      <c r="Q50" s="70" t="s">
        <v>15</v>
      </c>
      <c r="R50" s="70" t="s">
        <v>69</v>
      </c>
      <c r="S50" s="70" t="s">
        <v>304</v>
      </c>
    </row>
    <row r="51" spans="1:20" x14ac:dyDescent="0.25">
      <c r="C51" t="s">
        <v>274</v>
      </c>
      <c r="G51" s="14"/>
      <c r="H51" s="18" t="s">
        <v>476</v>
      </c>
      <c r="I51" s="398">
        <v>0.69</v>
      </c>
      <c r="J51" s="14"/>
      <c r="K51" s="13"/>
      <c r="L51" s="13"/>
      <c r="M51" s="18" t="s">
        <v>476</v>
      </c>
      <c r="N51" s="14" t="str">
        <f t="shared" si="3"/>
        <v>C-Sales Area</v>
      </c>
      <c r="O51" s="398">
        <v>1.68</v>
      </c>
      <c r="P51" s="399">
        <v>6</v>
      </c>
      <c r="Q51" s="70" t="s">
        <v>69</v>
      </c>
      <c r="R51" s="70" t="s">
        <v>15</v>
      </c>
      <c r="S51" t="s">
        <v>463</v>
      </c>
    </row>
    <row r="52" spans="1:20" x14ac:dyDescent="0.25">
      <c r="G52" s="14"/>
      <c r="H52" s="18" t="s">
        <v>388</v>
      </c>
      <c r="I52" s="398">
        <v>0.63</v>
      </c>
      <c r="J52" s="14"/>
      <c r="K52" s="13"/>
      <c r="L52" s="13"/>
      <c r="M52" s="18" t="s">
        <v>388</v>
      </c>
      <c r="N52" s="14" t="str">
        <f t="shared" si="3"/>
        <v>C-Stairway</v>
      </c>
      <c r="O52" s="398">
        <v>0.69</v>
      </c>
      <c r="P52" s="399">
        <v>10</v>
      </c>
      <c r="Q52" s="70" t="s">
        <v>15</v>
      </c>
      <c r="R52" s="70" t="s">
        <v>15</v>
      </c>
      <c r="S52" t="s">
        <v>306</v>
      </c>
    </row>
    <row r="53" spans="1:20" x14ac:dyDescent="0.25">
      <c r="G53" s="14"/>
      <c r="H53" s="18" t="s">
        <v>286</v>
      </c>
      <c r="I53" s="398">
        <v>1.59</v>
      </c>
      <c r="J53" s="14"/>
      <c r="K53" s="13"/>
      <c r="L53" s="13"/>
      <c r="M53" s="18" t="s">
        <v>286</v>
      </c>
      <c r="N53" s="14" t="str">
        <f t="shared" si="3"/>
        <v>C-Storage</v>
      </c>
      <c r="O53" s="398">
        <v>0.63</v>
      </c>
      <c r="P53" s="399">
        <v>6</v>
      </c>
      <c r="Q53" s="70" t="s">
        <v>15</v>
      </c>
      <c r="R53" s="70" t="s">
        <v>69</v>
      </c>
      <c r="S53" s="70" t="s">
        <v>304</v>
      </c>
    </row>
    <row r="54" spans="1:20" x14ac:dyDescent="0.25">
      <c r="G54" s="13" t="s">
        <v>771</v>
      </c>
      <c r="H54" s="14" t="s">
        <v>404</v>
      </c>
      <c r="I54" s="13">
        <v>1.4</v>
      </c>
      <c r="J54" s="14"/>
      <c r="K54" s="25" t="s">
        <v>772</v>
      </c>
      <c r="L54" s="22" t="s">
        <v>773</v>
      </c>
      <c r="M54" s="12" t="str">
        <f t="shared" ref="M54:M85" si="4">K54&amp;" - "&amp;L54</f>
        <v>Automotive - Service/Repair</v>
      </c>
      <c r="N54" s="14" t="str">
        <f t="shared" si="3"/>
        <v>C-Workshop</v>
      </c>
      <c r="O54" s="398">
        <v>1.59</v>
      </c>
      <c r="P54" s="399">
        <v>6</v>
      </c>
      <c r="Q54" s="70" t="s">
        <v>69</v>
      </c>
      <c r="R54" s="70" t="s">
        <v>15</v>
      </c>
      <c r="S54" s="70" t="s">
        <v>304</v>
      </c>
    </row>
    <row r="55" spans="1:20" ht="12.75" customHeight="1" x14ac:dyDescent="0.25">
      <c r="B55" s="51"/>
      <c r="C55" s="51"/>
      <c r="D55" s="51"/>
      <c r="E55" s="51"/>
      <c r="F55" s="51"/>
      <c r="G55" s="13" t="s">
        <v>771</v>
      </c>
      <c r="H55" s="14" t="s">
        <v>402</v>
      </c>
      <c r="I55" s="13">
        <v>1.4</v>
      </c>
      <c r="J55" s="14"/>
      <c r="K55" s="26" t="s">
        <v>533</v>
      </c>
      <c r="L55" s="401" t="s">
        <v>329</v>
      </c>
      <c r="M55" s="12" t="str">
        <f t="shared" si="4"/>
        <v>Bank/Office - Banking Activity Area</v>
      </c>
      <c r="N55" s="12" t="str">
        <f t="shared" ref="N55:N68" si="5">"S-"&amp;M54</f>
        <v>S-Automotive - Service/Repair</v>
      </c>
      <c r="O55" s="27">
        <v>0.67</v>
      </c>
      <c r="P55" s="29">
        <v>4</v>
      </c>
      <c r="Q55" s="70" t="s">
        <v>69</v>
      </c>
      <c r="R55" s="70" t="s">
        <v>15</v>
      </c>
      <c r="S55" s="70" t="s">
        <v>304</v>
      </c>
    </row>
    <row r="56" spans="1:20" ht="12.75" customHeight="1" x14ac:dyDescent="0.25">
      <c r="B56" s="51"/>
      <c r="C56" s="51"/>
      <c r="D56" s="51"/>
      <c r="E56" s="51"/>
      <c r="F56" s="51"/>
      <c r="G56" s="13" t="s">
        <v>771</v>
      </c>
      <c r="H56" s="14" t="s">
        <v>413</v>
      </c>
      <c r="I56" s="13">
        <v>1.3</v>
      </c>
      <c r="J56" s="14"/>
      <c r="K56" s="402" t="s">
        <v>255</v>
      </c>
      <c r="L56" s="401" t="s">
        <v>774</v>
      </c>
      <c r="M56" s="12" t="str">
        <f t="shared" si="4"/>
        <v>Convention Center - Audience Seating</v>
      </c>
      <c r="N56" s="12" t="str">
        <f t="shared" si="5"/>
        <v>S-Bank/Office - Banking Activity Area</v>
      </c>
      <c r="O56" s="398">
        <v>1.38</v>
      </c>
      <c r="P56" s="30">
        <v>6</v>
      </c>
      <c r="Q56" s="70" t="s">
        <v>69</v>
      </c>
      <c r="R56" s="70" t="s">
        <v>15</v>
      </c>
      <c r="S56" s="70" t="s">
        <v>304</v>
      </c>
    </row>
    <row r="57" spans="1:20" ht="12.75" customHeight="1" x14ac:dyDescent="0.25">
      <c r="B57" s="51"/>
      <c r="C57" s="51"/>
      <c r="D57" s="51"/>
      <c r="E57" s="51"/>
      <c r="F57" s="51"/>
      <c r="G57" s="13" t="s">
        <v>771</v>
      </c>
      <c r="H57" s="14" t="s">
        <v>416</v>
      </c>
      <c r="I57" s="13">
        <v>1.1000000000000001</v>
      </c>
      <c r="J57" s="14"/>
      <c r="K57" s="402" t="s">
        <v>255</v>
      </c>
      <c r="L57" s="401" t="s">
        <v>775</v>
      </c>
      <c r="M57" s="12" t="str">
        <f t="shared" si="4"/>
        <v>Convention Center - Exhibit Space</v>
      </c>
      <c r="N57" s="12" t="str">
        <f t="shared" si="5"/>
        <v>S-Convention Center - Audience Seating</v>
      </c>
      <c r="O57" s="398">
        <v>0.82</v>
      </c>
      <c r="P57" s="30">
        <v>4</v>
      </c>
      <c r="Q57" s="70" t="s">
        <v>69</v>
      </c>
      <c r="R57" s="70" t="s">
        <v>15</v>
      </c>
      <c r="S57" s="70" t="s">
        <v>304</v>
      </c>
    </row>
    <row r="58" spans="1:20" ht="12.75" customHeight="1" x14ac:dyDescent="0.25">
      <c r="B58" s="51"/>
      <c r="C58" s="51"/>
      <c r="D58" s="51"/>
      <c r="E58" s="51"/>
      <c r="F58" s="51"/>
      <c r="G58" s="13" t="s">
        <v>771</v>
      </c>
      <c r="H58" s="14" t="s">
        <v>419</v>
      </c>
      <c r="I58" s="13">
        <v>1.1000000000000001</v>
      </c>
      <c r="J58" s="14"/>
      <c r="K58" s="403" t="s">
        <v>776</v>
      </c>
      <c r="L58" s="401" t="s">
        <v>339</v>
      </c>
      <c r="M58" s="12" t="str">
        <f t="shared" si="4"/>
        <v>Courthouse/Police Station/Penitentiary - Confinement Cells</v>
      </c>
      <c r="N58" s="12" t="str">
        <f t="shared" si="5"/>
        <v>S-Convention Center - Exhibit Space</v>
      </c>
      <c r="O58" s="398">
        <v>1.45</v>
      </c>
      <c r="P58" s="30">
        <v>4</v>
      </c>
      <c r="Q58" s="70" t="s">
        <v>69</v>
      </c>
      <c r="R58" s="70" t="s">
        <v>15</v>
      </c>
      <c r="S58" s="70" t="s">
        <v>304</v>
      </c>
    </row>
    <row r="59" spans="1:20" ht="12.75" customHeight="1" x14ac:dyDescent="0.25">
      <c r="B59" s="51"/>
      <c r="C59" s="51"/>
      <c r="D59" s="51"/>
      <c r="E59" s="51"/>
      <c r="F59" s="51"/>
      <c r="G59" s="13" t="s">
        <v>771</v>
      </c>
      <c r="H59" s="14" t="s">
        <v>421</v>
      </c>
      <c r="I59" s="13">
        <v>3.3</v>
      </c>
      <c r="J59" s="14"/>
      <c r="K59" s="403" t="s">
        <v>776</v>
      </c>
      <c r="L59" s="401" t="s">
        <v>354</v>
      </c>
      <c r="M59" s="12" t="str">
        <f t="shared" si="4"/>
        <v>Courthouse/Police Station/Penitentiary - Courtroom</v>
      </c>
      <c r="N59" s="12" t="str">
        <f t="shared" si="5"/>
        <v>S-Courthouse/Police Station/Penitentiary - Confinement Cells</v>
      </c>
      <c r="O59" s="398">
        <v>1.1000000000000001</v>
      </c>
      <c r="P59" s="30">
        <v>6</v>
      </c>
      <c r="Q59" s="70" t="s">
        <v>69</v>
      </c>
      <c r="R59" s="70" t="s">
        <v>15</v>
      </c>
      <c r="S59" s="70" t="s">
        <v>304</v>
      </c>
    </row>
    <row r="60" spans="1:20" x14ac:dyDescent="0.25">
      <c r="G60" s="13" t="s">
        <v>771</v>
      </c>
      <c r="H60" s="14" t="s">
        <v>422</v>
      </c>
      <c r="I60" s="13">
        <v>0.6</v>
      </c>
      <c r="J60" s="14"/>
      <c r="K60" s="403" t="s">
        <v>776</v>
      </c>
      <c r="L60" s="401" t="s">
        <v>777</v>
      </c>
      <c r="M60" s="12" t="str">
        <f t="shared" si="4"/>
        <v>Courthouse/Police Station/Penitentiary - Judges' Chambers</v>
      </c>
      <c r="N60" s="12" t="str">
        <f t="shared" si="5"/>
        <v>S-Courthouse/Police Station/Penitentiary - Courtroom</v>
      </c>
      <c r="O60" s="398">
        <v>1.72</v>
      </c>
      <c r="P60" s="30">
        <v>6</v>
      </c>
      <c r="Q60" s="70" t="s">
        <v>69</v>
      </c>
      <c r="R60" s="70" t="s">
        <v>15</v>
      </c>
      <c r="S60" s="70" t="s">
        <v>304</v>
      </c>
    </row>
    <row r="61" spans="1:20" x14ac:dyDescent="0.25">
      <c r="G61" s="13" t="s">
        <v>771</v>
      </c>
      <c r="H61" s="14" t="s">
        <v>424</v>
      </c>
      <c r="I61" s="13">
        <v>1.2</v>
      </c>
      <c r="J61" s="14"/>
      <c r="K61" s="403" t="s">
        <v>776</v>
      </c>
      <c r="L61" s="401" t="s">
        <v>778</v>
      </c>
      <c r="M61" s="12" t="str">
        <f t="shared" si="4"/>
        <v>Courthouse/Police Station/Penitentiary - Penitentiary Audience Seating</v>
      </c>
      <c r="N61" s="12" t="str">
        <f t="shared" si="5"/>
        <v>S-Courthouse/Police Station/Penitentiary - Judges' Chambers</v>
      </c>
      <c r="O61" s="398">
        <v>1.17</v>
      </c>
      <c r="P61" s="30">
        <v>8</v>
      </c>
      <c r="Q61" s="70" t="s">
        <v>69</v>
      </c>
      <c r="R61" s="70" t="s">
        <v>15</v>
      </c>
      <c r="S61" s="70" t="s">
        <v>304</v>
      </c>
    </row>
    <row r="62" spans="1:20" x14ac:dyDescent="0.25">
      <c r="G62" s="13" t="s">
        <v>771</v>
      </c>
      <c r="H62" s="14" t="s">
        <v>779</v>
      </c>
      <c r="I62" s="13">
        <v>0.8</v>
      </c>
      <c r="J62" s="14"/>
      <c r="K62" s="403" t="s">
        <v>776</v>
      </c>
      <c r="L62" s="401" t="s">
        <v>780</v>
      </c>
      <c r="M62" s="12" t="str">
        <f t="shared" si="4"/>
        <v>Courthouse/Police Station/Penitentiary - Penitentiary Dining</v>
      </c>
      <c r="N62" s="12" t="str">
        <f t="shared" si="5"/>
        <v>S-Courthouse/Police Station/Penitentiary - Penitentiary Audience Seating</v>
      </c>
      <c r="O62" s="398">
        <v>0.43</v>
      </c>
      <c r="P62" s="30">
        <v>4</v>
      </c>
      <c r="Q62" s="70" t="s">
        <v>69</v>
      </c>
      <c r="R62" s="70" t="s">
        <v>15</v>
      </c>
      <c r="S62" s="70" t="s">
        <v>304</v>
      </c>
    </row>
    <row r="63" spans="1:20" x14ac:dyDescent="0.25">
      <c r="G63" s="13" t="s">
        <v>771</v>
      </c>
      <c r="H63" s="14" t="s">
        <v>442</v>
      </c>
      <c r="I63" s="13">
        <v>1.1000000000000001</v>
      </c>
      <c r="J63" s="14"/>
      <c r="K63" s="403" t="s">
        <v>776</v>
      </c>
      <c r="L63" s="401" t="s">
        <v>781</v>
      </c>
      <c r="M63" s="12" t="str">
        <f t="shared" si="4"/>
        <v>Courthouse/Police Station/Penitentiary - Pentitentiary Classroom</v>
      </c>
      <c r="N63" s="12" t="str">
        <f t="shared" si="5"/>
        <v>S-Courthouse/Police Station/Penitentiary - Penitentiary Dining</v>
      </c>
      <c r="O63" s="398">
        <v>1.07</v>
      </c>
      <c r="P63" s="30">
        <v>6</v>
      </c>
      <c r="Q63" s="70" t="s">
        <v>69</v>
      </c>
      <c r="R63" s="70" t="s">
        <v>15</v>
      </c>
      <c r="S63" s="70" t="s">
        <v>304</v>
      </c>
    </row>
    <row r="64" spans="1:20" x14ac:dyDescent="0.25">
      <c r="G64" s="13" t="s">
        <v>771</v>
      </c>
      <c r="H64" s="14" t="s">
        <v>444</v>
      </c>
      <c r="I64" s="13">
        <v>1.1000000000000001</v>
      </c>
      <c r="J64" s="14"/>
      <c r="K64" s="26" t="s">
        <v>262</v>
      </c>
      <c r="L64" s="401" t="s">
        <v>782</v>
      </c>
      <c r="M64" s="12" t="str">
        <f t="shared" si="4"/>
        <v>Dormitory - Living Quarters</v>
      </c>
      <c r="N64" s="12" t="str">
        <f t="shared" si="5"/>
        <v>S-Courthouse/Police Station/Penitentiary - Pentitentiary Classroom</v>
      </c>
      <c r="O64" s="398">
        <v>1.34</v>
      </c>
      <c r="P64" s="30">
        <v>4</v>
      </c>
      <c r="Q64" s="70" t="s">
        <v>69</v>
      </c>
      <c r="R64" s="70" t="s">
        <v>15</v>
      </c>
      <c r="S64" s="70" t="s">
        <v>304</v>
      </c>
    </row>
    <row r="65" spans="7:19" x14ac:dyDescent="0.25">
      <c r="G65" s="13" t="s">
        <v>771</v>
      </c>
      <c r="H65" s="14" t="s">
        <v>457</v>
      </c>
      <c r="I65" s="13">
        <v>0.9</v>
      </c>
      <c r="J65" s="14"/>
      <c r="K65" s="402" t="s">
        <v>783</v>
      </c>
      <c r="L65" s="401" t="s">
        <v>784</v>
      </c>
      <c r="M65" s="12" t="str">
        <f t="shared" si="4"/>
        <v>Fire Stations - Engine Room</v>
      </c>
      <c r="N65" s="12" t="str">
        <f t="shared" si="5"/>
        <v>S-Dormitory - Living Quarters</v>
      </c>
      <c r="O65" s="398">
        <v>0.38</v>
      </c>
      <c r="P65" s="30">
        <v>8</v>
      </c>
      <c r="Q65" s="70" t="s">
        <v>69</v>
      </c>
      <c r="R65" s="70" t="s">
        <v>15</v>
      </c>
      <c r="S65" s="70" t="s">
        <v>304</v>
      </c>
    </row>
    <row r="66" spans="7:19" x14ac:dyDescent="0.25">
      <c r="G66" s="13" t="s">
        <v>771</v>
      </c>
      <c r="H66" s="14" t="s">
        <v>47</v>
      </c>
      <c r="I66" s="13">
        <v>1.7</v>
      </c>
      <c r="J66" s="14"/>
      <c r="K66" s="402" t="s">
        <v>783</v>
      </c>
      <c r="L66" s="401" t="s">
        <v>785</v>
      </c>
      <c r="M66" s="12" t="str">
        <f t="shared" si="4"/>
        <v>Fire Stations - Sleeping Quarters</v>
      </c>
      <c r="N66" s="12" t="str">
        <f t="shared" si="5"/>
        <v>S-Fire Stations - Engine Room</v>
      </c>
      <c r="O66" s="398">
        <v>0.56000000000000005</v>
      </c>
      <c r="P66" s="30">
        <v>4</v>
      </c>
      <c r="Q66" s="70" t="s">
        <v>69</v>
      </c>
      <c r="R66" s="70" t="s">
        <v>15</v>
      </c>
      <c r="S66" s="70" t="s">
        <v>304</v>
      </c>
    </row>
    <row r="67" spans="7:19" x14ac:dyDescent="0.25">
      <c r="G67" s="13" t="s">
        <v>771</v>
      </c>
      <c r="H67" s="14" t="s">
        <v>476</v>
      </c>
      <c r="I67" s="13">
        <v>0.6</v>
      </c>
      <c r="J67" s="14"/>
      <c r="K67" s="403" t="s">
        <v>555</v>
      </c>
      <c r="L67" s="401" t="s">
        <v>786</v>
      </c>
      <c r="M67" s="12" t="str">
        <f t="shared" si="4"/>
        <v>Gymnasium/Fitness Center - Fitness Area</v>
      </c>
      <c r="N67" s="12" t="str">
        <f t="shared" si="5"/>
        <v>S-Fire Stations - Sleeping Quarters</v>
      </c>
      <c r="O67" s="398">
        <v>0.25</v>
      </c>
      <c r="P67" s="30">
        <v>6</v>
      </c>
      <c r="Q67" s="70" t="s">
        <v>69</v>
      </c>
      <c r="R67" s="70" t="s">
        <v>15</v>
      </c>
      <c r="S67" s="70" t="s">
        <v>304</v>
      </c>
    </row>
    <row r="68" spans="7:19" x14ac:dyDescent="0.25">
      <c r="G68" s="13" t="s">
        <v>771</v>
      </c>
      <c r="H68" s="14" t="s">
        <v>388</v>
      </c>
      <c r="I68" s="13">
        <v>0.8</v>
      </c>
      <c r="J68" s="14"/>
      <c r="K68" s="403" t="s">
        <v>555</v>
      </c>
      <c r="L68" s="401" t="s">
        <v>787</v>
      </c>
      <c r="M68" s="12" t="str">
        <f t="shared" si="4"/>
        <v>Gymnasium/Fitness Center - Fitness Center - Audience Seating</v>
      </c>
      <c r="N68" s="12" t="str">
        <f t="shared" si="5"/>
        <v>S-Gymnasium/Fitness Center - Fitness Area</v>
      </c>
      <c r="O68" s="398">
        <v>0.72</v>
      </c>
      <c r="P68" s="30">
        <v>4</v>
      </c>
      <c r="Q68" s="70" t="s">
        <v>69</v>
      </c>
      <c r="R68" s="70" t="s">
        <v>15</v>
      </c>
      <c r="S68" t="s">
        <v>306</v>
      </c>
    </row>
    <row r="69" spans="7:19" x14ac:dyDescent="0.25">
      <c r="G69" s="13" t="s">
        <v>771</v>
      </c>
      <c r="H69" s="14" t="s">
        <v>788</v>
      </c>
      <c r="I69" s="13">
        <v>0.9</v>
      </c>
      <c r="J69" s="14"/>
      <c r="K69" s="403" t="s">
        <v>555</v>
      </c>
      <c r="L69" s="23" t="s">
        <v>789</v>
      </c>
      <c r="M69" s="12" t="str">
        <f t="shared" si="4"/>
        <v>Gymnasium/Fitness Center - Gymnasium - Audience Seating</v>
      </c>
      <c r="N69" s="12" t="str">
        <f t="shared" ref="N69:N84" si="6">"S-"&amp;M69</f>
        <v>S-Gymnasium/Fitness Center - Gymnasium - Audience Seating</v>
      </c>
      <c r="O69" s="13">
        <v>0.43</v>
      </c>
      <c r="P69" s="30">
        <v>6</v>
      </c>
      <c r="Q69" s="70" t="s">
        <v>69</v>
      </c>
      <c r="R69" s="70" t="s">
        <v>15</v>
      </c>
      <c r="S69" t="s">
        <v>306</v>
      </c>
    </row>
    <row r="70" spans="7:19" x14ac:dyDescent="0.25">
      <c r="G70" s="13" t="s">
        <v>771</v>
      </c>
      <c r="H70" s="14" t="s">
        <v>790</v>
      </c>
      <c r="I70" s="13">
        <v>0.8</v>
      </c>
      <c r="J70" s="14"/>
      <c r="K70" s="403" t="s">
        <v>555</v>
      </c>
      <c r="L70" s="401" t="s">
        <v>791</v>
      </c>
      <c r="M70" s="12" t="str">
        <f t="shared" si="4"/>
        <v>Gymnasium/Fitness Center - Playing Area</v>
      </c>
      <c r="N70" s="12" t="str">
        <f t="shared" si="6"/>
        <v>S-Gymnasium/Fitness Center - Playing Area</v>
      </c>
      <c r="O70" s="398">
        <v>1.2</v>
      </c>
      <c r="P70" s="30">
        <v>4</v>
      </c>
      <c r="Q70" s="70" t="s">
        <v>69</v>
      </c>
      <c r="R70" s="70" t="s">
        <v>15</v>
      </c>
      <c r="S70" t="s">
        <v>306</v>
      </c>
    </row>
    <row r="71" spans="7:19" x14ac:dyDescent="0.25">
      <c r="G71" s="13" t="s">
        <v>771</v>
      </c>
      <c r="H71" s="14" t="s">
        <v>286</v>
      </c>
      <c r="I71" s="13">
        <v>1.9</v>
      </c>
      <c r="J71" s="14"/>
      <c r="K71" s="402" t="s">
        <v>266</v>
      </c>
      <c r="L71" s="401" t="s">
        <v>345</v>
      </c>
      <c r="M71" s="12" t="str">
        <f t="shared" si="4"/>
        <v>Hospital - Corridor/Transition</v>
      </c>
      <c r="N71" s="12" t="str">
        <f t="shared" si="6"/>
        <v>S-Hospital - Corridor/Transition</v>
      </c>
      <c r="O71" s="398">
        <v>0.89</v>
      </c>
      <c r="P71" s="399" t="s">
        <v>346</v>
      </c>
      <c r="Q71" s="70" t="s">
        <v>15</v>
      </c>
      <c r="R71" s="70" t="s">
        <v>15</v>
      </c>
      <c r="S71" s="70" t="s">
        <v>304</v>
      </c>
    </row>
    <row r="72" spans="7:19" x14ac:dyDescent="0.25">
      <c r="G72" s="14"/>
      <c r="H72" s="14"/>
      <c r="I72" s="14"/>
      <c r="J72" s="14"/>
      <c r="K72" s="402" t="s">
        <v>266</v>
      </c>
      <c r="L72" s="401" t="s">
        <v>792</v>
      </c>
      <c r="M72" s="12" t="str">
        <f t="shared" si="4"/>
        <v>Hospital - Emergency</v>
      </c>
      <c r="N72" s="12" t="str">
        <f t="shared" si="6"/>
        <v>S-Hospital - Emergency</v>
      </c>
      <c r="O72" s="398">
        <v>2.2599999999999998</v>
      </c>
      <c r="P72" s="30">
        <v>6</v>
      </c>
      <c r="Q72" s="72" t="s">
        <v>69</v>
      </c>
      <c r="R72" s="70" t="s">
        <v>15</v>
      </c>
      <c r="S72" s="70" t="s">
        <v>304</v>
      </c>
    </row>
    <row r="73" spans="7:19" x14ac:dyDescent="0.25">
      <c r="G73" s="14"/>
      <c r="H73" s="14"/>
      <c r="I73" s="14"/>
      <c r="J73" s="14"/>
      <c r="K73" s="402" t="s">
        <v>266</v>
      </c>
      <c r="L73" s="401" t="s">
        <v>793</v>
      </c>
      <c r="M73" s="12" t="str">
        <f t="shared" si="4"/>
        <v>Hospital - Exam/Treatment</v>
      </c>
      <c r="N73" s="12" t="str">
        <f t="shared" si="6"/>
        <v>S-Hospital - Exam/Treatment</v>
      </c>
      <c r="O73" s="398">
        <v>1.66</v>
      </c>
      <c r="P73" s="30">
        <v>8</v>
      </c>
      <c r="Q73" s="72" t="s">
        <v>69</v>
      </c>
      <c r="R73" s="70" t="s">
        <v>15</v>
      </c>
      <c r="S73" s="70" t="s">
        <v>304</v>
      </c>
    </row>
    <row r="74" spans="7:19" x14ac:dyDescent="0.25">
      <c r="G74" s="14"/>
      <c r="H74" s="14"/>
      <c r="I74" s="14"/>
      <c r="J74" s="14"/>
      <c r="K74" s="402" t="s">
        <v>266</v>
      </c>
      <c r="L74" s="401" t="s">
        <v>794</v>
      </c>
      <c r="M74" s="12" t="str">
        <f t="shared" si="4"/>
        <v>Hospital - Laundry - Washing</v>
      </c>
      <c r="N74" s="12" t="str">
        <f t="shared" si="6"/>
        <v>S-Hospital - Laundry - Washing</v>
      </c>
      <c r="O74" s="398">
        <v>0.6</v>
      </c>
      <c r="P74" s="30">
        <v>4</v>
      </c>
      <c r="Q74" s="72" t="s">
        <v>69</v>
      </c>
      <c r="R74" s="70" t="s">
        <v>15</v>
      </c>
      <c r="S74" s="70" t="s">
        <v>304</v>
      </c>
    </row>
    <row r="75" spans="7:19" x14ac:dyDescent="0.25">
      <c r="G75" s="14"/>
      <c r="H75" s="14"/>
      <c r="I75" s="14"/>
      <c r="J75" s="14"/>
      <c r="K75" s="402" t="s">
        <v>266</v>
      </c>
      <c r="L75" s="401" t="s">
        <v>424</v>
      </c>
      <c r="M75" s="12" t="str">
        <f t="shared" si="4"/>
        <v>Hospital - Lounge/Recreation</v>
      </c>
      <c r="N75" s="12" t="str">
        <f t="shared" si="6"/>
        <v>S-Hospital - Lounge/Recreation</v>
      </c>
      <c r="O75" s="398">
        <v>1.07</v>
      </c>
      <c r="P75" s="30">
        <v>6</v>
      </c>
      <c r="Q75" s="72" t="s">
        <v>69</v>
      </c>
      <c r="R75" s="70" t="s">
        <v>15</v>
      </c>
      <c r="S75" s="70" t="s">
        <v>304</v>
      </c>
    </row>
    <row r="76" spans="7:19" x14ac:dyDescent="0.25">
      <c r="H76" s="14"/>
      <c r="I76" s="14"/>
      <c r="J76" s="14"/>
      <c r="K76" s="402" t="s">
        <v>266</v>
      </c>
      <c r="L76" s="401" t="s">
        <v>795</v>
      </c>
      <c r="M76" s="12" t="str">
        <f t="shared" si="4"/>
        <v>Hospital - Medical Supply</v>
      </c>
      <c r="N76" s="12" t="str">
        <f t="shared" si="6"/>
        <v>S-Hospital - Medical Supply</v>
      </c>
      <c r="O76" s="398">
        <v>1.27</v>
      </c>
      <c r="P76" s="30">
        <v>6</v>
      </c>
      <c r="Q76" s="72" t="s">
        <v>69</v>
      </c>
      <c r="R76" s="70" t="s">
        <v>15</v>
      </c>
      <c r="S76" s="70" t="s">
        <v>304</v>
      </c>
    </row>
    <row r="77" spans="7:19" x14ac:dyDescent="0.25">
      <c r="H77" s="14"/>
      <c r="I77" s="14"/>
      <c r="J77" s="14"/>
      <c r="K77" s="402" t="s">
        <v>266</v>
      </c>
      <c r="L77" s="401" t="s">
        <v>564</v>
      </c>
      <c r="M77" s="12" t="str">
        <f t="shared" si="4"/>
        <v>Hospital - Nursery</v>
      </c>
      <c r="N77" s="12" t="str">
        <f t="shared" si="6"/>
        <v>S-Hospital - Nursery</v>
      </c>
      <c r="O77" s="398">
        <v>0.88</v>
      </c>
      <c r="P77" s="30">
        <v>6</v>
      </c>
      <c r="Q77" s="72" t="s">
        <v>69</v>
      </c>
      <c r="R77" s="70" t="s">
        <v>15</v>
      </c>
      <c r="S77" s="70" t="s">
        <v>304</v>
      </c>
    </row>
    <row r="78" spans="7:19" x14ac:dyDescent="0.25">
      <c r="G78" s="14"/>
      <c r="H78" s="14"/>
      <c r="I78" s="14"/>
      <c r="J78" s="14"/>
      <c r="K78" s="402" t="s">
        <v>266</v>
      </c>
      <c r="L78" s="401" t="s">
        <v>796</v>
      </c>
      <c r="M78" s="12" t="str">
        <f t="shared" si="4"/>
        <v>Hospital - Nurses' Station</v>
      </c>
      <c r="N78" s="12" t="str">
        <f t="shared" si="6"/>
        <v>S-Hospital - Nurses' Station</v>
      </c>
      <c r="O78" s="398">
        <v>0.87</v>
      </c>
      <c r="P78" s="30">
        <v>6</v>
      </c>
      <c r="Q78" s="72" t="s">
        <v>69</v>
      </c>
      <c r="R78" s="70" t="s">
        <v>15</v>
      </c>
      <c r="S78" s="70" t="s">
        <v>304</v>
      </c>
    </row>
    <row r="79" spans="7:19" x14ac:dyDescent="0.25">
      <c r="G79" s="14"/>
      <c r="H79" s="14"/>
      <c r="I79" s="14"/>
      <c r="J79" s="14"/>
      <c r="K79" s="402" t="s">
        <v>266</v>
      </c>
      <c r="L79" s="401" t="s">
        <v>797</v>
      </c>
      <c r="M79" s="12" t="str">
        <f t="shared" si="4"/>
        <v>Hospital - Operating Room</v>
      </c>
      <c r="N79" s="12" t="str">
        <f t="shared" si="6"/>
        <v>S-Hospital - Operating Room</v>
      </c>
      <c r="O79" s="398">
        <v>1.89</v>
      </c>
      <c r="P79" s="30">
        <v>6</v>
      </c>
      <c r="Q79" s="72" t="s">
        <v>69</v>
      </c>
      <c r="R79" s="70" t="s">
        <v>15</v>
      </c>
      <c r="S79" s="70" t="s">
        <v>304</v>
      </c>
    </row>
    <row r="80" spans="7:19" x14ac:dyDescent="0.25">
      <c r="G80" s="14"/>
      <c r="H80" s="14"/>
      <c r="I80" s="14"/>
      <c r="J80" s="14"/>
      <c r="K80" s="402" t="s">
        <v>266</v>
      </c>
      <c r="L80" s="401" t="s">
        <v>798</v>
      </c>
      <c r="M80" s="12" t="str">
        <f t="shared" si="4"/>
        <v>Hospital - Patient Room</v>
      </c>
      <c r="N80" s="12" t="str">
        <f t="shared" si="6"/>
        <v>S-Hospital - Patient Room</v>
      </c>
      <c r="O80" s="398">
        <v>0.62</v>
      </c>
      <c r="P80" s="30">
        <v>6</v>
      </c>
      <c r="Q80" s="72" t="s">
        <v>69</v>
      </c>
      <c r="R80" s="70" t="s">
        <v>15</v>
      </c>
      <c r="S80" s="70" t="s">
        <v>304</v>
      </c>
    </row>
    <row r="81" spans="7:21" x14ac:dyDescent="0.25">
      <c r="G81" s="14"/>
      <c r="H81" s="14"/>
      <c r="I81" s="14"/>
      <c r="J81" s="14"/>
      <c r="K81" s="402" t="s">
        <v>266</v>
      </c>
      <c r="L81" s="401" t="s">
        <v>799</v>
      </c>
      <c r="M81" s="12" t="str">
        <f t="shared" si="4"/>
        <v>Hospital - Pharmacy</v>
      </c>
      <c r="N81" s="12" t="str">
        <f t="shared" si="6"/>
        <v>S-Hospital - Pharmacy</v>
      </c>
      <c r="O81" s="398">
        <v>1.1399999999999999</v>
      </c>
      <c r="P81" s="30">
        <v>6</v>
      </c>
      <c r="Q81" s="72" t="s">
        <v>69</v>
      </c>
      <c r="R81" s="70" t="s">
        <v>15</v>
      </c>
      <c r="S81" s="70" t="s">
        <v>304</v>
      </c>
    </row>
    <row r="82" spans="7:21" x14ac:dyDescent="0.25">
      <c r="G82" s="14"/>
      <c r="H82" s="14"/>
      <c r="I82" s="14"/>
      <c r="J82" s="14"/>
      <c r="K82" s="402" t="s">
        <v>266</v>
      </c>
      <c r="L82" s="401" t="s">
        <v>800</v>
      </c>
      <c r="M82" s="12" t="str">
        <f t="shared" si="4"/>
        <v>Hospital - Physical Therapy</v>
      </c>
      <c r="N82" s="12" t="str">
        <f t="shared" si="6"/>
        <v>S-Hospital - Physical Therapy</v>
      </c>
      <c r="O82" s="398">
        <v>0.91</v>
      </c>
      <c r="P82" s="30">
        <v>6</v>
      </c>
      <c r="Q82" s="72" t="s">
        <v>69</v>
      </c>
      <c r="R82" s="70" t="s">
        <v>15</v>
      </c>
      <c r="S82" s="70" t="s">
        <v>304</v>
      </c>
    </row>
    <row r="83" spans="7:21" x14ac:dyDescent="0.25">
      <c r="G83" s="14"/>
      <c r="H83" s="14"/>
      <c r="I83" s="14"/>
      <c r="J83" s="14"/>
      <c r="K83" s="402" t="s">
        <v>266</v>
      </c>
      <c r="L83" s="401" t="s">
        <v>801</v>
      </c>
      <c r="M83" s="12" t="str">
        <f t="shared" si="4"/>
        <v>Hospital - Radiology/Imaging</v>
      </c>
      <c r="N83" s="12" t="str">
        <f t="shared" si="6"/>
        <v>S-Hospital - Radiology/Imaging</v>
      </c>
      <c r="O83" s="398">
        <v>1.32</v>
      </c>
      <c r="P83" s="30">
        <v>6</v>
      </c>
      <c r="Q83" s="72" t="s">
        <v>69</v>
      </c>
      <c r="R83" s="70" t="s">
        <v>15</v>
      </c>
      <c r="S83" s="70" t="s">
        <v>304</v>
      </c>
    </row>
    <row r="84" spans="7:21" x14ac:dyDescent="0.25">
      <c r="G84" s="14"/>
      <c r="H84" s="14"/>
      <c r="I84" s="14"/>
      <c r="J84" s="14"/>
      <c r="K84" s="402" t="s">
        <v>266</v>
      </c>
      <c r="L84" s="401" t="s">
        <v>802</v>
      </c>
      <c r="M84" s="12" t="str">
        <f t="shared" si="4"/>
        <v>Hospital - Recovery</v>
      </c>
      <c r="N84" s="12" t="str">
        <f t="shared" si="6"/>
        <v>S-Hospital - Recovery</v>
      </c>
      <c r="O84" s="398">
        <v>1.1499999999999999</v>
      </c>
      <c r="P84" s="30">
        <v>6</v>
      </c>
      <c r="Q84" s="72" t="s">
        <v>69</v>
      </c>
      <c r="R84" s="70" t="s">
        <v>15</v>
      </c>
      <c r="S84" s="70" t="s">
        <v>304</v>
      </c>
    </row>
    <row r="85" spans="7:21" x14ac:dyDescent="0.25">
      <c r="K85" s="402" t="s">
        <v>266</v>
      </c>
      <c r="L85" s="401" t="s">
        <v>388</v>
      </c>
      <c r="M85" s="12" t="str">
        <f t="shared" si="4"/>
        <v>Hospital - Storage</v>
      </c>
      <c r="N85" s="12" t="str">
        <f t="shared" ref="N85:N100" si="7">"S-"&amp;M86</f>
        <v>S-Hotel/Motel - Highway Lodging Dining</v>
      </c>
      <c r="O85" s="34">
        <v>0.88</v>
      </c>
      <c r="P85" s="31">
        <v>4</v>
      </c>
      <c r="Q85" s="72" t="s">
        <v>69</v>
      </c>
      <c r="R85" s="70" t="s">
        <v>15</v>
      </c>
      <c r="S85" s="70" t="s">
        <v>304</v>
      </c>
    </row>
    <row r="86" spans="7:21" x14ac:dyDescent="0.25">
      <c r="K86" s="402" t="s">
        <v>803</v>
      </c>
      <c r="L86" s="23" t="s">
        <v>804</v>
      </c>
      <c r="M86" s="12" t="str">
        <f t="shared" ref="M86:M117" si="8">K86&amp;" - "&amp;L86</f>
        <v>Hotel/Motel - Highway Lodging Dining</v>
      </c>
      <c r="N86" s="12" t="str">
        <f t="shared" si="7"/>
        <v>S-Hotel/Motel - Highway Lodging Guest Room</v>
      </c>
      <c r="O86" s="398">
        <v>0.75</v>
      </c>
      <c r="P86" s="30">
        <v>6</v>
      </c>
      <c r="Q86" s="72" t="s">
        <v>69</v>
      </c>
      <c r="R86" s="70" t="s">
        <v>15</v>
      </c>
      <c r="S86" s="70" t="s">
        <v>304</v>
      </c>
    </row>
    <row r="87" spans="7:21" x14ac:dyDescent="0.25">
      <c r="K87" s="402" t="s">
        <v>803</v>
      </c>
      <c r="L87" s="401" t="s">
        <v>805</v>
      </c>
      <c r="M87" s="12" t="str">
        <f t="shared" si="8"/>
        <v>Hotel/Motel - Highway Lodging Guest Room</v>
      </c>
      <c r="N87" s="12" t="str">
        <f t="shared" si="7"/>
        <v>S-Hotel/Motel - Hotel Dining</v>
      </c>
      <c r="O87" s="404">
        <v>0.82</v>
      </c>
      <c r="P87" s="30">
        <v>4</v>
      </c>
      <c r="Q87" s="72" t="s">
        <v>69</v>
      </c>
      <c r="R87" s="70" t="s">
        <v>15</v>
      </c>
      <c r="S87" s="70" t="s">
        <v>304</v>
      </c>
    </row>
    <row r="88" spans="7:21" x14ac:dyDescent="0.25">
      <c r="K88" s="402" t="s">
        <v>803</v>
      </c>
      <c r="L88" s="401" t="s">
        <v>806</v>
      </c>
      <c r="M88" s="12" t="str">
        <f t="shared" si="8"/>
        <v>Hotel/Motel - Hotel Dining</v>
      </c>
      <c r="N88" s="12" t="str">
        <f t="shared" si="7"/>
        <v>S-Hotel/Motel - Hotel Guest Rooms</v>
      </c>
      <c r="O88" s="398">
        <v>1.1100000000000001</v>
      </c>
      <c r="P88" s="30">
        <v>6</v>
      </c>
      <c r="Q88" s="72" t="s">
        <v>69</v>
      </c>
      <c r="R88" s="70" t="s">
        <v>15</v>
      </c>
      <c r="S88" s="70" t="s">
        <v>304</v>
      </c>
    </row>
    <row r="89" spans="7:21" x14ac:dyDescent="0.25">
      <c r="K89" s="402" t="s">
        <v>803</v>
      </c>
      <c r="L89" s="401" t="s">
        <v>807</v>
      </c>
      <c r="M89" s="12" t="str">
        <f t="shared" si="8"/>
        <v>Hotel/Motel - Hotel Guest Rooms</v>
      </c>
      <c r="N89" s="12" t="str">
        <f t="shared" si="7"/>
        <v>S-Hotel/Motel - Hotel Lobby</v>
      </c>
      <c r="O89" s="398">
        <v>1.06</v>
      </c>
      <c r="P89" s="30">
        <v>4</v>
      </c>
      <c r="Q89" s="72" t="s">
        <v>15</v>
      </c>
      <c r="R89" s="70" t="s">
        <v>15</v>
      </c>
      <c r="S89" s="70" t="s">
        <v>304</v>
      </c>
    </row>
    <row r="90" spans="7:21" x14ac:dyDescent="0.25">
      <c r="K90" s="402" t="s">
        <v>803</v>
      </c>
      <c r="L90" s="401" t="s">
        <v>808</v>
      </c>
      <c r="M90" s="12" t="str">
        <f t="shared" si="8"/>
        <v>Hotel/Motel - Hotel Lobby</v>
      </c>
      <c r="N90" s="12" t="str">
        <f t="shared" si="7"/>
        <v>S-Library - Card File &amp; Cataloging</v>
      </c>
      <c r="O90" s="398">
        <v>0.72</v>
      </c>
      <c r="P90" s="30">
        <v>4</v>
      </c>
      <c r="Q90" s="72" t="s">
        <v>69</v>
      </c>
      <c r="R90" s="70" t="s">
        <v>15</v>
      </c>
      <c r="S90" s="70" t="s">
        <v>304</v>
      </c>
      <c r="U90" t="s">
        <v>809</v>
      </c>
    </row>
    <row r="91" spans="7:21" x14ac:dyDescent="0.25">
      <c r="K91" s="402" t="s">
        <v>268</v>
      </c>
      <c r="L91" s="401" t="s">
        <v>810</v>
      </c>
      <c r="M91" s="12" t="str">
        <f t="shared" si="8"/>
        <v>Library - Card File &amp; Cataloging</v>
      </c>
      <c r="N91" s="12" t="str">
        <f t="shared" si="7"/>
        <v>S-Library - Reading Area</v>
      </c>
      <c r="O91" s="398">
        <v>0.93</v>
      </c>
      <c r="P91" s="30">
        <v>4</v>
      </c>
      <c r="Q91" s="72" t="s">
        <v>69</v>
      </c>
      <c r="R91" s="70" t="s">
        <v>15</v>
      </c>
      <c r="S91" s="70" t="s">
        <v>304</v>
      </c>
      <c r="U91" t="s">
        <v>811</v>
      </c>
    </row>
    <row r="92" spans="7:21" x14ac:dyDescent="0.25">
      <c r="K92" s="402" t="s">
        <v>268</v>
      </c>
      <c r="L92" s="401" t="s">
        <v>812</v>
      </c>
      <c r="M92" s="12" t="str">
        <f t="shared" si="8"/>
        <v>Library - Reading Area</v>
      </c>
      <c r="N92" s="12" t="str">
        <f t="shared" si="7"/>
        <v>S-Library - Stacks</v>
      </c>
      <c r="O92" s="398">
        <v>1.71</v>
      </c>
      <c r="P92" s="30">
        <v>4</v>
      </c>
      <c r="Q92" s="72" t="s">
        <v>69</v>
      </c>
      <c r="R92" s="70" t="s">
        <v>15</v>
      </c>
      <c r="S92" s="70" t="s">
        <v>304</v>
      </c>
      <c r="U92" t="s">
        <v>813</v>
      </c>
    </row>
    <row r="93" spans="7:21" x14ac:dyDescent="0.25">
      <c r="K93" s="402" t="s">
        <v>268</v>
      </c>
      <c r="L93" s="401" t="s">
        <v>572</v>
      </c>
      <c r="M93" s="12" t="str">
        <f t="shared" si="8"/>
        <v>Library - Stacks</v>
      </c>
      <c r="N93" s="12" t="str">
        <f t="shared" si="7"/>
        <v>S-Manufacturing - Corridor/Transition</v>
      </c>
      <c r="O93" s="398">
        <v>0.41</v>
      </c>
      <c r="P93" s="399" t="s">
        <v>346</v>
      </c>
      <c r="Q93" s="72" t="s">
        <v>15</v>
      </c>
      <c r="R93" s="70" t="s">
        <v>15</v>
      </c>
      <c r="S93" s="70" t="s">
        <v>304</v>
      </c>
    </row>
    <row r="94" spans="7:21" x14ac:dyDescent="0.25">
      <c r="K94" s="402" t="s">
        <v>814</v>
      </c>
      <c r="L94" s="401" t="s">
        <v>345</v>
      </c>
      <c r="M94" s="12" t="str">
        <f t="shared" si="8"/>
        <v>Manufacturing - Corridor/Transition</v>
      </c>
      <c r="N94" s="12" t="str">
        <f t="shared" si="7"/>
        <v>S-Manufacturing - Detailed Manufacturing</v>
      </c>
      <c r="O94" s="398">
        <v>1.29</v>
      </c>
      <c r="P94" s="30">
        <v>4</v>
      </c>
      <c r="Q94" s="72" t="s">
        <v>69</v>
      </c>
      <c r="R94" s="70" t="s">
        <v>15</v>
      </c>
      <c r="S94" s="70" t="s">
        <v>304</v>
      </c>
    </row>
    <row r="95" spans="7:21" x14ac:dyDescent="0.25">
      <c r="K95" s="402" t="s">
        <v>814</v>
      </c>
      <c r="L95" s="401" t="s">
        <v>815</v>
      </c>
      <c r="M95" s="12" t="str">
        <f t="shared" si="8"/>
        <v>Manufacturing - Detailed Manufacturing</v>
      </c>
      <c r="N95" s="12" t="str">
        <f t="shared" si="7"/>
        <v>S-Manufacturing - Equipment Room</v>
      </c>
      <c r="O95" s="398">
        <v>0.95</v>
      </c>
      <c r="P95" s="30">
        <v>6</v>
      </c>
      <c r="Q95" s="72" t="s">
        <v>69</v>
      </c>
      <c r="R95" s="70" t="s">
        <v>15</v>
      </c>
      <c r="S95" s="70" t="s">
        <v>304</v>
      </c>
    </row>
    <row r="96" spans="7:21" x14ac:dyDescent="0.25">
      <c r="K96" s="402" t="s">
        <v>814</v>
      </c>
      <c r="L96" s="401" t="s">
        <v>816</v>
      </c>
      <c r="M96" s="12" t="str">
        <f t="shared" si="8"/>
        <v>Manufacturing - Equipment Room</v>
      </c>
      <c r="N96" s="12" t="str">
        <f t="shared" si="7"/>
        <v>S-Manufacturing - Extra High Bay (≥ 50')</v>
      </c>
      <c r="O96" s="398">
        <v>1.05</v>
      </c>
      <c r="P96" s="30">
        <v>4</v>
      </c>
      <c r="Q96" s="72" t="s">
        <v>69</v>
      </c>
      <c r="R96" s="70" t="s">
        <v>15</v>
      </c>
      <c r="S96" s="70" t="s">
        <v>304</v>
      </c>
    </row>
    <row r="97" spans="11:19" x14ac:dyDescent="0.25">
      <c r="K97" s="402" t="s">
        <v>814</v>
      </c>
      <c r="L97" s="401" t="s">
        <v>817</v>
      </c>
      <c r="M97" s="12" t="str">
        <f t="shared" si="8"/>
        <v>Manufacturing - Extra High Bay (≥ 50')</v>
      </c>
      <c r="N97" s="12" t="str">
        <f t="shared" si="7"/>
        <v>S-Manufacturing - High Bay (≥ 25' &amp; &lt; 50')</v>
      </c>
      <c r="O97" s="398">
        <v>1.23</v>
      </c>
      <c r="P97" s="30">
        <v>4</v>
      </c>
      <c r="Q97" s="72" t="s">
        <v>69</v>
      </c>
      <c r="R97" s="70" t="s">
        <v>15</v>
      </c>
      <c r="S97" s="70" t="s">
        <v>304</v>
      </c>
    </row>
    <row r="98" spans="11:19" x14ac:dyDescent="0.25">
      <c r="K98" s="402" t="s">
        <v>814</v>
      </c>
      <c r="L98" s="401" t="s">
        <v>818</v>
      </c>
      <c r="M98" s="12" t="str">
        <f t="shared" si="8"/>
        <v>Manufacturing - High Bay (≥ 25' &amp; &lt; 50')</v>
      </c>
      <c r="N98" s="12" t="str">
        <f t="shared" si="7"/>
        <v>S-Manufacturing - Low Bay (&lt; 25')</v>
      </c>
      <c r="O98" s="398">
        <v>1.19</v>
      </c>
      <c r="P98" s="30">
        <v>4</v>
      </c>
      <c r="Q98" s="72" t="s">
        <v>69</v>
      </c>
      <c r="R98" s="70" t="s">
        <v>15</v>
      </c>
      <c r="S98" s="70" t="s">
        <v>304</v>
      </c>
    </row>
    <row r="99" spans="11:19" x14ac:dyDescent="0.25">
      <c r="K99" s="402" t="s">
        <v>814</v>
      </c>
      <c r="L99" s="401" t="s">
        <v>819</v>
      </c>
      <c r="M99" s="12" t="str">
        <f t="shared" si="8"/>
        <v>Manufacturing - Low Bay (&lt; 25')</v>
      </c>
      <c r="N99" s="12" t="str">
        <f t="shared" si="7"/>
        <v>S-Museum - General Exhibition</v>
      </c>
      <c r="O99" s="398">
        <v>1.05</v>
      </c>
      <c r="P99" s="30">
        <v>6</v>
      </c>
      <c r="Q99" s="72" t="s">
        <v>69</v>
      </c>
      <c r="R99" s="70" t="s">
        <v>15</v>
      </c>
      <c r="S99" s="70" t="s">
        <v>304</v>
      </c>
    </row>
    <row r="100" spans="11:19" x14ac:dyDescent="0.25">
      <c r="K100" s="402" t="s">
        <v>273</v>
      </c>
      <c r="L100" s="401" t="s">
        <v>820</v>
      </c>
      <c r="M100" s="12" t="str">
        <f t="shared" si="8"/>
        <v>Museum - General Exhibition</v>
      </c>
      <c r="N100" s="12" t="str">
        <f t="shared" si="7"/>
        <v>S-Museum - Restoration</v>
      </c>
      <c r="O100" s="398">
        <v>1.02</v>
      </c>
      <c r="P100" s="30">
        <v>6</v>
      </c>
      <c r="Q100" s="72" t="s">
        <v>69</v>
      </c>
      <c r="R100" s="70" t="s">
        <v>15</v>
      </c>
      <c r="S100" s="70" t="s">
        <v>304</v>
      </c>
    </row>
    <row r="101" spans="11:19" x14ac:dyDescent="0.25">
      <c r="K101" s="402" t="s">
        <v>273</v>
      </c>
      <c r="L101" s="401" t="s">
        <v>821</v>
      </c>
      <c r="M101" s="12" t="str">
        <f t="shared" si="8"/>
        <v>Museum - Restoration</v>
      </c>
      <c r="N101" s="12" t="str">
        <f t="shared" ref="N101:N120" si="9">"S-"&amp;M103</f>
        <v>S-Parking Garage - Garage Area</v>
      </c>
      <c r="O101" s="398">
        <v>0.19</v>
      </c>
      <c r="P101" s="32">
        <v>4</v>
      </c>
      <c r="Q101" s="72" t="s">
        <v>69</v>
      </c>
      <c r="R101" s="70" t="s">
        <v>15</v>
      </c>
      <c r="S101" t="s">
        <v>306</v>
      </c>
    </row>
    <row r="102" spans="11:19" x14ac:dyDescent="0.25">
      <c r="K102" s="402" t="s">
        <v>273</v>
      </c>
      <c r="L102" s="401" t="s">
        <v>388</v>
      </c>
      <c r="M102" s="12" t="str">
        <f t="shared" si="8"/>
        <v>Museum - Storage</v>
      </c>
      <c r="N102" s="12" t="str">
        <f t="shared" si="9"/>
        <v>S-Post Office - Sorting Area</v>
      </c>
      <c r="O102" s="398">
        <v>0.94</v>
      </c>
      <c r="P102" s="30">
        <v>4</v>
      </c>
      <c r="Q102" s="72" t="s">
        <v>69</v>
      </c>
      <c r="R102" s="70" t="s">
        <v>15</v>
      </c>
      <c r="S102" s="70" t="s">
        <v>304</v>
      </c>
    </row>
    <row r="103" spans="11:19" x14ac:dyDescent="0.25">
      <c r="K103" s="26" t="s">
        <v>274</v>
      </c>
      <c r="L103" s="401" t="s">
        <v>822</v>
      </c>
      <c r="M103" s="12" t="str">
        <f t="shared" si="8"/>
        <v>Parking Garage - Garage Area</v>
      </c>
      <c r="N103" s="12" t="str">
        <f t="shared" si="9"/>
        <v>S-Religious Buildings - Audience Seating</v>
      </c>
      <c r="O103" s="13">
        <v>1.53</v>
      </c>
      <c r="P103" s="31">
        <v>4</v>
      </c>
      <c r="Q103" s="72" t="s">
        <v>69</v>
      </c>
      <c r="R103" s="70" t="s">
        <v>15</v>
      </c>
      <c r="S103" s="70" t="s">
        <v>304</v>
      </c>
    </row>
    <row r="104" spans="11:19" x14ac:dyDescent="0.25">
      <c r="K104" s="26" t="s">
        <v>278</v>
      </c>
      <c r="L104" s="401" t="s">
        <v>823</v>
      </c>
      <c r="M104" s="12" t="str">
        <f t="shared" si="8"/>
        <v>Post Office - Sorting Area</v>
      </c>
      <c r="N104" s="12" t="str">
        <f t="shared" si="9"/>
        <v>S-Religious Buildings - Fellowship Hall</v>
      </c>
      <c r="O104" s="398">
        <v>0.64</v>
      </c>
      <c r="P104" s="30">
        <v>4</v>
      </c>
      <c r="Q104" s="72" t="s">
        <v>69</v>
      </c>
      <c r="R104" s="70" t="s">
        <v>15</v>
      </c>
      <c r="S104" s="70" t="s">
        <v>304</v>
      </c>
    </row>
    <row r="105" spans="11:19" x14ac:dyDescent="0.25">
      <c r="K105" s="405" t="s">
        <v>824</v>
      </c>
      <c r="L105" s="23" t="s">
        <v>774</v>
      </c>
      <c r="M105" s="12" t="str">
        <f t="shared" si="8"/>
        <v>Religious Buildings - Audience Seating</v>
      </c>
      <c r="N105" s="12" t="str">
        <f t="shared" si="9"/>
        <v>S-Religious Buildings - Worship Pulpit, Choir</v>
      </c>
      <c r="O105" s="398">
        <v>1.53</v>
      </c>
      <c r="P105" s="30">
        <v>4</v>
      </c>
      <c r="Q105" s="72" t="s">
        <v>69</v>
      </c>
      <c r="R105" s="70" t="s">
        <v>15</v>
      </c>
      <c r="S105" s="70" t="s">
        <v>304</v>
      </c>
    </row>
    <row r="106" spans="11:19" x14ac:dyDescent="0.25">
      <c r="K106" s="405" t="s">
        <v>824</v>
      </c>
      <c r="L106" s="401" t="s">
        <v>825</v>
      </c>
      <c r="M106" s="12" t="str">
        <f t="shared" si="8"/>
        <v>Religious Buildings - Fellowship Hall</v>
      </c>
      <c r="N106" s="12" t="str">
        <f t="shared" si="9"/>
        <v>S-Retail - Dressing/Fitting Room</v>
      </c>
      <c r="O106" s="398">
        <v>0.87</v>
      </c>
      <c r="P106" s="30">
        <v>8</v>
      </c>
      <c r="Q106" s="72" t="s">
        <v>69</v>
      </c>
      <c r="R106" s="70" t="s">
        <v>69</v>
      </c>
      <c r="S106" s="70" t="s">
        <v>304</v>
      </c>
    </row>
    <row r="107" spans="11:19" x14ac:dyDescent="0.25">
      <c r="K107" s="405" t="s">
        <v>824</v>
      </c>
      <c r="L107" s="401" t="s">
        <v>826</v>
      </c>
      <c r="M107" s="12" t="str">
        <f t="shared" si="8"/>
        <v>Religious Buildings - Worship Pulpit, Choir</v>
      </c>
      <c r="N107" s="12" t="str">
        <f t="shared" si="9"/>
        <v>S-Retail - Mall Concourse</v>
      </c>
      <c r="O107" s="398">
        <v>1.1000000000000001</v>
      </c>
      <c r="P107" s="30">
        <v>4</v>
      </c>
      <c r="Q107" s="72" t="s">
        <v>15</v>
      </c>
      <c r="R107" s="72" t="s">
        <v>15</v>
      </c>
      <c r="S107" s="70" t="s">
        <v>304</v>
      </c>
    </row>
    <row r="108" spans="11:19" x14ac:dyDescent="0.25">
      <c r="K108" s="402" t="s">
        <v>36</v>
      </c>
      <c r="L108" s="401" t="s">
        <v>827</v>
      </c>
      <c r="M108" s="12" t="str">
        <f t="shared" si="8"/>
        <v>Retail - Dressing/Fitting Room</v>
      </c>
      <c r="N108" s="12" t="str">
        <f t="shared" si="9"/>
        <v>S-Retail - Sales Area</v>
      </c>
      <c r="O108" s="398">
        <v>1.68</v>
      </c>
      <c r="P108" s="30">
        <v>6</v>
      </c>
      <c r="Q108" s="72" t="s">
        <v>69</v>
      </c>
      <c r="R108" s="72" t="s">
        <v>15</v>
      </c>
      <c r="S108" t="s">
        <v>463</v>
      </c>
    </row>
    <row r="109" spans="11:19" x14ac:dyDescent="0.25">
      <c r="K109" s="402" t="s">
        <v>36</v>
      </c>
      <c r="L109" s="401" t="s">
        <v>770</v>
      </c>
      <c r="M109" s="12" t="str">
        <f t="shared" si="8"/>
        <v>Retail - Mall Concourse</v>
      </c>
      <c r="N109" s="12" t="str">
        <f t="shared" si="9"/>
        <v>S-Sports Arena - Audience Seating</v>
      </c>
      <c r="O109" s="398">
        <v>0.43</v>
      </c>
      <c r="P109" s="30">
        <v>4</v>
      </c>
      <c r="Q109" s="72" t="s">
        <v>69</v>
      </c>
      <c r="R109" s="72" t="s">
        <v>15</v>
      </c>
      <c r="S109" s="70" t="s">
        <v>304</v>
      </c>
    </row>
    <row r="110" spans="11:19" x14ac:dyDescent="0.25">
      <c r="K110" s="402" t="s">
        <v>36</v>
      </c>
      <c r="L110" s="401" t="s">
        <v>47</v>
      </c>
      <c r="M110" s="12" t="str">
        <f t="shared" si="8"/>
        <v>Retail - Sales Area</v>
      </c>
      <c r="N110" s="12" t="str">
        <f t="shared" si="9"/>
        <v>S-Sports Arena - Court Sports Area - Class 1</v>
      </c>
      <c r="O110" s="398">
        <v>3.01</v>
      </c>
      <c r="P110" s="32">
        <v>4</v>
      </c>
      <c r="Q110" s="72" t="s">
        <v>69</v>
      </c>
      <c r="R110" s="72" t="s">
        <v>15</v>
      </c>
      <c r="S110" s="70" t="s">
        <v>304</v>
      </c>
    </row>
    <row r="111" spans="11:19" x14ac:dyDescent="0.25">
      <c r="K111" s="402" t="s">
        <v>281</v>
      </c>
      <c r="L111" s="401" t="s">
        <v>774</v>
      </c>
      <c r="M111" s="12" t="str">
        <f t="shared" si="8"/>
        <v>Sports Arena - Audience Seating</v>
      </c>
      <c r="N111" s="12" t="str">
        <f t="shared" si="9"/>
        <v>S-Sports Arena - Court Sports Area - Class 2</v>
      </c>
      <c r="O111" s="398">
        <v>1.92</v>
      </c>
      <c r="P111" s="32">
        <v>4</v>
      </c>
      <c r="Q111" s="72" t="s">
        <v>69</v>
      </c>
      <c r="R111" s="72" t="s">
        <v>15</v>
      </c>
      <c r="S111" s="70" t="s">
        <v>304</v>
      </c>
    </row>
    <row r="112" spans="11:19" x14ac:dyDescent="0.25">
      <c r="K112" s="402" t="s">
        <v>281</v>
      </c>
      <c r="L112" s="401" t="s">
        <v>828</v>
      </c>
      <c r="M112" s="12" t="str">
        <f t="shared" si="8"/>
        <v>Sports Arena - Court Sports Area - Class 1</v>
      </c>
      <c r="N112" s="12" t="str">
        <f t="shared" si="9"/>
        <v>S-Sports Arena - Court Sports Area - Class 3</v>
      </c>
      <c r="O112" s="398">
        <v>1.2</v>
      </c>
      <c r="P112" s="32">
        <v>4</v>
      </c>
      <c r="Q112" s="72" t="s">
        <v>69</v>
      </c>
      <c r="R112" s="72" t="s">
        <v>15</v>
      </c>
      <c r="S112" s="70" t="s">
        <v>304</v>
      </c>
    </row>
    <row r="113" spans="11:19" x14ac:dyDescent="0.25">
      <c r="K113" s="402" t="s">
        <v>281</v>
      </c>
      <c r="L113" s="401" t="s">
        <v>829</v>
      </c>
      <c r="M113" s="12" t="str">
        <f t="shared" si="8"/>
        <v>Sports Arena - Court Sports Area - Class 2</v>
      </c>
      <c r="N113" s="12" t="str">
        <f t="shared" si="9"/>
        <v>S-Sports Arena - Court Sports Area - Class 4</v>
      </c>
      <c r="O113" s="398">
        <v>0.72</v>
      </c>
      <c r="P113" s="30">
        <v>4</v>
      </c>
      <c r="Q113" s="72" t="s">
        <v>69</v>
      </c>
      <c r="R113" s="72" t="s">
        <v>15</v>
      </c>
      <c r="S113" s="70" t="s">
        <v>304</v>
      </c>
    </row>
    <row r="114" spans="11:19" x14ac:dyDescent="0.25">
      <c r="K114" s="402" t="s">
        <v>281</v>
      </c>
      <c r="L114" s="401" t="s">
        <v>830</v>
      </c>
      <c r="M114" s="12" t="str">
        <f t="shared" si="8"/>
        <v>Sports Arena - Court Sports Area - Class 3</v>
      </c>
      <c r="N114" s="12" t="str">
        <f t="shared" si="9"/>
        <v>S-Sports Arena - Ring Sports Area</v>
      </c>
      <c r="O114" s="398">
        <v>2.68</v>
      </c>
      <c r="P114" s="30">
        <v>4</v>
      </c>
      <c r="Q114" s="72" t="s">
        <v>69</v>
      </c>
      <c r="R114" s="72" t="s">
        <v>15</v>
      </c>
      <c r="S114" s="70" t="s">
        <v>304</v>
      </c>
    </row>
    <row r="115" spans="11:19" x14ac:dyDescent="0.25">
      <c r="K115" s="402" t="s">
        <v>281</v>
      </c>
      <c r="L115" s="401" t="s">
        <v>831</v>
      </c>
      <c r="M115" s="12" t="str">
        <f t="shared" si="8"/>
        <v>Sports Arena - Court Sports Area - Class 4</v>
      </c>
      <c r="N115" s="12" t="str">
        <f t="shared" si="9"/>
        <v>S-Transportation - Air/Train/Bus Baggage Area</v>
      </c>
      <c r="O115" s="398">
        <v>0.76</v>
      </c>
      <c r="P115" s="32">
        <v>4</v>
      </c>
      <c r="Q115" s="72" t="s">
        <v>69</v>
      </c>
      <c r="R115" s="72" t="s">
        <v>15</v>
      </c>
      <c r="S115" s="70" t="s">
        <v>304</v>
      </c>
    </row>
    <row r="116" spans="11:19" x14ac:dyDescent="0.25">
      <c r="K116" s="402" t="s">
        <v>281</v>
      </c>
      <c r="L116" s="401" t="s">
        <v>832</v>
      </c>
      <c r="M116" s="12" t="str">
        <f t="shared" si="8"/>
        <v>Sports Arena - Ring Sports Area</v>
      </c>
      <c r="N116" s="12" t="str">
        <f t="shared" si="9"/>
        <v>S-Transportation - Airport Concourse</v>
      </c>
      <c r="O116" s="398">
        <v>0.36</v>
      </c>
      <c r="P116" s="32">
        <v>4</v>
      </c>
      <c r="Q116" s="72" t="s">
        <v>15</v>
      </c>
      <c r="R116" s="72" t="s">
        <v>15</v>
      </c>
      <c r="S116" s="70" t="s">
        <v>304</v>
      </c>
    </row>
    <row r="117" spans="11:19" x14ac:dyDescent="0.25">
      <c r="K117" s="402" t="s">
        <v>284</v>
      </c>
      <c r="L117" s="401" t="s">
        <v>833</v>
      </c>
      <c r="M117" s="12" t="str">
        <f t="shared" si="8"/>
        <v>Transportation - Air/Train/Bus Baggage Area</v>
      </c>
      <c r="N117" s="12" t="str">
        <f t="shared" si="9"/>
        <v>S-Transportation - Audience Seating</v>
      </c>
      <c r="O117" s="13">
        <v>0.54</v>
      </c>
      <c r="P117" s="31">
        <v>4</v>
      </c>
      <c r="Q117" s="72" t="s">
        <v>69</v>
      </c>
      <c r="R117" s="72" t="s">
        <v>15</v>
      </c>
      <c r="S117" s="70" t="s">
        <v>304</v>
      </c>
    </row>
    <row r="118" spans="11:19" x14ac:dyDescent="0.25">
      <c r="K118" s="402" t="s">
        <v>284</v>
      </c>
      <c r="L118" s="401" t="s">
        <v>834</v>
      </c>
      <c r="M118" s="12" t="str">
        <f>K118&amp;" - "&amp;L118</f>
        <v>Transportation - Airport Concourse</v>
      </c>
      <c r="N118" s="12" t="str">
        <f t="shared" si="9"/>
        <v>S-Transportation - Terminal - Ticket Counter</v>
      </c>
      <c r="O118" s="398">
        <v>1.08</v>
      </c>
      <c r="P118" s="32">
        <v>4</v>
      </c>
      <c r="Q118" s="72" t="s">
        <v>69</v>
      </c>
      <c r="R118" s="72" t="s">
        <v>15</v>
      </c>
      <c r="S118" s="70" t="s">
        <v>304</v>
      </c>
    </row>
    <row r="119" spans="11:19" x14ac:dyDescent="0.25">
      <c r="K119" s="402" t="s">
        <v>284</v>
      </c>
      <c r="L119" s="23" t="s">
        <v>774</v>
      </c>
      <c r="M119" s="12" t="str">
        <f>K119&amp;" - "&amp;L119</f>
        <v>Transportation - Audience Seating</v>
      </c>
      <c r="N119" s="12" t="str">
        <f t="shared" si="9"/>
        <v>S-Warehouse - Fine Material Storage</v>
      </c>
      <c r="O119" s="398">
        <v>0.95</v>
      </c>
      <c r="P119" s="32">
        <v>6</v>
      </c>
      <c r="Q119" s="72" t="s">
        <v>69</v>
      </c>
      <c r="R119" s="72" t="s">
        <v>15</v>
      </c>
      <c r="S119" s="70" t="s">
        <v>304</v>
      </c>
    </row>
    <row r="120" spans="11:19" ht="13" thickBot="1" x14ac:dyDescent="0.3">
      <c r="K120" s="402" t="s">
        <v>284</v>
      </c>
      <c r="L120" s="401" t="s">
        <v>835</v>
      </c>
      <c r="M120" s="12" t="str">
        <f>K120&amp;" - "&amp;L120</f>
        <v>Transportation - Terminal - Ticket Counter</v>
      </c>
      <c r="N120" s="12" t="str">
        <f t="shared" si="9"/>
        <v>S-Warehouse - Medium/Bulky Material Storage</v>
      </c>
      <c r="O120" s="28">
        <v>0.57999999999999996</v>
      </c>
      <c r="P120" s="33">
        <v>4</v>
      </c>
      <c r="Q120" s="72" t="s">
        <v>69</v>
      </c>
      <c r="R120" s="72" t="s">
        <v>15</v>
      </c>
      <c r="S120" s="70" t="s">
        <v>304</v>
      </c>
    </row>
    <row r="121" spans="11:19" ht="13" thickTop="1" x14ac:dyDescent="0.25">
      <c r="K121" s="402" t="s">
        <v>285</v>
      </c>
      <c r="L121" s="401" t="s">
        <v>836</v>
      </c>
      <c r="M121" s="12" t="str">
        <f>K121&amp;" - "&amp;L121</f>
        <v>Warehouse - Fine Material Storage</v>
      </c>
    </row>
    <row r="122" spans="11:19" ht="13" thickBot="1" x14ac:dyDescent="0.3">
      <c r="K122" s="402" t="s">
        <v>285</v>
      </c>
      <c r="L122" s="24" t="s">
        <v>837</v>
      </c>
      <c r="M122" s="12" t="str">
        <f>K122&amp;" - "&amp;L122</f>
        <v>Warehouse - Medium/Bulky Material Storage</v>
      </c>
    </row>
    <row r="123" spans="11:19" ht="13" thickTop="1" x14ac:dyDescent="0.25">
      <c r="K123" s="81"/>
      <c r="L123" s="81"/>
    </row>
  </sheetData>
  <sheetProtection sheet="1" objects="1" scenarios="1"/>
  <mergeCells count="10">
    <mergeCell ref="X35:AE35"/>
    <mergeCell ref="X36:AE36"/>
    <mergeCell ref="X33:AE34"/>
    <mergeCell ref="W33:W34"/>
    <mergeCell ref="W3:AE3"/>
    <mergeCell ref="W16:AE16"/>
    <mergeCell ref="W28:X28"/>
    <mergeCell ref="X32:AE32"/>
    <mergeCell ref="W30:W31"/>
    <mergeCell ref="X30:AE31"/>
  </mergeCells>
  <phoneticPr fontId="0" type="noConversion"/>
  <pageMargins left="0.75" right="0.75" top="1" bottom="1" header="0.5" footer="0.5"/>
  <pageSetup orientation="portrait" horizontalDpi="0"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4663876D-7C41-4370-B9D6-5800066B39C7}">
  <ds:schemaRefs>
    <ds:schemaRef ds:uri="http://schemas.microsoft.com/PowerBIAddIn"/>
  </ds:schemaRefs>
</ds:datastoreItem>
</file>

<file path=customXml/itemProps2.xml><?xml version="1.0" encoding="utf-8"?>
<ds:datastoreItem xmlns:ds="http://schemas.openxmlformats.org/officeDocument/2006/customXml" ds:itemID="{490F108F-919F-496F-9A21-E6BFC287CC6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253</vt:i4>
      </vt:variant>
    </vt:vector>
  </HeadingPairs>
  <TitlesOfParts>
    <vt:vector size="278" baseType="lpstr">
      <vt:lpstr>Main Compliance Page</vt:lpstr>
      <vt:lpstr>SpxSp Compliance Details</vt:lpstr>
      <vt:lpstr>Exterior Compliance Details</vt:lpstr>
      <vt:lpstr>Luminaire Schedule</vt:lpstr>
      <vt:lpstr>Int Room Schedule</vt:lpstr>
      <vt:lpstr>Building Area Method</vt:lpstr>
      <vt:lpstr>SpxSp (step-a)</vt:lpstr>
      <vt:lpstr>RCR Calculator</vt:lpstr>
      <vt:lpstr>SpxSp (step-b)</vt:lpstr>
      <vt:lpstr>SpxSp (step-c)</vt:lpstr>
      <vt:lpstr>SpxSp (step-d)</vt:lpstr>
      <vt:lpstr>Ext Area Schedule</vt:lpstr>
      <vt:lpstr>Ext Tradable</vt:lpstr>
      <vt:lpstr>ExteriorTradableData</vt:lpstr>
      <vt:lpstr>Ext Nontradable</vt:lpstr>
      <vt:lpstr>ExteriorNontradableData</vt:lpstr>
      <vt:lpstr>9.3 Int Simplified</vt:lpstr>
      <vt:lpstr>9.3 Ext Simplified</vt:lpstr>
      <vt:lpstr>9.4.3 Tables</vt:lpstr>
      <vt:lpstr>9.5 Table</vt:lpstr>
      <vt:lpstr>9.6 Table</vt:lpstr>
      <vt:lpstr>9.6.2c</vt:lpstr>
      <vt:lpstr>9.6.3 Table</vt:lpstr>
      <vt:lpstr>Simplified Tables</vt:lpstr>
      <vt:lpstr>LISTS</vt:lpstr>
      <vt:lpstr>'9.3 Ext Simplified'!__2010_Space_List</vt:lpstr>
      <vt:lpstr>'9.3 Int Simplified'!__2010_Space_List</vt:lpstr>
      <vt:lpstr>'Exterior Compliance Details'!__2010_Space_List</vt:lpstr>
      <vt:lpstr>__2010_Space_List</vt:lpstr>
      <vt:lpstr>'9.3 Ext Simplified'!__2016_Space_List</vt:lpstr>
      <vt:lpstr>'9.3 Int Simplified'!__2016_Space_List</vt:lpstr>
      <vt:lpstr>'Exterior Compliance Details'!__2016_Space_List</vt:lpstr>
      <vt:lpstr>__2016_Space_List</vt:lpstr>
      <vt:lpstr>'9.3 Ext Simplified'!__2019_Space_List</vt:lpstr>
      <vt:lpstr>'9.3 Int Simplified'!__2019_Space_List</vt:lpstr>
      <vt:lpstr>'Exterior Compliance Details'!__2019_Space_List</vt:lpstr>
      <vt:lpstr>__2019_Space_List</vt:lpstr>
      <vt:lpstr>__Luminaires_Top</vt:lpstr>
      <vt:lpstr>'9.3 Ext Simplified'!_1_BAM_Top</vt:lpstr>
      <vt:lpstr>'9.3 Int Simplified'!_1_BAM_Top</vt:lpstr>
      <vt:lpstr>_1_BAM_Top</vt:lpstr>
      <vt:lpstr>'Ext Nontradable'!_1_Exterior_Top_NonTradable</vt:lpstr>
      <vt:lpstr>'Ext Tradable'!_1_Exterior_Tradable_Top</vt:lpstr>
      <vt:lpstr>_1_Int_Room_Top</vt:lpstr>
      <vt:lpstr>_1_Main_Compliance_Top</vt:lpstr>
      <vt:lpstr>_1_Space_a_Top</vt:lpstr>
      <vt:lpstr>_1_Space_b_Top</vt:lpstr>
      <vt:lpstr>_1_Space_c_Top</vt:lpstr>
      <vt:lpstr>_1_Space_d_Top</vt:lpstr>
      <vt:lpstr>_2010_Space_by_SpaceTypes</vt:lpstr>
      <vt:lpstr>'9.6.3 Table'!_2010_Space_List</vt:lpstr>
      <vt:lpstr>_2016_Space_by_SpaceTypes</vt:lpstr>
      <vt:lpstr>'9.6.3 Table'!_2016_Space_List</vt:lpstr>
      <vt:lpstr>'9.6.3 Table'!_2019_Space_List</vt:lpstr>
      <vt:lpstr>'9.3 Ext Simplified'!_9.5_Building_Area_Method</vt:lpstr>
      <vt:lpstr>'9.3 Int Simplified'!_9.5_Building_Area_Method</vt:lpstr>
      <vt:lpstr>'Building Area Method'!_9.5_Building_Area_Method</vt:lpstr>
      <vt:lpstr>_9.6.1_Control_Names</vt:lpstr>
      <vt:lpstr>_9_5_BuildingTypes</vt:lpstr>
      <vt:lpstr>_9_5_Table_2010</vt:lpstr>
      <vt:lpstr>_9_5_Table_2016</vt:lpstr>
      <vt:lpstr>_9_5_Table_Combined</vt:lpstr>
      <vt:lpstr>'9.6.3 Table'!_9_6_2c_Table</vt:lpstr>
      <vt:lpstr>_9_6_2c_Table</vt:lpstr>
      <vt:lpstr>_9_6_BuildingTypes</vt:lpstr>
      <vt:lpstr>_9_6_Table_2010</vt:lpstr>
      <vt:lpstr>_9_6_Table_2016</vt:lpstr>
      <vt:lpstr>_BAM_Allowance</vt:lpstr>
      <vt:lpstr>_BAM_Area_List</vt:lpstr>
      <vt:lpstr>_BAM_Areas</vt:lpstr>
      <vt:lpstr>_BAM_Compliant</vt:lpstr>
      <vt:lpstr>'9.3 Ext Simplified'!_BAM_Control_1</vt:lpstr>
      <vt:lpstr>'9.3 Int Simplified'!_BAM_Control_1</vt:lpstr>
      <vt:lpstr>_BAM_Control_1</vt:lpstr>
      <vt:lpstr>_BAM_Control_10</vt:lpstr>
      <vt:lpstr>'9.3 Ext Simplified'!_BAM_Control_2</vt:lpstr>
      <vt:lpstr>'9.3 Int Simplified'!_BAM_Control_2</vt:lpstr>
      <vt:lpstr>_BAM_Control_2</vt:lpstr>
      <vt:lpstr>'9.3 Ext Simplified'!_BAM_Control_3</vt:lpstr>
      <vt:lpstr>'9.3 Int Simplified'!_BAM_Control_3</vt:lpstr>
      <vt:lpstr>_BAM_Control_3</vt:lpstr>
      <vt:lpstr>'9.3 Int Simplified'!_BAM_Control_4</vt:lpstr>
      <vt:lpstr>_BAM_Control_4</vt:lpstr>
      <vt:lpstr>'9.3 Int Simplified'!_BAM_Control_5</vt:lpstr>
      <vt:lpstr>_BAM_Control_5</vt:lpstr>
      <vt:lpstr>'9.3 Int Simplified'!_BAM_Control_6</vt:lpstr>
      <vt:lpstr>_BAM_Control_6</vt:lpstr>
      <vt:lpstr>'9.3 Int Simplified'!_BAM_Control_7</vt:lpstr>
      <vt:lpstr>_BAM_Control_7</vt:lpstr>
      <vt:lpstr>'9.3 Int Simplified'!_BAM_Control_8</vt:lpstr>
      <vt:lpstr>_BAM_Control_8</vt:lpstr>
      <vt:lpstr>_BAM_Control_9</vt:lpstr>
      <vt:lpstr>_BAM_Control_Types</vt:lpstr>
      <vt:lpstr>'9.3 Ext Simplified'!_BAM_Controls_Compliant</vt:lpstr>
      <vt:lpstr>'9.3 Int Simplified'!_BAM_Controls_Compliant</vt:lpstr>
      <vt:lpstr>_BAM_Controls_Compliant</vt:lpstr>
      <vt:lpstr>'9.3 Ext Simplified'!_BAM_Installed_Watts</vt:lpstr>
      <vt:lpstr>'9.3 Int Simplified'!_BAM_Installed_Watts</vt:lpstr>
      <vt:lpstr>_BAM_Installed_Watts</vt:lpstr>
      <vt:lpstr>_BAM_or_Space</vt:lpstr>
      <vt:lpstr>_BAM_sqft</vt:lpstr>
      <vt:lpstr>_CombinedSpaceAreaList</vt:lpstr>
      <vt:lpstr>_CombinedSpaceAreaTable</vt:lpstr>
      <vt:lpstr>_ControlFactor_SpaceLookup</vt:lpstr>
      <vt:lpstr>'9.6.3 Table'!_ControlFactor_Spaces</vt:lpstr>
      <vt:lpstr>_ControlFactor_Spaces</vt:lpstr>
      <vt:lpstr>'9.6.3 Table'!_ControlFactors_9_6_3</vt:lpstr>
      <vt:lpstr>_ControlFactors_9_6_3</vt:lpstr>
      <vt:lpstr>'SpxSp (step-a)'!_Controls_Decorative_AutoShutoff</vt:lpstr>
      <vt:lpstr>_ControlTypes</vt:lpstr>
      <vt:lpstr>'SpxSp (step-a)'!_Decorative</vt:lpstr>
      <vt:lpstr>'Ext Area Schedule'!_Exterior_Areas_NonTradable1</vt:lpstr>
      <vt:lpstr>'Ext Area Schedule'!_Exterior_Areas_Tradable</vt:lpstr>
      <vt:lpstr>_Exterior_Base_Allowance</vt:lpstr>
      <vt:lpstr>_Exterior_Combined_List</vt:lpstr>
      <vt:lpstr>_Exterior_Combined_Table</vt:lpstr>
      <vt:lpstr>_Exterior_LZ</vt:lpstr>
      <vt:lpstr>_Exterior_NonTradable_List</vt:lpstr>
      <vt:lpstr>_Exterior_NonTradable_Watts_Allowed</vt:lpstr>
      <vt:lpstr>'Ext Nontradable'!_Exterior_Tradable</vt:lpstr>
      <vt:lpstr>_Exterior_Tradable</vt:lpstr>
      <vt:lpstr>_Exterior_Tradable_Compliant</vt:lpstr>
      <vt:lpstr>_Exterior_Tradable_List</vt:lpstr>
      <vt:lpstr>_Exterior_Tradable_Watts</vt:lpstr>
      <vt:lpstr>_Exterior_Tradable_Watts_Allowed</vt:lpstr>
      <vt:lpstr>_ExteriorLightingZones</vt:lpstr>
      <vt:lpstr>_ExteriorLightingZoneTable</vt:lpstr>
      <vt:lpstr>'Ext Area Schedule'!_ExteriorSpaces</vt:lpstr>
      <vt:lpstr>_FixtureDropDownList</vt:lpstr>
      <vt:lpstr>'Simplified Tables'!_Hlk503783602</vt:lpstr>
      <vt:lpstr>'SpxSp (step-a)'!_Installed_Lighting</vt:lpstr>
      <vt:lpstr>'SpxSp (step-a)'!_InstalledDecorative</vt:lpstr>
      <vt:lpstr>'SpxSp (step-a)'!_InstalledGeneralLighting</vt:lpstr>
      <vt:lpstr>'SpxSp (step-a)'!_InstalledRetail</vt:lpstr>
      <vt:lpstr>'Ext Nontradable'!_InstalledTradableAreas</vt:lpstr>
      <vt:lpstr>'Ext Tradable'!_InstalledTradableAreas</vt:lpstr>
      <vt:lpstr>_Interior_Final_Table</vt:lpstr>
      <vt:lpstr>_Interior_Table1</vt:lpstr>
      <vt:lpstr>'SpxSp (step-a)'!_InteriorMandatory</vt:lpstr>
      <vt:lpstr>_InteriorTable</vt:lpstr>
      <vt:lpstr>'SpxSp (step-a)'!_LightingControls</vt:lpstr>
      <vt:lpstr>_LightingZone</vt:lpstr>
      <vt:lpstr>_LS1</vt:lpstr>
      <vt:lpstr>_LS2</vt:lpstr>
      <vt:lpstr>_LS3</vt:lpstr>
      <vt:lpstr>_LS4</vt:lpstr>
      <vt:lpstr>_Luminaire_Exit_Compliant</vt:lpstr>
      <vt:lpstr>_Luminaire_ExitSign</vt:lpstr>
      <vt:lpstr>_Luminaire_List</vt:lpstr>
      <vt:lpstr>_Luminaire_Schedule</vt:lpstr>
      <vt:lpstr>_Luminaire_Schedule2</vt:lpstr>
      <vt:lpstr>_Luminaires</vt:lpstr>
      <vt:lpstr>_LuminaireSchedule</vt:lpstr>
      <vt:lpstr>_LZs2</vt:lpstr>
      <vt:lpstr>'Ext Area Schedule'!_NonTradableTable</vt:lpstr>
      <vt:lpstr>_NonTradableTableAllowed</vt:lpstr>
      <vt:lpstr>'Ext Area Schedule'!_NonTradableTableFinal</vt:lpstr>
      <vt:lpstr>'SpxSp (step-a)'!_Retail</vt:lpstr>
      <vt:lpstr>'SpxSp (step-a)'!_RetailControls</vt:lpstr>
      <vt:lpstr>_Room_List</vt:lpstr>
      <vt:lpstr>_Room_Space_by_Space</vt:lpstr>
      <vt:lpstr>_Space_a_Actual_RCR</vt:lpstr>
      <vt:lpstr>_Space_by_Space_9_6_2_Additional_Interior_Lighting_Power</vt:lpstr>
      <vt:lpstr>_Space_by_Space_9_6_2a_Installed</vt:lpstr>
      <vt:lpstr>_Space_by_Space_9_6_2b_Installed</vt:lpstr>
      <vt:lpstr>_Space_by_Space_Allowed_Base_Wattage</vt:lpstr>
      <vt:lpstr>_Space_by_Space_AllowedBase_wattage</vt:lpstr>
      <vt:lpstr>_Space_by_Space_Control_1</vt:lpstr>
      <vt:lpstr>_Space_by_Space_Control_10</vt:lpstr>
      <vt:lpstr>'SpxSp (step-a)'!_Space_by_Space_Control_2</vt:lpstr>
      <vt:lpstr>_Space_by_Space_Control_2</vt:lpstr>
      <vt:lpstr>'SpxSp (step-a)'!_Space_by_Space_Control_3</vt:lpstr>
      <vt:lpstr>_Space_by_Space_Control_3</vt:lpstr>
      <vt:lpstr>'SpxSp (step-a)'!_Space_by_Space_Control_4</vt:lpstr>
      <vt:lpstr>_Space_by_Space_Control_4</vt:lpstr>
      <vt:lpstr>_Space_by_Space_Control_5</vt:lpstr>
      <vt:lpstr>_Space_by_Space_Control_6</vt:lpstr>
      <vt:lpstr>_Space_by_Space_Control_7</vt:lpstr>
      <vt:lpstr>_Space_by_Space_Control_8</vt:lpstr>
      <vt:lpstr>_Space_by_Space_Control_9</vt:lpstr>
      <vt:lpstr>_Space_by_Space_ControlFactor_Wattage</vt:lpstr>
      <vt:lpstr>_Space_by_Space_Controls_Compliant</vt:lpstr>
      <vt:lpstr>_Space_by_Space_Decorative_Step_a</vt:lpstr>
      <vt:lpstr>_Space_by_Space_Decorative_Wattage_Compliant</vt:lpstr>
      <vt:lpstr>_Space_by_Space_Installed_Decorative_Wattage</vt:lpstr>
      <vt:lpstr>_Space_by_Space_Installed_Retail_Wattage</vt:lpstr>
      <vt:lpstr>_Space_by_Space_Retail_Step_a</vt:lpstr>
      <vt:lpstr>_Space_by_Space_RetailAreas</vt:lpstr>
      <vt:lpstr>'9.3 Ext Simplified'!_Space_by_Space_Space_Types</vt:lpstr>
      <vt:lpstr>'9.3 Int Simplified'!_Space_by_Space_Space_Types</vt:lpstr>
      <vt:lpstr>'9.6.3 Table'!_Space_by_Space_Space_Types</vt:lpstr>
      <vt:lpstr>'Ext Nontradable'!_Space_by_Space_Space_Types</vt:lpstr>
      <vt:lpstr>'Exterior Compliance Details'!_Space_by_Space_Space_Types</vt:lpstr>
      <vt:lpstr>ExteriorNontradableData!_Space_by_Space_Space_Types</vt:lpstr>
      <vt:lpstr>ExteriorTradableData!_Space_by_Space_Space_Types</vt:lpstr>
      <vt:lpstr>'SpxSp (step-b)'!_Space_by_Space_Space_Types</vt:lpstr>
      <vt:lpstr>_Space_by_Space_Space_Types</vt:lpstr>
      <vt:lpstr>_Space_by_Space_sqft</vt:lpstr>
      <vt:lpstr>'9.3 Ext Simplified'!_Space_by_Space_Types</vt:lpstr>
      <vt:lpstr>'9.3 Int Simplified'!_Space_by_Space_Types</vt:lpstr>
      <vt:lpstr>'9.6.3 Table'!_Space_by_Space_Types</vt:lpstr>
      <vt:lpstr>'Ext Nontradable'!_Space_by_Space_Types</vt:lpstr>
      <vt:lpstr>'Exterior Compliance Details'!_Space_by_Space_Types</vt:lpstr>
      <vt:lpstr>ExteriorNontradableData!_Space_by_Space_Types</vt:lpstr>
      <vt:lpstr>ExteriorTradableData!_Space_by_Space_Types</vt:lpstr>
      <vt:lpstr>'SpxSp (step-b)'!_Space_by_Space_Types</vt:lpstr>
      <vt:lpstr>_Space_by_Space_Types</vt:lpstr>
      <vt:lpstr>_Space_by_Space_Wattage_Compliant</vt:lpstr>
      <vt:lpstr>_Space_Compliant</vt:lpstr>
      <vt:lpstr>_Space_Control1</vt:lpstr>
      <vt:lpstr>_Space_Controls</vt:lpstr>
      <vt:lpstr>_Space_Decorative</vt:lpstr>
      <vt:lpstr>_Space_Decorative_Controls_Compliant</vt:lpstr>
      <vt:lpstr>_Space_List</vt:lpstr>
      <vt:lpstr>_Space_Retail</vt:lpstr>
      <vt:lpstr>_Space_Retail_Controls_Compliant</vt:lpstr>
      <vt:lpstr>_Space_Sqft</vt:lpstr>
      <vt:lpstr>_Space_X_Space_List</vt:lpstr>
      <vt:lpstr>'SpxSp (step-a)'!_SpaceBySpaceMethod</vt:lpstr>
      <vt:lpstr>_SpaceDefinition</vt:lpstr>
      <vt:lpstr>_SpaceDefinition2</vt:lpstr>
      <vt:lpstr>'SpxSp (step-a)'!_SpaceID</vt:lpstr>
      <vt:lpstr>_SpaceList1</vt:lpstr>
      <vt:lpstr>_Step1_ProjectName</vt:lpstr>
      <vt:lpstr>_Step2_AlterationsYesNo</vt:lpstr>
      <vt:lpstr>_Track</vt:lpstr>
      <vt:lpstr>_Track_Table</vt:lpstr>
      <vt:lpstr>'Ext Area Schedule'!_TradableTable</vt:lpstr>
      <vt:lpstr>_TradableTableAllowed</vt:lpstr>
      <vt:lpstr>'SpxSp (step-a)'!_UserSpaces</vt:lpstr>
      <vt:lpstr>_Year_Space_List</vt:lpstr>
      <vt:lpstr>_YesNoExemptNA</vt:lpstr>
      <vt:lpstr>BuildingType</vt:lpstr>
      <vt:lpstr>CMs</vt:lpstr>
      <vt:lpstr>ComCodes</vt:lpstr>
      <vt:lpstr>Compliance_Space_by_Space</vt:lpstr>
      <vt:lpstr>Compliance_Version</vt:lpstr>
      <vt:lpstr>Compliance_Version_Choice</vt:lpstr>
      <vt:lpstr>Compliance_Version_Year</vt:lpstr>
      <vt:lpstr>CSTs</vt:lpstr>
      <vt:lpstr>Ext_Nontradable_Areas_2010</vt:lpstr>
      <vt:lpstr>Ext_Nontradable_Areas_2016</vt:lpstr>
      <vt:lpstr>Ext_Nontradable_Areas_2019</vt:lpstr>
      <vt:lpstr>Ext_Tradable_Areas_2010</vt:lpstr>
      <vt:lpstr>Ext_Tradable_Areas_2016</vt:lpstr>
      <vt:lpstr>Ext_Tradable_Areas_2019</vt:lpstr>
      <vt:lpstr>'Ext Nontradable'!Exterior_Tradable_Installed</vt:lpstr>
      <vt:lpstr>Exterior_Tradable_Installed</vt:lpstr>
      <vt:lpstr>FQUnits</vt:lpstr>
      <vt:lpstr>LZs</vt:lpstr>
      <vt:lpstr>nontradable</vt:lpstr>
      <vt:lpstr>Nontradableunits</vt:lpstr>
      <vt:lpstr>'9.3 Ext Simplified'!Print_Area</vt:lpstr>
      <vt:lpstr>'9.3 Int Simplified'!Print_Area</vt:lpstr>
      <vt:lpstr>'Building Area Method'!Print_Area</vt:lpstr>
      <vt:lpstr>'Ext Area Schedule'!Print_Area</vt:lpstr>
      <vt:lpstr>'Ext Nontradable'!Print_Area</vt:lpstr>
      <vt:lpstr>'Ext Tradable'!Print_Area</vt:lpstr>
      <vt:lpstr>'Int Room Schedule'!Print_Area</vt:lpstr>
      <vt:lpstr>'Luminaire Schedule'!Print_Area</vt:lpstr>
      <vt:lpstr>'Main Compliance Page'!Print_Area</vt:lpstr>
      <vt:lpstr>RetailType</vt:lpstr>
      <vt:lpstr>SBuildingType</vt:lpstr>
      <vt:lpstr>SourceType</vt:lpstr>
      <vt:lpstr>SSpaceType</vt:lpstr>
      <vt:lpstr>SSpaceType2</vt:lpstr>
      <vt:lpstr>SSpaceType3</vt:lpstr>
      <vt:lpstr>'9.3 Ext Simplified'!STEP2</vt:lpstr>
      <vt:lpstr>'9.3 Int Simplified'!STEP2</vt:lpstr>
      <vt:lpstr>'Building Area Method'!STEP2</vt:lpstr>
      <vt:lpstr>'SpxSp (step-a)'!STEP2B</vt:lpstr>
      <vt:lpstr>'SpxSp (step-a)'!STEP4A</vt:lpstr>
      <vt:lpstr>'Ext Nontradable'!STEP4B</vt:lpstr>
      <vt:lpstr>'Ext Tradable'!STEP4B</vt:lpstr>
      <vt:lpstr>STEP5</vt:lpstr>
      <vt:lpstr>Tradable</vt:lpstr>
      <vt:lpstr>YesNo</vt:lpstr>
      <vt:lpstr>YesNoNA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Compliance Form RE 90.1-2010</dc:title>
  <dc:subject/>
  <dc:creator>Michael Lane</dc:creator>
  <cp:keywords>ASHRAE, compliance</cp:keywords>
  <dc:description/>
  <cp:lastModifiedBy>McCall, Gregory</cp:lastModifiedBy>
  <cp:revision/>
  <cp:lastPrinted>2020-07-16T21:27:57Z</cp:lastPrinted>
  <dcterms:created xsi:type="dcterms:W3CDTF">2019-08-18T23:27:51Z</dcterms:created>
  <dcterms:modified xsi:type="dcterms:W3CDTF">2025-03-26T19:07:15Z</dcterms:modified>
  <cp:category/>
  <cp:contentStatus/>
</cp:coreProperties>
</file>